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y\Desktop\Andah games\andah_games\.xlsx files\"/>
    </mc:Choice>
  </mc:AlternateContent>
  <xr:revisionPtr revIDLastSave="0" documentId="13_ncr:1_{BB8A0699-BFC1-4344-BFE4-BD4D2650B5F6}" xr6:coauthVersionLast="47" xr6:coauthVersionMax="47" xr10:uidLastSave="{00000000-0000-0000-0000-000000000000}"/>
  <bookViews>
    <workbookView xWindow="-110" yWindow="-110" windowWidth="38620" windowHeight="21820" tabRatio="740" firstSheet="16" activeTab="35" xr2:uid="{00000000-000D-0000-FFFF-FFFF00000000}"/>
  </bookViews>
  <sheets>
    <sheet name="GlobalContinent Population" sheetId="1" r:id="rId1"/>
    <sheet name="Geoscheme Population" sheetId="2" r:id="rId2"/>
    <sheet name="Acetoa" sheetId="3" r:id="rId3"/>
    <sheet name="Acrana" sheetId="4" r:id="rId4"/>
    <sheet name="Aetintio" sheetId="5" r:id="rId5"/>
    <sheet name="Ahokini" sheetId="6" r:id="rId6"/>
    <sheet name="Amcha" sheetId="7" r:id="rId7"/>
    <sheet name="Andsaudare" sheetId="8" r:id="rId8"/>
    <sheet name="Anymna" sheetId="9" r:id="rId9"/>
    <sheet name="Aplasia" sheetId="10" r:id="rId10"/>
    <sheet name="Arbiya" sheetId="11" r:id="rId11"/>
    <sheet name="Areoix Lie" sheetId="12" r:id="rId12"/>
    <sheet name="Ashain" sheetId="13" r:id="rId13"/>
    <sheet name="Astye" sheetId="14" r:id="rId14"/>
    <sheet name="Baluyde" sheetId="15" r:id="rId15"/>
    <sheet name="Byllu" sheetId="16" r:id="rId16"/>
    <sheet name="Candenat" sheetId="17" r:id="rId17"/>
    <sheet name="Canldives" sheetId="18" r:id="rId18"/>
    <sheet name="Chaenia" sheetId="19" r:id="rId19"/>
    <sheet name="Cloja" sheetId="20" r:id="rId20"/>
    <sheet name="Crila Republic" sheetId="21" r:id="rId21"/>
    <sheet name="Cruthi Anoso" sheetId="22" r:id="rId22"/>
    <sheet name="Curata" sheetId="23" r:id="rId23"/>
    <sheet name="Dahe" sheetId="24" r:id="rId24"/>
    <sheet name="Danocia" sheetId="25" r:id="rId25"/>
    <sheet name="Darewa" sheetId="26" r:id="rId26"/>
    <sheet name="Desaki" sheetId="27" r:id="rId27"/>
    <sheet name="Deschon" sheetId="28" r:id="rId28"/>
    <sheet name="Disal Nila" sheetId="29" r:id="rId29"/>
    <sheet name="Dual Cenryia" sheetId="30" r:id="rId30"/>
    <sheet name="Ealdorii" sheetId="31" r:id="rId31"/>
    <sheet name="Easuhura" sheetId="32" r:id="rId32"/>
    <sheet name="Eldavpir" sheetId="33" r:id="rId33"/>
    <sheet name="Eldjo" sheetId="34" r:id="rId34"/>
    <sheet name="Elja and Munusia" sheetId="35" r:id="rId35"/>
    <sheet name="Emara" sheetId="36" r:id="rId36"/>
    <sheet name="Enina" sheetId="37" r:id="rId37"/>
    <sheet name="Eparia" sheetId="38" r:id="rId38"/>
    <sheet name="Erkizil" sheetId="39" r:id="rId39"/>
    <sheet name="Estijan" sheetId="40" r:id="rId40"/>
    <sheet name="Etirha" sheetId="41" r:id="rId41"/>
    <sheet name="Etretes" sheetId="42" r:id="rId42"/>
    <sheet name="Exilium" sheetId="43" r:id="rId43"/>
    <sheet name="Far Lands" sheetId="44" r:id="rId44"/>
    <sheet name="Feio Lie" sheetId="45" r:id="rId45"/>
    <sheet name="Fermori" sheetId="46" r:id="rId46"/>
    <sheet name="Finae" sheetId="47" r:id="rId47"/>
    <sheet name="Fincen" sheetId="48" r:id="rId48"/>
    <sheet name="Fire Coast" sheetId="49" r:id="rId49"/>
    <sheet name="Gaeiya" sheetId="50" r:id="rId50"/>
    <sheet name="Galca" sheetId="51" r:id="rId51"/>
    <sheet name="Genaire" sheetId="52" r:id="rId52"/>
    <sheet name="Grazail" sheetId="53" r:id="rId53"/>
    <sheet name="Guise" sheetId="54" r:id="rId54"/>
    <sheet name="Haiza" sheetId="55" r:id="rId55"/>
    <sheet name="Heiso" sheetId="56" r:id="rId56"/>
    <sheet name="Hiwush" sheetId="57" r:id="rId57"/>
    <sheet name="Hkuqo" sheetId="58" r:id="rId58"/>
    <sheet name="Hyelen" sheetId="59" r:id="rId59"/>
    <sheet name="Iainoa" sheetId="60" r:id="rId60"/>
    <sheet name="Iareva" sheetId="61" r:id="rId61"/>
    <sheet name="Ihner" sheetId="62" r:id="rId62"/>
    <sheet name="Ikzen" sheetId="63" r:id="rId63"/>
    <sheet name="Ilicuhe" sheetId="64" r:id="rId64"/>
    <sheet name="Inania" sheetId="65" r:id="rId65"/>
    <sheet name="Inrea" sheetId="66" r:id="rId66"/>
    <sheet name="Iquir" sheetId="67" r:id="rId67"/>
    <sheet name="Isari" sheetId="68" r:id="rId68"/>
    <sheet name="Isnti" sheetId="69" r:id="rId69"/>
    <sheet name="Isuibul" sheetId="70" r:id="rId70"/>
    <sheet name="Jathua" sheetId="71" r:id="rId71"/>
    <sheet name="Jau" sheetId="72" r:id="rId72"/>
    <sheet name="Jshain" sheetId="73" r:id="rId73"/>
    <sheet name="Kaastini" sheetId="74" r:id="rId74"/>
    <sheet name="Koruch" sheetId="75" r:id="rId75"/>
    <sheet name="Kusierna" sheetId="76" r:id="rId76"/>
    <sheet name="Laselteh" sheetId="77" r:id="rId77"/>
    <sheet name="Lasri" sheetId="78" r:id="rId78"/>
    <sheet name="Letan" sheetId="79" r:id="rId79"/>
    <sheet name="Lieri" sheetId="80" r:id="rId80"/>
    <sheet name="Lycroa" sheetId="81" r:id="rId81"/>
    <sheet name="Lydroa" sheetId="82" r:id="rId82"/>
    <sheet name="Maalle" sheetId="83" r:id="rId83"/>
    <sheet name="Mendereide" sheetId="84" r:id="rId84"/>
    <sheet name="Merela Sta" sheetId="85" r:id="rId85"/>
    <sheet name="Mesjan Hyaa" sheetId="86" r:id="rId86"/>
    <sheet name="Metndria" sheetId="87" r:id="rId87"/>
    <sheet name="Migoku" sheetId="88" r:id="rId88"/>
    <sheet name="Myla" sheetId="89" r:id="rId89"/>
    <sheet name="New Kizura" sheetId="90" r:id="rId90"/>
    <sheet name="New Misos" sheetId="91" r:id="rId91"/>
    <sheet name="Nheyes Si" sheetId="92" r:id="rId92"/>
    <sheet name="Nia" sheetId="93" r:id="rId93"/>
    <sheet name="Niretui and Anulan" sheetId="94" r:id="rId94"/>
    <sheet name="Niul Spijan" sheetId="95" r:id="rId95"/>
    <sheet name="North Ayre" sheetId="96" r:id="rId96"/>
    <sheet name="Ocaun" sheetId="97" r:id="rId97"/>
    <sheet name="Ohtina" sheetId="98" r:id="rId98"/>
    <sheet name="Onphello" sheetId="99" r:id="rId99"/>
    <sheet name="Oscairia" sheetId="100" r:id="rId100"/>
    <sheet name="Othya" sheetId="101" r:id="rId101"/>
    <sheet name="Otiiric" sheetId="102" r:id="rId102"/>
    <sheet name="Oyreain" sheetId="103" r:id="rId103"/>
    <sheet name="Ozinia" sheetId="104" r:id="rId104"/>
    <sheet name="Palina" sheetId="105" r:id="rId105"/>
    <sheet name="Peka" sheetId="106" r:id="rId106"/>
    <sheet name="Pelan" sheetId="107" r:id="rId107"/>
    <sheet name="Pelines" sheetId="108" r:id="rId108"/>
    <sheet name="Pelugrotoa" sheetId="109" r:id="rId109"/>
    <sheet name="Pha Hii" sheetId="110" r:id="rId110"/>
    <sheet name="Phuris" sheetId="111" r:id="rId111"/>
    <sheet name="Praesyu" sheetId="112" r:id="rId112"/>
    <sheet name="Prstreula" sheetId="113" r:id="rId113"/>
    <sheet name="Pruim Fijan" sheetId="114" r:id="rId114"/>
    <sheet name="Prystr Hii" sheetId="115" r:id="rId115"/>
    <sheet name="Quidic" sheetId="116" r:id="rId116"/>
    <sheet name="Raledria" sheetId="117" r:id="rId117"/>
    <sheet name="Reerica" sheetId="118" r:id="rId118"/>
    <sheet name="Rethern" sheetId="119" r:id="rId119"/>
    <sheet name="Rijan bu" sheetId="120" r:id="rId120"/>
    <sheet name="Rinew" sheetId="121" r:id="rId121"/>
    <sheet name="Rkmepuia" sheetId="122" r:id="rId122"/>
    <sheet name="Rtesania" sheetId="123" r:id="rId123"/>
    <sheet name="Ruylku" sheetId="124" r:id="rId124"/>
    <sheet name="Saa" sheetId="125" r:id="rId125"/>
    <sheet name="Sadain" sheetId="126" r:id="rId126"/>
    <sheet name="Sanagara" sheetId="127" r:id="rId127"/>
    <sheet name="Sattle" sheetId="128" r:id="rId128"/>
    <sheet name="Selaja" sheetId="129" r:id="rId129"/>
    <sheet name="Seytinemas" sheetId="130" r:id="rId130"/>
    <sheet name="Shinam" sheetId="131" r:id="rId131"/>
    <sheet name="Shomjind" sheetId="132" r:id="rId132"/>
    <sheet name="Siana" sheetId="133" r:id="rId133"/>
    <sheet name="Sivoso" sheetId="134" r:id="rId134"/>
    <sheet name="Slyiaduun" sheetId="135" r:id="rId135"/>
    <sheet name="Stinebar" sheetId="136" r:id="rId136"/>
    <sheet name="Suenan" sheetId="137" r:id="rId137"/>
    <sheet name="Sunsokua" sheetId="138" r:id="rId138"/>
    <sheet name="Taing" sheetId="139" r:id="rId139"/>
    <sheet name="Taniduna" sheetId="140" r:id="rId140"/>
    <sheet name="Taoisia" sheetId="141" r:id="rId141"/>
    <sheet name="Taval" sheetId="142" r:id="rId142"/>
    <sheet name="Terressin" sheetId="143" r:id="rId143"/>
    <sheet name="Tomscilus" sheetId="144" r:id="rId144"/>
    <sheet name="Tonder" sheetId="145" r:id="rId145"/>
    <sheet name="Trevilla" sheetId="146" r:id="rId146"/>
    <sheet name="Trian" sheetId="147" r:id="rId147"/>
    <sheet name="Tvecoca" sheetId="148" r:id="rId148"/>
    <sheet name="Ucrua" sheetId="149" r:id="rId149"/>
    <sheet name="Ukhdari" sheetId="150" r:id="rId150"/>
    <sheet name="Umarcia" sheetId="151" r:id="rId151"/>
    <sheet name="Umendel" sheetId="152" r:id="rId152"/>
    <sheet name="United Delet" sheetId="153" r:id="rId153"/>
    <sheet name="United Mihili" sheetId="154" r:id="rId154"/>
    <sheet name="Urbiqu" sheetId="155" r:id="rId155"/>
    <sheet name="Uularin" sheetId="156" r:id="rId156"/>
    <sheet name="Vayvele" sheetId="157" r:id="rId157"/>
    <sheet name="Veelmit" sheetId="158" r:id="rId158"/>
    <sheet name="Verste" sheetId="159" r:id="rId159"/>
    <sheet name="Verusa" sheetId="160" r:id="rId160"/>
    <sheet name="Vesozata" sheetId="161" r:id="rId161"/>
    <sheet name="Viussi" sheetId="162" r:id="rId162"/>
    <sheet name="Volver" sheetId="163" r:id="rId163"/>
    <sheet name="Walporein" sheetId="164" r:id="rId164"/>
    <sheet name="Welenu Fana" sheetId="165" r:id="rId165"/>
    <sheet name="Western Migoku" sheetId="166" r:id="rId166"/>
    <sheet name="Wundry" sheetId="167" r:id="rId167"/>
    <sheet name="Yaxuto" sheetId="168" r:id="rId168"/>
    <sheet name="Yihnurda" sheetId="169" r:id="rId169"/>
    <sheet name="Yoprioq" sheetId="170" r:id="rId170"/>
    <sheet name="Yutnitu" sheetId="171" r:id="rId171"/>
    <sheet name="Zenashan" sheetId="172" r:id="rId172"/>
    <sheet name="Zhanshe" sheetId="173" r:id="rId173"/>
    <sheet name="Ztesh" sheetId="174" r:id="rId1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174" l="1"/>
  <c r="C66" i="174"/>
  <c r="E66" i="174" s="1"/>
  <c r="A66" i="174"/>
  <c r="A65" i="174"/>
  <c r="A64" i="174"/>
  <c r="A63" i="174"/>
  <c r="A62" i="174"/>
  <c r="A61" i="174"/>
  <c r="A60" i="174"/>
  <c r="A59" i="174"/>
  <c r="A58" i="174"/>
  <c r="A57" i="174"/>
  <c r="A56" i="174"/>
  <c r="A55" i="174"/>
  <c r="A54" i="174"/>
  <c r="A53" i="174"/>
  <c r="A52" i="174"/>
  <c r="A51" i="174"/>
  <c r="A50" i="174"/>
  <c r="A49" i="174"/>
  <c r="A48" i="174"/>
  <c r="A47" i="174"/>
  <c r="A46" i="174"/>
  <c r="A45" i="174"/>
  <c r="A44" i="174"/>
  <c r="A43" i="174"/>
  <c r="A42" i="174"/>
  <c r="A41" i="174"/>
  <c r="A40" i="174"/>
  <c r="A39" i="174"/>
  <c r="A38" i="174"/>
  <c r="A37" i="174"/>
  <c r="A36" i="174"/>
  <c r="A35" i="174"/>
  <c r="A34" i="174"/>
  <c r="A33" i="174"/>
  <c r="A32" i="174"/>
  <c r="A31" i="174"/>
  <c r="A30" i="174"/>
  <c r="A29" i="174"/>
  <c r="A28" i="174"/>
  <c r="A27" i="174"/>
  <c r="A26" i="174"/>
  <c r="A25" i="174"/>
  <c r="A24" i="174"/>
  <c r="A23" i="174"/>
  <c r="A22" i="174"/>
  <c r="A21" i="174"/>
  <c r="A20" i="174"/>
  <c r="A19" i="174"/>
  <c r="A18" i="174"/>
  <c r="A17" i="174"/>
  <c r="A16" i="174"/>
  <c r="A15" i="174"/>
  <c r="A14" i="174"/>
  <c r="A13" i="174"/>
  <c r="A12" i="174"/>
  <c r="A11" i="174"/>
  <c r="A10" i="174"/>
  <c r="A9" i="174"/>
  <c r="A8" i="174"/>
  <c r="A7" i="174"/>
  <c r="A6" i="174"/>
  <c r="A5" i="174"/>
  <c r="A4" i="174"/>
  <c r="A3" i="174"/>
  <c r="I2" i="174"/>
  <c r="A2" i="174"/>
  <c r="A67" i="173"/>
  <c r="F66" i="173"/>
  <c r="E66" i="173"/>
  <c r="C66" i="173"/>
  <c r="A66" i="173"/>
  <c r="E65" i="173"/>
  <c r="C65" i="173"/>
  <c r="A65" i="173"/>
  <c r="E64" i="173"/>
  <c r="C64" i="173"/>
  <c r="A64" i="173"/>
  <c r="C63" i="173"/>
  <c r="A63" i="173"/>
  <c r="A62" i="173"/>
  <c r="A61" i="173"/>
  <c r="A60" i="173"/>
  <c r="A59" i="173"/>
  <c r="A58" i="173"/>
  <c r="A57" i="173"/>
  <c r="A56" i="173"/>
  <c r="A55" i="173"/>
  <c r="A54" i="173"/>
  <c r="A53" i="173"/>
  <c r="A52" i="173"/>
  <c r="A51" i="173"/>
  <c r="A50" i="173"/>
  <c r="A49" i="173"/>
  <c r="A48" i="173"/>
  <c r="A47" i="173"/>
  <c r="A46" i="173"/>
  <c r="A45" i="173"/>
  <c r="A44" i="173"/>
  <c r="A43" i="173"/>
  <c r="A42" i="173"/>
  <c r="A41" i="173"/>
  <c r="A40" i="173"/>
  <c r="A39" i="173"/>
  <c r="A38" i="173"/>
  <c r="A37" i="173"/>
  <c r="A36" i="173"/>
  <c r="A35" i="173"/>
  <c r="A34" i="173"/>
  <c r="A33" i="173"/>
  <c r="A32" i="173"/>
  <c r="A31" i="173"/>
  <c r="A30" i="173"/>
  <c r="A29" i="173"/>
  <c r="A28" i="173"/>
  <c r="A27" i="173"/>
  <c r="A26" i="173"/>
  <c r="A25" i="173"/>
  <c r="A24" i="173"/>
  <c r="A23" i="173"/>
  <c r="A22" i="173"/>
  <c r="A21" i="173"/>
  <c r="A20" i="173"/>
  <c r="A19" i="173"/>
  <c r="A18" i="173"/>
  <c r="A17" i="173"/>
  <c r="A16" i="173"/>
  <c r="A15" i="173"/>
  <c r="A14" i="173"/>
  <c r="A13" i="173"/>
  <c r="A12" i="173"/>
  <c r="A11" i="173"/>
  <c r="A10" i="173"/>
  <c r="A9" i="173"/>
  <c r="A8" i="173"/>
  <c r="A7" i="173"/>
  <c r="A6" i="173"/>
  <c r="A5" i="173"/>
  <c r="I4" i="173"/>
  <c r="A4" i="173"/>
  <c r="A3" i="173"/>
  <c r="I2" i="173"/>
  <c r="I3" i="173" s="1"/>
  <c r="A2" i="173"/>
  <c r="A67" i="172"/>
  <c r="F66" i="172"/>
  <c r="C66" i="172"/>
  <c r="A66" i="172"/>
  <c r="A65" i="172"/>
  <c r="A64" i="172"/>
  <c r="A63" i="172"/>
  <c r="A62" i="172"/>
  <c r="A61" i="172"/>
  <c r="A60" i="172"/>
  <c r="A59" i="172"/>
  <c r="A58" i="172"/>
  <c r="A57" i="172"/>
  <c r="A56" i="172"/>
  <c r="A55" i="172"/>
  <c r="A54" i="172"/>
  <c r="A53" i="172"/>
  <c r="A52" i="172"/>
  <c r="A51" i="172"/>
  <c r="A50" i="172"/>
  <c r="A49" i="172"/>
  <c r="A48" i="172"/>
  <c r="A47" i="172"/>
  <c r="A46" i="172"/>
  <c r="A45" i="172"/>
  <c r="A44" i="172"/>
  <c r="A43" i="172"/>
  <c r="A42" i="172"/>
  <c r="A41" i="172"/>
  <c r="A40" i="172"/>
  <c r="A39" i="172"/>
  <c r="A38" i="172"/>
  <c r="A37" i="172"/>
  <c r="A36" i="172"/>
  <c r="A35" i="172"/>
  <c r="A34" i="172"/>
  <c r="A33" i="172"/>
  <c r="A32" i="172"/>
  <c r="A31" i="172"/>
  <c r="A30" i="172"/>
  <c r="A29" i="172"/>
  <c r="A28" i="172"/>
  <c r="A27" i="172"/>
  <c r="A26" i="172"/>
  <c r="A25" i="172"/>
  <c r="A24" i="172"/>
  <c r="A23" i="172"/>
  <c r="A22" i="172"/>
  <c r="A21" i="172"/>
  <c r="A20" i="172"/>
  <c r="A19" i="172"/>
  <c r="A18" i="172"/>
  <c r="A17" i="172"/>
  <c r="A16" i="172"/>
  <c r="A15" i="172"/>
  <c r="A14" i="172"/>
  <c r="A13" i="172"/>
  <c r="A12" i="172"/>
  <c r="A11" i="172"/>
  <c r="A10" i="172"/>
  <c r="A9" i="172"/>
  <c r="A8" i="172"/>
  <c r="A7" i="172"/>
  <c r="A6" i="172"/>
  <c r="A5" i="172"/>
  <c r="A4" i="172"/>
  <c r="I3" i="172"/>
  <c r="I4" i="172" s="1"/>
  <c r="I5" i="172" s="1"/>
  <c r="A3" i="172"/>
  <c r="I2" i="172"/>
  <c r="A2" i="172"/>
  <c r="A67" i="171"/>
  <c r="F66" i="171"/>
  <c r="C66" i="171"/>
  <c r="E66" i="171" s="1"/>
  <c r="A66" i="171"/>
  <c r="C65" i="171"/>
  <c r="E65" i="171" s="1"/>
  <c r="A65" i="171"/>
  <c r="C64" i="171"/>
  <c r="C63" i="171" s="1"/>
  <c r="A64" i="171"/>
  <c r="A63" i="171"/>
  <c r="A62" i="171"/>
  <c r="A61" i="171"/>
  <c r="A60" i="171"/>
  <c r="A59" i="171"/>
  <c r="A58" i="171"/>
  <c r="A57" i="171"/>
  <c r="A56" i="171"/>
  <c r="A55" i="171"/>
  <c r="A54" i="171"/>
  <c r="A53" i="171"/>
  <c r="A52" i="171"/>
  <c r="A51" i="171"/>
  <c r="A50" i="171"/>
  <c r="A49" i="171"/>
  <c r="A48" i="171"/>
  <c r="A47" i="171"/>
  <c r="A46" i="171"/>
  <c r="A45" i="171"/>
  <c r="A44" i="171"/>
  <c r="A43" i="171"/>
  <c r="A42" i="171"/>
  <c r="A41" i="171"/>
  <c r="A40" i="171"/>
  <c r="A39" i="171"/>
  <c r="A38" i="171"/>
  <c r="A37" i="171"/>
  <c r="A36" i="171"/>
  <c r="A35" i="171"/>
  <c r="A34" i="171"/>
  <c r="A33" i="171"/>
  <c r="A32" i="171"/>
  <c r="A31" i="171"/>
  <c r="A30" i="171"/>
  <c r="A29" i="171"/>
  <c r="A28" i="171"/>
  <c r="A27" i="171"/>
  <c r="A26" i="171"/>
  <c r="A25" i="171"/>
  <c r="A24" i="171"/>
  <c r="A23" i="171"/>
  <c r="A22" i="171"/>
  <c r="A21" i="171"/>
  <c r="A20" i="171"/>
  <c r="A19" i="171"/>
  <c r="A18" i="171"/>
  <c r="A17" i="171"/>
  <c r="A16" i="171"/>
  <c r="A15" i="171"/>
  <c r="A14" i="171"/>
  <c r="A13" i="171"/>
  <c r="A12" i="171"/>
  <c r="A11" i="171"/>
  <c r="A10" i="171"/>
  <c r="A9" i="171"/>
  <c r="A8" i="171"/>
  <c r="A7" i="171"/>
  <c r="A6" i="171"/>
  <c r="A5" i="171"/>
  <c r="A4" i="171"/>
  <c r="A3" i="171"/>
  <c r="I2" i="171"/>
  <c r="A2" i="171"/>
  <c r="A67" i="170"/>
  <c r="F66" i="170"/>
  <c r="C66" i="170"/>
  <c r="A66" i="170"/>
  <c r="A65" i="170"/>
  <c r="A64" i="170"/>
  <c r="A63" i="170"/>
  <c r="A62" i="170"/>
  <c r="A61" i="170"/>
  <c r="A60" i="170"/>
  <c r="A59" i="170"/>
  <c r="A58" i="170"/>
  <c r="A57" i="170"/>
  <c r="A56" i="170"/>
  <c r="A55" i="170"/>
  <c r="A54" i="170"/>
  <c r="A53" i="170"/>
  <c r="A52" i="170"/>
  <c r="A51" i="170"/>
  <c r="A50" i="170"/>
  <c r="A49" i="170"/>
  <c r="A48" i="170"/>
  <c r="A47" i="170"/>
  <c r="A46" i="170"/>
  <c r="A45" i="170"/>
  <c r="A44" i="170"/>
  <c r="A43" i="170"/>
  <c r="A42" i="170"/>
  <c r="A41" i="170"/>
  <c r="A40" i="170"/>
  <c r="A39" i="170"/>
  <c r="A38" i="170"/>
  <c r="A37" i="170"/>
  <c r="A36" i="170"/>
  <c r="A35" i="170"/>
  <c r="A34" i="170"/>
  <c r="A33" i="170"/>
  <c r="A32" i="170"/>
  <c r="A31" i="170"/>
  <c r="A30" i="170"/>
  <c r="A29" i="170"/>
  <c r="A28" i="170"/>
  <c r="A27" i="170"/>
  <c r="A26" i="170"/>
  <c r="A25" i="170"/>
  <c r="A24" i="170"/>
  <c r="A23" i="170"/>
  <c r="A22" i="170"/>
  <c r="A21" i="170"/>
  <c r="A20" i="170"/>
  <c r="A19" i="170"/>
  <c r="A18" i="170"/>
  <c r="A17" i="170"/>
  <c r="A16" i="170"/>
  <c r="A15" i="170"/>
  <c r="A14" i="170"/>
  <c r="A13" i="170"/>
  <c r="A12" i="170"/>
  <c r="A11" i="170"/>
  <c r="A10" i="170"/>
  <c r="A9" i="170"/>
  <c r="A8" i="170"/>
  <c r="A7" i="170"/>
  <c r="A6" i="170"/>
  <c r="A5" i="170"/>
  <c r="A4" i="170"/>
  <c r="A3" i="170"/>
  <c r="I2" i="170"/>
  <c r="I3" i="170" s="1"/>
  <c r="A2" i="170"/>
  <c r="A67" i="169"/>
  <c r="F66" i="169"/>
  <c r="C66" i="169"/>
  <c r="E66" i="169" s="1"/>
  <c r="A66" i="169"/>
  <c r="C65" i="169"/>
  <c r="A65" i="169"/>
  <c r="A64" i="169"/>
  <c r="A63" i="169"/>
  <c r="A62" i="169"/>
  <c r="A61" i="169"/>
  <c r="A60" i="169"/>
  <c r="A59" i="169"/>
  <c r="A58" i="169"/>
  <c r="A57" i="169"/>
  <c r="A56" i="169"/>
  <c r="A55" i="169"/>
  <c r="A54" i="169"/>
  <c r="A53" i="169"/>
  <c r="A52" i="169"/>
  <c r="A51" i="169"/>
  <c r="A50" i="169"/>
  <c r="A49" i="169"/>
  <c r="A48" i="169"/>
  <c r="A47" i="169"/>
  <c r="A46" i="169"/>
  <c r="A45" i="169"/>
  <c r="A44" i="169"/>
  <c r="A43" i="169"/>
  <c r="A42" i="169"/>
  <c r="A41" i="169"/>
  <c r="A40" i="169"/>
  <c r="A39" i="169"/>
  <c r="A38" i="169"/>
  <c r="A37" i="169"/>
  <c r="A36" i="169"/>
  <c r="A35" i="169"/>
  <c r="A34" i="169"/>
  <c r="A33" i="169"/>
  <c r="A32" i="169"/>
  <c r="A31" i="169"/>
  <c r="A30" i="169"/>
  <c r="A29" i="169"/>
  <c r="A28" i="169"/>
  <c r="A27" i="169"/>
  <c r="A26" i="169"/>
  <c r="A25" i="169"/>
  <c r="A24" i="169"/>
  <c r="A23" i="169"/>
  <c r="A22" i="169"/>
  <c r="A21" i="169"/>
  <c r="A20" i="169"/>
  <c r="A19" i="169"/>
  <c r="A18" i="169"/>
  <c r="A17" i="169"/>
  <c r="A16" i="169"/>
  <c r="A15" i="169"/>
  <c r="A14" i="169"/>
  <c r="A13" i="169"/>
  <c r="A12" i="169"/>
  <c r="A11" i="169"/>
  <c r="A10" i="169"/>
  <c r="A9" i="169"/>
  <c r="A8" i="169"/>
  <c r="A7" i="169"/>
  <c r="A6" i="169"/>
  <c r="A5" i="169"/>
  <c r="A4" i="169"/>
  <c r="A3" i="169"/>
  <c r="I2" i="169"/>
  <c r="I3" i="169" s="1"/>
  <c r="A2" i="169"/>
  <c r="A67" i="168"/>
  <c r="F66" i="168"/>
  <c r="C66" i="168"/>
  <c r="E66" i="168" s="1"/>
  <c r="A66" i="168"/>
  <c r="C65" i="168"/>
  <c r="E65" i="168" s="1"/>
  <c r="A65" i="168"/>
  <c r="E64" i="168"/>
  <c r="C64" i="168"/>
  <c r="A64" i="168"/>
  <c r="C63" i="168"/>
  <c r="A63" i="168"/>
  <c r="A62" i="168"/>
  <c r="A61" i="168"/>
  <c r="A60" i="168"/>
  <c r="A59" i="168"/>
  <c r="A58" i="168"/>
  <c r="A57" i="168"/>
  <c r="A56" i="168"/>
  <c r="A55" i="168"/>
  <c r="A54" i="168"/>
  <c r="A53" i="168"/>
  <c r="A52" i="168"/>
  <c r="A51" i="168"/>
  <c r="A50" i="168"/>
  <c r="A49" i="168"/>
  <c r="A48" i="168"/>
  <c r="A47" i="168"/>
  <c r="A46" i="168"/>
  <c r="A45" i="168"/>
  <c r="A44" i="168"/>
  <c r="A43" i="168"/>
  <c r="A42" i="168"/>
  <c r="A41" i="168"/>
  <c r="A40" i="168"/>
  <c r="A39" i="168"/>
  <c r="A38" i="168"/>
  <c r="A37" i="168"/>
  <c r="A36" i="168"/>
  <c r="A35" i="168"/>
  <c r="A34" i="168"/>
  <c r="A33" i="168"/>
  <c r="A32" i="168"/>
  <c r="A31" i="168"/>
  <c r="A30" i="168"/>
  <c r="A29" i="168"/>
  <c r="A28" i="168"/>
  <c r="A27" i="168"/>
  <c r="A26" i="168"/>
  <c r="A25" i="168"/>
  <c r="A24" i="168"/>
  <c r="A23" i="168"/>
  <c r="A22" i="168"/>
  <c r="A21" i="168"/>
  <c r="A20" i="168"/>
  <c r="A19" i="168"/>
  <c r="A18" i="168"/>
  <c r="A17" i="168"/>
  <c r="A16" i="168"/>
  <c r="A15" i="168"/>
  <c r="A14" i="168"/>
  <c r="A13" i="168"/>
  <c r="A12" i="168"/>
  <c r="A11" i="168"/>
  <c r="A10" i="168"/>
  <c r="A9" i="168"/>
  <c r="A8" i="168"/>
  <c r="A7" i="168"/>
  <c r="A6" i="168"/>
  <c r="A5" i="168"/>
  <c r="A4" i="168"/>
  <c r="A3" i="168"/>
  <c r="I2" i="168"/>
  <c r="I3" i="168" s="1"/>
  <c r="A2" i="168"/>
  <c r="A67" i="167"/>
  <c r="F66" i="167"/>
  <c r="E66" i="167"/>
  <c r="C66" i="167"/>
  <c r="A66" i="167"/>
  <c r="C65" i="167"/>
  <c r="E65" i="167" s="1"/>
  <c r="A65" i="167"/>
  <c r="C64" i="167"/>
  <c r="A64" i="167"/>
  <c r="A63" i="167"/>
  <c r="A62" i="167"/>
  <c r="A61" i="167"/>
  <c r="A60" i="167"/>
  <c r="A59" i="167"/>
  <c r="A58" i="167"/>
  <c r="A57" i="167"/>
  <c r="A56" i="167"/>
  <c r="A55" i="167"/>
  <c r="A54" i="167"/>
  <c r="A53" i="167"/>
  <c r="A52" i="167"/>
  <c r="A51" i="167"/>
  <c r="A50" i="167"/>
  <c r="A49" i="167"/>
  <c r="A48" i="167"/>
  <c r="A47" i="167"/>
  <c r="A46" i="167"/>
  <c r="A45" i="167"/>
  <c r="A44" i="167"/>
  <c r="A43" i="167"/>
  <c r="A42" i="167"/>
  <c r="A41" i="167"/>
  <c r="A40" i="167"/>
  <c r="A39" i="167"/>
  <c r="A38" i="167"/>
  <c r="A37" i="167"/>
  <c r="A36" i="167"/>
  <c r="A35" i="167"/>
  <c r="A34" i="167"/>
  <c r="A33" i="167"/>
  <c r="A32" i="167"/>
  <c r="A31" i="167"/>
  <c r="A30" i="167"/>
  <c r="A29" i="167"/>
  <c r="A28" i="167"/>
  <c r="A27" i="167"/>
  <c r="A26" i="167"/>
  <c r="A25" i="167"/>
  <c r="A24" i="167"/>
  <c r="A23" i="167"/>
  <c r="A22" i="167"/>
  <c r="A21" i="167"/>
  <c r="A20" i="167"/>
  <c r="A19" i="167"/>
  <c r="A18" i="167"/>
  <c r="A17" i="167"/>
  <c r="A16" i="167"/>
  <c r="A15" i="167"/>
  <c r="A14" i="167"/>
  <c r="A13" i="167"/>
  <c r="A12" i="167"/>
  <c r="A11" i="167"/>
  <c r="A10" i="167"/>
  <c r="A9" i="167"/>
  <c r="A8" i="167"/>
  <c r="A7" i="167"/>
  <c r="A6" i="167"/>
  <c r="A5" i="167"/>
  <c r="A4" i="167"/>
  <c r="I3" i="167"/>
  <c r="I4" i="167" s="1"/>
  <c r="A3" i="167"/>
  <c r="I2" i="167"/>
  <c r="A2" i="167"/>
  <c r="A67" i="166"/>
  <c r="F66" i="166"/>
  <c r="C66" i="166"/>
  <c r="C65" i="166" s="1"/>
  <c r="E65" i="166" s="1"/>
  <c r="A66" i="166"/>
  <c r="A65" i="166"/>
  <c r="C64" i="166"/>
  <c r="E64" i="166" s="1"/>
  <c r="A64" i="166"/>
  <c r="C63" i="166"/>
  <c r="C62" i="166" s="1"/>
  <c r="C61" i="166" s="1"/>
  <c r="A63" i="166"/>
  <c r="A62" i="166"/>
  <c r="A61" i="166"/>
  <c r="A60" i="166"/>
  <c r="A59" i="166"/>
  <c r="A58" i="166"/>
  <c r="A57" i="166"/>
  <c r="A56" i="166"/>
  <c r="A55" i="166"/>
  <c r="A54" i="166"/>
  <c r="A53" i="166"/>
  <c r="A52" i="166"/>
  <c r="A51" i="166"/>
  <c r="A50" i="166"/>
  <c r="A49" i="166"/>
  <c r="A48" i="166"/>
  <c r="A47" i="166"/>
  <c r="A46" i="166"/>
  <c r="A45" i="166"/>
  <c r="A44" i="166"/>
  <c r="A43" i="166"/>
  <c r="A42" i="166"/>
  <c r="A41" i="166"/>
  <c r="A40" i="166"/>
  <c r="A39" i="166"/>
  <c r="A38" i="166"/>
  <c r="A37" i="166"/>
  <c r="A36" i="166"/>
  <c r="A35" i="166"/>
  <c r="A34" i="166"/>
  <c r="A33" i="166"/>
  <c r="A32" i="166"/>
  <c r="A31" i="166"/>
  <c r="A30" i="166"/>
  <c r="A29" i="166"/>
  <c r="A28" i="166"/>
  <c r="A27" i="166"/>
  <c r="A26" i="166"/>
  <c r="A25" i="166"/>
  <c r="A24" i="166"/>
  <c r="A23" i="166"/>
  <c r="A22" i="166"/>
  <c r="A21" i="166"/>
  <c r="A20" i="166"/>
  <c r="A19" i="166"/>
  <c r="A18" i="166"/>
  <c r="A17" i="166"/>
  <c r="A16" i="166"/>
  <c r="A15" i="166"/>
  <c r="A14" i="166"/>
  <c r="A13" i="166"/>
  <c r="A12" i="166"/>
  <c r="A11" i="166"/>
  <c r="A10" i="166"/>
  <c r="A9" i="166"/>
  <c r="A8" i="166"/>
  <c r="A7" i="166"/>
  <c r="A6" i="166"/>
  <c r="A5" i="166"/>
  <c r="A4" i="166"/>
  <c r="A3" i="166"/>
  <c r="I2" i="166"/>
  <c r="A2" i="166"/>
  <c r="A67" i="165"/>
  <c r="F66" i="165"/>
  <c r="E66" i="165"/>
  <c r="C66" i="165"/>
  <c r="A66" i="165"/>
  <c r="C65" i="165"/>
  <c r="C64" i="165" s="1"/>
  <c r="E64" i="165" s="1"/>
  <c r="A65" i="165"/>
  <c r="A64" i="165"/>
  <c r="E63" i="165"/>
  <c r="C63" i="165"/>
  <c r="A63" i="165"/>
  <c r="C62" i="165"/>
  <c r="A62" i="165"/>
  <c r="A61" i="165"/>
  <c r="A60" i="165"/>
  <c r="A59" i="165"/>
  <c r="A58" i="165"/>
  <c r="A57" i="165"/>
  <c r="A56" i="165"/>
  <c r="A55" i="165"/>
  <c r="A54" i="165"/>
  <c r="A53" i="165"/>
  <c r="A52" i="165"/>
  <c r="A51" i="165"/>
  <c r="A50" i="165"/>
  <c r="A49" i="165"/>
  <c r="A48" i="165"/>
  <c r="A47" i="165"/>
  <c r="A46" i="165"/>
  <c r="A45" i="165"/>
  <c r="A44" i="165"/>
  <c r="A43" i="165"/>
  <c r="A42" i="165"/>
  <c r="A41" i="165"/>
  <c r="A40" i="165"/>
  <c r="A39" i="165"/>
  <c r="A38" i="165"/>
  <c r="A37" i="165"/>
  <c r="A36" i="165"/>
  <c r="A35" i="165"/>
  <c r="A34" i="165"/>
  <c r="A33" i="165"/>
  <c r="A32" i="165"/>
  <c r="A31" i="165"/>
  <c r="A30" i="165"/>
  <c r="A29" i="165"/>
  <c r="A28" i="165"/>
  <c r="A27" i="165"/>
  <c r="A26" i="165"/>
  <c r="A25" i="165"/>
  <c r="A24" i="165"/>
  <c r="A23" i="165"/>
  <c r="A22" i="165"/>
  <c r="A21" i="165"/>
  <c r="A20" i="165"/>
  <c r="A19" i="165"/>
  <c r="A18" i="165"/>
  <c r="A17" i="165"/>
  <c r="A16" i="165"/>
  <c r="A15" i="165"/>
  <c r="A14" i="165"/>
  <c r="A13" i="165"/>
  <c r="A12" i="165"/>
  <c r="A11" i="165"/>
  <c r="A10" i="165"/>
  <c r="A9" i="165"/>
  <c r="A8" i="165"/>
  <c r="A7" i="165"/>
  <c r="A6" i="165"/>
  <c r="A5" i="165"/>
  <c r="I4" i="165"/>
  <c r="A4" i="165"/>
  <c r="A3" i="165"/>
  <c r="I2" i="165"/>
  <c r="I3" i="165" s="1"/>
  <c r="A2" i="165"/>
  <c r="A67" i="164"/>
  <c r="F66" i="164"/>
  <c r="E66" i="164"/>
  <c r="C66" i="164"/>
  <c r="A66" i="164"/>
  <c r="C65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I5" i="164"/>
  <c r="A5" i="164"/>
  <c r="I4" i="164"/>
  <c r="A4" i="164"/>
  <c r="I3" i="164"/>
  <c r="A3" i="164"/>
  <c r="I2" i="164"/>
  <c r="A2" i="164"/>
  <c r="A67" i="163"/>
  <c r="F66" i="163"/>
  <c r="E66" i="163"/>
  <c r="C66" i="163"/>
  <c r="A66" i="163"/>
  <c r="E65" i="163"/>
  <c r="C65" i="163"/>
  <c r="A65" i="163"/>
  <c r="E64" i="163"/>
  <c r="C64" i="163"/>
  <c r="A64" i="163"/>
  <c r="C63" i="163"/>
  <c r="A63" i="163"/>
  <c r="A62" i="163"/>
  <c r="A61" i="163"/>
  <c r="A60" i="163"/>
  <c r="A59" i="163"/>
  <c r="A58" i="163"/>
  <c r="A57" i="163"/>
  <c r="A56" i="163"/>
  <c r="A55" i="163"/>
  <c r="A54" i="163"/>
  <c r="A53" i="163"/>
  <c r="A52" i="163"/>
  <c r="A51" i="163"/>
  <c r="A50" i="163"/>
  <c r="A49" i="163"/>
  <c r="A48" i="163"/>
  <c r="A47" i="163"/>
  <c r="A46" i="163"/>
  <c r="A45" i="163"/>
  <c r="A44" i="163"/>
  <c r="A43" i="163"/>
  <c r="A42" i="163"/>
  <c r="A41" i="163"/>
  <c r="A40" i="163"/>
  <c r="A39" i="163"/>
  <c r="A38" i="163"/>
  <c r="A37" i="163"/>
  <c r="A36" i="163"/>
  <c r="A35" i="163"/>
  <c r="A34" i="163"/>
  <c r="A33" i="163"/>
  <c r="A32" i="163"/>
  <c r="A31" i="163"/>
  <c r="A30" i="163"/>
  <c r="A29" i="163"/>
  <c r="A28" i="163"/>
  <c r="A27" i="163"/>
  <c r="A26" i="163"/>
  <c r="A25" i="163"/>
  <c r="A24" i="163"/>
  <c r="A23" i="163"/>
  <c r="A22" i="163"/>
  <c r="A21" i="163"/>
  <c r="A20" i="163"/>
  <c r="A19" i="163"/>
  <c r="A18" i="163"/>
  <c r="A17" i="163"/>
  <c r="A16" i="163"/>
  <c r="A15" i="163"/>
  <c r="A14" i="163"/>
  <c r="A13" i="163"/>
  <c r="A12" i="163"/>
  <c r="A11" i="163"/>
  <c r="A10" i="163"/>
  <c r="A9" i="163"/>
  <c r="A8" i="163"/>
  <c r="A7" i="163"/>
  <c r="A6" i="163"/>
  <c r="A5" i="163"/>
  <c r="A4" i="163"/>
  <c r="A3" i="163"/>
  <c r="I2" i="163"/>
  <c r="A2" i="163"/>
  <c r="A67" i="162"/>
  <c r="F66" i="162"/>
  <c r="C66" i="162"/>
  <c r="E66" i="162" s="1"/>
  <c r="A66" i="162"/>
  <c r="C65" i="162"/>
  <c r="E65" i="162" s="1"/>
  <c r="A65" i="162"/>
  <c r="A64" i="162"/>
  <c r="A63" i="162"/>
  <c r="A62" i="162"/>
  <c r="A61" i="162"/>
  <c r="A60" i="162"/>
  <c r="A59" i="162"/>
  <c r="A58" i="162"/>
  <c r="A57" i="162"/>
  <c r="A56" i="162"/>
  <c r="A55" i="162"/>
  <c r="A54" i="162"/>
  <c r="A53" i="162"/>
  <c r="A52" i="162"/>
  <c r="A51" i="162"/>
  <c r="A50" i="162"/>
  <c r="A49" i="162"/>
  <c r="A48" i="162"/>
  <c r="A47" i="162"/>
  <c r="A46" i="162"/>
  <c r="A45" i="162"/>
  <c r="A44" i="162"/>
  <c r="A43" i="162"/>
  <c r="A42" i="162"/>
  <c r="A41" i="162"/>
  <c r="A40" i="162"/>
  <c r="A39" i="162"/>
  <c r="A38" i="162"/>
  <c r="A37" i="162"/>
  <c r="A36" i="162"/>
  <c r="A35" i="162"/>
  <c r="A34" i="162"/>
  <c r="A33" i="162"/>
  <c r="A32" i="162"/>
  <c r="A31" i="162"/>
  <c r="A30" i="162"/>
  <c r="A29" i="162"/>
  <c r="A28" i="162"/>
  <c r="A27" i="162"/>
  <c r="A26" i="162"/>
  <c r="A25" i="162"/>
  <c r="A24" i="162"/>
  <c r="A23" i="162"/>
  <c r="A22" i="162"/>
  <c r="A21" i="162"/>
  <c r="A20" i="162"/>
  <c r="A19" i="162"/>
  <c r="A18" i="162"/>
  <c r="A17" i="162"/>
  <c r="A16" i="162"/>
  <c r="A15" i="162"/>
  <c r="A14" i="162"/>
  <c r="A13" i="162"/>
  <c r="A12" i="162"/>
  <c r="A11" i="162"/>
  <c r="A10" i="162"/>
  <c r="A9" i="162"/>
  <c r="A8" i="162"/>
  <c r="A7" i="162"/>
  <c r="A6" i="162"/>
  <c r="A5" i="162"/>
  <c r="A4" i="162"/>
  <c r="I3" i="162"/>
  <c r="A3" i="162"/>
  <c r="I2" i="162"/>
  <c r="A2" i="162"/>
  <c r="A67" i="161"/>
  <c r="F66" i="161"/>
  <c r="E66" i="161"/>
  <c r="C66" i="161"/>
  <c r="A66" i="161"/>
  <c r="C65" i="161"/>
  <c r="E65" i="161" s="1"/>
  <c r="A65" i="161"/>
  <c r="C64" i="161"/>
  <c r="A64" i="161"/>
  <c r="A63" i="161"/>
  <c r="A62" i="161"/>
  <c r="A61" i="161"/>
  <c r="A60" i="161"/>
  <c r="A59" i="161"/>
  <c r="A58" i="161"/>
  <c r="A57" i="161"/>
  <c r="A56" i="161"/>
  <c r="A55" i="161"/>
  <c r="A54" i="161"/>
  <c r="A53" i="161"/>
  <c r="A52" i="161"/>
  <c r="A51" i="161"/>
  <c r="A50" i="161"/>
  <c r="A49" i="161"/>
  <c r="A48" i="161"/>
  <c r="A47" i="161"/>
  <c r="A46" i="161"/>
  <c r="A45" i="161"/>
  <c r="A44" i="161"/>
  <c r="A43" i="161"/>
  <c r="A42" i="161"/>
  <c r="A41" i="161"/>
  <c r="A40" i="161"/>
  <c r="A39" i="161"/>
  <c r="A38" i="161"/>
  <c r="A37" i="161"/>
  <c r="A36" i="161"/>
  <c r="A35" i="161"/>
  <c r="A34" i="161"/>
  <c r="A33" i="161"/>
  <c r="A32" i="161"/>
  <c r="A31" i="161"/>
  <c r="A30" i="161"/>
  <c r="A29" i="161"/>
  <c r="A28" i="161"/>
  <c r="A27" i="161"/>
  <c r="A26" i="161"/>
  <c r="A25" i="161"/>
  <c r="A24" i="161"/>
  <c r="A23" i="161"/>
  <c r="A22" i="161"/>
  <c r="A21" i="161"/>
  <c r="A20" i="161"/>
  <c r="A19" i="161"/>
  <c r="A18" i="161"/>
  <c r="A17" i="161"/>
  <c r="A16" i="161"/>
  <c r="A15" i="161"/>
  <c r="A14" i="161"/>
  <c r="A13" i="161"/>
  <c r="A12" i="161"/>
  <c r="A11" i="161"/>
  <c r="A10" i="161"/>
  <c r="A9" i="161"/>
  <c r="A8" i="161"/>
  <c r="A7" i="161"/>
  <c r="A6" i="161"/>
  <c r="A5" i="161"/>
  <c r="A4" i="161"/>
  <c r="I3" i="161"/>
  <c r="A3" i="161"/>
  <c r="I2" i="161"/>
  <c r="A2" i="161"/>
  <c r="A67" i="160"/>
  <c r="F66" i="160"/>
  <c r="E66" i="160"/>
  <c r="C66" i="160"/>
  <c r="A66" i="160"/>
  <c r="C65" i="160"/>
  <c r="C64" i="160" s="1"/>
  <c r="A65" i="160"/>
  <c r="E64" i="160"/>
  <c r="A64" i="160"/>
  <c r="E63" i="160"/>
  <c r="C63" i="160"/>
  <c r="C62" i="160" s="1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33" i="160"/>
  <c r="A32" i="160"/>
  <c r="A31" i="160"/>
  <c r="A30" i="160"/>
  <c r="A29" i="160"/>
  <c r="A28" i="160"/>
  <c r="A27" i="160"/>
  <c r="A26" i="160"/>
  <c r="A25" i="160"/>
  <c r="A24" i="160"/>
  <c r="A23" i="160"/>
  <c r="A22" i="160"/>
  <c r="A21" i="160"/>
  <c r="A20" i="160"/>
  <c r="A19" i="160"/>
  <c r="A18" i="160"/>
  <c r="A17" i="160"/>
  <c r="A16" i="160"/>
  <c r="A15" i="160"/>
  <c r="A14" i="160"/>
  <c r="A13" i="160"/>
  <c r="A12" i="160"/>
  <c r="A11" i="160"/>
  <c r="A10" i="160"/>
  <c r="A9" i="160"/>
  <c r="A8" i="160"/>
  <c r="A7" i="160"/>
  <c r="A6" i="160"/>
  <c r="A5" i="160"/>
  <c r="A4" i="160"/>
  <c r="A3" i="160"/>
  <c r="I2" i="160"/>
  <c r="A2" i="160"/>
  <c r="A67" i="159"/>
  <c r="F66" i="159"/>
  <c r="C66" i="159"/>
  <c r="E66" i="159" s="1"/>
  <c r="A66" i="159"/>
  <c r="C65" i="159"/>
  <c r="E65" i="159" s="1"/>
  <c r="A65" i="159"/>
  <c r="E64" i="159"/>
  <c r="C64" i="159"/>
  <c r="A64" i="159"/>
  <c r="C63" i="159"/>
  <c r="A63" i="159"/>
  <c r="A62" i="159"/>
  <c r="A61" i="159"/>
  <c r="A60" i="159"/>
  <c r="A59" i="159"/>
  <c r="A58" i="159"/>
  <c r="A57" i="159"/>
  <c r="A56" i="159"/>
  <c r="A55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A21" i="159"/>
  <c r="A20" i="159"/>
  <c r="A19" i="159"/>
  <c r="A18" i="159"/>
  <c r="A17" i="159"/>
  <c r="A16" i="159"/>
  <c r="A15" i="159"/>
  <c r="A14" i="159"/>
  <c r="A13" i="159"/>
  <c r="A12" i="159"/>
  <c r="A11" i="159"/>
  <c r="A10" i="159"/>
  <c r="A9" i="159"/>
  <c r="A8" i="159"/>
  <c r="A7" i="159"/>
  <c r="A6" i="159"/>
  <c r="A5" i="159"/>
  <c r="A4" i="159"/>
  <c r="A3" i="159"/>
  <c r="I2" i="159"/>
  <c r="I3" i="159" s="1"/>
  <c r="I4" i="159" s="1"/>
  <c r="A2" i="159"/>
  <c r="A67" i="158"/>
  <c r="F66" i="158"/>
  <c r="C66" i="158"/>
  <c r="E66" i="158" s="1"/>
  <c r="A66" i="158"/>
  <c r="A65" i="158"/>
  <c r="A64" i="158"/>
  <c r="A63" i="158"/>
  <c r="A62" i="158"/>
  <c r="A61" i="158"/>
  <c r="A60" i="158"/>
  <c r="A59" i="158"/>
  <c r="A58" i="158"/>
  <c r="A57" i="158"/>
  <c r="A56" i="158"/>
  <c r="A55" i="158"/>
  <c r="A54" i="158"/>
  <c r="A53" i="158"/>
  <c r="A52" i="158"/>
  <c r="A51" i="158"/>
  <c r="A50" i="158"/>
  <c r="A49" i="158"/>
  <c r="A48" i="158"/>
  <c r="A47" i="158"/>
  <c r="A46" i="158"/>
  <c r="A45" i="158"/>
  <c r="A44" i="158"/>
  <c r="A43" i="158"/>
  <c r="A42" i="158"/>
  <c r="A41" i="158"/>
  <c r="A40" i="158"/>
  <c r="A39" i="158"/>
  <c r="A38" i="158"/>
  <c r="A37" i="158"/>
  <c r="A36" i="158"/>
  <c r="A35" i="158"/>
  <c r="A34" i="158"/>
  <c r="A33" i="158"/>
  <c r="A32" i="158"/>
  <c r="A31" i="158"/>
  <c r="A30" i="158"/>
  <c r="A29" i="158"/>
  <c r="A28" i="158"/>
  <c r="A27" i="158"/>
  <c r="A26" i="158"/>
  <c r="A25" i="158"/>
  <c r="A24" i="158"/>
  <c r="A23" i="158"/>
  <c r="A22" i="158"/>
  <c r="A21" i="158"/>
  <c r="A20" i="158"/>
  <c r="A19" i="158"/>
  <c r="A18" i="158"/>
  <c r="A17" i="158"/>
  <c r="A16" i="158"/>
  <c r="A15" i="158"/>
  <c r="A14" i="158"/>
  <c r="A13" i="158"/>
  <c r="A12" i="158"/>
  <c r="A11" i="158"/>
  <c r="A10" i="158"/>
  <c r="A9" i="158"/>
  <c r="A8" i="158"/>
  <c r="A7" i="158"/>
  <c r="A6" i="158"/>
  <c r="A5" i="158"/>
  <c r="I4" i="158"/>
  <c r="A4" i="158"/>
  <c r="I3" i="158"/>
  <c r="A3" i="158"/>
  <c r="I2" i="158"/>
  <c r="A2" i="158"/>
  <c r="A67" i="157"/>
  <c r="F66" i="157"/>
  <c r="C66" i="157"/>
  <c r="E66" i="157" s="1"/>
  <c r="A66" i="157"/>
  <c r="E65" i="157"/>
  <c r="C65" i="157"/>
  <c r="A65" i="157"/>
  <c r="C64" i="157"/>
  <c r="E64" i="157" s="1"/>
  <c r="A64" i="157"/>
  <c r="C63" i="157"/>
  <c r="E63" i="157" s="1"/>
  <c r="A63" i="157"/>
  <c r="E62" i="157"/>
  <c r="C62" i="157"/>
  <c r="C61" i="157" s="1"/>
  <c r="A62" i="157"/>
  <c r="A61" i="157"/>
  <c r="A60" i="157"/>
  <c r="A59" i="157"/>
  <c r="A58" i="157"/>
  <c r="A57" i="157"/>
  <c r="A56" i="157"/>
  <c r="A55" i="157"/>
  <c r="A54" i="157"/>
  <c r="A53" i="157"/>
  <c r="A52" i="157"/>
  <c r="A51" i="157"/>
  <c r="A50" i="157"/>
  <c r="A49" i="157"/>
  <c r="A48" i="157"/>
  <c r="A47" i="157"/>
  <c r="A46" i="157"/>
  <c r="A45" i="157"/>
  <c r="A44" i="157"/>
  <c r="A43" i="157"/>
  <c r="A42" i="157"/>
  <c r="A41" i="157"/>
  <c r="A40" i="157"/>
  <c r="A39" i="157"/>
  <c r="A38" i="157"/>
  <c r="A37" i="157"/>
  <c r="A36" i="157"/>
  <c r="A35" i="157"/>
  <c r="A34" i="157"/>
  <c r="A33" i="157"/>
  <c r="A32" i="157"/>
  <c r="A31" i="157"/>
  <c r="A30" i="157"/>
  <c r="A29" i="157"/>
  <c r="A28" i="157"/>
  <c r="A27" i="157"/>
  <c r="A26" i="157"/>
  <c r="A25" i="157"/>
  <c r="A24" i="157"/>
  <c r="A23" i="157"/>
  <c r="A22" i="157"/>
  <c r="A21" i="157"/>
  <c r="A20" i="157"/>
  <c r="A19" i="157"/>
  <c r="A18" i="157"/>
  <c r="A17" i="157"/>
  <c r="A16" i="157"/>
  <c r="A15" i="157"/>
  <c r="A14" i="157"/>
  <c r="A13" i="157"/>
  <c r="A12" i="157"/>
  <c r="A11" i="157"/>
  <c r="A10" i="157"/>
  <c r="A9" i="157"/>
  <c r="A8" i="157"/>
  <c r="A7" i="157"/>
  <c r="A6" i="157"/>
  <c r="A5" i="157"/>
  <c r="A4" i="157"/>
  <c r="I3" i="157"/>
  <c r="I4" i="157" s="1"/>
  <c r="A3" i="157"/>
  <c r="I2" i="157"/>
  <c r="A2" i="157"/>
  <c r="A67" i="156"/>
  <c r="F66" i="156"/>
  <c r="E66" i="156"/>
  <c r="C66" i="156"/>
  <c r="A66" i="156"/>
  <c r="C65" i="156"/>
  <c r="E65" i="156" s="1"/>
  <c r="A65" i="156"/>
  <c r="E64" i="156"/>
  <c r="C64" i="156"/>
  <c r="A64" i="156"/>
  <c r="C63" i="156"/>
  <c r="E63" i="156" s="1"/>
  <c r="A63" i="156"/>
  <c r="E62" i="156"/>
  <c r="C62" i="156"/>
  <c r="C61" i="156" s="1"/>
  <c r="A62" i="156"/>
  <c r="A61" i="156"/>
  <c r="A60" i="156"/>
  <c r="A59" i="156"/>
  <c r="A58" i="156"/>
  <c r="A57" i="156"/>
  <c r="A56" i="156"/>
  <c r="A55" i="156"/>
  <c r="A54" i="156"/>
  <c r="A53" i="156"/>
  <c r="A52" i="156"/>
  <c r="A51" i="156"/>
  <c r="A50" i="156"/>
  <c r="A49" i="156"/>
  <c r="A48" i="156"/>
  <c r="A47" i="156"/>
  <c r="A46" i="156"/>
  <c r="A45" i="156"/>
  <c r="A44" i="156"/>
  <c r="A43" i="156"/>
  <c r="A42" i="156"/>
  <c r="A41" i="156"/>
  <c r="A40" i="156"/>
  <c r="A39" i="156"/>
  <c r="A38" i="156"/>
  <c r="A37" i="156"/>
  <c r="A36" i="156"/>
  <c r="A35" i="156"/>
  <c r="A34" i="156"/>
  <c r="A33" i="156"/>
  <c r="A32" i="156"/>
  <c r="A31" i="156"/>
  <c r="A30" i="156"/>
  <c r="A29" i="156"/>
  <c r="A28" i="156"/>
  <c r="A27" i="156"/>
  <c r="A26" i="156"/>
  <c r="A25" i="156"/>
  <c r="A24" i="156"/>
  <c r="A23" i="156"/>
  <c r="A22" i="156"/>
  <c r="A21" i="156"/>
  <c r="A20" i="156"/>
  <c r="A19" i="156"/>
  <c r="A18" i="156"/>
  <c r="A17" i="156"/>
  <c r="A16" i="156"/>
  <c r="A15" i="156"/>
  <c r="A14" i="156"/>
  <c r="A13" i="156"/>
  <c r="A12" i="156"/>
  <c r="A11" i="156"/>
  <c r="A10" i="156"/>
  <c r="A9" i="156"/>
  <c r="A8" i="156"/>
  <c r="A7" i="156"/>
  <c r="A6" i="156"/>
  <c r="A5" i="156"/>
  <c r="I4" i="156"/>
  <c r="I5" i="156" s="1"/>
  <c r="A4" i="156"/>
  <c r="A3" i="156"/>
  <c r="I2" i="156"/>
  <c r="I3" i="156" s="1"/>
  <c r="A2" i="156"/>
  <c r="A67" i="155"/>
  <c r="F66" i="155"/>
  <c r="C66" i="155"/>
  <c r="E66" i="155" s="1"/>
  <c r="A66" i="155"/>
  <c r="A65" i="155"/>
  <c r="A64" i="155"/>
  <c r="A63" i="155"/>
  <c r="A62" i="155"/>
  <c r="A61" i="155"/>
  <c r="A60" i="155"/>
  <c r="A59" i="155"/>
  <c r="A58" i="155"/>
  <c r="A57" i="155"/>
  <c r="A56" i="155"/>
  <c r="A55" i="155"/>
  <c r="A54" i="155"/>
  <c r="A53" i="155"/>
  <c r="A52" i="155"/>
  <c r="A51" i="155"/>
  <c r="A50" i="155"/>
  <c r="A49" i="155"/>
  <c r="A48" i="155"/>
  <c r="A47" i="155"/>
  <c r="A46" i="155"/>
  <c r="A45" i="155"/>
  <c r="A44" i="155"/>
  <c r="A43" i="155"/>
  <c r="A42" i="155"/>
  <c r="A41" i="155"/>
  <c r="A40" i="155"/>
  <c r="A39" i="155"/>
  <c r="A38" i="155"/>
  <c r="A37" i="155"/>
  <c r="A36" i="155"/>
  <c r="A35" i="155"/>
  <c r="A34" i="155"/>
  <c r="A33" i="155"/>
  <c r="A32" i="155"/>
  <c r="A31" i="155"/>
  <c r="A30" i="155"/>
  <c r="A29" i="155"/>
  <c r="A28" i="155"/>
  <c r="A27" i="155"/>
  <c r="A26" i="155"/>
  <c r="A25" i="155"/>
  <c r="A24" i="155"/>
  <c r="A23" i="155"/>
  <c r="A22" i="155"/>
  <c r="A21" i="155"/>
  <c r="A20" i="155"/>
  <c r="A19" i="155"/>
  <c r="A18" i="155"/>
  <c r="A17" i="155"/>
  <c r="A16" i="155"/>
  <c r="A15" i="155"/>
  <c r="A14" i="155"/>
  <c r="A13" i="155"/>
  <c r="A12" i="155"/>
  <c r="A11" i="155"/>
  <c r="A10" i="155"/>
  <c r="A9" i="155"/>
  <c r="A8" i="155"/>
  <c r="A7" i="155"/>
  <c r="A6" i="155"/>
  <c r="A5" i="155"/>
  <c r="A4" i="155"/>
  <c r="A3" i="155"/>
  <c r="I2" i="155"/>
  <c r="I3" i="155" s="1"/>
  <c r="A2" i="155"/>
  <c r="A67" i="154"/>
  <c r="F66" i="154"/>
  <c r="E66" i="154"/>
  <c r="C66" i="154"/>
  <c r="C65" i="154" s="1"/>
  <c r="A66" i="154"/>
  <c r="A65" i="154"/>
  <c r="A64" i="154"/>
  <c r="A63" i="154"/>
  <c r="A62" i="154"/>
  <c r="A61" i="154"/>
  <c r="A60" i="154"/>
  <c r="A59" i="154"/>
  <c r="A58" i="154"/>
  <c r="A57" i="154"/>
  <c r="A56" i="154"/>
  <c r="A55" i="154"/>
  <c r="A54" i="154"/>
  <c r="A53" i="154"/>
  <c r="A52" i="154"/>
  <c r="A51" i="154"/>
  <c r="A50" i="154"/>
  <c r="A49" i="154"/>
  <c r="A48" i="154"/>
  <c r="A47" i="154"/>
  <c r="A46" i="154"/>
  <c r="A45" i="154"/>
  <c r="A44" i="154"/>
  <c r="A43" i="154"/>
  <c r="A42" i="154"/>
  <c r="A41" i="154"/>
  <c r="A40" i="154"/>
  <c r="A39" i="154"/>
  <c r="A38" i="154"/>
  <c r="A37" i="154"/>
  <c r="A36" i="154"/>
  <c r="A35" i="154"/>
  <c r="A34" i="154"/>
  <c r="A33" i="154"/>
  <c r="A32" i="154"/>
  <c r="A31" i="154"/>
  <c r="A30" i="154"/>
  <c r="A29" i="154"/>
  <c r="A28" i="154"/>
  <c r="A27" i="154"/>
  <c r="A26" i="154"/>
  <c r="A25" i="154"/>
  <c r="A24" i="154"/>
  <c r="A23" i="154"/>
  <c r="A22" i="154"/>
  <c r="A21" i="154"/>
  <c r="A20" i="154"/>
  <c r="A19" i="154"/>
  <c r="A18" i="154"/>
  <c r="A17" i="154"/>
  <c r="A16" i="154"/>
  <c r="A15" i="154"/>
  <c r="A14" i="154"/>
  <c r="A13" i="154"/>
  <c r="A12" i="154"/>
  <c r="A11" i="154"/>
  <c r="A10" i="154"/>
  <c r="A9" i="154"/>
  <c r="A8" i="154"/>
  <c r="A7" i="154"/>
  <c r="A6" i="154"/>
  <c r="A5" i="154"/>
  <c r="A4" i="154"/>
  <c r="A3" i="154"/>
  <c r="I2" i="154"/>
  <c r="I3" i="154" s="1"/>
  <c r="A2" i="154"/>
  <c r="A67" i="153"/>
  <c r="F66" i="153"/>
  <c r="C66" i="153"/>
  <c r="E66" i="153" s="1"/>
  <c r="A66" i="153"/>
  <c r="C65" i="153"/>
  <c r="E65" i="153" s="1"/>
  <c r="A65" i="153"/>
  <c r="A64" i="153"/>
  <c r="A63" i="153"/>
  <c r="A62" i="153"/>
  <c r="A61" i="153"/>
  <c r="A60" i="153"/>
  <c r="A59" i="153"/>
  <c r="A58" i="153"/>
  <c r="A57" i="153"/>
  <c r="A56" i="153"/>
  <c r="A55" i="153"/>
  <c r="A54" i="153"/>
  <c r="A53" i="153"/>
  <c r="A52" i="153"/>
  <c r="A51" i="153"/>
  <c r="A50" i="153"/>
  <c r="A49" i="153"/>
  <c r="A48" i="153"/>
  <c r="A47" i="153"/>
  <c r="A46" i="153"/>
  <c r="A45" i="153"/>
  <c r="A44" i="153"/>
  <c r="A43" i="153"/>
  <c r="A42" i="153"/>
  <c r="A41" i="153"/>
  <c r="A40" i="153"/>
  <c r="A39" i="153"/>
  <c r="A38" i="153"/>
  <c r="A37" i="153"/>
  <c r="A36" i="153"/>
  <c r="A35" i="153"/>
  <c r="A34" i="153"/>
  <c r="A33" i="153"/>
  <c r="A32" i="153"/>
  <c r="A31" i="153"/>
  <c r="A30" i="153"/>
  <c r="A29" i="153"/>
  <c r="A28" i="153"/>
  <c r="A27" i="153"/>
  <c r="A26" i="153"/>
  <c r="A25" i="153"/>
  <c r="A24" i="153"/>
  <c r="A23" i="153"/>
  <c r="A22" i="153"/>
  <c r="A21" i="153"/>
  <c r="A20" i="153"/>
  <c r="A19" i="153"/>
  <c r="A18" i="153"/>
  <c r="A17" i="153"/>
  <c r="A16" i="153"/>
  <c r="A15" i="153"/>
  <c r="A14" i="153"/>
  <c r="A13" i="153"/>
  <c r="A12" i="153"/>
  <c r="A11" i="153"/>
  <c r="A10" i="153"/>
  <c r="A9" i="153"/>
  <c r="A8" i="153"/>
  <c r="A7" i="153"/>
  <c r="A6" i="153"/>
  <c r="A5" i="153"/>
  <c r="A4" i="153"/>
  <c r="I3" i="153"/>
  <c r="A3" i="153"/>
  <c r="I2" i="153"/>
  <c r="A2" i="153"/>
  <c r="A67" i="152"/>
  <c r="F66" i="152"/>
  <c r="C66" i="152"/>
  <c r="A66" i="152"/>
  <c r="A65" i="152"/>
  <c r="A64" i="152"/>
  <c r="A63" i="152"/>
  <c r="A62" i="152"/>
  <c r="A61" i="152"/>
  <c r="A60" i="152"/>
  <c r="A59" i="152"/>
  <c r="A58" i="152"/>
  <c r="A57" i="152"/>
  <c r="A56" i="152"/>
  <c r="A55" i="152"/>
  <c r="A54" i="152"/>
  <c r="A53" i="152"/>
  <c r="A52" i="152"/>
  <c r="A51" i="152"/>
  <c r="A50" i="152"/>
  <c r="A49" i="152"/>
  <c r="A48" i="152"/>
  <c r="A47" i="152"/>
  <c r="A46" i="152"/>
  <c r="A45" i="152"/>
  <c r="A44" i="152"/>
  <c r="A43" i="152"/>
  <c r="A42" i="152"/>
  <c r="A41" i="152"/>
  <c r="A40" i="152"/>
  <c r="A39" i="152"/>
  <c r="A38" i="152"/>
  <c r="A37" i="152"/>
  <c r="A36" i="152"/>
  <c r="A35" i="152"/>
  <c r="A34" i="152"/>
  <c r="A33" i="152"/>
  <c r="A32" i="152"/>
  <c r="A31" i="152"/>
  <c r="A30" i="152"/>
  <c r="A29" i="152"/>
  <c r="A28" i="152"/>
  <c r="A27" i="152"/>
  <c r="A26" i="152"/>
  <c r="A25" i="152"/>
  <c r="A24" i="152"/>
  <c r="A23" i="152"/>
  <c r="A22" i="152"/>
  <c r="A21" i="152"/>
  <c r="A20" i="152"/>
  <c r="A19" i="152"/>
  <c r="A18" i="152"/>
  <c r="A17" i="152"/>
  <c r="A16" i="152"/>
  <c r="A15" i="152"/>
  <c r="A14" i="152"/>
  <c r="A13" i="152"/>
  <c r="A12" i="152"/>
  <c r="A11" i="152"/>
  <c r="A10" i="152"/>
  <c r="A9" i="152"/>
  <c r="A8" i="152"/>
  <c r="A7" i="152"/>
  <c r="A6" i="152"/>
  <c r="A5" i="152"/>
  <c r="A4" i="152"/>
  <c r="I3" i="152"/>
  <c r="I4" i="152" s="1"/>
  <c r="I5" i="152" s="1"/>
  <c r="A3" i="152"/>
  <c r="I2" i="152"/>
  <c r="A2" i="152"/>
  <c r="A67" i="151"/>
  <c r="F66" i="151"/>
  <c r="C66" i="151"/>
  <c r="E66" i="151" s="1"/>
  <c r="A66" i="151"/>
  <c r="C65" i="151"/>
  <c r="A65" i="151"/>
  <c r="A64" i="151"/>
  <c r="A63" i="151"/>
  <c r="A62" i="151"/>
  <c r="A61" i="151"/>
  <c r="A60" i="151"/>
  <c r="A59" i="151"/>
  <c r="A58" i="151"/>
  <c r="A57" i="151"/>
  <c r="A56" i="151"/>
  <c r="A55" i="151"/>
  <c r="A54" i="151"/>
  <c r="A53" i="151"/>
  <c r="A52" i="151"/>
  <c r="A51" i="151"/>
  <c r="A50" i="151"/>
  <c r="A49" i="151"/>
  <c r="A48" i="151"/>
  <c r="A47" i="151"/>
  <c r="A46" i="151"/>
  <c r="A45" i="151"/>
  <c r="A44" i="151"/>
  <c r="A43" i="151"/>
  <c r="A42" i="151"/>
  <c r="A41" i="151"/>
  <c r="A40" i="151"/>
  <c r="A39" i="151"/>
  <c r="A38" i="151"/>
  <c r="A37" i="151"/>
  <c r="A36" i="151"/>
  <c r="A35" i="151"/>
  <c r="A34" i="151"/>
  <c r="A33" i="151"/>
  <c r="A32" i="151"/>
  <c r="A31" i="151"/>
  <c r="A30" i="151"/>
  <c r="A29" i="151"/>
  <c r="A28" i="151"/>
  <c r="A27" i="151"/>
  <c r="A26" i="151"/>
  <c r="A25" i="151"/>
  <c r="A24" i="151"/>
  <c r="A23" i="151"/>
  <c r="A22" i="151"/>
  <c r="A21" i="151"/>
  <c r="A20" i="151"/>
  <c r="A19" i="151"/>
  <c r="A18" i="151"/>
  <c r="A17" i="151"/>
  <c r="A16" i="151"/>
  <c r="A15" i="151"/>
  <c r="A14" i="151"/>
  <c r="A13" i="151"/>
  <c r="A12" i="151"/>
  <c r="A11" i="151"/>
  <c r="A10" i="151"/>
  <c r="A9" i="151"/>
  <c r="A8" i="151"/>
  <c r="A7" i="151"/>
  <c r="A6" i="151"/>
  <c r="A5" i="151"/>
  <c r="A4" i="151"/>
  <c r="I3" i="151"/>
  <c r="A3" i="151"/>
  <c r="I2" i="151"/>
  <c r="A2" i="151"/>
  <c r="A67" i="150"/>
  <c r="F66" i="150"/>
  <c r="E66" i="150"/>
  <c r="C66" i="150"/>
  <c r="A66" i="150"/>
  <c r="E65" i="150"/>
  <c r="C65" i="150"/>
  <c r="C64" i="150" s="1"/>
  <c r="E64" i="150" s="1"/>
  <c r="A65" i="150"/>
  <c r="A64" i="150"/>
  <c r="A63" i="150"/>
  <c r="A62" i="150"/>
  <c r="A61" i="150"/>
  <c r="A60" i="150"/>
  <c r="A59" i="150"/>
  <c r="A58" i="150"/>
  <c r="A57" i="150"/>
  <c r="A56" i="150"/>
  <c r="A55" i="150"/>
  <c r="A54" i="150"/>
  <c r="A53" i="150"/>
  <c r="A52" i="150"/>
  <c r="A51" i="150"/>
  <c r="A50" i="150"/>
  <c r="A49" i="150"/>
  <c r="A48" i="150"/>
  <c r="A47" i="150"/>
  <c r="A46" i="150"/>
  <c r="A45" i="150"/>
  <c r="A44" i="150"/>
  <c r="A43" i="150"/>
  <c r="A42" i="150"/>
  <c r="A41" i="150"/>
  <c r="A40" i="150"/>
  <c r="A39" i="150"/>
  <c r="A38" i="150"/>
  <c r="A37" i="150"/>
  <c r="A36" i="150"/>
  <c r="A35" i="150"/>
  <c r="A34" i="150"/>
  <c r="A33" i="150"/>
  <c r="A32" i="150"/>
  <c r="A31" i="150"/>
  <c r="A30" i="150"/>
  <c r="A29" i="150"/>
  <c r="A28" i="150"/>
  <c r="A27" i="150"/>
  <c r="A26" i="150"/>
  <c r="A25" i="150"/>
  <c r="A24" i="150"/>
  <c r="A23" i="150"/>
  <c r="A22" i="150"/>
  <c r="A21" i="150"/>
  <c r="I20" i="150"/>
  <c r="I21" i="150" s="1"/>
  <c r="A20" i="150"/>
  <c r="A19" i="150"/>
  <c r="I18" i="150"/>
  <c r="I19" i="150" s="1"/>
  <c r="A18" i="150"/>
  <c r="A17" i="150"/>
  <c r="A16" i="150"/>
  <c r="A15" i="150"/>
  <c r="A14" i="150"/>
  <c r="A13" i="150"/>
  <c r="A12" i="150"/>
  <c r="A11" i="150"/>
  <c r="A10" i="150"/>
  <c r="A9" i="150"/>
  <c r="A8" i="150"/>
  <c r="A7" i="150"/>
  <c r="A6" i="150"/>
  <c r="A5" i="150"/>
  <c r="A4" i="150"/>
  <c r="I3" i="150"/>
  <c r="I4" i="150" s="1"/>
  <c r="I5" i="150" s="1"/>
  <c r="A3" i="150"/>
  <c r="I2" i="150"/>
  <c r="A2" i="150"/>
  <c r="A67" i="149"/>
  <c r="F66" i="149"/>
  <c r="E66" i="149"/>
  <c r="C66" i="149"/>
  <c r="A66" i="149"/>
  <c r="E65" i="149"/>
  <c r="C65" i="149"/>
  <c r="C64" i="149" s="1"/>
  <c r="A65" i="149"/>
  <c r="E64" i="149"/>
  <c r="A64" i="149"/>
  <c r="C63" i="149"/>
  <c r="A63" i="149"/>
  <c r="A62" i="149"/>
  <c r="A61" i="149"/>
  <c r="A60" i="149"/>
  <c r="A59" i="149"/>
  <c r="A58" i="149"/>
  <c r="A57" i="149"/>
  <c r="A56" i="149"/>
  <c r="A55" i="149"/>
  <c r="A54" i="149"/>
  <c r="A53" i="149"/>
  <c r="A52" i="149"/>
  <c r="A51" i="149"/>
  <c r="A50" i="149"/>
  <c r="A49" i="149"/>
  <c r="A48" i="149"/>
  <c r="A47" i="149"/>
  <c r="A46" i="149"/>
  <c r="A45" i="149"/>
  <c r="A44" i="149"/>
  <c r="A43" i="149"/>
  <c r="A42" i="149"/>
  <c r="A41" i="149"/>
  <c r="A40" i="149"/>
  <c r="A39" i="149"/>
  <c r="A38" i="149"/>
  <c r="A37" i="149"/>
  <c r="A36" i="149"/>
  <c r="A35" i="149"/>
  <c r="A34" i="149"/>
  <c r="A33" i="149"/>
  <c r="A32" i="149"/>
  <c r="A31" i="149"/>
  <c r="A30" i="149"/>
  <c r="A29" i="149"/>
  <c r="A28" i="149"/>
  <c r="A27" i="149"/>
  <c r="A26" i="149"/>
  <c r="A25" i="149"/>
  <c r="A24" i="149"/>
  <c r="A23" i="149"/>
  <c r="A22" i="149"/>
  <c r="A21" i="149"/>
  <c r="A20" i="149"/>
  <c r="A19" i="149"/>
  <c r="A18" i="149"/>
  <c r="A17" i="149"/>
  <c r="A16" i="149"/>
  <c r="A15" i="149"/>
  <c r="A14" i="149"/>
  <c r="A13" i="149"/>
  <c r="A12" i="149"/>
  <c r="A11" i="149"/>
  <c r="A10" i="149"/>
  <c r="A9" i="149"/>
  <c r="A8" i="149"/>
  <c r="A7" i="149"/>
  <c r="A6" i="149"/>
  <c r="A5" i="149"/>
  <c r="I4" i="149"/>
  <c r="A4" i="149"/>
  <c r="I3" i="149"/>
  <c r="A3" i="149"/>
  <c r="I2" i="149"/>
  <c r="A2" i="149"/>
  <c r="A67" i="148"/>
  <c r="F66" i="148"/>
  <c r="E66" i="148"/>
  <c r="C66" i="148"/>
  <c r="A66" i="148"/>
  <c r="C65" i="148"/>
  <c r="E65" i="148" s="1"/>
  <c r="A65" i="148"/>
  <c r="C64" i="148"/>
  <c r="A64" i="148"/>
  <c r="A63" i="148"/>
  <c r="A62" i="148"/>
  <c r="A61" i="148"/>
  <c r="A60" i="148"/>
  <c r="A59" i="148"/>
  <c r="A58" i="148"/>
  <c r="A57" i="148"/>
  <c r="A56" i="148"/>
  <c r="A55" i="148"/>
  <c r="A54" i="148"/>
  <c r="A53" i="148"/>
  <c r="A52" i="148"/>
  <c r="A51" i="148"/>
  <c r="A50" i="148"/>
  <c r="A49" i="148"/>
  <c r="A48" i="148"/>
  <c r="A47" i="148"/>
  <c r="A46" i="148"/>
  <c r="A45" i="148"/>
  <c r="A44" i="148"/>
  <c r="A43" i="148"/>
  <c r="A42" i="148"/>
  <c r="A41" i="148"/>
  <c r="A40" i="148"/>
  <c r="A39" i="148"/>
  <c r="A38" i="148"/>
  <c r="A37" i="148"/>
  <c r="A36" i="148"/>
  <c r="A35" i="148"/>
  <c r="A34" i="148"/>
  <c r="A33" i="148"/>
  <c r="A32" i="148"/>
  <c r="A31" i="148"/>
  <c r="A30" i="148"/>
  <c r="A29" i="148"/>
  <c r="A28" i="148"/>
  <c r="A27" i="148"/>
  <c r="A26" i="148"/>
  <c r="A25" i="148"/>
  <c r="A24" i="148"/>
  <c r="A23" i="148"/>
  <c r="A22" i="148"/>
  <c r="A21" i="148"/>
  <c r="A20" i="148"/>
  <c r="A19" i="148"/>
  <c r="A18" i="148"/>
  <c r="A17" i="148"/>
  <c r="A16" i="148"/>
  <c r="A15" i="148"/>
  <c r="A14" i="148"/>
  <c r="A13" i="148"/>
  <c r="A12" i="148"/>
  <c r="A11" i="148"/>
  <c r="A10" i="148"/>
  <c r="A9" i="148"/>
  <c r="A8" i="148"/>
  <c r="A7" i="148"/>
  <c r="A6" i="148"/>
  <c r="A5" i="148"/>
  <c r="A4" i="148"/>
  <c r="A3" i="148"/>
  <c r="I2" i="148"/>
  <c r="A2" i="148"/>
  <c r="A67" i="147"/>
  <c r="F66" i="147"/>
  <c r="E66" i="147"/>
  <c r="C66" i="147"/>
  <c r="C65" i="147" s="1"/>
  <c r="A66" i="147"/>
  <c r="A65" i="147"/>
  <c r="A64" i="147"/>
  <c r="A63" i="147"/>
  <c r="A62" i="147"/>
  <c r="A61" i="147"/>
  <c r="A60" i="147"/>
  <c r="A59" i="147"/>
  <c r="A58" i="147"/>
  <c r="A57" i="147"/>
  <c r="A56" i="147"/>
  <c r="A55" i="147"/>
  <c r="A54" i="147"/>
  <c r="A53" i="147"/>
  <c r="A52" i="147"/>
  <c r="A51" i="147"/>
  <c r="A50" i="147"/>
  <c r="A49" i="147"/>
  <c r="A48" i="147"/>
  <c r="A47" i="147"/>
  <c r="A46" i="147"/>
  <c r="A45" i="147"/>
  <c r="A44" i="147"/>
  <c r="A43" i="147"/>
  <c r="A42" i="147"/>
  <c r="A41" i="147"/>
  <c r="A40" i="147"/>
  <c r="A39" i="147"/>
  <c r="A38" i="147"/>
  <c r="A37" i="147"/>
  <c r="A36" i="147"/>
  <c r="A35" i="147"/>
  <c r="A34" i="147"/>
  <c r="A33" i="147"/>
  <c r="A32" i="147"/>
  <c r="A31" i="147"/>
  <c r="A30" i="147"/>
  <c r="A29" i="147"/>
  <c r="A28" i="147"/>
  <c r="A27" i="147"/>
  <c r="A26" i="147"/>
  <c r="A25" i="147"/>
  <c r="A24" i="147"/>
  <c r="A23" i="147"/>
  <c r="A22" i="147"/>
  <c r="A21" i="147"/>
  <c r="A20" i="147"/>
  <c r="A19" i="147"/>
  <c r="A18" i="147"/>
  <c r="A17" i="147"/>
  <c r="A16" i="147"/>
  <c r="A15" i="147"/>
  <c r="A14" i="147"/>
  <c r="A13" i="147"/>
  <c r="A12" i="147"/>
  <c r="A11" i="147"/>
  <c r="A10" i="147"/>
  <c r="A9" i="147"/>
  <c r="A8" i="147"/>
  <c r="A7" i="147"/>
  <c r="A6" i="147"/>
  <c r="A5" i="147"/>
  <c r="A4" i="147"/>
  <c r="A3" i="147"/>
  <c r="I2" i="147"/>
  <c r="A2" i="147"/>
  <c r="A67" i="146"/>
  <c r="F66" i="146"/>
  <c r="E66" i="146"/>
  <c r="C66" i="146"/>
  <c r="A66" i="146"/>
  <c r="C65" i="146"/>
  <c r="E65" i="146" s="1"/>
  <c r="A65" i="146"/>
  <c r="C64" i="146"/>
  <c r="E64" i="146" s="1"/>
  <c r="A64" i="146"/>
  <c r="E63" i="146"/>
  <c r="C63" i="146"/>
  <c r="A63" i="146"/>
  <c r="C62" i="146"/>
  <c r="C61" i="146" s="1"/>
  <c r="A62" i="146"/>
  <c r="A61" i="146"/>
  <c r="A60" i="146"/>
  <c r="A59" i="146"/>
  <c r="A58" i="146"/>
  <c r="A57" i="146"/>
  <c r="A56" i="146"/>
  <c r="A55" i="146"/>
  <c r="A54" i="146"/>
  <c r="A53" i="146"/>
  <c r="A52" i="146"/>
  <c r="A51" i="146"/>
  <c r="A50" i="146"/>
  <c r="A49" i="146"/>
  <c r="A48" i="146"/>
  <c r="A47" i="146"/>
  <c r="A46" i="146"/>
  <c r="A45" i="146"/>
  <c r="A44" i="146"/>
  <c r="A43" i="146"/>
  <c r="A42" i="146"/>
  <c r="A41" i="146"/>
  <c r="A40" i="146"/>
  <c r="A39" i="146"/>
  <c r="A38" i="146"/>
  <c r="A37" i="146"/>
  <c r="A36" i="146"/>
  <c r="A35" i="146"/>
  <c r="A34" i="146"/>
  <c r="A33" i="146"/>
  <c r="A32" i="146"/>
  <c r="A31" i="146"/>
  <c r="A30" i="146"/>
  <c r="A29" i="146"/>
  <c r="A28" i="146"/>
  <c r="A27" i="146"/>
  <c r="A26" i="146"/>
  <c r="A25" i="146"/>
  <c r="A24" i="146"/>
  <c r="A23" i="146"/>
  <c r="A22" i="146"/>
  <c r="A21" i="146"/>
  <c r="A20" i="146"/>
  <c r="A19" i="146"/>
  <c r="A18" i="146"/>
  <c r="A17" i="146"/>
  <c r="A16" i="146"/>
  <c r="A15" i="146"/>
  <c r="A14" i="146"/>
  <c r="A13" i="146"/>
  <c r="A12" i="146"/>
  <c r="A11" i="146"/>
  <c r="A10" i="146"/>
  <c r="A9" i="146"/>
  <c r="A8" i="146"/>
  <c r="A7" i="146"/>
  <c r="A6" i="146"/>
  <c r="A5" i="146"/>
  <c r="A4" i="146"/>
  <c r="A3" i="146"/>
  <c r="I2" i="146"/>
  <c r="A2" i="146"/>
  <c r="A67" i="145"/>
  <c r="F66" i="145"/>
  <c r="C66" i="145"/>
  <c r="E66" i="145" s="1"/>
  <c r="A66" i="145"/>
  <c r="C65" i="145"/>
  <c r="E65" i="145" s="1"/>
  <c r="A65" i="145"/>
  <c r="A64" i="145"/>
  <c r="A63" i="145"/>
  <c r="A62" i="145"/>
  <c r="A61" i="145"/>
  <c r="A60" i="145"/>
  <c r="A59" i="145"/>
  <c r="A58" i="145"/>
  <c r="A57" i="145"/>
  <c r="A56" i="145"/>
  <c r="A55" i="145"/>
  <c r="A54" i="145"/>
  <c r="A53" i="145"/>
  <c r="A52" i="145"/>
  <c r="A51" i="145"/>
  <c r="A50" i="145"/>
  <c r="A49" i="145"/>
  <c r="A48" i="145"/>
  <c r="A47" i="145"/>
  <c r="A46" i="145"/>
  <c r="A45" i="145"/>
  <c r="A44" i="145"/>
  <c r="A43" i="145"/>
  <c r="A42" i="145"/>
  <c r="A41" i="145"/>
  <c r="A40" i="145"/>
  <c r="A39" i="145"/>
  <c r="A38" i="145"/>
  <c r="A37" i="145"/>
  <c r="A36" i="145"/>
  <c r="A35" i="145"/>
  <c r="A34" i="145"/>
  <c r="A33" i="145"/>
  <c r="A32" i="145"/>
  <c r="A31" i="145"/>
  <c r="A30" i="145"/>
  <c r="A29" i="145"/>
  <c r="A28" i="145"/>
  <c r="A27" i="145"/>
  <c r="A26" i="145"/>
  <c r="A25" i="145"/>
  <c r="A24" i="145"/>
  <c r="A23" i="145"/>
  <c r="A22" i="145"/>
  <c r="A21" i="145"/>
  <c r="A20" i="145"/>
  <c r="A19" i="145"/>
  <c r="A18" i="145"/>
  <c r="A17" i="145"/>
  <c r="A16" i="145"/>
  <c r="A15" i="145"/>
  <c r="A14" i="145"/>
  <c r="A13" i="145"/>
  <c r="A12" i="145"/>
  <c r="A11" i="145"/>
  <c r="A10" i="145"/>
  <c r="A9" i="145"/>
  <c r="A8" i="145"/>
  <c r="A7" i="145"/>
  <c r="A6" i="145"/>
  <c r="A5" i="145"/>
  <c r="I4" i="145"/>
  <c r="I5" i="145" s="1"/>
  <c r="I6" i="145" s="1"/>
  <c r="I7" i="145" s="1"/>
  <c r="A4" i="145"/>
  <c r="I3" i="145"/>
  <c r="A3" i="145"/>
  <c r="I2" i="145"/>
  <c r="A2" i="145"/>
  <c r="A67" i="144"/>
  <c r="F66" i="144"/>
  <c r="C66" i="144"/>
  <c r="E66" i="144" s="1"/>
  <c r="A66" i="144"/>
  <c r="C65" i="144"/>
  <c r="C64" i="144" s="1"/>
  <c r="A65" i="144"/>
  <c r="A64" i="144"/>
  <c r="A63" i="144"/>
  <c r="A62" i="144"/>
  <c r="A61" i="144"/>
  <c r="A60" i="144"/>
  <c r="A59" i="144"/>
  <c r="A58" i="144"/>
  <c r="A57" i="144"/>
  <c r="A56" i="144"/>
  <c r="A55" i="144"/>
  <c r="A54" i="144"/>
  <c r="A53" i="144"/>
  <c r="A52" i="144"/>
  <c r="A51" i="144"/>
  <c r="A50" i="144"/>
  <c r="A49" i="144"/>
  <c r="A48" i="144"/>
  <c r="A47" i="144"/>
  <c r="A46" i="144"/>
  <c r="A45" i="144"/>
  <c r="A44" i="144"/>
  <c r="A43" i="144"/>
  <c r="A42" i="144"/>
  <c r="A41" i="144"/>
  <c r="A40" i="144"/>
  <c r="A39" i="144"/>
  <c r="A38" i="144"/>
  <c r="A37" i="144"/>
  <c r="A36" i="144"/>
  <c r="A35" i="144"/>
  <c r="A34" i="144"/>
  <c r="A33" i="144"/>
  <c r="A32" i="144"/>
  <c r="A31" i="144"/>
  <c r="A30" i="144"/>
  <c r="A29" i="144"/>
  <c r="A28" i="144"/>
  <c r="A27" i="144"/>
  <c r="A26" i="144"/>
  <c r="A25" i="144"/>
  <c r="A24" i="144"/>
  <c r="A23" i="144"/>
  <c r="A22" i="144"/>
  <c r="A21" i="144"/>
  <c r="A20" i="144"/>
  <c r="A19" i="144"/>
  <c r="A18" i="144"/>
  <c r="A17" i="144"/>
  <c r="A16" i="144"/>
  <c r="A15" i="144"/>
  <c r="A14" i="144"/>
  <c r="A13" i="144"/>
  <c r="A12" i="144"/>
  <c r="A11" i="144"/>
  <c r="A10" i="144"/>
  <c r="A9" i="144"/>
  <c r="A8" i="144"/>
  <c r="A7" i="144"/>
  <c r="A6" i="144"/>
  <c r="A5" i="144"/>
  <c r="A4" i="144"/>
  <c r="I3" i="144"/>
  <c r="A3" i="144"/>
  <c r="I2" i="144"/>
  <c r="A2" i="144"/>
  <c r="A67" i="143"/>
  <c r="F66" i="143"/>
  <c r="C66" i="143"/>
  <c r="A66" i="143"/>
  <c r="A65" i="143"/>
  <c r="A64" i="143"/>
  <c r="A63" i="143"/>
  <c r="A62" i="143"/>
  <c r="A61" i="143"/>
  <c r="A60" i="143"/>
  <c r="A59" i="143"/>
  <c r="A58" i="143"/>
  <c r="A57" i="143"/>
  <c r="A56" i="143"/>
  <c r="A55" i="143"/>
  <c r="A54" i="143"/>
  <c r="A53" i="143"/>
  <c r="A52" i="143"/>
  <c r="A51" i="143"/>
  <c r="A50" i="143"/>
  <c r="A49" i="143"/>
  <c r="A48" i="143"/>
  <c r="A47" i="143"/>
  <c r="A46" i="143"/>
  <c r="A45" i="143"/>
  <c r="A44" i="143"/>
  <c r="A43" i="143"/>
  <c r="A42" i="143"/>
  <c r="A41" i="143"/>
  <c r="A40" i="143"/>
  <c r="A39" i="143"/>
  <c r="A38" i="143"/>
  <c r="A37" i="143"/>
  <c r="A36" i="143"/>
  <c r="A35" i="143"/>
  <c r="A34" i="143"/>
  <c r="A33" i="143"/>
  <c r="A32" i="143"/>
  <c r="A31" i="143"/>
  <c r="A30" i="143"/>
  <c r="A29" i="143"/>
  <c r="A28" i="143"/>
  <c r="A27" i="143"/>
  <c r="A26" i="143"/>
  <c r="A25" i="143"/>
  <c r="A24" i="143"/>
  <c r="A23" i="143"/>
  <c r="A22" i="143"/>
  <c r="A21" i="143"/>
  <c r="A20" i="143"/>
  <c r="A19" i="143"/>
  <c r="A18" i="143"/>
  <c r="A17" i="143"/>
  <c r="A16" i="143"/>
  <c r="A15" i="143"/>
  <c r="A14" i="143"/>
  <c r="A13" i="143"/>
  <c r="A12" i="143"/>
  <c r="A11" i="143"/>
  <c r="A10" i="143"/>
  <c r="A9" i="143"/>
  <c r="A8" i="143"/>
  <c r="A7" i="143"/>
  <c r="A6" i="143"/>
  <c r="A5" i="143"/>
  <c r="A4" i="143"/>
  <c r="A3" i="143"/>
  <c r="I2" i="143"/>
  <c r="A2" i="143"/>
  <c r="A67" i="142"/>
  <c r="F66" i="142"/>
  <c r="E66" i="142"/>
  <c r="C66" i="142"/>
  <c r="A66" i="142"/>
  <c r="C65" i="142"/>
  <c r="E65" i="142" s="1"/>
  <c r="A65" i="142"/>
  <c r="A64" i="142"/>
  <c r="A63" i="142"/>
  <c r="A62" i="142"/>
  <c r="A61" i="142"/>
  <c r="A60" i="142"/>
  <c r="A59" i="142"/>
  <c r="A58" i="142"/>
  <c r="A57" i="142"/>
  <c r="A56" i="142"/>
  <c r="A55" i="142"/>
  <c r="A54" i="142"/>
  <c r="A53" i="142"/>
  <c r="A52" i="142"/>
  <c r="A51" i="142"/>
  <c r="A50" i="142"/>
  <c r="A49" i="142"/>
  <c r="A48" i="142"/>
  <c r="A47" i="142"/>
  <c r="A46" i="142"/>
  <c r="A45" i="142"/>
  <c r="A44" i="142"/>
  <c r="A43" i="142"/>
  <c r="A42" i="142"/>
  <c r="A41" i="142"/>
  <c r="A40" i="142"/>
  <c r="A39" i="142"/>
  <c r="A38" i="142"/>
  <c r="A37" i="142"/>
  <c r="A36" i="142"/>
  <c r="A35" i="142"/>
  <c r="A34" i="142"/>
  <c r="A33" i="142"/>
  <c r="A32" i="142"/>
  <c r="A31" i="142"/>
  <c r="A30" i="142"/>
  <c r="A29" i="142"/>
  <c r="A28" i="142"/>
  <c r="A27" i="142"/>
  <c r="A26" i="142"/>
  <c r="A25" i="142"/>
  <c r="A24" i="142"/>
  <c r="A23" i="142"/>
  <c r="A22" i="142"/>
  <c r="A21" i="142"/>
  <c r="A20" i="142"/>
  <c r="A19" i="142"/>
  <c r="A18" i="142"/>
  <c r="A17" i="142"/>
  <c r="A16" i="142"/>
  <c r="A15" i="142"/>
  <c r="A14" i="142"/>
  <c r="A13" i="142"/>
  <c r="A12" i="142"/>
  <c r="A11" i="142"/>
  <c r="A10" i="142"/>
  <c r="A9" i="142"/>
  <c r="A8" i="142"/>
  <c r="A7" i="142"/>
  <c r="A6" i="142"/>
  <c r="I5" i="142"/>
  <c r="A5" i="142"/>
  <c r="A4" i="142"/>
  <c r="A3" i="142"/>
  <c r="I2" i="142"/>
  <c r="I3" i="142" s="1"/>
  <c r="I4" i="142" s="1"/>
  <c r="A2" i="142"/>
  <c r="A67" i="141"/>
  <c r="F66" i="141"/>
  <c r="E66" i="141"/>
  <c r="C66" i="141"/>
  <c r="C65" i="141" s="1"/>
  <c r="A66" i="141"/>
  <c r="E65" i="141"/>
  <c r="A65" i="141"/>
  <c r="E64" i="141"/>
  <c r="C64" i="141"/>
  <c r="C63" i="141" s="1"/>
  <c r="A64" i="141"/>
  <c r="A63" i="141"/>
  <c r="A62" i="141"/>
  <c r="A61" i="141"/>
  <c r="A60" i="141"/>
  <c r="A59" i="141"/>
  <c r="A58" i="141"/>
  <c r="A57" i="141"/>
  <c r="A56" i="141"/>
  <c r="A55" i="141"/>
  <c r="A54" i="141"/>
  <c r="A53" i="141"/>
  <c r="A52" i="141"/>
  <c r="A51" i="141"/>
  <c r="A50" i="141"/>
  <c r="A49" i="141"/>
  <c r="A48" i="141"/>
  <c r="A47" i="141"/>
  <c r="A46" i="141"/>
  <c r="A45" i="141"/>
  <c r="A44" i="141"/>
  <c r="A43" i="141"/>
  <c r="A42" i="141"/>
  <c r="A41" i="141"/>
  <c r="A40" i="141"/>
  <c r="A39" i="141"/>
  <c r="A38" i="141"/>
  <c r="A37" i="141"/>
  <c r="A36" i="141"/>
  <c r="A35" i="141"/>
  <c r="A34" i="141"/>
  <c r="A33" i="141"/>
  <c r="A32" i="141"/>
  <c r="A31" i="141"/>
  <c r="A30" i="141"/>
  <c r="A29" i="141"/>
  <c r="A28" i="141"/>
  <c r="A27" i="141"/>
  <c r="A26" i="141"/>
  <c r="A25" i="141"/>
  <c r="A24" i="141"/>
  <c r="A23" i="141"/>
  <c r="A22" i="141"/>
  <c r="A21" i="141"/>
  <c r="A20" i="141"/>
  <c r="A19" i="141"/>
  <c r="A18" i="141"/>
  <c r="A17" i="141"/>
  <c r="A16" i="141"/>
  <c r="A15" i="141"/>
  <c r="A14" i="141"/>
  <c r="A13" i="141"/>
  <c r="A12" i="141"/>
  <c r="A11" i="141"/>
  <c r="A10" i="141"/>
  <c r="A9" i="141"/>
  <c r="A8" i="141"/>
  <c r="A7" i="141"/>
  <c r="A6" i="141"/>
  <c r="A5" i="141"/>
  <c r="A4" i="141"/>
  <c r="A3" i="141"/>
  <c r="I2" i="141"/>
  <c r="A2" i="141"/>
  <c r="A67" i="140"/>
  <c r="F66" i="140"/>
  <c r="E66" i="140"/>
  <c r="C66" i="140"/>
  <c r="A66" i="140"/>
  <c r="C65" i="140"/>
  <c r="A65" i="140"/>
  <c r="A64" i="140"/>
  <c r="A63" i="140"/>
  <c r="A62" i="140"/>
  <c r="A61" i="140"/>
  <c r="A60" i="140"/>
  <c r="A59" i="140"/>
  <c r="A58" i="140"/>
  <c r="A57" i="140"/>
  <c r="A56" i="140"/>
  <c r="A55" i="140"/>
  <c r="A54" i="140"/>
  <c r="A53" i="140"/>
  <c r="A52" i="140"/>
  <c r="A51" i="140"/>
  <c r="A50" i="140"/>
  <c r="A49" i="140"/>
  <c r="A48" i="140"/>
  <c r="A47" i="140"/>
  <c r="A46" i="140"/>
  <c r="A45" i="140"/>
  <c r="A44" i="140"/>
  <c r="A43" i="140"/>
  <c r="A42" i="140"/>
  <c r="A41" i="140"/>
  <c r="A40" i="140"/>
  <c r="A39" i="140"/>
  <c r="A38" i="140"/>
  <c r="A37" i="140"/>
  <c r="A36" i="140"/>
  <c r="A35" i="140"/>
  <c r="A34" i="140"/>
  <c r="A33" i="140"/>
  <c r="A32" i="140"/>
  <c r="A31" i="140"/>
  <c r="A30" i="140"/>
  <c r="A29" i="140"/>
  <c r="A28" i="140"/>
  <c r="A27" i="140"/>
  <c r="A26" i="140"/>
  <c r="A25" i="140"/>
  <c r="A24" i="140"/>
  <c r="A23" i="140"/>
  <c r="A22" i="140"/>
  <c r="A21" i="140"/>
  <c r="A20" i="140"/>
  <c r="A19" i="140"/>
  <c r="A18" i="140"/>
  <c r="A17" i="140"/>
  <c r="A16" i="140"/>
  <c r="A15" i="140"/>
  <c r="A14" i="140"/>
  <c r="A13" i="140"/>
  <c r="A12" i="140"/>
  <c r="A11" i="140"/>
  <c r="A10" i="140"/>
  <c r="A9" i="140"/>
  <c r="A8" i="140"/>
  <c r="A7" i="140"/>
  <c r="A6" i="140"/>
  <c r="A5" i="140"/>
  <c r="A4" i="140"/>
  <c r="A3" i="140"/>
  <c r="I2" i="140"/>
  <c r="A2" i="140"/>
  <c r="A67" i="139"/>
  <c r="F66" i="139"/>
  <c r="C66" i="139"/>
  <c r="E66" i="139" s="1"/>
  <c r="A66" i="139"/>
  <c r="E65" i="139"/>
  <c r="C65" i="139"/>
  <c r="C64" i="139" s="1"/>
  <c r="E64" i="139" s="1"/>
  <c r="A65" i="139"/>
  <c r="A64" i="139"/>
  <c r="A63" i="139"/>
  <c r="A62" i="139"/>
  <c r="A61" i="139"/>
  <c r="A60" i="139"/>
  <c r="A59" i="139"/>
  <c r="A58" i="139"/>
  <c r="A57" i="139"/>
  <c r="A56" i="139"/>
  <c r="A55" i="139"/>
  <c r="A54" i="139"/>
  <c r="A53" i="139"/>
  <c r="A52" i="139"/>
  <c r="A51" i="139"/>
  <c r="A50" i="139"/>
  <c r="A49" i="139"/>
  <c r="A48" i="139"/>
  <c r="A47" i="139"/>
  <c r="A46" i="139"/>
  <c r="A45" i="139"/>
  <c r="A44" i="139"/>
  <c r="A43" i="139"/>
  <c r="A42" i="139"/>
  <c r="A41" i="139"/>
  <c r="A40" i="139"/>
  <c r="A39" i="139"/>
  <c r="A38" i="139"/>
  <c r="A37" i="139"/>
  <c r="A36" i="139"/>
  <c r="A35" i="139"/>
  <c r="A34" i="139"/>
  <c r="A33" i="139"/>
  <c r="A32" i="139"/>
  <c r="A31" i="139"/>
  <c r="A30" i="139"/>
  <c r="A29" i="139"/>
  <c r="A28" i="139"/>
  <c r="A27" i="139"/>
  <c r="A26" i="139"/>
  <c r="A25" i="139"/>
  <c r="A24" i="139"/>
  <c r="A23" i="139"/>
  <c r="A22" i="139"/>
  <c r="A21" i="139"/>
  <c r="A20" i="139"/>
  <c r="A19" i="139"/>
  <c r="A18" i="139"/>
  <c r="A17" i="139"/>
  <c r="A16" i="139"/>
  <c r="A15" i="139"/>
  <c r="A14" i="139"/>
  <c r="A13" i="139"/>
  <c r="A12" i="139"/>
  <c r="A11" i="139"/>
  <c r="A10" i="139"/>
  <c r="A9" i="139"/>
  <c r="A8" i="139"/>
  <c r="A7" i="139"/>
  <c r="A6" i="139"/>
  <c r="A5" i="139"/>
  <c r="I4" i="139"/>
  <c r="A4" i="139"/>
  <c r="I3" i="139"/>
  <c r="A3" i="139"/>
  <c r="I2" i="139"/>
  <c r="A2" i="139"/>
  <c r="A67" i="138"/>
  <c r="F66" i="138"/>
  <c r="E66" i="138"/>
  <c r="C66" i="138"/>
  <c r="A66" i="138"/>
  <c r="C65" i="138"/>
  <c r="E65" i="138" s="1"/>
  <c r="A65" i="138"/>
  <c r="C64" i="138"/>
  <c r="E64" i="138" s="1"/>
  <c r="A64" i="138"/>
  <c r="C63" i="138"/>
  <c r="C62" i="138" s="1"/>
  <c r="E62" i="138" s="1"/>
  <c r="A63" i="138"/>
  <c r="A62" i="138"/>
  <c r="C61" i="138"/>
  <c r="A61" i="138"/>
  <c r="A60" i="138"/>
  <c r="A59" i="138"/>
  <c r="A58" i="138"/>
  <c r="A57" i="138"/>
  <c r="A56" i="138"/>
  <c r="A55" i="138"/>
  <c r="A54" i="138"/>
  <c r="A53" i="138"/>
  <c r="A52" i="138"/>
  <c r="A51" i="138"/>
  <c r="A50" i="138"/>
  <c r="A49" i="138"/>
  <c r="A48" i="138"/>
  <c r="A47" i="138"/>
  <c r="A46" i="138"/>
  <c r="A45" i="138"/>
  <c r="A44" i="138"/>
  <c r="A43" i="138"/>
  <c r="A42" i="138"/>
  <c r="A41" i="138"/>
  <c r="A40" i="138"/>
  <c r="A39" i="138"/>
  <c r="A38" i="138"/>
  <c r="A37" i="138"/>
  <c r="A36" i="138"/>
  <c r="A35" i="138"/>
  <c r="A34" i="138"/>
  <c r="A33" i="138"/>
  <c r="A32" i="138"/>
  <c r="A31" i="138"/>
  <c r="A30" i="138"/>
  <c r="A29" i="138"/>
  <c r="A28" i="138"/>
  <c r="A27" i="138"/>
  <c r="A26" i="138"/>
  <c r="A25" i="138"/>
  <c r="A24" i="138"/>
  <c r="A23" i="138"/>
  <c r="A22" i="138"/>
  <c r="A21" i="138"/>
  <c r="A20" i="138"/>
  <c r="A19" i="138"/>
  <c r="A18" i="138"/>
  <c r="A17" i="138"/>
  <c r="A16" i="138"/>
  <c r="A15" i="138"/>
  <c r="A14" i="138"/>
  <c r="A13" i="138"/>
  <c r="A12" i="138"/>
  <c r="A11" i="138"/>
  <c r="A10" i="138"/>
  <c r="A9" i="138"/>
  <c r="A8" i="138"/>
  <c r="A7" i="138"/>
  <c r="A6" i="138"/>
  <c r="A5" i="138"/>
  <c r="A4" i="138"/>
  <c r="I3" i="138"/>
  <c r="A3" i="138"/>
  <c r="I2" i="138"/>
  <c r="A2" i="138"/>
  <c r="A67" i="137"/>
  <c r="F66" i="137"/>
  <c r="E66" i="137"/>
  <c r="C66" i="137"/>
  <c r="A66" i="137"/>
  <c r="E65" i="137"/>
  <c r="C65" i="137"/>
  <c r="C64" i="137" s="1"/>
  <c r="A65" i="137"/>
  <c r="A64" i="137"/>
  <c r="A63" i="137"/>
  <c r="A62" i="137"/>
  <c r="A61" i="137"/>
  <c r="A60" i="137"/>
  <c r="A59" i="137"/>
  <c r="A58" i="137"/>
  <c r="A57" i="137"/>
  <c r="A56" i="137"/>
  <c r="A55" i="137"/>
  <c r="A54" i="137"/>
  <c r="A53" i="137"/>
  <c r="A52" i="137"/>
  <c r="A51" i="137"/>
  <c r="A50" i="137"/>
  <c r="A49" i="137"/>
  <c r="A48" i="137"/>
  <c r="A47" i="137"/>
  <c r="A46" i="137"/>
  <c r="A45" i="137"/>
  <c r="A44" i="137"/>
  <c r="A43" i="137"/>
  <c r="A42" i="137"/>
  <c r="A41" i="137"/>
  <c r="A40" i="137"/>
  <c r="A39" i="137"/>
  <c r="A38" i="137"/>
  <c r="A37" i="137"/>
  <c r="A36" i="137"/>
  <c r="A35" i="137"/>
  <c r="A34" i="137"/>
  <c r="A33" i="137"/>
  <c r="A32" i="137"/>
  <c r="A31" i="137"/>
  <c r="A30" i="137"/>
  <c r="A29" i="137"/>
  <c r="A28" i="137"/>
  <c r="A27" i="137"/>
  <c r="A26" i="137"/>
  <c r="A25" i="137"/>
  <c r="A24" i="137"/>
  <c r="A23" i="137"/>
  <c r="A22" i="137"/>
  <c r="A21" i="137"/>
  <c r="A20" i="137"/>
  <c r="A19" i="137"/>
  <c r="A18" i="137"/>
  <c r="A17" i="137"/>
  <c r="A16" i="137"/>
  <c r="A15" i="137"/>
  <c r="A14" i="137"/>
  <c r="A13" i="137"/>
  <c r="A12" i="137"/>
  <c r="A11" i="137"/>
  <c r="A10" i="137"/>
  <c r="A9" i="137"/>
  <c r="A8" i="137"/>
  <c r="A7" i="137"/>
  <c r="A6" i="137"/>
  <c r="A5" i="137"/>
  <c r="A4" i="137"/>
  <c r="A3" i="137"/>
  <c r="I2" i="137"/>
  <c r="I3" i="137" s="1"/>
  <c r="A2" i="137"/>
  <c r="A67" i="136"/>
  <c r="F66" i="136"/>
  <c r="C66" i="136"/>
  <c r="A66" i="136"/>
  <c r="A65" i="136"/>
  <c r="A64" i="136"/>
  <c r="A63" i="136"/>
  <c r="A62" i="136"/>
  <c r="A61" i="136"/>
  <c r="A60" i="136"/>
  <c r="A59" i="136"/>
  <c r="A58" i="136"/>
  <c r="A57" i="136"/>
  <c r="A56" i="136"/>
  <c r="A55" i="136"/>
  <c r="A54" i="136"/>
  <c r="A53" i="136"/>
  <c r="A52" i="136"/>
  <c r="A51" i="136"/>
  <c r="A50" i="136"/>
  <c r="A49" i="136"/>
  <c r="A48" i="136"/>
  <c r="A47" i="136"/>
  <c r="A46" i="136"/>
  <c r="A45" i="136"/>
  <c r="A44" i="136"/>
  <c r="A43" i="136"/>
  <c r="A42" i="136"/>
  <c r="A41" i="136"/>
  <c r="A40" i="136"/>
  <c r="A39" i="136"/>
  <c r="A38" i="136"/>
  <c r="A37" i="136"/>
  <c r="A36" i="136"/>
  <c r="A35" i="136"/>
  <c r="A34" i="136"/>
  <c r="A33" i="136"/>
  <c r="A32" i="136"/>
  <c r="A31" i="136"/>
  <c r="A30" i="136"/>
  <c r="A29" i="136"/>
  <c r="A28" i="136"/>
  <c r="A27" i="136"/>
  <c r="A26" i="136"/>
  <c r="A25" i="136"/>
  <c r="A24" i="136"/>
  <c r="A23" i="136"/>
  <c r="A22" i="136"/>
  <c r="A21" i="136"/>
  <c r="A20" i="136"/>
  <c r="A19" i="136"/>
  <c r="A18" i="136"/>
  <c r="A17" i="136"/>
  <c r="A16" i="136"/>
  <c r="A15" i="136"/>
  <c r="A14" i="136"/>
  <c r="A13" i="136"/>
  <c r="A12" i="136"/>
  <c r="A11" i="136"/>
  <c r="A10" i="136"/>
  <c r="A9" i="136"/>
  <c r="A8" i="136"/>
  <c r="A7" i="136"/>
  <c r="A6" i="136"/>
  <c r="A5" i="136"/>
  <c r="A4" i="136"/>
  <c r="I3" i="136"/>
  <c r="I4" i="136" s="1"/>
  <c r="I5" i="136" s="1"/>
  <c r="A3" i="136"/>
  <c r="I2" i="136"/>
  <c r="A2" i="136"/>
  <c r="A67" i="135"/>
  <c r="F66" i="135"/>
  <c r="C66" i="135"/>
  <c r="E66" i="135" s="1"/>
  <c r="A66" i="135"/>
  <c r="C65" i="135"/>
  <c r="E65" i="135" s="1"/>
  <c r="A65" i="135"/>
  <c r="C64" i="135"/>
  <c r="A64" i="135"/>
  <c r="A63" i="135"/>
  <c r="A62" i="135"/>
  <c r="A61" i="135"/>
  <c r="A60" i="135"/>
  <c r="A59" i="135"/>
  <c r="A58" i="135"/>
  <c r="A57" i="135"/>
  <c r="A56" i="135"/>
  <c r="A55" i="135"/>
  <c r="A54" i="135"/>
  <c r="A53" i="135"/>
  <c r="A52" i="135"/>
  <c r="A51" i="135"/>
  <c r="A50" i="135"/>
  <c r="A49" i="135"/>
  <c r="A48" i="135"/>
  <c r="A47" i="135"/>
  <c r="A46" i="135"/>
  <c r="A45" i="135"/>
  <c r="A44" i="135"/>
  <c r="A43" i="135"/>
  <c r="A42" i="135"/>
  <c r="A41" i="135"/>
  <c r="A40" i="135"/>
  <c r="A39" i="135"/>
  <c r="A38" i="135"/>
  <c r="A37" i="135"/>
  <c r="A36" i="135"/>
  <c r="A35" i="135"/>
  <c r="A34" i="135"/>
  <c r="A33" i="135"/>
  <c r="A32" i="135"/>
  <c r="A31" i="135"/>
  <c r="A30" i="135"/>
  <c r="A29" i="135"/>
  <c r="A28" i="135"/>
  <c r="A27" i="135"/>
  <c r="A26" i="135"/>
  <c r="A25" i="135"/>
  <c r="A24" i="135"/>
  <c r="A23" i="135"/>
  <c r="A22" i="135"/>
  <c r="A21" i="135"/>
  <c r="A20" i="135"/>
  <c r="A19" i="135"/>
  <c r="A18" i="135"/>
  <c r="A17" i="135"/>
  <c r="A16" i="135"/>
  <c r="A15" i="135"/>
  <c r="A14" i="135"/>
  <c r="A13" i="135"/>
  <c r="A12" i="135"/>
  <c r="A11" i="135"/>
  <c r="A10" i="135"/>
  <c r="A9" i="135"/>
  <c r="A8" i="135"/>
  <c r="A7" i="135"/>
  <c r="A6" i="135"/>
  <c r="A5" i="135"/>
  <c r="I4" i="135"/>
  <c r="I5" i="135" s="1"/>
  <c r="A4" i="135"/>
  <c r="I3" i="135"/>
  <c r="A3" i="135"/>
  <c r="I2" i="135"/>
  <c r="A2" i="135"/>
  <c r="A67" i="134"/>
  <c r="F66" i="134"/>
  <c r="C66" i="134"/>
  <c r="E66" i="134" s="1"/>
  <c r="A66" i="134"/>
  <c r="C65" i="134"/>
  <c r="E65" i="134" s="1"/>
  <c r="A65" i="134"/>
  <c r="A64" i="134"/>
  <c r="A63" i="134"/>
  <c r="A62" i="134"/>
  <c r="A61" i="134"/>
  <c r="A60" i="134"/>
  <c r="A59" i="134"/>
  <c r="A58" i="134"/>
  <c r="A57" i="134"/>
  <c r="A56" i="134"/>
  <c r="A55" i="134"/>
  <c r="A54" i="134"/>
  <c r="A53" i="134"/>
  <c r="A52" i="134"/>
  <c r="A51" i="134"/>
  <c r="A50" i="134"/>
  <c r="A49" i="134"/>
  <c r="A48" i="134"/>
  <c r="A47" i="134"/>
  <c r="A46" i="134"/>
  <c r="A45" i="134"/>
  <c r="A44" i="134"/>
  <c r="A43" i="134"/>
  <c r="A42" i="134"/>
  <c r="A41" i="134"/>
  <c r="A40" i="134"/>
  <c r="A39" i="134"/>
  <c r="A38" i="134"/>
  <c r="A37" i="134"/>
  <c r="A36" i="134"/>
  <c r="A35" i="134"/>
  <c r="A34" i="134"/>
  <c r="A33" i="134"/>
  <c r="A32" i="134"/>
  <c r="A31" i="134"/>
  <c r="A30" i="134"/>
  <c r="A29" i="134"/>
  <c r="A28" i="134"/>
  <c r="A27" i="134"/>
  <c r="A26" i="134"/>
  <c r="A25" i="134"/>
  <c r="A24" i="134"/>
  <c r="A23" i="134"/>
  <c r="A22" i="134"/>
  <c r="A21" i="134"/>
  <c r="A20" i="134"/>
  <c r="A19" i="134"/>
  <c r="A18" i="134"/>
  <c r="A17" i="134"/>
  <c r="A16" i="134"/>
  <c r="A15" i="134"/>
  <c r="A14" i="134"/>
  <c r="A13" i="134"/>
  <c r="A12" i="134"/>
  <c r="A11" i="134"/>
  <c r="A10" i="134"/>
  <c r="A9" i="134"/>
  <c r="A8" i="134"/>
  <c r="A7" i="134"/>
  <c r="I6" i="134"/>
  <c r="I7" i="134" s="1"/>
  <c r="A6" i="134"/>
  <c r="I5" i="134"/>
  <c r="A5" i="134"/>
  <c r="A4" i="134"/>
  <c r="A3" i="134"/>
  <c r="I2" i="134"/>
  <c r="I3" i="134" s="1"/>
  <c r="I4" i="134" s="1"/>
  <c r="A2" i="134"/>
  <c r="A67" i="133"/>
  <c r="F66" i="133"/>
  <c r="C66" i="133"/>
  <c r="C65" i="133" s="1"/>
  <c r="A66" i="133"/>
  <c r="A65" i="133"/>
  <c r="A64" i="133"/>
  <c r="A63" i="133"/>
  <c r="A62" i="133"/>
  <c r="A61" i="133"/>
  <c r="A60" i="133"/>
  <c r="A59" i="133"/>
  <c r="A58" i="133"/>
  <c r="A57" i="133"/>
  <c r="A56" i="133"/>
  <c r="A55" i="133"/>
  <c r="A54" i="133"/>
  <c r="A53" i="133"/>
  <c r="A52" i="133"/>
  <c r="A51" i="133"/>
  <c r="A50" i="133"/>
  <c r="A49" i="133"/>
  <c r="A48" i="133"/>
  <c r="A47" i="133"/>
  <c r="A46" i="133"/>
  <c r="A45" i="133"/>
  <c r="A44" i="133"/>
  <c r="A43" i="133"/>
  <c r="A42" i="133"/>
  <c r="A41" i="133"/>
  <c r="A40" i="133"/>
  <c r="A39" i="133"/>
  <c r="A38" i="133"/>
  <c r="A37" i="133"/>
  <c r="A36" i="133"/>
  <c r="A35" i="133"/>
  <c r="A34" i="133"/>
  <c r="A33" i="133"/>
  <c r="A32" i="133"/>
  <c r="A31" i="133"/>
  <c r="A30" i="133"/>
  <c r="A29" i="133"/>
  <c r="A28" i="133"/>
  <c r="A27" i="133"/>
  <c r="A26" i="133"/>
  <c r="A25" i="133"/>
  <c r="A24" i="133"/>
  <c r="A23" i="133"/>
  <c r="A22" i="133"/>
  <c r="A21" i="133"/>
  <c r="A20" i="133"/>
  <c r="A19" i="133"/>
  <c r="A18" i="133"/>
  <c r="A17" i="133"/>
  <c r="A16" i="133"/>
  <c r="A15" i="133"/>
  <c r="A14" i="133"/>
  <c r="A13" i="133"/>
  <c r="A12" i="133"/>
  <c r="A11" i="133"/>
  <c r="A10" i="133"/>
  <c r="A9" i="133"/>
  <c r="A8" i="133"/>
  <c r="I7" i="133"/>
  <c r="A7" i="133"/>
  <c r="A6" i="133"/>
  <c r="I5" i="133"/>
  <c r="I6" i="133" s="1"/>
  <c r="A5" i="133"/>
  <c r="I4" i="133"/>
  <c r="A4" i="133"/>
  <c r="I3" i="133"/>
  <c r="A3" i="133"/>
  <c r="I2" i="133"/>
  <c r="A2" i="133"/>
  <c r="A67" i="132"/>
  <c r="F66" i="132"/>
  <c r="E66" i="132"/>
  <c r="C66" i="132"/>
  <c r="A66" i="132"/>
  <c r="C65" i="132"/>
  <c r="A65" i="132"/>
  <c r="A64" i="132"/>
  <c r="A63" i="132"/>
  <c r="A62" i="132"/>
  <c r="A61" i="132"/>
  <c r="A60" i="132"/>
  <c r="A59" i="132"/>
  <c r="A58" i="132"/>
  <c r="A57" i="132"/>
  <c r="A56" i="132"/>
  <c r="A55" i="132"/>
  <c r="A54" i="132"/>
  <c r="A53" i="132"/>
  <c r="A52" i="132"/>
  <c r="A51" i="132"/>
  <c r="A50" i="132"/>
  <c r="A49" i="132"/>
  <c r="A48" i="132"/>
  <c r="A47" i="132"/>
  <c r="A46" i="132"/>
  <c r="A45" i="132"/>
  <c r="A44" i="132"/>
  <c r="A43" i="132"/>
  <c r="A42" i="132"/>
  <c r="A41" i="132"/>
  <c r="A40" i="132"/>
  <c r="A39" i="132"/>
  <c r="A38" i="132"/>
  <c r="A37" i="132"/>
  <c r="A36" i="132"/>
  <c r="A35" i="132"/>
  <c r="A34" i="132"/>
  <c r="A33" i="132"/>
  <c r="A32" i="132"/>
  <c r="A31" i="132"/>
  <c r="A30" i="132"/>
  <c r="A29" i="132"/>
  <c r="A28" i="132"/>
  <c r="A27" i="132"/>
  <c r="A26" i="132"/>
  <c r="A25" i="132"/>
  <c r="A24" i="132"/>
  <c r="A23" i="132"/>
  <c r="A22" i="132"/>
  <c r="A21" i="132"/>
  <c r="A20" i="132"/>
  <c r="A19" i="132"/>
  <c r="A18" i="132"/>
  <c r="A17" i="132"/>
  <c r="A16" i="132"/>
  <c r="A15" i="132"/>
  <c r="A14" i="132"/>
  <c r="A13" i="132"/>
  <c r="A12" i="132"/>
  <c r="A11" i="132"/>
  <c r="A10" i="132"/>
  <c r="A9" i="132"/>
  <c r="A8" i="132"/>
  <c r="A7" i="132"/>
  <c r="A6" i="132"/>
  <c r="A5" i="132"/>
  <c r="A4" i="132"/>
  <c r="I3" i="132"/>
  <c r="I4" i="132" s="1"/>
  <c r="I5" i="132" s="1"/>
  <c r="A3" i="132"/>
  <c r="I2" i="132"/>
  <c r="A2" i="132"/>
  <c r="A67" i="131"/>
  <c r="F66" i="131"/>
  <c r="E66" i="131"/>
  <c r="C66" i="131"/>
  <c r="C65" i="131" s="1"/>
  <c r="E65" i="131" s="1"/>
  <c r="A66" i="131"/>
  <c r="A65" i="131"/>
  <c r="C64" i="131"/>
  <c r="C63" i="131" s="1"/>
  <c r="C62" i="131" s="1"/>
  <c r="A64" i="131"/>
  <c r="E63" i="131"/>
  <c r="A63" i="131"/>
  <c r="A62" i="131"/>
  <c r="A61" i="131"/>
  <c r="A60" i="131"/>
  <c r="A59" i="131"/>
  <c r="A58" i="131"/>
  <c r="A57" i="131"/>
  <c r="A56" i="131"/>
  <c r="A55" i="131"/>
  <c r="A54" i="131"/>
  <c r="A53" i="131"/>
  <c r="A52" i="131"/>
  <c r="A51" i="131"/>
  <c r="A50" i="131"/>
  <c r="A49" i="131"/>
  <c r="A48" i="131"/>
  <c r="A47" i="131"/>
  <c r="A46" i="131"/>
  <c r="A45" i="131"/>
  <c r="A44" i="131"/>
  <c r="A43" i="131"/>
  <c r="A42" i="131"/>
  <c r="A41" i="131"/>
  <c r="A40" i="131"/>
  <c r="A39" i="131"/>
  <c r="A38" i="131"/>
  <c r="A37" i="131"/>
  <c r="A36" i="131"/>
  <c r="A35" i="131"/>
  <c r="A34" i="131"/>
  <c r="A33" i="131"/>
  <c r="A32" i="131"/>
  <c r="A31" i="131"/>
  <c r="A30" i="131"/>
  <c r="A29" i="131"/>
  <c r="A28" i="131"/>
  <c r="A27" i="131"/>
  <c r="A26" i="131"/>
  <c r="A25" i="131"/>
  <c r="A24" i="131"/>
  <c r="A23" i="131"/>
  <c r="A22" i="131"/>
  <c r="A21" i="131"/>
  <c r="A20" i="131"/>
  <c r="A19" i="131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I3" i="131"/>
  <c r="A3" i="131"/>
  <c r="I2" i="131"/>
  <c r="A2" i="131"/>
  <c r="A67" i="130"/>
  <c r="F66" i="130"/>
  <c r="C66" i="130"/>
  <c r="E66" i="130" s="1"/>
  <c r="A66" i="130"/>
  <c r="C65" i="130"/>
  <c r="C64" i="130" s="1"/>
  <c r="A65" i="130"/>
  <c r="A64" i="130"/>
  <c r="A63" i="130"/>
  <c r="A62" i="130"/>
  <c r="A61" i="130"/>
  <c r="A60" i="130"/>
  <c r="A59" i="130"/>
  <c r="A58" i="130"/>
  <c r="A57" i="130"/>
  <c r="A56" i="130"/>
  <c r="A55" i="130"/>
  <c r="A54" i="130"/>
  <c r="A53" i="130"/>
  <c r="A52" i="130"/>
  <c r="A51" i="130"/>
  <c r="A50" i="130"/>
  <c r="A49" i="130"/>
  <c r="A48" i="130"/>
  <c r="A47" i="130"/>
  <c r="A46" i="130"/>
  <c r="A45" i="130"/>
  <c r="A44" i="130"/>
  <c r="A43" i="130"/>
  <c r="A42" i="130"/>
  <c r="A41" i="130"/>
  <c r="A40" i="130"/>
  <c r="A39" i="130"/>
  <c r="A38" i="130"/>
  <c r="A37" i="130"/>
  <c r="A36" i="130"/>
  <c r="A35" i="130"/>
  <c r="A34" i="130"/>
  <c r="A33" i="130"/>
  <c r="A32" i="130"/>
  <c r="A31" i="130"/>
  <c r="A30" i="130"/>
  <c r="A29" i="130"/>
  <c r="A28" i="130"/>
  <c r="A27" i="130"/>
  <c r="A26" i="130"/>
  <c r="A25" i="130"/>
  <c r="A24" i="130"/>
  <c r="A23" i="130"/>
  <c r="A22" i="130"/>
  <c r="A21" i="130"/>
  <c r="A20" i="130"/>
  <c r="A19" i="130"/>
  <c r="A18" i="130"/>
  <c r="A17" i="130"/>
  <c r="A16" i="130"/>
  <c r="A15" i="130"/>
  <c r="A14" i="130"/>
  <c r="A13" i="130"/>
  <c r="A12" i="130"/>
  <c r="A11" i="130"/>
  <c r="A10" i="130"/>
  <c r="A9" i="130"/>
  <c r="A8" i="130"/>
  <c r="A7" i="130"/>
  <c r="A6" i="130"/>
  <c r="A5" i="130"/>
  <c r="A4" i="130"/>
  <c r="A3" i="130"/>
  <c r="I2" i="130"/>
  <c r="A2" i="130"/>
  <c r="A67" i="129"/>
  <c r="F66" i="129"/>
  <c r="E66" i="129"/>
  <c r="C66" i="129"/>
  <c r="A66" i="129"/>
  <c r="C65" i="129"/>
  <c r="E65" i="129" s="1"/>
  <c r="A65" i="129"/>
  <c r="C64" i="129"/>
  <c r="A64" i="129"/>
  <c r="A63" i="129"/>
  <c r="A62" i="129"/>
  <c r="A61" i="129"/>
  <c r="A60" i="129"/>
  <c r="A59" i="129"/>
  <c r="A58" i="129"/>
  <c r="A57" i="129"/>
  <c r="A56" i="129"/>
  <c r="A55" i="129"/>
  <c r="A54" i="129"/>
  <c r="A53" i="129"/>
  <c r="A52" i="129"/>
  <c r="A51" i="129"/>
  <c r="A50" i="129"/>
  <c r="A49" i="129"/>
  <c r="A48" i="129"/>
  <c r="A47" i="129"/>
  <c r="A46" i="129"/>
  <c r="A45" i="129"/>
  <c r="A44" i="129"/>
  <c r="A43" i="129"/>
  <c r="A42" i="129"/>
  <c r="A41" i="129"/>
  <c r="A40" i="129"/>
  <c r="A39" i="129"/>
  <c r="A38" i="129"/>
  <c r="A37" i="129"/>
  <c r="A36" i="129"/>
  <c r="A35" i="129"/>
  <c r="A34" i="129"/>
  <c r="A33" i="129"/>
  <c r="A32" i="129"/>
  <c r="A31" i="129"/>
  <c r="A30" i="129"/>
  <c r="A29" i="129"/>
  <c r="A28" i="129"/>
  <c r="A27" i="129"/>
  <c r="A26" i="129"/>
  <c r="A25" i="129"/>
  <c r="A24" i="129"/>
  <c r="A23" i="129"/>
  <c r="A22" i="129"/>
  <c r="A21" i="129"/>
  <c r="A20" i="129"/>
  <c r="A19" i="129"/>
  <c r="A18" i="129"/>
  <c r="A17" i="129"/>
  <c r="A16" i="129"/>
  <c r="A15" i="129"/>
  <c r="A14" i="129"/>
  <c r="A13" i="129"/>
  <c r="A12" i="129"/>
  <c r="A11" i="129"/>
  <c r="A10" i="129"/>
  <c r="A9" i="129"/>
  <c r="A8" i="129"/>
  <c r="A7" i="129"/>
  <c r="A6" i="129"/>
  <c r="A5" i="129"/>
  <c r="A4" i="129"/>
  <c r="I3" i="129"/>
  <c r="I4" i="129" s="1"/>
  <c r="A3" i="129"/>
  <c r="I2" i="129"/>
  <c r="A2" i="129"/>
  <c r="A67" i="128"/>
  <c r="F66" i="128"/>
  <c r="E66" i="128"/>
  <c r="C66" i="128"/>
  <c r="A66" i="128"/>
  <c r="C65" i="128"/>
  <c r="C64" i="128" s="1"/>
  <c r="A65" i="128"/>
  <c r="A64" i="128"/>
  <c r="A63" i="128"/>
  <c r="A62" i="128"/>
  <c r="A61" i="128"/>
  <c r="A60" i="128"/>
  <c r="A59" i="128"/>
  <c r="A58" i="128"/>
  <c r="A57" i="128"/>
  <c r="A56" i="128"/>
  <c r="A55" i="128"/>
  <c r="A54" i="128"/>
  <c r="A53" i="128"/>
  <c r="A52" i="128"/>
  <c r="A51" i="128"/>
  <c r="A50" i="128"/>
  <c r="A49" i="128"/>
  <c r="A48" i="128"/>
  <c r="A47" i="128"/>
  <c r="A46" i="128"/>
  <c r="A45" i="128"/>
  <c r="A44" i="128"/>
  <c r="A43" i="128"/>
  <c r="A42" i="128"/>
  <c r="A41" i="128"/>
  <c r="A40" i="128"/>
  <c r="A39" i="128"/>
  <c r="A38" i="128"/>
  <c r="A37" i="128"/>
  <c r="A36" i="128"/>
  <c r="A35" i="128"/>
  <c r="A34" i="128"/>
  <c r="A33" i="128"/>
  <c r="A32" i="128"/>
  <c r="A31" i="128"/>
  <c r="A30" i="128"/>
  <c r="A29" i="128"/>
  <c r="A28" i="128"/>
  <c r="A27" i="128"/>
  <c r="A26" i="128"/>
  <c r="A25" i="128"/>
  <c r="A24" i="128"/>
  <c r="A23" i="128"/>
  <c r="A22" i="128"/>
  <c r="A21" i="128"/>
  <c r="A20" i="128"/>
  <c r="A19" i="128"/>
  <c r="A18" i="128"/>
  <c r="A17" i="128"/>
  <c r="A16" i="128"/>
  <c r="A15" i="128"/>
  <c r="A14" i="128"/>
  <c r="A13" i="128"/>
  <c r="A12" i="128"/>
  <c r="A11" i="128"/>
  <c r="A10" i="128"/>
  <c r="A9" i="128"/>
  <c r="A8" i="128"/>
  <c r="A7" i="128"/>
  <c r="A6" i="128"/>
  <c r="A5" i="128"/>
  <c r="I4" i="128"/>
  <c r="I5" i="128" s="1"/>
  <c r="A4" i="128"/>
  <c r="I3" i="128"/>
  <c r="A3" i="128"/>
  <c r="I2" i="128"/>
  <c r="A2" i="128"/>
  <c r="A67" i="127"/>
  <c r="F66" i="127"/>
  <c r="E66" i="127"/>
  <c r="C66" i="127"/>
  <c r="A66" i="127"/>
  <c r="E65" i="127"/>
  <c r="C65" i="127"/>
  <c r="C64" i="127" s="1"/>
  <c r="E64" i="127" s="1"/>
  <c r="A65" i="127"/>
  <c r="A64" i="127"/>
  <c r="C63" i="127"/>
  <c r="A63" i="127"/>
  <c r="A62" i="127"/>
  <c r="A61" i="127"/>
  <c r="A60" i="127"/>
  <c r="A59" i="127"/>
  <c r="A58" i="127"/>
  <c r="A57" i="127"/>
  <c r="A56" i="127"/>
  <c r="A55" i="127"/>
  <c r="A54" i="127"/>
  <c r="A53" i="127"/>
  <c r="A52" i="127"/>
  <c r="A51" i="127"/>
  <c r="A50" i="127"/>
  <c r="A49" i="127"/>
  <c r="A48" i="127"/>
  <c r="A47" i="127"/>
  <c r="A46" i="127"/>
  <c r="A45" i="127"/>
  <c r="A44" i="127"/>
  <c r="A43" i="127"/>
  <c r="A42" i="127"/>
  <c r="A41" i="127"/>
  <c r="A40" i="127"/>
  <c r="A39" i="127"/>
  <c r="A38" i="127"/>
  <c r="A37" i="127"/>
  <c r="A36" i="127"/>
  <c r="A35" i="127"/>
  <c r="A34" i="127"/>
  <c r="A33" i="127"/>
  <c r="A32" i="127"/>
  <c r="A31" i="127"/>
  <c r="A30" i="127"/>
  <c r="A29" i="127"/>
  <c r="A28" i="127"/>
  <c r="A27" i="127"/>
  <c r="A26" i="127"/>
  <c r="A25" i="127"/>
  <c r="A24" i="127"/>
  <c r="A23" i="127"/>
  <c r="A22" i="127"/>
  <c r="A21" i="127"/>
  <c r="A20" i="127"/>
  <c r="A19" i="127"/>
  <c r="A18" i="127"/>
  <c r="A17" i="127"/>
  <c r="A16" i="127"/>
  <c r="A15" i="127"/>
  <c r="A14" i="127"/>
  <c r="A13" i="127"/>
  <c r="A12" i="127"/>
  <c r="A11" i="127"/>
  <c r="A10" i="127"/>
  <c r="A9" i="127"/>
  <c r="A8" i="127"/>
  <c r="A7" i="127"/>
  <c r="A6" i="127"/>
  <c r="A5" i="127"/>
  <c r="A4" i="127"/>
  <c r="I3" i="127"/>
  <c r="I4" i="127" s="1"/>
  <c r="I5" i="127" s="1"/>
  <c r="A3" i="127"/>
  <c r="I2" i="127"/>
  <c r="A2" i="127"/>
  <c r="A67" i="126"/>
  <c r="F66" i="126"/>
  <c r="E66" i="126"/>
  <c r="C66" i="126"/>
  <c r="A66" i="126"/>
  <c r="C65" i="126"/>
  <c r="E65" i="126" s="1"/>
  <c r="A65" i="126"/>
  <c r="C64" i="126"/>
  <c r="A64" i="126"/>
  <c r="A63" i="126"/>
  <c r="A62" i="126"/>
  <c r="A61" i="126"/>
  <c r="A60" i="126"/>
  <c r="A59" i="126"/>
  <c r="A58" i="126"/>
  <c r="A57" i="126"/>
  <c r="A56" i="126"/>
  <c r="A55" i="126"/>
  <c r="A54" i="126"/>
  <c r="A53" i="126"/>
  <c r="A52" i="126"/>
  <c r="A51" i="126"/>
  <c r="A50" i="126"/>
  <c r="A49" i="126"/>
  <c r="A48" i="126"/>
  <c r="A47" i="126"/>
  <c r="A46" i="126"/>
  <c r="A45" i="126"/>
  <c r="A44" i="126"/>
  <c r="A43" i="126"/>
  <c r="A42" i="126"/>
  <c r="A41" i="126"/>
  <c r="A40" i="126"/>
  <c r="A39" i="126"/>
  <c r="A38" i="126"/>
  <c r="A37" i="126"/>
  <c r="A36" i="126"/>
  <c r="A35" i="126"/>
  <c r="A34" i="126"/>
  <c r="A33" i="126"/>
  <c r="A32" i="126"/>
  <c r="A31" i="126"/>
  <c r="A30" i="126"/>
  <c r="A29" i="126"/>
  <c r="A28" i="126"/>
  <c r="A27" i="126"/>
  <c r="A26" i="126"/>
  <c r="A25" i="126"/>
  <c r="A24" i="126"/>
  <c r="A23" i="126"/>
  <c r="A22" i="126"/>
  <c r="A21" i="126"/>
  <c r="A20" i="126"/>
  <c r="A19" i="126"/>
  <c r="A18" i="126"/>
  <c r="A17" i="126"/>
  <c r="A16" i="126"/>
  <c r="A15" i="126"/>
  <c r="A14" i="126"/>
  <c r="A13" i="126"/>
  <c r="A12" i="126"/>
  <c r="A11" i="126"/>
  <c r="A10" i="126"/>
  <c r="A9" i="126"/>
  <c r="A8" i="126"/>
  <c r="A7" i="126"/>
  <c r="A6" i="126"/>
  <c r="A5" i="126"/>
  <c r="A4" i="126"/>
  <c r="I3" i="126"/>
  <c r="A3" i="126"/>
  <c r="I2" i="126"/>
  <c r="A2" i="126"/>
  <c r="A67" i="125"/>
  <c r="F66" i="125"/>
  <c r="E66" i="125"/>
  <c r="C66" i="125"/>
  <c r="C65" i="125" s="1"/>
  <c r="A66" i="125"/>
  <c r="A65" i="125"/>
  <c r="A64" i="125"/>
  <c r="A63" i="125"/>
  <c r="A62" i="125"/>
  <c r="A61" i="125"/>
  <c r="A60" i="125"/>
  <c r="A59" i="125"/>
  <c r="A58" i="125"/>
  <c r="A57" i="125"/>
  <c r="A56" i="125"/>
  <c r="A55" i="125"/>
  <c r="A54" i="125"/>
  <c r="A53" i="125"/>
  <c r="A52" i="125"/>
  <c r="A51" i="125"/>
  <c r="A50" i="125"/>
  <c r="A49" i="125"/>
  <c r="A48" i="125"/>
  <c r="A47" i="125"/>
  <c r="A46" i="125"/>
  <c r="A45" i="125"/>
  <c r="A44" i="125"/>
  <c r="A43" i="125"/>
  <c r="A42" i="125"/>
  <c r="A41" i="125"/>
  <c r="A40" i="125"/>
  <c r="A39" i="125"/>
  <c r="A38" i="125"/>
  <c r="A37" i="125"/>
  <c r="A36" i="125"/>
  <c r="A35" i="125"/>
  <c r="A34" i="125"/>
  <c r="A33" i="125"/>
  <c r="A32" i="125"/>
  <c r="A31" i="125"/>
  <c r="A30" i="125"/>
  <c r="A29" i="125"/>
  <c r="A28" i="125"/>
  <c r="A27" i="125"/>
  <c r="A26" i="125"/>
  <c r="A25" i="125"/>
  <c r="A24" i="125"/>
  <c r="A23" i="125"/>
  <c r="A22" i="125"/>
  <c r="A21" i="125"/>
  <c r="A20" i="125"/>
  <c r="A19" i="125"/>
  <c r="A18" i="125"/>
  <c r="A17" i="125"/>
  <c r="A16" i="125"/>
  <c r="A15" i="125"/>
  <c r="A14" i="125"/>
  <c r="A13" i="125"/>
  <c r="A12" i="125"/>
  <c r="A11" i="125"/>
  <c r="A10" i="125"/>
  <c r="A9" i="125"/>
  <c r="A8" i="125"/>
  <c r="A7" i="125"/>
  <c r="A6" i="125"/>
  <c r="A5" i="125"/>
  <c r="A4" i="125"/>
  <c r="A3" i="125"/>
  <c r="I2" i="125"/>
  <c r="A2" i="125"/>
  <c r="A67" i="124"/>
  <c r="F66" i="124"/>
  <c r="E66" i="124"/>
  <c r="C66" i="124"/>
  <c r="A66" i="124"/>
  <c r="E65" i="124"/>
  <c r="C65" i="124"/>
  <c r="C64" i="124" s="1"/>
  <c r="E64" i="124" s="1"/>
  <c r="A65" i="124"/>
  <c r="A64" i="124"/>
  <c r="C63" i="124"/>
  <c r="A63" i="124"/>
  <c r="A62" i="124"/>
  <c r="A61" i="124"/>
  <c r="A60" i="124"/>
  <c r="A59" i="124"/>
  <c r="A58" i="124"/>
  <c r="A57" i="124"/>
  <c r="A56" i="124"/>
  <c r="A55" i="124"/>
  <c r="A54" i="124"/>
  <c r="A53" i="124"/>
  <c r="A52" i="124"/>
  <c r="A51" i="124"/>
  <c r="A50" i="124"/>
  <c r="A49" i="124"/>
  <c r="A48" i="124"/>
  <c r="A47" i="124"/>
  <c r="A46" i="124"/>
  <c r="A45" i="124"/>
  <c r="A44" i="124"/>
  <c r="A43" i="124"/>
  <c r="A42" i="124"/>
  <c r="A41" i="124"/>
  <c r="A40" i="124"/>
  <c r="A39" i="124"/>
  <c r="A38" i="124"/>
  <c r="A37" i="124"/>
  <c r="A36" i="124"/>
  <c r="A35" i="124"/>
  <c r="A34" i="124"/>
  <c r="A33" i="124"/>
  <c r="A32" i="124"/>
  <c r="A31" i="124"/>
  <c r="A30" i="124"/>
  <c r="A29" i="124"/>
  <c r="A28" i="124"/>
  <c r="A27" i="124"/>
  <c r="A26" i="124"/>
  <c r="A25" i="124"/>
  <c r="A24" i="124"/>
  <c r="A23" i="124"/>
  <c r="A22" i="124"/>
  <c r="A21" i="124"/>
  <c r="A20" i="124"/>
  <c r="A19" i="124"/>
  <c r="A18" i="124"/>
  <c r="A17" i="124"/>
  <c r="A16" i="124"/>
  <c r="A15" i="124"/>
  <c r="A14" i="124"/>
  <c r="A13" i="124"/>
  <c r="A12" i="124"/>
  <c r="A11" i="124"/>
  <c r="A10" i="124"/>
  <c r="A9" i="124"/>
  <c r="A8" i="124"/>
  <c r="A7" i="124"/>
  <c r="A6" i="124"/>
  <c r="A5" i="124"/>
  <c r="A4" i="124"/>
  <c r="A3" i="124"/>
  <c r="I2" i="124"/>
  <c r="I3" i="124" s="1"/>
  <c r="I4" i="124" s="1"/>
  <c r="A2" i="124"/>
  <c r="A67" i="123"/>
  <c r="F66" i="123"/>
  <c r="E66" i="123"/>
  <c r="C66" i="123"/>
  <c r="C65" i="123" s="1"/>
  <c r="C64" i="123" s="1"/>
  <c r="E64" i="123" s="1"/>
  <c r="A66" i="123"/>
  <c r="E65" i="123"/>
  <c r="A65" i="123"/>
  <c r="A64" i="123"/>
  <c r="C63" i="123"/>
  <c r="A63" i="123"/>
  <c r="A62" i="123"/>
  <c r="A61" i="123"/>
  <c r="A60" i="123"/>
  <c r="A59" i="123"/>
  <c r="A58" i="123"/>
  <c r="A57" i="123"/>
  <c r="A56" i="123"/>
  <c r="A55" i="123"/>
  <c r="A54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A39" i="123"/>
  <c r="A38" i="123"/>
  <c r="A37" i="123"/>
  <c r="A36" i="123"/>
  <c r="A35" i="123"/>
  <c r="A34" i="123"/>
  <c r="A33" i="123"/>
  <c r="A32" i="123"/>
  <c r="A31" i="123"/>
  <c r="A30" i="123"/>
  <c r="A29" i="123"/>
  <c r="A28" i="123"/>
  <c r="A27" i="123"/>
  <c r="A26" i="123"/>
  <c r="A25" i="123"/>
  <c r="A24" i="123"/>
  <c r="A23" i="123"/>
  <c r="A22" i="123"/>
  <c r="A21" i="123"/>
  <c r="A20" i="123"/>
  <c r="A19" i="123"/>
  <c r="A18" i="123"/>
  <c r="A17" i="123"/>
  <c r="A16" i="123"/>
  <c r="A15" i="123"/>
  <c r="A14" i="123"/>
  <c r="A13" i="123"/>
  <c r="A12" i="123"/>
  <c r="A11" i="123"/>
  <c r="A10" i="123"/>
  <c r="A9" i="123"/>
  <c r="A8" i="123"/>
  <c r="A7" i="123"/>
  <c r="A6" i="123"/>
  <c r="A5" i="123"/>
  <c r="A4" i="123"/>
  <c r="I3" i="123"/>
  <c r="A3" i="123"/>
  <c r="I2" i="123"/>
  <c r="A2" i="123"/>
  <c r="A67" i="122"/>
  <c r="F66" i="122"/>
  <c r="C66" i="122"/>
  <c r="E66" i="122" s="1"/>
  <c r="A66" i="122"/>
  <c r="C65" i="122"/>
  <c r="E65" i="122" s="1"/>
  <c r="A65" i="122"/>
  <c r="A64" i="122"/>
  <c r="A63" i="122"/>
  <c r="A62" i="122"/>
  <c r="A61" i="122"/>
  <c r="A60" i="122"/>
  <c r="A59" i="122"/>
  <c r="A58" i="122"/>
  <c r="A57" i="122"/>
  <c r="A56" i="122"/>
  <c r="A55" i="122"/>
  <c r="A54" i="122"/>
  <c r="A53" i="122"/>
  <c r="A52" i="122"/>
  <c r="A51" i="122"/>
  <c r="A50" i="122"/>
  <c r="A49" i="122"/>
  <c r="A48" i="122"/>
  <c r="A47" i="122"/>
  <c r="A46" i="122"/>
  <c r="A45" i="122"/>
  <c r="A44" i="122"/>
  <c r="A43" i="122"/>
  <c r="A42" i="122"/>
  <c r="A41" i="122"/>
  <c r="A40" i="122"/>
  <c r="A39" i="122"/>
  <c r="A38" i="122"/>
  <c r="A37" i="122"/>
  <c r="A36" i="122"/>
  <c r="A35" i="122"/>
  <c r="A34" i="122"/>
  <c r="A33" i="122"/>
  <c r="A32" i="122"/>
  <c r="A31" i="122"/>
  <c r="A30" i="122"/>
  <c r="A29" i="122"/>
  <c r="A28" i="122"/>
  <c r="A27" i="122"/>
  <c r="A26" i="122"/>
  <c r="A25" i="122"/>
  <c r="A24" i="122"/>
  <c r="A23" i="122"/>
  <c r="A22" i="122"/>
  <c r="A21" i="122"/>
  <c r="A20" i="122"/>
  <c r="A19" i="122"/>
  <c r="A18" i="122"/>
  <c r="A17" i="122"/>
  <c r="A16" i="122"/>
  <c r="A15" i="122"/>
  <c r="A14" i="122"/>
  <c r="A13" i="122"/>
  <c r="A12" i="122"/>
  <c r="A11" i="122"/>
  <c r="A10" i="122"/>
  <c r="A9" i="122"/>
  <c r="A8" i="122"/>
  <c r="A7" i="122"/>
  <c r="A6" i="122"/>
  <c r="A5" i="122"/>
  <c r="I4" i="122"/>
  <c r="I5" i="122" s="1"/>
  <c r="A4" i="122"/>
  <c r="I3" i="122"/>
  <c r="A3" i="122"/>
  <c r="I2" i="122"/>
  <c r="A2" i="122"/>
  <c r="A67" i="121"/>
  <c r="F66" i="121"/>
  <c r="C66" i="121"/>
  <c r="E66" i="121" s="1"/>
  <c r="A66" i="121"/>
  <c r="A65" i="121"/>
  <c r="A64" i="121"/>
  <c r="A63" i="121"/>
  <c r="A62" i="121"/>
  <c r="A61" i="121"/>
  <c r="A60" i="121"/>
  <c r="A59" i="121"/>
  <c r="A58" i="121"/>
  <c r="A57" i="121"/>
  <c r="A56" i="121"/>
  <c r="A55" i="121"/>
  <c r="A54" i="121"/>
  <c r="A53" i="121"/>
  <c r="A52" i="121"/>
  <c r="A51" i="121"/>
  <c r="A50" i="121"/>
  <c r="A49" i="121"/>
  <c r="A48" i="121"/>
  <c r="A47" i="121"/>
  <c r="A46" i="121"/>
  <c r="A45" i="121"/>
  <c r="A44" i="121"/>
  <c r="A43" i="121"/>
  <c r="A42" i="121"/>
  <c r="A41" i="121"/>
  <c r="A40" i="121"/>
  <c r="A39" i="121"/>
  <c r="A38" i="121"/>
  <c r="A37" i="121"/>
  <c r="A36" i="121"/>
  <c r="A35" i="121"/>
  <c r="A34" i="121"/>
  <c r="A33" i="121"/>
  <c r="A32" i="121"/>
  <c r="A31" i="121"/>
  <c r="A30" i="121"/>
  <c r="A29" i="121"/>
  <c r="A28" i="121"/>
  <c r="A27" i="121"/>
  <c r="A26" i="121"/>
  <c r="A25" i="121"/>
  <c r="A24" i="121"/>
  <c r="A23" i="121"/>
  <c r="A22" i="121"/>
  <c r="A21" i="121"/>
  <c r="A20" i="121"/>
  <c r="A19" i="121"/>
  <c r="A18" i="121"/>
  <c r="A17" i="121"/>
  <c r="A16" i="121"/>
  <c r="A15" i="121"/>
  <c r="A14" i="121"/>
  <c r="A13" i="121"/>
  <c r="A12" i="121"/>
  <c r="A11" i="121"/>
  <c r="A10" i="121"/>
  <c r="A9" i="121"/>
  <c r="A8" i="121"/>
  <c r="A7" i="121"/>
  <c r="A6" i="121"/>
  <c r="A5" i="121"/>
  <c r="A4" i="121"/>
  <c r="I3" i="121"/>
  <c r="A3" i="121"/>
  <c r="I2" i="121"/>
  <c r="A2" i="121"/>
  <c r="A67" i="120"/>
  <c r="F66" i="120"/>
  <c r="E66" i="120"/>
  <c r="C66" i="120"/>
  <c r="C65" i="120" s="1"/>
  <c r="A66" i="120"/>
  <c r="E65" i="120"/>
  <c r="A65" i="120"/>
  <c r="C64" i="120"/>
  <c r="E64" i="120" s="1"/>
  <c r="A64" i="120"/>
  <c r="C63" i="120"/>
  <c r="A63" i="120"/>
  <c r="A62" i="120"/>
  <c r="A61" i="120"/>
  <c r="A60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A46" i="120"/>
  <c r="A45" i="120"/>
  <c r="A44" i="120"/>
  <c r="A43" i="120"/>
  <c r="A42" i="120"/>
  <c r="A41" i="120"/>
  <c r="A40" i="120"/>
  <c r="A39" i="120"/>
  <c r="A38" i="120"/>
  <c r="A37" i="120"/>
  <c r="A36" i="120"/>
  <c r="A35" i="120"/>
  <c r="A34" i="120"/>
  <c r="A33" i="120"/>
  <c r="A32" i="120"/>
  <c r="A31" i="120"/>
  <c r="A30" i="120"/>
  <c r="A29" i="120"/>
  <c r="A28" i="120"/>
  <c r="A27" i="120"/>
  <c r="A26" i="120"/>
  <c r="A25" i="120"/>
  <c r="A24" i="120"/>
  <c r="A23" i="120"/>
  <c r="A22" i="120"/>
  <c r="A21" i="120"/>
  <c r="A20" i="120"/>
  <c r="A19" i="120"/>
  <c r="A18" i="120"/>
  <c r="A17" i="120"/>
  <c r="A16" i="120"/>
  <c r="A15" i="120"/>
  <c r="A14" i="120"/>
  <c r="A13" i="120"/>
  <c r="A12" i="120"/>
  <c r="A11" i="120"/>
  <c r="A10" i="120"/>
  <c r="A9" i="120"/>
  <c r="A8" i="120"/>
  <c r="A7" i="120"/>
  <c r="A6" i="120"/>
  <c r="A5" i="120"/>
  <c r="A4" i="120"/>
  <c r="A3" i="120"/>
  <c r="I2" i="120"/>
  <c r="A2" i="120"/>
  <c r="A67" i="119"/>
  <c r="F66" i="119"/>
  <c r="E66" i="119"/>
  <c r="C66" i="119"/>
  <c r="C65" i="119" s="1"/>
  <c r="A66" i="119"/>
  <c r="A65" i="119"/>
  <c r="A64" i="119"/>
  <c r="A63" i="119"/>
  <c r="A62" i="119"/>
  <c r="A61" i="119"/>
  <c r="A60" i="119"/>
  <c r="A59" i="119"/>
  <c r="A58" i="119"/>
  <c r="A57" i="119"/>
  <c r="A56" i="119"/>
  <c r="A55" i="119"/>
  <c r="A54" i="119"/>
  <c r="A53" i="119"/>
  <c r="A52" i="119"/>
  <c r="A51" i="119"/>
  <c r="A50" i="119"/>
  <c r="A49" i="119"/>
  <c r="A48" i="119"/>
  <c r="A47" i="119"/>
  <c r="A46" i="119"/>
  <c r="A45" i="119"/>
  <c r="A44" i="119"/>
  <c r="A43" i="119"/>
  <c r="A42" i="119"/>
  <c r="A41" i="119"/>
  <c r="A40" i="119"/>
  <c r="A39" i="119"/>
  <c r="A38" i="119"/>
  <c r="A37" i="119"/>
  <c r="A36" i="119"/>
  <c r="A35" i="119"/>
  <c r="A34" i="119"/>
  <c r="A33" i="119"/>
  <c r="A32" i="119"/>
  <c r="A31" i="119"/>
  <c r="A30" i="119"/>
  <c r="A29" i="119"/>
  <c r="A28" i="119"/>
  <c r="A27" i="119"/>
  <c r="A26" i="119"/>
  <c r="A25" i="119"/>
  <c r="A24" i="119"/>
  <c r="A23" i="119"/>
  <c r="A22" i="119"/>
  <c r="A21" i="119"/>
  <c r="A20" i="119"/>
  <c r="A19" i="119"/>
  <c r="A18" i="119"/>
  <c r="A17" i="119"/>
  <c r="A16" i="119"/>
  <c r="A15" i="119"/>
  <c r="A14" i="119"/>
  <c r="A13" i="119"/>
  <c r="A12" i="119"/>
  <c r="A11" i="119"/>
  <c r="A10" i="119"/>
  <c r="A9" i="119"/>
  <c r="A8" i="119"/>
  <c r="A7" i="119"/>
  <c r="A6" i="119"/>
  <c r="A5" i="119"/>
  <c r="A4" i="119"/>
  <c r="I3" i="119"/>
  <c r="A3" i="119"/>
  <c r="I2" i="119"/>
  <c r="A2" i="119"/>
  <c r="A67" i="118"/>
  <c r="F66" i="118"/>
  <c r="E66" i="118"/>
  <c r="C66" i="118"/>
  <c r="A66" i="118"/>
  <c r="C65" i="118"/>
  <c r="E65" i="118" s="1"/>
  <c r="A65" i="118"/>
  <c r="C64" i="118"/>
  <c r="A64" i="118"/>
  <c r="A63" i="118"/>
  <c r="A62" i="118"/>
  <c r="A61" i="118"/>
  <c r="A60" i="118"/>
  <c r="A59" i="118"/>
  <c r="A58" i="118"/>
  <c r="A57" i="118"/>
  <c r="A56" i="118"/>
  <c r="A55" i="118"/>
  <c r="A54" i="118"/>
  <c r="A53" i="118"/>
  <c r="A52" i="118"/>
  <c r="A51" i="118"/>
  <c r="A50" i="118"/>
  <c r="A49" i="118"/>
  <c r="A48" i="118"/>
  <c r="A47" i="118"/>
  <c r="A46" i="118"/>
  <c r="A45" i="118"/>
  <c r="A44" i="118"/>
  <c r="A43" i="118"/>
  <c r="A42" i="118"/>
  <c r="A41" i="118"/>
  <c r="A40" i="118"/>
  <c r="A39" i="118"/>
  <c r="A38" i="118"/>
  <c r="A37" i="118"/>
  <c r="A36" i="118"/>
  <c r="A35" i="118"/>
  <c r="A34" i="118"/>
  <c r="A33" i="118"/>
  <c r="A32" i="118"/>
  <c r="A31" i="118"/>
  <c r="A30" i="118"/>
  <c r="A29" i="118"/>
  <c r="A28" i="118"/>
  <c r="A27" i="118"/>
  <c r="A26" i="118"/>
  <c r="A25" i="118"/>
  <c r="A24" i="118"/>
  <c r="A23" i="118"/>
  <c r="A22" i="118"/>
  <c r="A21" i="118"/>
  <c r="A20" i="118"/>
  <c r="A19" i="118"/>
  <c r="A18" i="118"/>
  <c r="A17" i="118"/>
  <c r="A16" i="118"/>
  <c r="A15" i="118"/>
  <c r="A14" i="118"/>
  <c r="A13" i="118"/>
  <c r="A12" i="118"/>
  <c r="A11" i="118"/>
  <c r="A10" i="118"/>
  <c r="A9" i="118"/>
  <c r="A8" i="118"/>
  <c r="A7" i="118"/>
  <c r="A6" i="118"/>
  <c r="A5" i="118"/>
  <c r="A4" i="118"/>
  <c r="I3" i="118"/>
  <c r="I4" i="118" s="1"/>
  <c r="A3" i="118"/>
  <c r="I2" i="118"/>
  <c r="A2" i="118"/>
  <c r="A67" i="117"/>
  <c r="F66" i="117"/>
  <c r="C66" i="117"/>
  <c r="E66" i="117" s="1"/>
  <c r="A66" i="117"/>
  <c r="C65" i="117"/>
  <c r="A65" i="117"/>
  <c r="A64" i="117"/>
  <c r="A63" i="117"/>
  <c r="A62" i="117"/>
  <c r="A61" i="117"/>
  <c r="A60" i="117"/>
  <c r="A59" i="117"/>
  <c r="A58" i="117"/>
  <c r="A57" i="117"/>
  <c r="A56" i="117"/>
  <c r="A55" i="117"/>
  <c r="A54" i="117"/>
  <c r="A53" i="117"/>
  <c r="A52" i="117"/>
  <c r="A51" i="117"/>
  <c r="A50" i="117"/>
  <c r="A49" i="117"/>
  <c r="A48" i="117"/>
  <c r="A47" i="117"/>
  <c r="A46" i="117"/>
  <c r="A45" i="117"/>
  <c r="A44" i="117"/>
  <c r="A43" i="117"/>
  <c r="A42" i="117"/>
  <c r="A41" i="117"/>
  <c r="A40" i="117"/>
  <c r="A39" i="117"/>
  <c r="A38" i="117"/>
  <c r="A37" i="117"/>
  <c r="A36" i="117"/>
  <c r="A35" i="117"/>
  <c r="A34" i="117"/>
  <c r="A33" i="117"/>
  <c r="A32" i="117"/>
  <c r="A31" i="117"/>
  <c r="A30" i="117"/>
  <c r="A29" i="117"/>
  <c r="A28" i="117"/>
  <c r="A27" i="117"/>
  <c r="A26" i="117"/>
  <c r="A25" i="117"/>
  <c r="A24" i="117"/>
  <c r="A23" i="117"/>
  <c r="A22" i="117"/>
  <c r="A21" i="117"/>
  <c r="A20" i="117"/>
  <c r="A19" i="117"/>
  <c r="A18" i="117"/>
  <c r="A17" i="117"/>
  <c r="A16" i="117"/>
  <c r="A15" i="117"/>
  <c r="A14" i="117"/>
  <c r="A13" i="117"/>
  <c r="A12" i="117"/>
  <c r="A11" i="117"/>
  <c r="A10" i="117"/>
  <c r="A9" i="117"/>
  <c r="A8" i="117"/>
  <c r="A7" i="117"/>
  <c r="A6" i="117"/>
  <c r="I5" i="117"/>
  <c r="A5" i="117"/>
  <c r="A4" i="117"/>
  <c r="I3" i="117"/>
  <c r="I4" i="117" s="1"/>
  <c r="A3" i="117"/>
  <c r="I2" i="117"/>
  <c r="A2" i="117"/>
  <c r="A67" i="116"/>
  <c r="F66" i="116"/>
  <c r="E66" i="116"/>
  <c r="C66" i="116"/>
  <c r="A66" i="116"/>
  <c r="E65" i="116"/>
  <c r="C65" i="116"/>
  <c r="A65" i="116"/>
  <c r="C64" i="116"/>
  <c r="E64" i="116" s="1"/>
  <c r="A64" i="116"/>
  <c r="A63" i="116"/>
  <c r="A62" i="116"/>
  <c r="A61" i="116"/>
  <c r="A60" i="116"/>
  <c r="A59" i="116"/>
  <c r="A58" i="116"/>
  <c r="A57" i="116"/>
  <c r="A56" i="116"/>
  <c r="A55" i="116"/>
  <c r="A54" i="116"/>
  <c r="A53" i="116"/>
  <c r="A52" i="116"/>
  <c r="A51" i="116"/>
  <c r="A50" i="116"/>
  <c r="A49" i="116"/>
  <c r="A48" i="116"/>
  <c r="A47" i="116"/>
  <c r="A46" i="116"/>
  <c r="A45" i="116"/>
  <c r="A44" i="116"/>
  <c r="A43" i="116"/>
  <c r="A42" i="116"/>
  <c r="A41" i="116"/>
  <c r="A40" i="116"/>
  <c r="A39" i="116"/>
  <c r="A38" i="116"/>
  <c r="A37" i="116"/>
  <c r="A36" i="116"/>
  <c r="A35" i="116"/>
  <c r="A34" i="116"/>
  <c r="A33" i="116"/>
  <c r="A32" i="116"/>
  <c r="A31" i="116"/>
  <c r="A30" i="116"/>
  <c r="A29" i="116"/>
  <c r="A28" i="116"/>
  <c r="A27" i="116"/>
  <c r="A26" i="116"/>
  <c r="A25" i="116"/>
  <c r="A24" i="116"/>
  <c r="A23" i="116"/>
  <c r="A22" i="116"/>
  <c r="A21" i="116"/>
  <c r="A20" i="116"/>
  <c r="A19" i="116"/>
  <c r="A18" i="116"/>
  <c r="A17" i="116"/>
  <c r="A16" i="116"/>
  <c r="A15" i="116"/>
  <c r="A14" i="116"/>
  <c r="A13" i="116"/>
  <c r="A12" i="116"/>
  <c r="A11" i="116"/>
  <c r="A10" i="116"/>
  <c r="A9" i="116"/>
  <c r="A8" i="116"/>
  <c r="A7" i="116"/>
  <c r="A6" i="116"/>
  <c r="A5" i="116"/>
  <c r="A4" i="116"/>
  <c r="I3" i="116"/>
  <c r="A3" i="116"/>
  <c r="I2" i="116"/>
  <c r="A2" i="116"/>
  <c r="A67" i="115"/>
  <c r="F66" i="115"/>
  <c r="E66" i="115"/>
  <c r="C66" i="115"/>
  <c r="A66" i="115"/>
  <c r="E65" i="115"/>
  <c r="C65" i="115"/>
  <c r="A65" i="115"/>
  <c r="C64" i="115"/>
  <c r="E64" i="115" s="1"/>
  <c r="A64" i="115"/>
  <c r="C63" i="115"/>
  <c r="A63" i="115"/>
  <c r="A62" i="115"/>
  <c r="A61" i="115"/>
  <c r="A60" i="115"/>
  <c r="A59" i="115"/>
  <c r="A58" i="115"/>
  <c r="A57" i="115"/>
  <c r="A56" i="115"/>
  <c r="A55" i="115"/>
  <c r="A54" i="115"/>
  <c r="A53" i="115"/>
  <c r="A52" i="115"/>
  <c r="A51" i="115"/>
  <c r="A50" i="115"/>
  <c r="A49" i="115"/>
  <c r="A48" i="115"/>
  <c r="A47" i="115"/>
  <c r="A46" i="115"/>
  <c r="A45" i="115"/>
  <c r="A44" i="115"/>
  <c r="A43" i="115"/>
  <c r="A42" i="115"/>
  <c r="A41" i="115"/>
  <c r="A40" i="115"/>
  <c r="A39" i="115"/>
  <c r="A38" i="115"/>
  <c r="A37" i="115"/>
  <c r="A36" i="115"/>
  <c r="A35" i="115"/>
  <c r="A34" i="115"/>
  <c r="A33" i="115"/>
  <c r="A32" i="115"/>
  <c r="A31" i="115"/>
  <c r="A30" i="115"/>
  <c r="A29" i="115"/>
  <c r="A28" i="115"/>
  <c r="A27" i="115"/>
  <c r="A26" i="115"/>
  <c r="A25" i="115"/>
  <c r="A24" i="115"/>
  <c r="A23" i="115"/>
  <c r="A22" i="115"/>
  <c r="A21" i="115"/>
  <c r="A20" i="115"/>
  <c r="A19" i="115"/>
  <c r="A18" i="115"/>
  <c r="A17" i="115"/>
  <c r="A16" i="115"/>
  <c r="A15" i="115"/>
  <c r="A14" i="115"/>
  <c r="A13" i="115"/>
  <c r="A12" i="115"/>
  <c r="A11" i="115"/>
  <c r="A10" i="115"/>
  <c r="A9" i="115"/>
  <c r="A8" i="115"/>
  <c r="A7" i="115"/>
  <c r="A6" i="115"/>
  <c r="A5" i="115"/>
  <c r="A4" i="115"/>
  <c r="I3" i="115"/>
  <c r="I4" i="115" s="1"/>
  <c r="A3" i="115"/>
  <c r="I2" i="115"/>
  <c r="A2" i="115"/>
  <c r="A67" i="114"/>
  <c r="F66" i="114"/>
  <c r="C66" i="114"/>
  <c r="E66" i="114" s="1"/>
  <c r="A66" i="114"/>
  <c r="C65" i="114"/>
  <c r="A65" i="114"/>
  <c r="A64" i="114"/>
  <c r="A63" i="114"/>
  <c r="A62" i="114"/>
  <c r="A61" i="114"/>
  <c r="A60" i="114"/>
  <c r="A59" i="114"/>
  <c r="A58" i="114"/>
  <c r="A57" i="114"/>
  <c r="A56" i="114"/>
  <c r="A55" i="114"/>
  <c r="A54" i="114"/>
  <c r="A53" i="114"/>
  <c r="A52" i="114"/>
  <c r="A51" i="114"/>
  <c r="A50" i="114"/>
  <c r="A49" i="114"/>
  <c r="A48" i="114"/>
  <c r="A47" i="114"/>
  <c r="A46" i="114"/>
  <c r="A45" i="114"/>
  <c r="A44" i="114"/>
  <c r="A43" i="114"/>
  <c r="A42" i="114"/>
  <c r="A41" i="114"/>
  <c r="A40" i="114"/>
  <c r="A39" i="114"/>
  <c r="A38" i="114"/>
  <c r="A37" i="114"/>
  <c r="A36" i="114"/>
  <c r="A35" i="114"/>
  <c r="A34" i="114"/>
  <c r="A33" i="114"/>
  <c r="A32" i="114"/>
  <c r="A31" i="114"/>
  <c r="A30" i="114"/>
  <c r="A29" i="114"/>
  <c r="A28" i="114"/>
  <c r="A27" i="114"/>
  <c r="A26" i="114"/>
  <c r="A25" i="114"/>
  <c r="A24" i="114"/>
  <c r="A23" i="114"/>
  <c r="A22" i="114"/>
  <c r="A21" i="114"/>
  <c r="A20" i="114"/>
  <c r="A19" i="114"/>
  <c r="A18" i="114"/>
  <c r="A17" i="114"/>
  <c r="A16" i="114"/>
  <c r="A15" i="114"/>
  <c r="A14" i="114"/>
  <c r="A13" i="114"/>
  <c r="A12" i="114"/>
  <c r="A11" i="114"/>
  <c r="A10" i="114"/>
  <c r="A9" i="114"/>
  <c r="A8" i="114"/>
  <c r="A7" i="114"/>
  <c r="A6" i="114"/>
  <c r="A5" i="114"/>
  <c r="A4" i="114"/>
  <c r="A3" i="114"/>
  <c r="I2" i="114"/>
  <c r="I3" i="114" s="1"/>
  <c r="A2" i="114"/>
  <c r="A67" i="113"/>
  <c r="F66" i="113"/>
  <c r="C66" i="113"/>
  <c r="E66" i="113" s="1"/>
  <c r="A66" i="113"/>
  <c r="E65" i="113"/>
  <c r="C65" i="113"/>
  <c r="C64" i="113" s="1"/>
  <c r="A65" i="113"/>
  <c r="A64" i="113"/>
  <c r="A63" i="113"/>
  <c r="A62" i="113"/>
  <c r="A61" i="113"/>
  <c r="A60" i="113"/>
  <c r="A59" i="113"/>
  <c r="A58" i="113"/>
  <c r="A57" i="113"/>
  <c r="A56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I4" i="113"/>
  <c r="A4" i="113"/>
  <c r="A3" i="113"/>
  <c r="I2" i="113"/>
  <c r="I3" i="113" s="1"/>
  <c r="A2" i="113"/>
  <c r="A67" i="112"/>
  <c r="F66" i="112"/>
  <c r="E66" i="112"/>
  <c r="C66" i="112"/>
  <c r="A66" i="112"/>
  <c r="E65" i="112"/>
  <c r="C65" i="112"/>
  <c r="A65" i="112"/>
  <c r="C64" i="112"/>
  <c r="E64" i="112" s="1"/>
  <c r="A64" i="112"/>
  <c r="A63" i="112"/>
  <c r="A62" i="112"/>
  <c r="A61" i="112"/>
  <c r="A60" i="112"/>
  <c r="A59" i="112"/>
  <c r="A58" i="112"/>
  <c r="A57" i="112"/>
  <c r="A56" i="112"/>
  <c r="A55" i="112"/>
  <c r="A54" i="112"/>
  <c r="A53" i="112"/>
  <c r="A52" i="112"/>
  <c r="A51" i="112"/>
  <c r="A50" i="112"/>
  <c r="A49" i="112"/>
  <c r="A48" i="112"/>
  <c r="A47" i="112"/>
  <c r="A46" i="112"/>
  <c r="A45" i="112"/>
  <c r="A44" i="112"/>
  <c r="A43" i="112"/>
  <c r="A42" i="112"/>
  <c r="A41" i="112"/>
  <c r="A40" i="112"/>
  <c r="A39" i="112"/>
  <c r="A38" i="112"/>
  <c r="A37" i="112"/>
  <c r="A36" i="112"/>
  <c r="A35" i="112"/>
  <c r="A34" i="112"/>
  <c r="A33" i="112"/>
  <c r="A32" i="112"/>
  <c r="A31" i="112"/>
  <c r="A30" i="112"/>
  <c r="A29" i="112"/>
  <c r="A28" i="112"/>
  <c r="A27" i="112"/>
  <c r="A26" i="112"/>
  <c r="A25" i="112"/>
  <c r="A24" i="112"/>
  <c r="A23" i="112"/>
  <c r="A22" i="112"/>
  <c r="A21" i="112"/>
  <c r="A20" i="112"/>
  <c r="A19" i="112"/>
  <c r="A18" i="112"/>
  <c r="A17" i="112"/>
  <c r="A16" i="112"/>
  <c r="A15" i="112"/>
  <c r="A14" i="112"/>
  <c r="A13" i="112"/>
  <c r="A12" i="112"/>
  <c r="A11" i="112"/>
  <c r="A10" i="112"/>
  <c r="A9" i="112"/>
  <c r="A8" i="112"/>
  <c r="A7" i="112"/>
  <c r="A6" i="112"/>
  <c r="A5" i="112"/>
  <c r="A4" i="112"/>
  <c r="A3" i="112"/>
  <c r="I2" i="112"/>
  <c r="A2" i="112"/>
  <c r="A67" i="111"/>
  <c r="F66" i="111"/>
  <c r="C66" i="111"/>
  <c r="E66" i="111" s="1"/>
  <c r="A66" i="111"/>
  <c r="E65" i="111"/>
  <c r="C65" i="111"/>
  <c r="C64" i="111" s="1"/>
  <c r="A65" i="111"/>
  <c r="E64" i="111"/>
  <c r="A64" i="111"/>
  <c r="C63" i="111"/>
  <c r="E63" i="111" s="1"/>
  <c r="A63" i="111"/>
  <c r="C62" i="111"/>
  <c r="A62" i="111"/>
  <c r="A61" i="111"/>
  <c r="A60" i="111"/>
  <c r="A59" i="111"/>
  <c r="A58" i="111"/>
  <c r="A57" i="111"/>
  <c r="A56" i="111"/>
  <c r="A55" i="111"/>
  <c r="A54" i="111"/>
  <c r="A53" i="111"/>
  <c r="A52" i="111"/>
  <c r="A51" i="111"/>
  <c r="A50" i="111"/>
  <c r="A49" i="111"/>
  <c r="A48" i="111"/>
  <c r="A47" i="111"/>
  <c r="A46" i="111"/>
  <c r="A45" i="111"/>
  <c r="A44" i="111"/>
  <c r="A43" i="111"/>
  <c r="A42" i="111"/>
  <c r="A41" i="111"/>
  <c r="A40" i="111"/>
  <c r="A39" i="111"/>
  <c r="A38" i="111"/>
  <c r="A37" i="111"/>
  <c r="A36" i="111"/>
  <c r="A35" i="111"/>
  <c r="A34" i="111"/>
  <c r="A33" i="111"/>
  <c r="A32" i="111"/>
  <c r="A31" i="111"/>
  <c r="A30" i="111"/>
  <c r="A29" i="111"/>
  <c r="A28" i="111"/>
  <c r="A27" i="111"/>
  <c r="A26" i="111"/>
  <c r="A25" i="111"/>
  <c r="A24" i="111"/>
  <c r="A23" i="111"/>
  <c r="A22" i="111"/>
  <c r="A21" i="111"/>
  <c r="A20" i="111"/>
  <c r="A19" i="111"/>
  <c r="A18" i="111"/>
  <c r="A17" i="111"/>
  <c r="A16" i="111"/>
  <c r="A15" i="111"/>
  <c r="A14" i="111"/>
  <c r="A13" i="111"/>
  <c r="A12" i="111"/>
  <c r="A11" i="111"/>
  <c r="A10" i="111"/>
  <c r="A9" i="111"/>
  <c r="A8" i="111"/>
  <c r="A7" i="111"/>
  <c r="A6" i="111"/>
  <c r="A5" i="111"/>
  <c r="A4" i="111"/>
  <c r="A3" i="111"/>
  <c r="I2" i="111"/>
  <c r="I3" i="111" s="1"/>
  <c r="A2" i="111"/>
  <c r="A67" i="110"/>
  <c r="F66" i="110"/>
  <c r="E66" i="110"/>
  <c r="C66" i="110"/>
  <c r="C65" i="110" s="1"/>
  <c r="A66" i="110"/>
  <c r="E65" i="110"/>
  <c r="A65" i="110"/>
  <c r="C64" i="110"/>
  <c r="A64" i="110"/>
  <c r="A63" i="110"/>
  <c r="A62" i="110"/>
  <c r="A61" i="110"/>
  <c r="A60" i="110"/>
  <c r="A59" i="110"/>
  <c r="A58" i="110"/>
  <c r="A57" i="110"/>
  <c r="A56" i="110"/>
  <c r="A55" i="110"/>
  <c r="A54" i="110"/>
  <c r="A53" i="110"/>
  <c r="A52" i="110"/>
  <c r="A51" i="110"/>
  <c r="A50" i="110"/>
  <c r="A49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I2" i="110"/>
  <c r="A2" i="110"/>
  <c r="A67" i="109"/>
  <c r="F66" i="109"/>
  <c r="C66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I2" i="109"/>
  <c r="A2" i="109"/>
  <c r="A67" i="108"/>
  <c r="F66" i="108"/>
  <c r="C66" i="108"/>
  <c r="C65" i="108" s="1"/>
  <c r="A66" i="108"/>
  <c r="A65" i="108"/>
  <c r="A64" i="108"/>
  <c r="A63" i="108"/>
  <c r="A62" i="108"/>
  <c r="A61" i="108"/>
  <c r="A60" i="108"/>
  <c r="A59" i="108"/>
  <c r="A58" i="108"/>
  <c r="A57" i="108"/>
  <c r="A56" i="108"/>
  <c r="A55" i="108"/>
  <c r="A54" i="108"/>
  <c r="A53" i="108"/>
  <c r="A52" i="108"/>
  <c r="A51" i="108"/>
  <c r="A50" i="108"/>
  <c r="A49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I2" i="108"/>
  <c r="I3" i="108" s="1"/>
  <c r="A2" i="108"/>
  <c r="A67" i="107"/>
  <c r="F66" i="107"/>
  <c r="C66" i="107"/>
  <c r="A66" i="107"/>
  <c r="A65" i="107"/>
  <c r="A64" i="107"/>
  <c r="A63" i="107"/>
  <c r="A62" i="107"/>
  <c r="A61" i="107"/>
  <c r="A60" i="107"/>
  <c r="A59" i="107"/>
  <c r="A58" i="107"/>
  <c r="A57" i="107"/>
  <c r="A56" i="107"/>
  <c r="A55" i="107"/>
  <c r="A54" i="107"/>
  <c r="A53" i="107"/>
  <c r="A52" i="107"/>
  <c r="A51" i="107"/>
  <c r="A50" i="107"/>
  <c r="A49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I4" i="107"/>
  <c r="I5" i="107" s="1"/>
  <c r="A4" i="107"/>
  <c r="I3" i="107"/>
  <c r="A3" i="107"/>
  <c r="I2" i="107"/>
  <c r="A2" i="107"/>
  <c r="A67" i="106"/>
  <c r="F66" i="106"/>
  <c r="E66" i="106"/>
  <c r="C66" i="106"/>
  <c r="A66" i="106"/>
  <c r="C65" i="106"/>
  <c r="C64" i="106" s="1"/>
  <c r="E64" i="106" s="1"/>
  <c r="A65" i="106"/>
  <c r="A64" i="106"/>
  <c r="C63" i="106"/>
  <c r="E63" i="106" s="1"/>
  <c r="A63" i="106"/>
  <c r="A62" i="106"/>
  <c r="A61" i="106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I3" i="106"/>
  <c r="A3" i="106"/>
  <c r="I2" i="106"/>
  <c r="A2" i="106"/>
  <c r="A67" i="105"/>
  <c r="F66" i="105"/>
  <c r="E66" i="105"/>
  <c r="C66" i="105"/>
  <c r="A66" i="105"/>
  <c r="C65" i="105"/>
  <c r="E65" i="105" s="1"/>
  <c r="A65" i="105"/>
  <c r="E64" i="105"/>
  <c r="C64" i="105"/>
  <c r="C63" i="105" s="1"/>
  <c r="A64" i="105"/>
  <c r="E63" i="105"/>
  <c r="A63" i="105"/>
  <c r="C62" i="105"/>
  <c r="A62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I2" i="105"/>
  <c r="A2" i="105"/>
  <c r="A67" i="104"/>
  <c r="F66" i="104"/>
  <c r="E66" i="104"/>
  <c r="C66" i="104"/>
  <c r="C65" i="104" s="1"/>
  <c r="C64" i="104" s="1"/>
  <c r="A66" i="104"/>
  <c r="E65" i="104"/>
  <c r="A65" i="104"/>
  <c r="A64" i="104"/>
  <c r="A63" i="104"/>
  <c r="A62" i="104"/>
  <c r="A61" i="104"/>
  <c r="A60" i="104"/>
  <c r="A59" i="104"/>
  <c r="A58" i="104"/>
  <c r="A57" i="104"/>
  <c r="A56" i="104"/>
  <c r="A55" i="104"/>
  <c r="A54" i="104"/>
  <c r="A53" i="104"/>
  <c r="A52" i="104"/>
  <c r="A51" i="104"/>
  <c r="A50" i="104"/>
  <c r="A49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I2" i="104"/>
  <c r="I3" i="104" s="1"/>
  <c r="A2" i="104"/>
  <c r="A67" i="103"/>
  <c r="F66" i="103"/>
  <c r="E66" i="103"/>
  <c r="C66" i="103"/>
  <c r="A66" i="103"/>
  <c r="E65" i="103"/>
  <c r="C65" i="103"/>
  <c r="A65" i="103"/>
  <c r="C64" i="103"/>
  <c r="A64" i="103"/>
  <c r="A63" i="103"/>
  <c r="A62" i="103"/>
  <c r="A61" i="103"/>
  <c r="A60" i="103"/>
  <c r="A59" i="103"/>
  <c r="A58" i="103"/>
  <c r="A57" i="103"/>
  <c r="A56" i="103"/>
  <c r="A55" i="103"/>
  <c r="A54" i="103"/>
  <c r="A53" i="103"/>
  <c r="A52" i="103"/>
  <c r="A51" i="103"/>
  <c r="A50" i="103"/>
  <c r="A49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I3" i="103"/>
  <c r="A3" i="103"/>
  <c r="I2" i="103"/>
  <c r="A2" i="103"/>
  <c r="A67" i="102"/>
  <c r="F66" i="102"/>
  <c r="E66" i="102"/>
  <c r="C66" i="102"/>
  <c r="C65" i="102" s="1"/>
  <c r="E65" i="102" s="1"/>
  <c r="A66" i="102"/>
  <c r="A65" i="102"/>
  <c r="C64" i="102"/>
  <c r="E64" i="102" s="1"/>
  <c r="A64" i="102"/>
  <c r="E63" i="102"/>
  <c r="C63" i="102"/>
  <c r="A63" i="102"/>
  <c r="C62" i="102"/>
  <c r="A62" i="102"/>
  <c r="A61" i="102"/>
  <c r="A60" i="102"/>
  <c r="A59" i="102"/>
  <c r="A58" i="102"/>
  <c r="A57" i="102"/>
  <c r="A56" i="102"/>
  <c r="A55" i="102"/>
  <c r="A54" i="102"/>
  <c r="A53" i="102"/>
  <c r="A52" i="102"/>
  <c r="A51" i="102"/>
  <c r="A50" i="102"/>
  <c r="A49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I2" i="102"/>
  <c r="A2" i="102"/>
  <c r="A67" i="101"/>
  <c r="F66" i="101"/>
  <c r="E66" i="101"/>
  <c r="C66" i="101"/>
  <c r="A66" i="101"/>
  <c r="C65" i="101"/>
  <c r="A65" i="101"/>
  <c r="A64" i="101"/>
  <c r="A63" i="101"/>
  <c r="A62" i="101"/>
  <c r="A61" i="101"/>
  <c r="A60" i="101"/>
  <c r="A59" i="101"/>
  <c r="A58" i="101"/>
  <c r="A57" i="101"/>
  <c r="A56" i="101"/>
  <c r="A55" i="101"/>
  <c r="A54" i="101"/>
  <c r="A53" i="101"/>
  <c r="A52" i="101"/>
  <c r="A51" i="101"/>
  <c r="A50" i="101"/>
  <c r="A49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I5" i="101"/>
  <c r="A5" i="101"/>
  <c r="I4" i="101"/>
  <c r="A4" i="101"/>
  <c r="A3" i="101"/>
  <c r="I2" i="101"/>
  <c r="I3" i="101" s="1"/>
  <c r="A2" i="101"/>
  <c r="A67" i="100"/>
  <c r="F66" i="100"/>
  <c r="C66" i="100"/>
  <c r="E66" i="100" s="1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I2" i="100"/>
  <c r="A2" i="100"/>
  <c r="A67" i="99"/>
  <c r="F66" i="99"/>
  <c r="C66" i="99"/>
  <c r="C65" i="99" s="1"/>
  <c r="C64" i="99" s="1"/>
  <c r="E64" i="99" s="1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I3" i="99"/>
  <c r="I4" i="99" s="1"/>
  <c r="A3" i="99"/>
  <c r="I2" i="99"/>
  <c r="A2" i="99"/>
  <c r="A67" i="98"/>
  <c r="F66" i="98"/>
  <c r="E66" i="98"/>
  <c r="C66" i="98"/>
  <c r="A66" i="98"/>
  <c r="E65" i="98"/>
  <c r="C65" i="98"/>
  <c r="C64" i="98" s="1"/>
  <c r="C63" i="98" s="1"/>
  <c r="C62" i="98" s="1"/>
  <c r="C61" i="98" s="1"/>
  <c r="A65" i="98"/>
  <c r="E64" i="98"/>
  <c r="A64" i="98"/>
  <c r="A63" i="98"/>
  <c r="E62" i="98"/>
  <c r="A62" i="98"/>
  <c r="E61" i="98"/>
  <c r="A61" i="98"/>
  <c r="C60" i="98"/>
  <c r="E60" i="98" s="1"/>
  <c r="A60" i="98"/>
  <c r="C59" i="98"/>
  <c r="E59" i="98" s="1"/>
  <c r="A59" i="98"/>
  <c r="A58" i="98"/>
  <c r="A57" i="98"/>
  <c r="A56" i="98"/>
  <c r="A55" i="98"/>
  <c r="A54" i="98"/>
  <c r="A53" i="98"/>
  <c r="A52" i="98"/>
  <c r="A51" i="98"/>
  <c r="A50" i="98"/>
  <c r="A49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I4" i="98"/>
  <c r="I5" i="98" s="1"/>
  <c r="A4" i="98"/>
  <c r="A3" i="98"/>
  <c r="I2" i="98"/>
  <c r="I3" i="98" s="1"/>
  <c r="A2" i="98"/>
  <c r="A67" i="97"/>
  <c r="F66" i="97"/>
  <c r="C66" i="97"/>
  <c r="E66" i="97" s="1"/>
  <c r="A66" i="97"/>
  <c r="C65" i="97"/>
  <c r="E65" i="97" s="1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I3" i="97"/>
  <c r="A3" i="97"/>
  <c r="I2" i="97"/>
  <c r="A2" i="97"/>
  <c r="A67" i="96"/>
  <c r="F66" i="96"/>
  <c r="C66" i="96"/>
  <c r="E66" i="96" s="1"/>
  <c r="A66" i="96"/>
  <c r="C65" i="96"/>
  <c r="E65" i="96" s="1"/>
  <c r="A65" i="96"/>
  <c r="A64" i="96"/>
  <c r="A63" i="96"/>
  <c r="A62" i="96"/>
  <c r="A61" i="96"/>
  <c r="A60" i="96"/>
  <c r="A59" i="96"/>
  <c r="A58" i="96"/>
  <c r="A57" i="96"/>
  <c r="A56" i="96"/>
  <c r="A55" i="96"/>
  <c r="A54" i="96"/>
  <c r="A53" i="96"/>
  <c r="A52" i="96"/>
  <c r="A51" i="96"/>
  <c r="A50" i="96"/>
  <c r="A49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I2" i="96"/>
  <c r="A2" i="96"/>
  <c r="A67" i="95"/>
  <c r="F66" i="95"/>
  <c r="C66" i="95"/>
  <c r="E66" i="95" s="1"/>
  <c r="A66" i="95"/>
  <c r="C65" i="95"/>
  <c r="E65" i="95" s="1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I2" i="95"/>
  <c r="A2" i="95"/>
  <c r="A67" i="94"/>
  <c r="F66" i="94"/>
  <c r="E66" i="94"/>
  <c r="C66" i="94"/>
  <c r="A66" i="94"/>
  <c r="E65" i="94"/>
  <c r="C65" i="94"/>
  <c r="C64" i="94" s="1"/>
  <c r="E64" i="94" s="1"/>
  <c r="A65" i="94"/>
  <c r="A64" i="94"/>
  <c r="A63" i="94"/>
  <c r="A62" i="94"/>
  <c r="A61" i="94"/>
  <c r="A60" i="94"/>
  <c r="A59" i="94"/>
  <c r="A58" i="94"/>
  <c r="A57" i="94"/>
  <c r="A56" i="94"/>
  <c r="A55" i="94"/>
  <c r="A54" i="94"/>
  <c r="A53" i="94"/>
  <c r="A52" i="94"/>
  <c r="A51" i="94"/>
  <c r="A50" i="94"/>
  <c r="A49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I6" i="94"/>
  <c r="A6" i="94"/>
  <c r="A5" i="94"/>
  <c r="A4" i="94"/>
  <c r="A3" i="94"/>
  <c r="I2" i="94"/>
  <c r="I3" i="94" s="1"/>
  <c r="I4" i="94" s="1"/>
  <c r="I5" i="94" s="1"/>
  <c r="A2" i="94"/>
  <c r="A67" i="93"/>
  <c r="F66" i="93"/>
  <c r="C66" i="93"/>
  <c r="E66" i="93" s="1"/>
  <c r="A66" i="93"/>
  <c r="A65" i="93"/>
  <c r="A64" i="93"/>
  <c r="A63" i="93"/>
  <c r="A62" i="93"/>
  <c r="A61" i="93"/>
  <c r="A60" i="93"/>
  <c r="A59" i="93"/>
  <c r="A58" i="93"/>
  <c r="A57" i="93"/>
  <c r="A56" i="93"/>
  <c r="A55" i="93"/>
  <c r="A54" i="93"/>
  <c r="A53" i="93"/>
  <c r="A52" i="93"/>
  <c r="A51" i="93"/>
  <c r="A50" i="93"/>
  <c r="A49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I4" i="93"/>
  <c r="A4" i="93"/>
  <c r="A3" i="93"/>
  <c r="I2" i="93"/>
  <c r="I3" i="93" s="1"/>
  <c r="A2" i="93"/>
  <c r="A67" i="92"/>
  <c r="F66" i="92"/>
  <c r="C66" i="92"/>
  <c r="A66" i="92"/>
  <c r="A65" i="92"/>
  <c r="A64" i="92"/>
  <c r="A63" i="92"/>
  <c r="A62" i="92"/>
  <c r="A61" i="92"/>
  <c r="A60" i="92"/>
  <c r="A59" i="92"/>
  <c r="A58" i="92"/>
  <c r="A57" i="92"/>
  <c r="A56" i="92"/>
  <c r="A55" i="92"/>
  <c r="A54" i="92"/>
  <c r="A53" i="92"/>
  <c r="A52" i="92"/>
  <c r="A51" i="92"/>
  <c r="A50" i="92"/>
  <c r="A49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I4" i="92"/>
  <c r="A4" i="92"/>
  <c r="A3" i="92"/>
  <c r="I2" i="92"/>
  <c r="I3" i="92" s="1"/>
  <c r="A2" i="92"/>
  <c r="A67" i="91"/>
  <c r="F66" i="91"/>
  <c r="C66" i="91"/>
  <c r="E66" i="91" s="1"/>
  <c r="A66" i="91"/>
  <c r="A65" i="91"/>
  <c r="A64" i="91"/>
  <c r="A63" i="91"/>
  <c r="A62" i="91"/>
  <c r="A61" i="91"/>
  <c r="A60" i="91"/>
  <c r="A59" i="91"/>
  <c r="A58" i="91"/>
  <c r="A57" i="91"/>
  <c r="A56" i="91"/>
  <c r="A55" i="91"/>
  <c r="A54" i="91"/>
  <c r="A53" i="91"/>
  <c r="A52" i="91"/>
  <c r="A51" i="91"/>
  <c r="A50" i="91"/>
  <c r="A49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I2" i="91"/>
  <c r="A2" i="91"/>
  <c r="A67" i="90"/>
  <c r="F66" i="90"/>
  <c r="C66" i="90"/>
  <c r="A66" i="90"/>
  <c r="A65" i="90"/>
  <c r="A64" i="90"/>
  <c r="A63" i="90"/>
  <c r="A62" i="90"/>
  <c r="A61" i="90"/>
  <c r="A60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I2" i="90"/>
  <c r="A2" i="90"/>
  <c r="A67" i="89"/>
  <c r="F66" i="89"/>
  <c r="E66" i="89"/>
  <c r="C66" i="89"/>
  <c r="A66" i="89"/>
  <c r="C65" i="89"/>
  <c r="E65" i="89" s="1"/>
  <c r="A65" i="89"/>
  <c r="A64" i="89"/>
  <c r="A63" i="89"/>
  <c r="A62" i="89"/>
  <c r="A61" i="89"/>
  <c r="A60" i="89"/>
  <c r="A59" i="89"/>
  <c r="A58" i="89"/>
  <c r="A57" i="89"/>
  <c r="A56" i="89"/>
  <c r="A55" i="89"/>
  <c r="A54" i="89"/>
  <c r="A53" i="89"/>
  <c r="A52" i="89"/>
  <c r="A51" i="89"/>
  <c r="A50" i="89"/>
  <c r="A49" i="89"/>
  <c r="A48" i="89"/>
  <c r="A47" i="89"/>
  <c r="A46" i="89"/>
  <c r="A45" i="89"/>
  <c r="A44" i="89"/>
  <c r="A43" i="89"/>
  <c r="A42" i="89"/>
  <c r="A41" i="89"/>
  <c r="A40" i="89"/>
  <c r="A39" i="89"/>
  <c r="A38" i="89"/>
  <c r="A37" i="89"/>
  <c r="A36" i="89"/>
  <c r="A35" i="89"/>
  <c r="A34" i="89"/>
  <c r="A33" i="89"/>
  <c r="A32" i="89"/>
  <c r="A31" i="89"/>
  <c r="A30" i="89"/>
  <c r="A29" i="89"/>
  <c r="A28" i="89"/>
  <c r="A27" i="89"/>
  <c r="A26" i="89"/>
  <c r="A25" i="89"/>
  <c r="A24" i="89"/>
  <c r="A23" i="89"/>
  <c r="A22" i="89"/>
  <c r="A21" i="89"/>
  <c r="A20" i="89"/>
  <c r="A19" i="89"/>
  <c r="A18" i="89"/>
  <c r="A17" i="89"/>
  <c r="A16" i="89"/>
  <c r="A15" i="89"/>
  <c r="A14" i="89"/>
  <c r="A13" i="89"/>
  <c r="A12" i="89"/>
  <c r="A11" i="89"/>
  <c r="A10" i="89"/>
  <c r="A9" i="89"/>
  <c r="A8" i="89"/>
  <c r="A7" i="89"/>
  <c r="A6" i="89"/>
  <c r="A5" i="89"/>
  <c r="I4" i="89"/>
  <c r="I5" i="89" s="1"/>
  <c r="A4" i="89"/>
  <c r="I3" i="89"/>
  <c r="A3" i="89"/>
  <c r="I2" i="89"/>
  <c r="A2" i="89"/>
  <c r="A67" i="88"/>
  <c r="F66" i="88"/>
  <c r="C66" i="88"/>
  <c r="C65" i="88" s="1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49" i="88"/>
  <c r="A48" i="88"/>
  <c r="A47" i="88"/>
  <c r="A46" i="88"/>
  <c r="A45" i="88"/>
  <c r="A44" i="88"/>
  <c r="A43" i="88"/>
  <c r="A42" i="88"/>
  <c r="A41" i="88"/>
  <c r="A40" i="88"/>
  <c r="A39" i="88"/>
  <c r="A38" i="88"/>
  <c r="A37" i="88"/>
  <c r="A36" i="88"/>
  <c r="A35" i="88"/>
  <c r="A34" i="88"/>
  <c r="A33" i="88"/>
  <c r="A32" i="88"/>
  <c r="A31" i="88"/>
  <c r="A30" i="88"/>
  <c r="A29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7" i="88"/>
  <c r="A6" i="88"/>
  <c r="A5" i="88"/>
  <c r="A4" i="88"/>
  <c r="A3" i="88"/>
  <c r="I2" i="88"/>
  <c r="I3" i="88" s="1"/>
  <c r="A2" i="88"/>
  <c r="A67" i="87"/>
  <c r="F66" i="87"/>
  <c r="E66" i="87"/>
  <c r="C66" i="87"/>
  <c r="A66" i="87"/>
  <c r="C65" i="87"/>
  <c r="E65" i="87" s="1"/>
  <c r="A65" i="87"/>
  <c r="C64" i="87"/>
  <c r="E64" i="87" s="1"/>
  <c r="A64" i="87"/>
  <c r="E63" i="87"/>
  <c r="C63" i="87"/>
  <c r="A63" i="87"/>
  <c r="C62" i="87"/>
  <c r="E62" i="87" s="1"/>
  <c r="A62" i="87"/>
  <c r="C61" i="87"/>
  <c r="E61" i="87" s="1"/>
  <c r="A61" i="87"/>
  <c r="A60" i="87"/>
  <c r="A59" i="87"/>
  <c r="A58" i="87"/>
  <c r="A57" i="87"/>
  <c r="A56" i="87"/>
  <c r="A55" i="87"/>
  <c r="A54" i="87"/>
  <c r="A53" i="87"/>
  <c r="A52" i="87"/>
  <c r="A51" i="87"/>
  <c r="A50" i="87"/>
  <c r="A49" i="87"/>
  <c r="A48" i="87"/>
  <c r="A47" i="87"/>
  <c r="A46" i="87"/>
  <c r="A45" i="87"/>
  <c r="A44" i="87"/>
  <c r="A43" i="87"/>
  <c r="A42" i="87"/>
  <c r="A41" i="87"/>
  <c r="A40" i="87"/>
  <c r="A39" i="87"/>
  <c r="A38" i="87"/>
  <c r="A37" i="87"/>
  <c r="A36" i="87"/>
  <c r="A35" i="87"/>
  <c r="A34" i="87"/>
  <c r="A33" i="87"/>
  <c r="A32" i="87"/>
  <c r="A31" i="87"/>
  <c r="A30" i="87"/>
  <c r="A29" i="87"/>
  <c r="A28" i="87"/>
  <c r="A27" i="87"/>
  <c r="A26" i="87"/>
  <c r="A25" i="87"/>
  <c r="A24" i="87"/>
  <c r="A23" i="87"/>
  <c r="A22" i="87"/>
  <c r="A21" i="87"/>
  <c r="A20" i="87"/>
  <c r="A19" i="87"/>
  <c r="A18" i="87"/>
  <c r="A17" i="87"/>
  <c r="A16" i="87"/>
  <c r="A15" i="87"/>
  <c r="A14" i="87"/>
  <c r="A13" i="87"/>
  <c r="A12" i="87"/>
  <c r="A11" i="87"/>
  <c r="A10" i="87"/>
  <c r="A9" i="87"/>
  <c r="A8" i="87"/>
  <c r="A7" i="87"/>
  <c r="A6" i="87"/>
  <c r="A5" i="87"/>
  <c r="A4" i="87"/>
  <c r="A3" i="87"/>
  <c r="I2" i="87"/>
  <c r="I3" i="87" s="1"/>
  <c r="A2" i="87"/>
  <c r="A67" i="86"/>
  <c r="F66" i="86"/>
  <c r="E66" i="86"/>
  <c r="C66" i="86"/>
  <c r="A66" i="86"/>
  <c r="E65" i="86"/>
  <c r="C65" i="86"/>
  <c r="C64" i="86" s="1"/>
  <c r="C63" i="86" s="1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I2" i="86"/>
  <c r="I3" i="86" s="1"/>
  <c r="A2" i="86"/>
  <c r="A67" i="85"/>
  <c r="F66" i="85"/>
  <c r="C66" i="85"/>
  <c r="E66" i="85" s="1"/>
  <c r="A66" i="85"/>
  <c r="C65" i="85"/>
  <c r="C64" i="85" s="1"/>
  <c r="E64" i="85" s="1"/>
  <c r="A65" i="85"/>
  <c r="A64" i="85"/>
  <c r="C63" i="85"/>
  <c r="E63" i="85" s="1"/>
  <c r="A63" i="85"/>
  <c r="A62" i="85"/>
  <c r="A61" i="85"/>
  <c r="A60" i="85"/>
  <c r="A59" i="85"/>
  <c r="A58" i="85"/>
  <c r="A57" i="85"/>
  <c r="A56" i="85"/>
  <c r="A55" i="85"/>
  <c r="A54" i="85"/>
  <c r="A53" i="85"/>
  <c r="A52" i="85"/>
  <c r="A51" i="85"/>
  <c r="A50" i="85"/>
  <c r="A49" i="85"/>
  <c r="A48" i="85"/>
  <c r="A47" i="85"/>
  <c r="A46" i="85"/>
  <c r="A45" i="85"/>
  <c r="A44" i="85"/>
  <c r="A43" i="85"/>
  <c r="A42" i="85"/>
  <c r="A41" i="85"/>
  <c r="A40" i="85"/>
  <c r="A39" i="85"/>
  <c r="A38" i="85"/>
  <c r="A37" i="85"/>
  <c r="A36" i="85"/>
  <c r="A35" i="85"/>
  <c r="A34" i="85"/>
  <c r="A33" i="85"/>
  <c r="A32" i="85"/>
  <c r="A31" i="85"/>
  <c r="A30" i="85"/>
  <c r="A29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A7" i="85"/>
  <c r="A6" i="85"/>
  <c r="A5" i="85"/>
  <c r="A4" i="85"/>
  <c r="A3" i="85"/>
  <c r="I2" i="85"/>
  <c r="I3" i="85" s="1"/>
  <c r="A2" i="85"/>
  <c r="A67" i="84"/>
  <c r="F66" i="84"/>
  <c r="C66" i="84"/>
  <c r="E66" i="84" s="1"/>
  <c r="A66" i="84"/>
  <c r="C65" i="84"/>
  <c r="E65" i="84" s="1"/>
  <c r="A65" i="84"/>
  <c r="C64" i="84"/>
  <c r="E64" i="84" s="1"/>
  <c r="A64" i="84"/>
  <c r="C63" i="84"/>
  <c r="E63" i="84" s="1"/>
  <c r="A63" i="84"/>
  <c r="A62" i="84"/>
  <c r="A61" i="84"/>
  <c r="A60" i="84"/>
  <c r="A59" i="84"/>
  <c r="A58" i="84"/>
  <c r="A57" i="84"/>
  <c r="A56" i="84"/>
  <c r="A55" i="84"/>
  <c r="A54" i="84"/>
  <c r="A53" i="84"/>
  <c r="A52" i="84"/>
  <c r="A51" i="84"/>
  <c r="A50" i="84"/>
  <c r="A49" i="84"/>
  <c r="A48" i="84"/>
  <c r="A47" i="84"/>
  <c r="A46" i="84"/>
  <c r="A45" i="84"/>
  <c r="A44" i="84"/>
  <c r="A43" i="84"/>
  <c r="A42" i="84"/>
  <c r="A41" i="84"/>
  <c r="A40" i="84"/>
  <c r="A39" i="84"/>
  <c r="A38" i="84"/>
  <c r="A37" i="84"/>
  <c r="A36" i="84"/>
  <c r="A35" i="84"/>
  <c r="A34" i="84"/>
  <c r="A33" i="84"/>
  <c r="A32" i="84"/>
  <c r="A31" i="84"/>
  <c r="A30" i="84"/>
  <c r="A29" i="84"/>
  <c r="A28" i="84"/>
  <c r="A27" i="84"/>
  <c r="A26" i="84"/>
  <c r="A25" i="84"/>
  <c r="A24" i="84"/>
  <c r="A23" i="84"/>
  <c r="A22" i="84"/>
  <c r="A21" i="84"/>
  <c r="A20" i="84"/>
  <c r="A19" i="84"/>
  <c r="A18" i="84"/>
  <c r="A17" i="84"/>
  <c r="A16" i="84"/>
  <c r="A15" i="84"/>
  <c r="A14" i="84"/>
  <c r="A13" i="84"/>
  <c r="A12" i="84"/>
  <c r="A11" i="84"/>
  <c r="A10" i="84"/>
  <c r="A9" i="84"/>
  <c r="A8" i="84"/>
  <c r="A7" i="84"/>
  <c r="A6" i="84"/>
  <c r="A5" i="84"/>
  <c r="A4" i="84"/>
  <c r="A3" i="84"/>
  <c r="I2" i="84"/>
  <c r="I3" i="84" s="1"/>
  <c r="A2" i="84"/>
  <c r="A67" i="83"/>
  <c r="F66" i="83"/>
  <c r="E66" i="83"/>
  <c r="C66" i="83"/>
  <c r="C65" i="83" s="1"/>
  <c r="C64" i="83" s="1"/>
  <c r="A66" i="83"/>
  <c r="E65" i="83"/>
  <c r="A65" i="83"/>
  <c r="A64" i="83"/>
  <c r="A63" i="83"/>
  <c r="A62" i="83"/>
  <c r="A61" i="83"/>
  <c r="A60" i="83"/>
  <c r="A59" i="83"/>
  <c r="A58" i="83"/>
  <c r="A57" i="83"/>
  <c r="A56" i="83"/>
  <c r="A55" i="83"/>
  <c r="A54" i="83"/>
  <c r="A53" i="83"/>
  <c r="A52" i="83"/>
  <c r="A51" i="83"/>
  <c r="A50" i="83"/>
  <c r="A49" i="83"/>
  <c r="A48" i="83"/>
  <c r="A47" i="83"/>
  <c r="A46" i="83"/>
  <c r="A45" i="83"/>
  <c r="A44" i="83"/>
  <c r="A43" i="83"/>
  <c r="A42" i="83"/>
  <c r="A41" i="83"/>
  <c r="A40" i="83"/>
  <c r="A39" i="83"/>
  <c r="A38" i="83"/>
  <c r="A37" i="83"/>
  <c r="A36" i="83"/>
  <c r="A35" i="83"/>
  <c r="A34" i="83"/>
  <c r="A33" i="83"/>
  <c r="A32" i="83"/>
  <c r="A31" i="83"/>
  <c r="A30" i="83"/>
  <c r="A29" i="83"/>
  <c r="A28" i="83"/>
  <c r="A27" i="83"/>
  <c r="A26" i="83"/>
  <c r="A25" i="83"/>
  <c r="A24" i="83"/>
  <c r="A23" i="83"/>
  <c r="A22" i="83"/>
  <c r="A21" i="83"/>
  <c r="A20" i="83"/>
  <c r="A19" i="83"/>
  <c r="A18" i="83"/>
  <c r="A17" i="83"/>
  <c r="A16" i="83"/>
  <c r="A15" i="83"/>
  <c r="A14" i="83"/>
  <c r="A13" i="83"/>
  <c r="A12" i="83"/>
  <c r="A11" i="83"/>
  <c r="A10" i="83"/>
  <c r="A9" i="83"/>
  <c r="A8" i="83"/>
  <c r="A7" i="83"/>
  <c r="A6" i="83"/>
  <c r="A5" i="83"/>
  <c r="I4" i="83"/>
  <c r="A4" i="83"/>
  <c r="A3" i="83"/>
  <c r="I2" i="83"/>
  <c r="I3" i="83" s="1"/>
  <c r="A2" i="83"/>
  <c r="A67" i="82"/>
  <c r="F66" i="82"/>
  <c r="C66" i="82"/>
  <c r="E66" i="82" s="1"/>
  <c r="A66" i="82"/>
  <c r="E65" i="82"/>
  <c r="C65" i="82"/>
  <c r="A65" i="82"/>
  <c r="C64" i="82"/>
  <c r="E64" i="82" s="1"/>
  <c r="A64" i="82"/>
  <c r="C63" i="82"/>
  <c r="C62" i="82" s="1"/>
  <c r="C61" i="82" s="1"/>
  <c r="C60" i="82" s="1"/>
  <c r="E60" i="82" s="1"/>
  <c r="A63" i="82"/>
  <c r="A62" i="82"/>
  <c r="A61" i="82"/>
  <c r="A60" i="82"/>
  <c r="C59" i="82"/>
  <c r="E59" i="82" s="1"/>
  <c r="A59" i="82"/>
  <c r="A58" i="82"/>
  <c r="A57" i="82"/>
  <c r="A56" i="82"/>
  <c r="A55" i="82"/>
  <c r="A54" i="82"/>
  <c r="A53" i="82"/>
  <c r="A52" i="82"/>
  <c r="A51" i="82"/>
  <c r="A50" i="82"/>
  <c r="A49" i="82"/>
  <c r="A48" i="82"/>
  <c r="A47" i="82"/>
  <c r="A46" i="82"/>
  <c r="A45" i="82"/>
  <c r="A44" i="82"/>
  <c r="A43" i="82"/>
  <c r="A42" i="82"/>
  <c r="A41" i="82"/>
  <c r="A40" i="82"/>
  <c r="A39" i="82"/>
  <c r="A38" i="82"/>
  <c r="A37" i="82"/>
  <c r="A36" i="82"/>
  <c r="A35" i="82"/>
  <c r="A34" i="82"/>
  <c r="A33" i="82"/>
  <c r="A32" i="82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8" i="82"/>
  <c r="A7" i="82"/>
  <c r="A6" i="82"/>
  <c r="I5" i="82"/>
  <c r="I6" i="82" s="1"/>
  <c r="A5" i="82"/>
  <c r="I4" i="82"/>
  <c r="A4" i="82"/>
  <c r="I3" i="82"/>
  <c r="A3" i="82"/>
  <c r="I2" i="82"/>
  <c r="A2" i="82"/>
  <c r="A67" i="81"/>
  <c r="F66" i="81"/>
  <c r="E66" i="81"/>
  <c r="C66" i="81"/>
  <c r="A66" i="81"/>
  <c r="C65" i="81"/>
  <c r="C64" i="81" s="1"/>
  <c r="A65" i="81"/>
  <c r="A64" i="81"/>
  <c r="A63" i="81"/>
  <c r="A62" i="81"/>
  <c r="A61" i="81"/>
  <c r="A60" i="81"/>
  <c r="A59" i="81"/>
  <c r="A58" i="81"/>
  <c r="A57" i="81"/>
  <c r="A56" i="81"/>
  <c r="A55" i="81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8" i="81"/>
  <c r="A7" i="81"/>
  <c r="A6" i="81"/>
  <c r="A5" i="81"/>
  <c r="A4" i="81"/>
  <c r="A3" i="81"/>
  <c r="I2" i="81"/>
  <c r="A2" i="81"/>
  <c r="A67" i="80"/>
  <c r="F66" i="80"/>
  <c r="C66" i="80"/>
  <c r="C65" i="80" s="1"/>
  <c r="A66" i="80"/>
  <c r="A65" i="80"/>
  <c r="A64" i="80"/>
  <c r="A63" i="80"/>
  <c r="A62" i="80"/>
  <c r="A61" i="80"/>
  <c r="A60" i="80"/>
  <c r="A59" i="80"/>
  <c r="A58" i="80"/>
  <c r="A57" i="80"/>
  <c r="A56" i="80"/>
  <c r="A55" i="80"/>
  <c r="A54" i="80"/>
  <c r="A53" i="80"/>
  <c r="A52" i="80"/>
  <c r="A51" i="80"/>
  <c r="A50" i="80"/>
  <c r="A49" i="80"/>
  <c r="A48" i="80"/>
  <c r="A47" i="80"/>
  <c r="A46" i="80"/>
  <c r="A45" i="80"/>
  <c r="A44" i="80"/>
  <c r="A43" i="80"/>
  <c r="A42" i="80"/>
  <c r="A41" i="80"/>
  <c r="A40" i="80"/>
  <c r="A39" i="80"/>
  <c r="A38" i="80"/>
  <c r="A37" i="80"/>
  <c r="A36" i="80"/>
  <c r="A35" i="80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4" i="80"/>
  <c r="A3" i="80"/>
  <c r="I2" i="80"/>
  <c r="I3" i="80" s="1"/>
  <c r="A2" i="80"/>
  <c r="A67" i="79"/>
  <c r="F66" i="79"/>
  <c r="E66" i="79"/>
  <c r="C66" i="79"/>
  <c r="A66" i="79"/>
  <c r="C65" i="79"/>
  <c r="E65" i="79" s="1"/>
  <c r="A65" i="79"/>
  <c r="A64" i="79"/>
  <c r="A63" i="79"/>
  <c r="A62" i="79"/>
  <c r="A61" i="79"/>
  <c r="A60" i="79"/>
  <c r="A59" i="79"/>
  <c r="A58" i="79"/>
  <c r="A57" i="79"/>
  <c r="A56" i="79"/>
  <c r="A55" i="79"/>
  <c r="A54" i="79"/>
  <c r="A53" i="79"/>
  <c r="A52" i="79"/>
  <c r="A51" i="79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I4" i="79"/>
  <c r="I5" i="79" s="1"/>
  <c r="I6" i="79" s="1"/>
  <c r="A4" i="79"/>
  <c r="I3" i="79"/>
  <c r="A3" i="79"/>
  <c r="I2" i="79"/>
  <c r="A2" i="79"/>
  <c r="A67" i="78"/>
  <c r="F66" i="78"/>
  <c r="C66" i="78"/>
  <c r="E66" i="78" s="1"/>
  <c r="A66" i="78"/>
  <c r="C65" i="78"/>
  <c r="A65" i="78"/>
  <c r="A64" i="78"/>
  <c r="A63" i="78"/>
  <c r="A62" i="78"/>
  <c r="A61" i="78"/>
  <c r="A60" i="78"/>
  <c r="A59" i="78"/>
  <c r="A58" i="78"/>
  <c r="A57" i="78"/>
  <c r="A56" i="78"/>
  <c r="A55" i="78"/>
  <c r="A54" i="78"/>
  <c r="A53" i="78"/>
  <c r="A52" i="78"/>
  <c r="A51" i="78"/>
  <c r="A50" i="78"/>
  <c r="A49" i="78"/>
  <c r="A48" i="78"/>
  <c r="A47" i="78"/>
  <c r="A46" i="78"/>
  <c r="A45" i="78"/>
  <c r="A44" i="78"/>
  <c r="A43" i="78"/>
  <c r="A42" i="78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4" i="78"/>
  <c r="I3" i="78"/>
  <c r="I4" i="78" s="1"/>
  <c r="I5" i="78" s="1"/>
  <c r="A3" i="78"/>
  <c r="I2" i="78"/>
  <c r="A2" i="78"/>
  <c r="A67" i="77"/>
  <c r="F66" i="77"/>
  <c r="E66" i="77"/>
  <c r="C66" i="77"/>
  <c r="A66" i="77"/>
  <c r="C65" i="77"/>
  <c r="E65" i="77" s="1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I4" i="77"/>
  <c r="I5" i="77" s="1"/>
  <c r="A4" i="77"/>
  <c r="A3" i="77"/>
  <c r="I2" i="77"/>
  <c r="I3" i="77" s="1"/>
  <c r="A2" i="77"/>
  <c r="A67" i="76"/>
  <c r="F66" i="76"/>
  <c r="C66" i="76"/>
  <c r="E66" i="76" s="1"/>
  <c r="A66" i="76"/>
  <c r="C65" i="76"/>
  <c r="E65" i="76" s="1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I3" i="76"/>
  <c r="A3" i="76"/>
  <c r="I2" i="76"/>
  <c r="A2" i="76"/>
  <c r="A67" i="75"/>
  <c r="F66" i="75"/>
  <c r="C66" i="75"/>
  <c r="E66" i="75" s="1"/>
  <c r="A66" i="75"/>
  <c r="C65" i="75"/>
  <c r="E65" i="75" s="1"/>
  <c r="A65" i="75"/>
  <c r="C64" i="75"/>
  <c r="A64" i="75"/>
  <c r="A63" i="75"/>
  <c r="A62" i="75"/>
  <c r="A61" i="75"/>
  <c r="A60" i="75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I4" i="75"/>
  <c r="I5" i="75" s="1"/>
  <c r="I6" i="75" s="1"/>
  <c r="I7" i="75" s="1"/>
  <c r="A4" i="75"/>
  <c r="I3" i="75"/>
  <c r="A3" i="75"/>
  <c r="I2" i="75"/>
  <c r="A2" i="75"/>
  <c r="A67" i="74"/>
  <c r="F66" i="74"/>
  <c r="C66" i="74"/>
  <c r="E66" i="74" s="1"/>
  <c r="A66" i="74"/>
  <c r="E65" i="74"/>
  <c r="C65" i="74"/>
  <c r="A65" i="74"/>
  <c r="C64" i="74"/>
  <c r="A64" i="74"/>
  <c r="A63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I5" i="74"/>
  <c r="I6" i="74" s="1"/>
  <c r="I7" i="74" s="1"/>
  <c r="A5" i="74"/>
  <c r="A4" i="74"/>
  <c r="A3" i="74"/>
  <c r="I2" i="74"/>
  <c r="I3" i="74" s="1"/>
  <c r="I4" i="74" s="1"/>
  <c r="A2" i="74"/>
  <c r="A67" i="73"/>
  <c r="F66" i="73"/>
  <c r="C66" i="73"/>
  <c r="C65" i="73" s="1"/>
  <c r="E65" i="73" s="1"/>
  <c r="A66" i="73"/>
  <c r="A65" i="73"/>
  <c r="E64" i="73"/>
  <c r="C64" i="73"/>
  <c r="C63" i="73" s="1"/>
  <c r="E63" i="73" s="1"/>
  <c r="A64" i="73"/>
  <c r="A63" i="73"/>
  <c r="A62" i="73"/>
  <c r="A61" i="73"/>
  <c r="A60" i="73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3" i="73"/>
  <c r="I2" i="73"/>
  <c r="I3" i="73" s="1"/>
  <c r="A2" i="73"/>
  <c r="A67" i="72"/>
  <c r="F66" i="72"/>
  <c r="C66" i="72"/>
  <c r="E66" i="72" s="1"/>
  <c r="A66" i="72"/>
  <c r="E65" i="72"/>
  <c r="C65" i="72"/>
  <c r="C64" i="72" s="1"/>
  <c r="E64" i="72" s="1"/>
  <c r="A65" i="72"/>
  <c r="A64" i="72"/>
  <c r="C63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I4" i="72"/>
  <c r="A4" i="72"/>
  <c r="I3" i="72"/>
  <c r="A3" i="72"/>
  <c r="I2" i="72"/>
  <c r="A2" i="72"/>
  <c r="A67" i="71"/>
  <c r="F66" i="71"/>
  <c r="C66" i="71"/>
  <c r="E66" i="71" s="1"/>
  <c r="A66" i="71"/>
  <c r="C65" i="71"/>
  <c r="E65" i="71" s="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I5" i="71"/>
  <c r="I6" i="71" s="1"/>
  <c r="A5" i="71"/>
  <c r="A4" i="71"/>
  <c r="I3" i="71"/>
  <c r="I4" i="71" s="1"/>
  <c r="A3" i="71"/>
  <c r="I2" i="71"/>
  <c r="A2" i="71"/>
  <c r="A67" i="70"/>
  <c r="F66" i="70"/>
  <c r="E66" i="70"/>
  <c r="C66" i="70"/>
  <c r="C65" i="70" s="1"/>
  <c r="A66" i="70"/>
  <c r="A65" i="70"/>
  <c r="A64" i="70"/>
  <c r="A63" i="70"/>
  <c r="A62" i="70"/>
  <c r="A61" i="70"/>
  <c r="A60" i="70"/>
  <c r="A59" i="70"/>
  <c r="A58" i="70"/>
  <c r="A57" i="70"/>
  <c r="A56" i="70"/>
  <c r="A55" i="70"/>
  <c r="A54" i="70"/>
  <c r="A53" i="70"/>
  <c r="A52" i="70"/>
  <c r="A51" i="70"/>
  <c r="A50" i="70"/>
  <c r="A49" i="70"/>
  <c r="A48" i="70"/>
  <c r="A47" i="70"/>
  <c r="A46" i="70"/>
  <c r="A45" i="70"/>
  <c r="A44" i="70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4" i="70"/>
  <c r="A3" i="70"/>
  <c r="I2" i="70"/>
  <c r="I3" i="70" s="1"/>
  <c r="A2" i="70"/>
  <c r="A67" i="69"/>
  <c r="F66" i="69"/>
  <c r="E66" i="69"/>
  <c r="C66" i="69"/>
  <c r="A66" i="69"/>
  <c r="C65" i="69"/>
  <c r="C64" i="69" s="1"/>
  <c r="E64" i="69" s="1"/>
  <c r="A65" i="69"/>
  <c r="A64" i="69"/>
  <c r="C63" i="69"/>
  <c r="E63" i="69" s="1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I2" i="69"/>
  <c r="A2" i="69"/>
  <c r="A67" i="68"/>
  <c r="F66" i="68"/>
  <c r="E66" i="68"/>
  <c r="C66" i="68"/>
  <c r="A66" i="68"/>
  <c r="C65" i="68"/>
  <c r="E65" i="68" s="1"/>
  <c r="A65" i="68"/>
  <c r="C64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I3" i="68"/>
  <c r="I4" i="68" s="1"/>
  <c r="A3" i="68"/>
  <c r="I2" i="68"/>
  <c r="A2" i="68"/>
  <c r="A67" i="67"/>
  <c r="F66" i="67"/>
  <c r="E66" i="67"/>
  <c r="C66" i="67"/>
  <c r="C65" i="67" s="1"/>
  <c r="C64" i="67" s="1"/>
  <c r="A66" i="67"/>
  <c r="A65" i="67"/>
  <c r="A64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4" i="67"/>
  <c r="A3" i="67"/>
  <c r="I2" i="67"/>
  <c r="I3" i="67" s="1"/>
  <c r="A2" i="67"/>
  <c r="A67" i="66"/>
  <c r="F66" i="66"/>
  <c r="E66" i="66"/>
  <c r="C66" i="66"/>
  <c r="A66" i="66"/>
  <c r="C65" i="66"/>
  <c r="E65" i="66" s="1"/>
  <c r="A65" i="66"/>
  <c r="C64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I2" i="66"/>
  <c r="I3" i="66" s="1"/>
  <c r="I4" i="66" s="1"/>
  <c r="A2" i="66"/>
  <c r="A67" i="65"/>
  <c r="F66" i="65"/>
  <c r="C66" i="65"/>
  <c r="E66" i="65" s="1"/>
  <c r="A66" i="65"/>
  <c r="C65" i="65"/>
  <c r="E65" i="65" s="1"/>
  <c r="A65" i="65"/>
  <c r="C64" i="65"/>
  <c r="A64" i="65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4" i="65"/>
  <c r="A3" i="65"/>
  <c r="I2" i="65"/>
  <c r="A2" i="65"/>
  <c r="A67" i="64"/>
  <c r="F66" i="64"/>
  <c r="E66" i="64"/>
  <c r="C66" i="64"/>
  <c r="A66" i="64"/>
  <c r="C65" i="64"/>
  <c r="E65" i="64" s="1"/>
  <c r="A65" i="64"/>
  <c r="C64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4" i="64"/>
  <c r="A3" i="64"/>
  <c r="I2" i="64"/>
  <c r="A2" i="64"/>
  <c r="A67" i="63"/>
  <c r="F66" i="63"/>
  <c r="E66" i="63"/>
  <c r="C66" i="63"/>
  <c r="A66" i="63"/>
  <c r="C65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I3" i="63"/>
  <c r="I4" i="63" s="1"/>
  <c r="A3" i="63"/>
  <c r="I2" i="63"/>
  <c r="A2" i="63"/>
  <c r="A67" i="62"/>
  <c r="F66" i="62"/>
  <c r="E66" i="62"/>
  <c r="C66" i="62"/>
  <c r="C65" i="62" s="1"/>
  <c r="A66" i="62"/>
  <c r="E65" i="62"/>
  <c r="A65" i="62"/>
  <c r="C64" i="62"/>
  <c r="E64" i="62" s="1"/>
  <c r="A64" i="62"/>
  <c r="C63" i="62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I3" i="62"/>
  <c r="I4" i="62" s="1"/>
  <c r="I5" i="62" s="1"/>
  <c r="A3" i="62"/>
  <c r="I2" i="62"/>
  <c r="A2" i="62"/>
  <c r="A67" i="61"/>
  <c r="F66" i="61"/>
  <c r="E66" i="61"/>
  <c r="C66" i="61"/>
  <c r="A66" i="61"/>
  <c r="C65" i="61"/>
  <c r="E65" i="61" s="1"/>
  <c r="A65" i="61"/>
  <c r="E64" i="61"/>
  <c r="C64" i="61"/>
  <c r="C63" i="61" s="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I5" i="61"/>
  <c r="I6" i="61" s="1"/>
  <c r="I7" i="61" s="1"/>
  <c r="A5" i="61"/>
  <c r="I4" i="61"/>
  <c r="A4" i="61"/>
  <c r="I3" i="61"/>
  <c r="A3" i="61"/>
  <c r="I2" i="61"/>
  <c r="A2" i="61"/>
  <c r="A67" i="60"/>
  <c r="F66" i="60"/>
  <c r="E66" i="60"/>
  <c r="C66" i="60"/>
  <c r="A66" i="60"/>
  <c r="E65" i="60"/>
  <c r="C65" i="60"/>
  <c r="A65" i="60"/>
  <c r="C64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I4" i="60"/>
  <c r="A4" i="60"/>
  <c r="A3" i="60"/>
  <c r="I2" i="60"/>
  <c r="I3" i="60" s="1"/>
  <c r="A2" i="60"/>
  <c r="A67" i="59"/>
  <c r="F66" i="59"/>
  <c r="C66" i="59"/>
  <c r="E66" i="59" s="1"/>
  <c r="A66" i="59"/>
  <c r="E65" i="59"/>
  <c r="C65" i="59"/>
  <c r="A65" i="59"/>
  <c r="E64" i="59"/>
  <c r="C64" i="59"/>
  <c r="C63" i="59" s="1"/>
  <c r="C62" i="59" s="1"/>
  <c r="A64" i="59"/>
  <c r="E63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I5" i="59"/>
  <c r="I6" i="59" s="1"/>
  <c r="A5" i="59"/>
  <c r="I4" i="59"/>
  <c r="A4" i="59"/>
  <c r="I3" i="59"/>
  <c r="A3" i="59"/>
  <c r="I2" i="59"/>
  <c r="A2" i="59"/>
  <c r="A67" i="58"/>
  <c r="F66" i="58"/>
  <c r="C66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I2" i="58"/>
  <c r="A2" i="58"/>
  <c r="A67" i="57"/>
  <c r="E66" i="57"/>
  <c r="C66" i="57"/>
  <c r="C65" i="57" s="1"/>
  <c r="C64" i="57" s="1"/>
  <c r="A66" i="57"/>
  <c r="E65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4" i="57"/>
  <c r="A3" i="57"/>
  <c r="I2" i="57"/>
  <c r="I3" i="57" s="1"/>
  <c r="A2" i="57"/>
  <c r="A67" i="56"/>
  <c r="C66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9" i="56"/>
  <c r="A8" i="56"/>
  <c r="A7" i="56"/>
  <c r="A6" i="56"/>
  <c r="A5" i="56"/>
  <c r="A4" i="56"/>
  <c r="A3" i="56"/>
  <c r="I2" i="56"/>
  <c r="I3" i="56" s="1"/>
  <c r="A2" i="56"/>
  <c r="A67" i="55"/>
  <c r="C66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A3" i="55"/>
  <c r="I2" i="55"/>
  <c r="A2" i="55"/>
  <c r="A67" i="54"/>
  <c r="C66" i="54"/>
  <c r="E66" i="54" s="1"/>
  <c r="A66" i="54"/>
  <c r="C65" i="54"/>
  <c r="C64" i="54" s="1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I2" i="54"/>
  <c r="I3" i="54" s="1"/>
  <c r="A2" i="54"/>
  <c r="A67" i="53"/>
  <c r="C66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I3" i="53"/>
  <c r="A3" i="53"/>
  <c r="I2" i="53"/>
  <c r="A2" i="53"/>
  <c r="A67" i="52"/>
  <c r="C66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I3" i="52"/>
  <c r="A3" i="52"/>
  <c r="I2" i="52"/>
  <c r="A2" i="52"/>
  <c r="A67" i="51"/>
  <c r="E66" i="51"/>
  <c r="C66" i="51"/>
  <c r="A66" i="51"/>
  <c r="C65" i="51"/>
  <c r="E65" i="51" s="1"/>
  <c r="A65" i="51"/>
  <c r="C64" i="51"/>
  <c r="E64" i="51" s="1"/>
  <c r="A64" i="51"/>
  <c r="C63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8" i="51"/>
  <c r="A7" i="51"/>
  <c r="A6" i="51"/>
  <c r="A5" i="51"/>
  <c r="I4" i="51"/>
  <c r="I5" i="51" s="1"/>
  <c r="A4" i="51"/>
  <c r="I3" i="51"/>
  <c r="A3" i="51"/>
  <c r="I2" i="51"/>
  <c r="A2" i="51"/>
  <c r="A67" i="50"/>
  <c r="C66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I2" i="50"/>
  <c r="I3" i="50" s="1"/>
  <c r="A2" i="50"/>
  <c r="A67" i="49"/>
  <c r="C66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4" i="49"/>
  <c r="I3" i="49"/>
  <c r="A3" i="49"/>
  <c r="I2" i="49"/>
  <c r="A2" i="49"/>
  <c r="A67" i="48"/>
  <c r="C66" i="48"/>
  <c r="E66" i="48" s="1"/>
  <c r="A66" i="48"/>
  <c r="C65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4" i="48"/>
  <c r="A3" i="48"/>
  <c r="I2" i="48"/>
  <c r="I3" i="48" s="1"/>
  <c r="I4" i="48" s="1"/>
  <c r="I5" i="48" s="1"/>
  <c r="A2" i="48"/>
  <c r="A67" i="47"/>
  <c r="E66" i="47"/>
  <c r="C66" i="47"/>
  <c r="A66" i="47"/>
  <c r="E65" i="47"/>
  <c r="C65" i="47"/>
  <c r="A65" i="47"/>
  <c r="C64" i="47"/>
  <c r="E64" i="47" s="1"/>
  <c r="A64" i="47"/>
  <c r="C63" i="47"/>
  <c r="E63" i="47" s="1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I2" i="47"/>
  <c r="A2" i="47"/>
  <c r="A67" i="46"/>
  <c r="C66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I5" i="46"/>
  <c r="I6" i="46" s="1"/>
  <c r="I7" i="46" s="1"/>
  <c r="A5" i="46"/>
  <c r="A4" i="46"/>
  <c r="I3" i="46"/>
  <c r="I4" i="46" s="1"/>
  <c r="A3" i="46"/>
  <c r="I2" i="46"/>
  <c r="A2" i="46"/>
  <c r="A67" i="45"/>
  <c r="E66" i="45"/>
  <c r="C66" i="45"/>
  <c r="A66" i="45"/>
  <c r="E65" i="45"/>
  <c r="C65" i="45"/>
  <c r="A65" i="45"/>
  <c r="E64" i="45"/>
  <c r="C64" i="45"/>
  <c r="A64" i="45"/>
  <c r="E63" i="45"/>
  <c r="C63" i="45"/>
  <c r="C62" i="45" s="1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A5" i="45"/>
  <c r="A4" i="45"/>
  <c r="A3" i="45"/>
  <c r="I2" i="45"/>
  <c r="A2" i="45"/>
  <c r="A67" i="44"/>
  <c r="E66" i="44"/>
  <c r="C66" i="44"/>
  <c r="A66" i="44"/>
  <c r="C65" i="44"/>
  <c r="E65" i="44" s="1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A6" i="44"/>
  <c r="A5" i="44"/>
  <c r="A4" i="44"/>
  <c r="I3" i="44"/>
  <c r="I4" i="44" s="1"/>
  <c r="A3" i="44"/>
  <c r="I2" i="44"/>
  <c r="A2" i="44"/>
  <c r="A67" i="43"/>
  <c r="C66" i="43"/>
  <c r="C65" i="43" s="1"/>
  <c r="A66" i="43"/>
  <c r="E65" i="43"/>
  <c r="A65" i="43"/>
  <c r="E64" i="43"/>
  <c r="C64" i="43"/>
  <c r="A64" i="43"/>
  <c r="E63" i="43"/>
  <c r="C63" i="43"/>
  <c r="C62" i="43" s="1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I2" i="43"/>
  <c r="A2" i="43"/>
  <c r="A67" i="42"/>
  <c r="C66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I5" i="42"/>
  <c r="I6" i="42" s="1"/>
  <c r="A5" i="42"/>
  <c r="I4" i="42"/>
  <c r="A4" i="42"/>
  <c r="I3" i="42"/>
  <c r="A3" i="42"/>
  <c r="I2" i="42"/>
  <c r="A2" i="42"/>
  <c r="A67" i="41"/>
  <c r="C66" i="41"/>
  <c r="E66" i="41" s="1"/>
  <c r="A66" i="41"/>
  <c r="C65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I4" i="41"/>
  <c r="A4" i="41"/>
  <c r="A3" i="41"/>
  <c r="I2" i="41"/>
  <c r="I3" i="41" s="1"/>
  <c r="A2" i="41"/>
  <c r="A67" i="40"/>
  <c r="C66" i="40"/>
  <c r="C65" i="40" s="1"/>
  <c r="C64" i="40" s="1"/>
  <c r="E64" i="40" s="1"/>
  <c r="A66" i="40"/>
  <c r="E65" i="40"/>
  <c r="A65" i="40"/>
  <c r="A64" i="40"/>
  <c r="C63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4" i="40"/>
  <c r="A3" i="40"/>
  <c r="I2" i="40"/>
  <c r="A2" i="40"/>
  <c r="A67" i="39"/>
  <c r="C66" i="39"/>
  <c r="C65" i="39" s="1"/>
  <c r="C64" i="39" s="1"/>
  <c r="C63" i="39" s="1"/>
  <c r="A66" i="39"/>
  <c r="E65" i="39"/>
  <c r="A65" i="39"/>
  <c r="E64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I3" i="39"/>
  <c r="A3" i="39"/>
  <c r="I2" i="39"/>
  <c r="A2" i="39"/>
  <c r="A67" i="38"/>
  <c r="C66" i="38"/>
  <c r="E66" i="38" s="1"/>
  <c r="A66" i="38"/>
  <c r="C65" i="38"/>
  <c r="E65" i="38" s="1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I2" i="38"/>
  <c r="A2" i="38"/>
  <c r="A67" i="37"/>
  <c r="E66" i="37"/>
  <c r="C66" i="37"/>
  <c r="A66" i="37"/>
  <c r="C65" i="37"/>
  <c r="E65" i="37" s="1"/>
  <c r="A65" i="37"/>
  <c r="C64" i="37"/>
  <c r="C63" i="37" s="1"/>
  <c r="E63" i="37" s="1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I3" i="37"/>
  <c r="I4" i="37" s="1"/>
  <c r="A3" i="37"/>
  <c r="I2" i="37"/>
  <c r="A2" i="37"/>
  <c r="A67" i="36"/>
  <c r="E66" i="36"/>
  <c r="C66" i="36"/>
  <c r="A66" i="36"/>
  <c r="C65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4" i="36"/>
  <c r="A3" i="36"/>
  <c r="I2" i="36"/>
  <c r="A2" i="36"/>
  <c r="A67" i="35"/>
  <c r="E66" i="35"/>
  <c r="C66" i="35"/>
  <c r="A66" i="35"/>
  <c r="C65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I2" i="35"/>
  <c r="A2" i="35"/>
  <c r="A67" i="34"/>
  <c r="C66" i="34"/>
  <c r="C65" i="34" s="1"/>
  <c r="C64" i="34" s="1"/>
  <c r="C63" i="34" s="1"/>
  <c r="C62" i="34" s="1"/>
  <c r="A66" i="34"/>
  <c r="E65" i="34"/>
  <c r="A65" i="34"/>
  <c r="E64" i="34"/>
  <c r="A64" i="34"/>
  <c r="E63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I2" i="34"/>
  <c r="A2" i="34"/>
  <c r="A67" i="33"/>
  <c r="E66" i="33"/>
  <c r="C66" i="33"/>
  <c r="A66" i="33"/>
  <c r="C65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I3" i="33"/>
  <c r="A3" i="33"/>
  <c r="I2" i="33"/>
  <c r="A2" i="33"/>
  <c r="A67" i="32"/>
  <c r="C66" i="32"/>
  <c r="E66" i="32" s="1"/>
  <c r="A66" i="32"/>
  <c r="C65" i="32"/>
  <c r="E65" i="32" s="1"/>
  <c r="A65" i="32"/>
  <c r="C64" i="32"/>
  <c r="C63" i="32" s="1"/>
  <c r="C62" i="32" s="1"/>
  <c r="E62" i="32" s="1"/>
  <c r="A64" i="32"/>
  <c r="E63" i="32"/>
  <c r="A63" i="32"/>
  <c r="A62" i="32"/>
  <c r="C61" i="32"/>
  <c r="E61" i="32" s="1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I3" i="32"/>
  <c r="I4" i="32" s="1"/>
  <c r="I5" i="32" s="1"/>
  <c r="I6" i="32" s="1"/>
  <c r="A3" i="32"/>
  <c r="I2" i="32"/>
  <c r="A2" i="32"/>
  <c r="A67" i="31"/>
  <c r="C66" i="31"/>
  <c r="E66" i="31" s="1"/>
  <c r="A66" i="31"/>
  <c r="C65" i="31"/>
  <c r="E65" i="31" s="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I2" i="31"/>
  <c r="I3" i="31" s="1"/>
  <c r="A2" i="31"/>
  <c r="A67" i="30"/>
  <c r="C66" i="30"/>
  <c r="E66" i="30" s="1"/>
  <c r="A66" i="30"/>
  <c r="E65" i="30"/>
  <c r="C65" i="30"/>
  <c r="C64" i="30" s="1"/>
  <c r="C63" i="30" s="1"/>
  <c r="E63" i="30" s="1"/>
  <c r="A65" i="30"/>
  <c r="E64" i="30"/>
  <c r="A64" i="30"/>
  <c r="A63" i="30"/>
  <c r="C62" i="30"/>
  <c r="C61" i="30" s="1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I3" i="30"/>
  <c r="I4" i="30" s="1"/>
  <c r="A3" i="30"/>
  <c r="I2" i="30"/>
  <c r="A2" i="30"/>
  <c r="A67" i="29"/>
  <c r="C66" i="29"/>
  <c r="E66" i="29" s="1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I4" i="29"/>
  <c r="I5" i="29" s="1"/>
  <c r="A4" i="29"/>
  <c r="A3" i="29"/>
  <c r="I2" i="29"/>
  <c r="I3" i="29" s="1"/>
  <c r="A2" i="29"/>
  <c r="A67" i="28"/>
  <c r="C66" i="28"/>
  <c r="E66" i="28" s="1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I4" i="28"/>
  <c r="A4" i="28"/>
  <c r="A3" i="28"/>
  <c r="I2" i="28"/>
  <c r="I3" i="28" s="1"/>
  <c r="A2" i="28"/>
  <c r="A67" i="27"/>
  <c r="C66" i="27"/>
  <c r="E66" i="27" s="1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I5" i="27"/>
  <c r="I6" i="27" s="1"/>
  <c r="A5" i="27"/>
  <c r="A4" i="27"/>
  <c r="A3" i="27"/>
  <c r="I2" i="27"/>
  <c r="I3" i="27" s="1"/>
  <c r="I4" i="27" s="1"/>
  <c r="A2" i="27"/>
  <c r="A67" i="26"/>
  <c r="E66" i="26"/>
  <c r="C66" i="26"/>
  <c r="C65" i="26" s="1"/>
  <c r="C64" i="26" s="1"/>
  <c r="E64" i="26" s="1"/>
  <c r="A66" i="26"/>
  <c r="A65" i="26"/>
  <c r="A64" i="26"/>
  <c r="C63" i="26"/>
  <c r="E63" i="26" s="1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I4" i="26"/>
  <c r="I5" i="26" s="1"/>
  <c r="A4" i="26"/>
  <c r="I3" i="26"/>
  <c r="A3" i="26"/>
  <c r="I2" i="26"/>
  <c r="A2" i="26"/>
  <c r="A67" i="25"/>
  <c r="E66" i="25"/>
  <c r="C66" i="25"/>
  <c r="A66" i="25"/>
  <c r="C65" i="25"/>
  <c r="E65" i="25" s="1"/>
  <c r="A65" i="25"/>
  <c r="C64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I3" i="25"/>
  <c r="I4" i="25" s="1"/>
  <c r="A3" i="25"/>
  <c r="I2" i="25"/>
  <c r="A2" i="25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I2" i="24"/>
  <c r="I3" i="24" s="1"/>
  <c r="I4" i="24" s="1"/>
  <c r="I5" i="24" s="1"/>
  <c r="I6" i="24" s="1"/>
  <c r="A2" i="24"/>
  <c r="A67" i="23"/>
  <c r="E66" i="23"/>
  <c r="C66" i="23"/>
  <c r="C65" i="23" s="1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I2" i="23"/>
  <c r="I3" i="23" s="1"/>
  <c r="I4" i="23" s="1"/>
  <c r="A2" i="23"/>
  <c r="A67" i="22"/>
  <c r="E66" i="22"/>
  <c r="C66" i="22"/>
  <c r="A66" i="22"/>
  <c r="E65" i="22"/>
  <c r="C65" i="22"/>
  <c r="C64" i="22" s="1"/>
  <c r="E64" i="22" s="1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I6" i="22"/>
  <c r="A6" i="22"/>
  <c r="A5" i="22"/>
  <c r="I4" i="22"/>
  <c r="I5" i="22" s="1"/>
  <c r="A4" i="22"/>
  <c r="I3" i="22"/>
  <c r="A3" i="22"/>
  <c r="I2" i="22"/>
  <c r="A2" i="22"/>
  <c r="A67" i="21"/>
  <c r="E66" i="21"/>
  <c r="C66" i="21"/>
  <c r="A66" i="21"/>
  <c r="C65" i="21"/>
  <c r="E65" i="21" s="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I2" i="21"/>
  <c r="I3" i="21" s="1"/>
  <c r="A2" i="21"/>
  <c r="A67" i="20"/>
  <c r="E66" i="20"/>
  <c r="C66" i="20"/>
  <c r="A66" i="20"/>
  <c r="C65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I2" i="20"/>
  <c r="I3" i="20" s="1"/>
  <c r="A2" i="20"/>
  <c r="A67" i="19"/>
  <c r="E66" i="19"/>
  <c r="C66" i="19"/>
  <c r="A66" i="19"/>
  <c r="C65" i="19"/>
  <c r="C64" i="19" s="1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I2" i="19"/>
  <c r="I3" i="19" s="1"/>
  <c r="A2" i="19"/>
  <c r="A67" i="18"/>
  <c r="C66" i="18"/>
  <c r="E66" i="18" s="1"/>
  <c r="A66" i="18"/>
  <c r="C65" i="18"/>
  <c r="C64" i="18" s="1"/>
  <c r="E64" i="18" s="1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I3" i="18"/>
  <c r="I4" i="18" s="1"/>
  <c r="A3" i="18"/>
  <c r="I2" i="18"/>
  <c r="A2" i="18"/>
  <c r="A67" i="17"/>
  <c r="C66" i="17"/>
  <c r="E66" i="17" s="1"/>
  <c r="A66" i="17"/>
  <c r="C65" i="17"/>
  <c r="E65" i="17" s="1"/>
  <c r="A65" i="17"/>
  <c r="C64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I2" i="17"/>
  <c r="A2" i="17"/>
  <c r="A67" i="16"/>
  <c r="C66" i="16"/>
  <c r="E66" i="16" s="1"/>
  <c r="A66" i="16"/>
  <c r="C65" i="16"/>
  <c r="C64" i="16" s="1"/>
  <c r="E64" i="16" s="1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I4" i="16"/>
  <c r="I5" i="16" s="1"/>
  <c r="A4" i="16"/>
  <c r="I3" i="16"/>
  <c r="A3" i="16"/>
  <c r="I2" i="16"/>
  <c r="A2" i="16"/>
  <c r="A67" i="15"/>
  <c r="E66" i="15"/>
  <c r="C66" i="15"/>
  <c r="A66" i="15"/>
  <c r="C65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I5" i="15"/>
  <c r="I6" i="15" s="1"/>
  <c r="I7" i="15" s="1"/>
  <c r="A5" i="15"/>
  <c r="A4" i="15"/>
  <c r="I3" i="15"/>
  <c r="I4" i="15" s="1"/>
  <c r="A3" i="15"/>
  <c r="I2" i="15"/>
  <c r="A2" i="15"/>
  <c r="A67" i="14"/>
  <c r="C66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I5" i="14"/>
  <c r="I6" i="14" s="1"/>
  <c r="A5" i="14"/>
  <c r="I4" i="14"/>
  <c r="A4" i="14"/>
  <c r="A3" i="14"/>
  <c r="I2" i="14"/>
  <c r="I3" i="14" s="1"/>
  <c r="A2" i="14"/>
  <c r="A67" i="13"/>
  <c r="C66" i="13"/>
  <c r="E66" i="13" s="1"/>
  <c r="A66" i="13"/>
  <c r="C65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I5" i="13"/>
  <c r="A5" i="13"/>
  <c r="A4" i="13"/>
  <c r="A3" i="13"/>
  <c r="I2" i="13"/>
  <c r="I3" i="13" s="1"/>
  <c r="I4" i="13" s="1"/>
  <c r="A2" i="13"/>
  <c r="A67" i="12"/>
  <c r="C66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I5" i="12"/>
  <c r="I6" i="12" s="1"/>
  <c r="I7" i="12" s="1"/>
  <c r="A5" i="12"/>
  <c r="A4" i="12"/>
  <c r="A3" i="12"/>
  <c r="I2" i="12"/>
  <c r="I3" i="12" s="1"/>
  <c r="I4" i="12" s="1"/>
  <c r="A2" i="12"/>
  <c r="A67" i="11"/>
  <c r="E66" i="11"/>
  <c r="C66" i="11"/>
  <c r="A66" i="11"/>
  <c r="E65" i="11"/>
  <c r="C65" i="11"/>
  <c r="A65" i="11"/>
  <c r="C64" i="11"/>
  <c r="E64" i="11" s="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I2" i="11"/>
  <c r="A2" i="11"/>
  <c r="A67" i="10"/>
  <c r="E66" i="10"/>
  <c r="C66" i="10"/>
  <c r="A66" i="10"/>
  <c r="C65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I2" i="10"/>
  <c r="I3" i="10" s="1"/>
  <c r="I4" i="10" s="1"/>
  <c r="A2" i="10"/>
  <c r="A67" i="9"/>
  <c r="C66" i="9"/>
  <c r="E66" i="9" s="1"/>
  <c r="A66" i="9"/>
  <c r="C65" i="9"/>
  <c r="C64" i="9" s="1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I4" i="9"/>
  <c r="I5" i="9" s="1"/>
  <c r="A4" i="9"/>
  <c r="I3" i="9"/>
  <c r="A3" i="9"/>
  <c r="I2" i="9"/>
  <c r="A2" i="9"/>
  <c r="A67" i="8"/>
  <c r="C66" i="8"/>
  <c r="E66" i="8" s="1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I2" i="8"/>
  <c r="A2" i="8"/>
  <c r="A67" i="7"/>
  <c r="C66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I7" i="7"/>
  <c r="A7" i="7"/>
  <c r="I6" i="7"/>
  <c r="A6" i="7"/>
  <c r="I5" i="7"/>
  <c r="A5" i="7"/>
  <c r="A4" i="7"/>
  <c r="I3" i="7"/>
  <c r="I4" i="7" s="1"/>
  <c r="A3" i="7"/>
  <c r="I2" i="7"/>
  <c r="A2" i="7"/>
  <c r="A67" i="6"/>
  <c r="C66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7" i="5"/>
  <c r="E66" i="5"/>
  <c r="C66" i="5"/>
  <c r="A66" i="5"/>
  <c r="E65" i="5"/>
  <c r="C65" i="5"/>
  <c r="A65" i="5"/>
  <c r="C64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I2" i="5"/>
  <c r="I3" i="5" s="1"/>
  <c r="A2" i="5"/>
  <c r="A67" i="4"/>
  <c r="C66" i="4"/>
  <c r="E66" i="4" s="1"/>
  <c r="A66" i="4"/>
  <c r="E65" i="4"/>
  <c r="C65" i="4"/>
  <c r="C64" i="4" s="1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I2" i="4"/>
  <c r="I3" i="4" s="1"/>
  <c r="A2" i="4"/>
  <c r="A67" i="3"/>
  <c r="C66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I3" i="3"/>
  <c r="A3" i="3"/>
  <c r="I2" i="3"/>
  <c r="A2" i="3"/>
  <c r="IU67" i="2"/>
  <c r="IS67" i="2"/>
  <c r="IJ67" i="2"/>
  <c r="IH67" i="2"/>
  <c r="HY67" i="2"/>
  <c r="HW67" i="2"/>
  <c r="HN67" i="2"/>
  <c r="HL67" i="2"/>
  <c r="HC67" i="2"/>
  <c r="HA67" i="2"/>
  <c r="GR67" i="2"/>
  <c r="GP67" i="2"/>
  <c r="GE67" i="2"/>
  <c r="FV67" i="2"/>
  <c r="FT67" i="2"/>
  <c r="FK67" i="2"/>
  <c r="FL66" i="2" s="1"/>
  <c r="FI67" i="2"/>
  <c r="EZ67" i="2"/>
  <c r="EX67" i="2"/>
  <c r="EO67" i="2"/>
  <c r="EM67" i="2"/>
  <c r="ED67" i="2"/>
  <c r="EB67" i="2"/>
  <c r="DS67" i="2"/>
  <c r="DQ67" i="2"/>
  <c r="DH67" i="2"/>
  <c r="DF67" i="2"/>
  <c r="CW67" i="2"/>
  <c r="CU67" i="2"/>
  <c r="CL67" i="2"/>
  <c r="CJ67" i="2"/>
  <c r="CA67" i="2"/>
  <c r="BY67" i="2"/>
  <c r="BP67" i="2"/>
  <c r="BN67" i="2"/>
  <c r="BE67" i="2"/>
  <c r="BC67" i="2"/>
  <c r="AT67" i="2"/>
  <c r="AR67" i="2"/>
  <c r="AI67" i="2"/>
  <c r="AG67" i="2"/>
  <c r="X67" i="2"/>
  <c r="V67" i="2"/>
  <c r="M67" i="2"/>
  <c r="K67" i="2"/>
  <c r="A67" i="2"/>
  <c r="IU66" i="2"/>
  <c r="IV66" i="2" s="1"/>
  <c r="IS66" i="2"/>
  <c r="IK66" i="2"/>
  <c r="IJ66" i="2"/>
  <c r="IH66" i="2"/>
  <c r="HY66" i="2"/>
  <c r="HW66" i="2"/>
  <c r="HN66" i="2"/>
  <c r="HL66" i="2"/>
  <c r="HD66" i="2"/>
  <c r="HC66" i="2"/>
  <c r="HA66" i="2"/>
  <c r="GS66" i="2"/>
  <c r="GR66" i="2"/>
  <c r="GP66" i="2"/>
  <c r="GE66" i="2"/>
  <c r="FV66" i="2"/>
  <c r="FW66" i="2" s="1"/>
  <c r="FT66" i="2"/>
  <c r="FK66" i="2"/>
  <c r="FI66" i="2"/>
  <c r="EZ66" i="2"/>
  <c r="FA66" i="2" s="1"/>
  <c r="EX66" i="2"/>
  <c r="EM66" i="2"/>
  <c r="ED66" i="2"/>
  <c r="EB66" i="2"/>
  <c r="DS66" i="2"/>
  <c r="DT65" i="2" s="1"/>
  <c r="DQ66" i="2"/>
  <c r="DH66" i="2"/>
  <c r="DI66" i="2" s="1"/>
  <c r="DF66" i="2"/>
  <c r="CW66" i="2"/>
  <c r="CU66" i="2"/>
  <c r="CL66" i="2"/>
  <c r="CJ66" i="2"/>
  <c r="CA66" i="2"/>
  <c r="BY66" i="2"/>
  <c r="BQ66" i="2"/>
  <c r="BP66" i="2"/>
  <c r="BN66" i="2"/>
  <c r="BE66" i="2"/>
  <c r="BC66" i="2"/>
  <c r="AT66" i="2"/>
  <c r="AR66" i="2"/>
  <c r="AJ66" i="2"/>
  <c r="AI66" i="2"/>
  <c r="AG66" i="2"/>
  <c r="V66" i="2"/>
  <c r="M66" i="2"/>
  <c r="K66" i="2"/>
  <c r="A66" i="2"/>
  <c r="IS65" i="2"/>
  <c r="IH65" i="2"/>
  <c r="HW65" i="2"/>
  <c r="HL65" i="2"/>
  <c r="HA65" i="2"/>
  <c r="GP65" i="2"/>
  <c r="GE65" i="2"/>
  <c r="FT65" i="2"/>
  <c r="FI65" i="2"/>
  <c r="EZ65" i="2"/>
  <c r="EX65" i="2"/>
  <c r="EM65" i="2"/>
  <c r="EB65" i="2"/>
  <c r="DS65" i="2"/>
  <c r="DQ65" i="2"/>
  <c r="DI65" i="2"/>
  <c r="DH65" i="2"/>
  <c r="DF65" i="2"/>
  <c r="CW65" i="2"/>
  <c r="CX65" i="2" s="1"/>
  <c r="CU65" i="2"/>
  <c r="CJ65" i="2"/>
  <c r="BY65" i="2"/>
  <c r="BN65" i="2"/>
  <c r="BC65" i="2"/>
  <c r="AR65" i="2"/>
  <c r="AG65" i="2"/>
  <c r="V65" i="2"/>
  <c r="K65" i="2"/>
  <c r="A65" i="2"/>
  <c r="IS64" i="2"/>
  <c r="IH64" i="2"/>
  <c r="HW64" i="2"/>
  <c r="HL64" i="2"/>
  <c r="HA64" i="2"/>
  <c r="GP64" i="2"/>
  <c r="GE64" i="2"/>
  <c r="FT64" i="2"/>
  <c r="FI64" i="2"/>
  <c r="EX64" i="2"/>
  <c r="EM64" i="2"/>
  <c r="EB64" i="2"/>
  <c r="DT64" i="2"/>
  <c r="DS64" i="2"/>
  <c r="DQ64" i="2"/>
  <c r="DF64" i="2"/>
  <c r="CU64" i="2"/>
  <c r="CJ64" i="2"/>
  <c r="BY64" i="2"/>
  <c r="BN64" i="2"/>
  <c r="BC64" i="2"/>
  <c r="AR64" i="2"/>
  <c r="AG64" i="2"/>
  <c r="V64" i="2"/>
  <c r="K64" i="2"/>
  <c r="A64" i="2"/>
  <c r="IS63" i="2"/>
  <c r="IH63" i="2"/>
  <c r="HW63" i="2"/>
  <c r="HL63" i="2"/>
  <c r="HA63" i="2"/>
  <c r="GP63" i="2"/>
  <c r="GE63" i="2"/>
  <c r="FT63" i="2"/>
  <c r="FI63" i="2"/>
  <c r="EX63" i="2"/>
  <c r="EM63" i="2"/>
  <c r="EB63" i="2"/>
  <c r="DQ63" i="2"/>
  <c r="DF63" i="2"/>
  <c r="CU63" i="2"/>
  <c r="CJ63" i="2"/>
  <c r="BY63" i="2"/>
  <c r="BN63" i="2"/>
  <c r="BC63" i="2"/>
  <c r="AR63" i="2"/>
  <c r="AG63" i="2"/>
  <c r="V63" i="2"/>
  <c r="K63" i="2"/>
  <c r="A63" i="2"/>
  <c r="IS62" i="2"/>
  <c r="IH62" i="2"/>
  <c r="HW62" i="2"/>
  <c r="HL62" i="2"/>
  <c r="HA62" i="2"/>
  <c r="GP62" i="2"/>
  <c r="GE62" i="2"/>
  <c r="FT62" i="2"/>
  <c r="FI62" i="2"/>
  <c r="EX62" i="2"/>
  <c r="EM62" i="2"/>
  <c r="EB62" i="2"/>
  <c r="DQ62" i="2"/>
  <c r="DF62" i="2"/>
  <c r="CU62" i="2"/>
  <c r="CJ62" i="2"/>
  <c r="BY62" i="2"/>
  <c r="BN62" i="2"/>
  <c r="BC62" i="2"/>
  <c r="AR62" i="2"/>
  <c r="AG62" i="2"/>
  <c r="V62" i="2"/>
  <c r="K62" i="2"/>
  <c r="A62" i="2"/>
  <c r="IS61" i="2"/>
  <c r="IH61" i="2"/>
  <c r="HW61" i="2"/>
  <c r="HL61" i="2"/>
  <c r="HA61" i="2"/>
  <c r="GP61" i="2"/>
  <c r="GE61" i="2"/>
  <c r="FT61" i="2"/>
  <c r="FI61" i="2"/>
  <c r="EX61" i="2"/>
  <c r="EM61" i="2"/>
  <c r="EB61" i="2"/>
  <c r="DQ61" i="2"/>
  <c r="DF61" i="2"/>
  <c r="CU61" i="2"/>
  <c r="CJ61" i="2"/>
  <c r="BY61" i="2"/>
  <c r="BN61" i="2"/>
  <c r="BC61" i="2"/>
  <c r="AR61" i="2"/>
  <c r="AG61" i="2"/>
  <c r="V61" i="2"/>
  <c r="K61" i="2"/>
  <c r="A61" i="2"/>
  <c r="IS60" i="2"/>
  <c r="IH60" i="2"/>
  <c r="HW60" i="2"/>
  <c r="HL60" i="2"/>
  <c r="HA60" i="2"/>
  <c r="GP60" i="2"/>
  <c r="GE60" i="2"/>
  <c r="FT60" i="2"/>
  <c r="FI60" i="2"/>
  <c r="EX60" i="2"/>
  <c r="EM60" i="2"/>
  <c r="EB60" i="2"/>
  <c r="DQ60" i="2"/>
  <c r="DF60" i="2"/>
  <c r="CU60" i="2"/>
  <c r="CJ60" i="2"/>
  <c r="BY60" i="2"/>
  <c r="BN60" i="2"/>
  <c r="BC60" i="2"/>
  <c r="AR60" i="2"/>
  <c r="AG60" i="2"/>
  <c r="V60" i="2"/>
  <c r="K60" i="2"/>
  <c r="A60" i="2"/>
  <c r="IS59" i="2"/>
  <c r="IH59" i="2"/>
  <c r="HW59" i="2"/>
  <c r="HL59" i="2"/>
  <c r="HA59" i="2"/>
  <c r="GP59" i="2"/>
  <c r="GE59" i="2"/>
  <c r="FT59" i="2"/>
  <c r="FI59" i="2"/>
  <c r="EX59" i="2"/>
  <c r="EM59" i="2"/>
  <c r="EB59" i="2"/>
  <c r="DQ59" i="2"/>
  <c r="DF59" i="2"/>
  <c r="CU59" i="2"/>
  <c r="CJ59" i="2"/>
  <c r="BY59" i="2"/>
  <c r="BN59" i="2"/>
  <c r="BC59" i="2"/>
  <c r="AR59" i="2"/>
  <c r="AG59" i="2"/>
  <c r="V59" i="2"/>
  <c r="K59" i="2"/>
  <c r="A59" i="2"/>
  <c r="IS58" i="2"/>
  <c r="IH58" i="2"/>
  <c r="HW58" i="2"/>
  <c r="HL58" i="2"/>
  <c r="HA58" i="2"/>
  <c r="GP58" i="2"/>
  <c r="GE58" i="2"/>
  <c r="FT58" i="2"/>
  <c r="FI58" i="2"/>
  <c r="EX58" i="2"/>
  <c r="EM58" i="2"/>
  <c r="EB58" i="2"/>
  <c r="DQ58" i="2"/>
  <c r="DF58" i="2"/>
  <c r="CU58" i="2"/>
  <c r="CJ58" i="2"/>
  <c r="BY58" i="2"/>
  <c r="BN58" i="2"/>
  <c r="BC58" i="2"/>
  <c r="AR58" i="2"/>
  <c r="AG58" i="2"/>
  <c r="V58" i="2"/>
  <c r="K58" i="2"/>
  <c r="A58" i="2"/>
  <c r="IS57" i="2"/>
  <c r="IH57" i="2"/>
  <c r="HW57" i="2"/>
  <c r="HL57" i="2"/>
  <c r="HA57" i="2"/>
  <c r="GP57" i="2"/>
  <c r="GE57" i="2"/>
  <c r="FT57" i="2"/>
  <c r="FI57" i="2"/>
  <c r="EX57" i="2"/>
  <c r="EM57" i="2"/>
  <c r="EB57" i="2"/>
  <c r="DQ57" i="2"/>
  <c r="DF57" i="2"/>
  <c r="CU57" i="2"/>
  <c r="CJ57" i="2"/>
  <c r="BY57" i="2"/>
  <c r="BN57" i="2"/>
  <c r="BC57" i="2"/>
  <c r="AR57" i="2"/>
  <c r="AG57" i="2"/>
  <c r="V57" i="2"/>
  <c r="K57" i="2"/>
  <c r="A57" i="2"/>
  <c r="IS56" i="2"/>
  <c r="IH56" i="2"/>
  <c r="HW56" i="2"/>
  <c r="HL56" i="2"/>
  <c r="HA56" i="2"/>
  <c r="GP56" i="2"/>
  <c r="GE56" i="2"/>
  <c r="FT56" i="2"/>
  <c r="FI56" i="2"/>
  <c r="EX56" i="2"/>
  <c r="EM56" i="2"/>
  <c r="EB56" i="2"/>
  <c r="DQ56" i="2"/>
  <c r="DF56" i="2"/>
  <c r="CU56" i="2"/>
  <c r="CJ56" i="2"/>
  <c r="BY56" i="2"/>
  <c r="BN56" i="2"/>
  <c r="BC56" i="2"/>
  <c r="AR56" i="2"/>
  <c r="AG56" i="2"/>
  <c r="V56" i="2"/>
  <c r="K56" i="2"/>
  <c r="A56" i="2"/>
  <c r="IS55" i="2"/>
  <c r="IH55" i="2"/>
  <c r="HW55" i="2"/>
  <c r="HL55" i="2"/>
  <c r="HA55" i="2"/>
  <c r="GP55" i="2"/>
  <c r="GE55" i="2"/>
  <c r="FT55" i="2"/>
  <c r="FI55" i="2"/>
  <c r="EX55" i="2"/>
  <c r="EM55" i="2"/>
  <c r="EB55" i="2"/>
  <c r="DQ55" i="2"/>
  <c r="DF55" i="2"/>
  <c r="CU55" i="2"/>
  <c r="CJ55" i="2"/>
  <c r="BY55" i="2"/>
  <c r="BN55" i="2"/>
  <c r="BC55" i="2"/>
  <c r="AR55" i="2"/>
  <c r="AG55" i="2"/>
  <c r="V55" i="2"/>
  <c r="K55" i="2"/>
  <c r="A55" i="2"/>
  <c r="IS54" i="2"/>
  <c r="IH54" i="2"/>
  <c r="HW54" i="2"/>
  <c r="HL54" i="2"/>
  <c r="HA54" i="2"/>
  <c r="GP54" i="2"/>
  <c r="GE54" i="2"/>
  <c r="FT54" i="2"/>
  <c r="FI54" i="2"/>
  <c r="EX54" i="2"/>
  <c r="EM54" i="2"/>
  <c r="EB54" i="2"/>
  <c r="DQ54" i="2"/>
  <c r="DF54" i="2"/>
  <c r="CU54" i="2"/>
  <c r="CJ54" i="2"/>
  <c r="BY54" i="2"/>
  <c r="BN54" i="2"/>
  <c r="BC54" i="2"/>
  <c r="AR54" i="2"/>
  <c r="AG54" i="2"/>
  <c r="V54" i="2"/>
  <c r="K54" i="2"/>
  <c r="A54" i="2"/>
  <c r="IS53" i="2"/>
  <c r="IH53" i="2"/>
  <c r="HW53" i="2"/>
  <c r="HL53" i="2"/>
  <c r="HA53" i="2"/>
  <c r="GP53" i="2"/>
  <c r="GE53" i="2"/>
  <c r="FT53" i="2"/>
  <c r="FI53" i="2"/>
  <c r="EX53" i="2"/>
  <c r="EM53" i="2"/>
  <c r="EB53" i="2"/>
  <c r="DQ53" i="2"/>
  <c r="DF53" i="2"/>
  <c r="CU53" i="2"/>
  <c r="CJ53" i="2"/>
  <c r="BY53" i="2"/>
  <c r="BN53" i="2"/>
  <c r="BC53" i="2"/>
  <c r="AR53" i="2"/>
  <c r="AG53" i="2"/>
  <c r="V53" i="2"/>
  <c r="K53" i="2"/>
  <c r="A53" i="2"/>
  <c r="IS52" i="2"/>
  <c r="IH52" i="2"/>
  <c r="HW52" i="2"/>
  <c r="HL52" i="2"/>
  <c r="HA52" i="2"/>
  <c r="GP52" i="2"/>
  <c r="GE52" i="2"/>
  <c r="FT52" i="2"/>
  <c r="FI52" i="2"/>
  <c r="EX52" i="2"/>
  <c r="EM52" i="2"/>
  <c r="EB52" i="2"/>
  <c r="DQ52" i="2"/>
  <c r="DF52" i="2"/>
  <c r="CU52" i="2"/>
  <c r="CJ52" i="2"/>
  <c r="BY52" i="2"/>
  <c r="BN52" i="2"/>
  <c r="BC52" i="2"/>
  <c r="AR52" i="2"/>
  <c r="AG52" i="2"/>
  <c r="V52" i="2"/>
  <c r="K52" i="2"/>
  <c r="A52" i="2"/>
  <c r="IS51" i="2"/>
  <c r="IH51" i="2"/>
  <c r="HW51" i="2"/>
  <c r="HL51" i="2"/>
  <c r="HA51" i="2"/>
  <c r="GP51" i="2"/>
  <c r="GE51" i="2"/>
  <c r="FT51" i="2"/>
  <c r="FI51" i="2"/>
  <c r="EX51" i="2"/>
  <c r="EM51" i="2"/>
  <c r="EB51" i="2"/>
  <c r="DQ51" i="2"/>
  <c r="DF51" i="2"/>
  <c r="CU51" i="2"/>
  <c r="CJ51" i="2"/>
  <c r="BY51" i="2"/>
  <c r="BN51" i="2"/>
  <c r="BC51" i="2"/>
  <c r="AR51" i="2"/>
  <c r="AG51" i="2"/>
  <c r="V51" i="2"/>
  <c r="K51" i="2"/>
  <c r="A51" i="2"/>
  <c r="IS50" i="2"/>
  <c r="IH50" i="2"/>
  <c r="HW50" i="2"/>
  <c r="HL50" i="2"/>
  <c r="HA50" i="2"/>
  <c r="GP50" i="2"/>
  <c r="GE50" i="2"/>
  <c r="FT50" i="2"/>
  <c r="FI50" i="2"/>
  <c r="EX50" i="2"/>
  <c r="EM50" i="2"/>
  <c r="EB50" i="2"/>
  <c r="DQ50" i="2"/>
  <c r="DF50" i="2"/>
  <c r="CU50" i="2"/>
  <c r="CJ50" i="2"/>
  <c r="BY50" i="2"/>
  <c r="BN50" i="2"/>
  <c r="BC50" i="2"/>
  <c r="AR50" i="2"/>
  <c r="AG50" i="2"/>
  <c r="V50" i="2"/>
  <c r="K50" i="2"/>
  <c r="A50" i="2"/>
  <c r="IS49" i="2"/>
  <c r="IH49" i="2"/>
  <c r="HW49" i="2"/>
  <c r="HL49" i="2"/>
  <c r="HA49" i="2"/>
  <c r="GP49" i="2"/>
  <c r="GE49" i="2"/>
  <c r="FT49" i="2"/>
  <c r="FI49" i="2"/>
  <c r="EX49" i="2"/>
  <c r="EM49" i="2"/>
  <c r="EB49" i="2"/>
  <c r="DQ49" i="2"/>
  <c r="DF49" i="2"/>
  <c r="CU49" i="2"/>
  <c r="CJ49" i="2"/>
  <c r="BY49" i="2"/>
  <c r="BN49" i="2"/>
  <c r="BC49" i="2"/>
  <c r="AR49" i="2"/>
  <c r="AG49" i="2"/>
  <c r="V49" i="2"/>
  <c r="K49" i="2"/>
  <c r="A49" i="2"/>
  <c r="IS48" i="2"/>
  <c r="IH48" i="2"/>
  <c r="HW48" i="2"/>
  <c r="HL48" i="2"/>
  <c r="HA48" i="2"/>
  <c r="GP48" i="2"/>
  <c r="GE48" i="2"/>
  <c r="FT48" i="2"/>
  <c r="FI48" i="2"/>
  <c r="EX48" i="2"/>
  <c r="EM48" i="2"/>
  <c r="EB48" i="2"/>
  <c r="DQ48" i="2"/>
  <c r="DF48" i="2"/>
  <c r="CU48" i="2"/>
  <c r="CJ48" i="2"/>
  <c r="BY48" i="2"/>
  <c r="BN48" i="2"/>
  <c r="BC48" i="2"/>
  <c r="AR48" i="2"/>
  <c r="AG48" i="2"/>
  <c r="V48" i="2"/>
  <c r="K48" i="2"/>
  <c r="A48" i="2"/>
  <c r="IS47" i="2"/>
  <c r="IH47" i="2"/>
  <c r="HW47" i="2"/>
  <c r="HL47" i="2"/>
  <c r="HA47" i="2"/>
  <c r="GP47" i="2"/>
  <c r="GE47" i="2"/>
  <c r="FT47" i="2"/>
  <c r="FI47" i="2"/>
  <c r="EX47" i="2"/>
  <c r="EM47" i="2"/>
  <c r="EB47" i="2"/>
  <c r="DQ47" i="2"/>
  <c r="DF47" i="2"/>
  <c r="CU47" i="2"/>
  <c r="CJ47" i="2"/>
  <c r="BY47" i="2"/>
  <c r="BN47" i="2"/>
  <c r="BC47" i="2"/>
  <c r="AR47" i="2"/>
  <c r="AG47" i="2"/>
  <c r="V47" i="2"/>
  <c r="K47" i="2"/>
  <c r="A47" i="2"/>
  <c r="IS46" i="2"/>
  <c r="IH46" i="2"/>
  <c r="HW46" i="2"/>
  <c r="HL46" i="2"/>
  <c r="HA46" i="2"/>
  <c r="GP46" i="2"/>
  <c r="GE46" i="2"/>
  <c r="FT46" i="2"/>
  <c r="FI46" i="2"/>
  <c r="EX46" i="2"/>
  <c r="EM46" i="2"/>
  <c r="EB46" i="2"/>
  <c r="DQ46" i="2"/>
  <c r="DF46" i="2"/>
  <c r="CU46" i="2"/>
  <c r="CJ46" i="2"/>
  <c r="BY46" i="2"/>
  <c r="BN46" i="2"/>
  <c r="BC46" i="2"/>
  <c r="AR46" i="2"/>
  <c r="AG46" i="2"/>
  <c r="V46" i="2"/>
  <c r="K46" i="2"/>
  <c r="A46" i="2"/>
  <c r="IS45" i="2"/>
  <c r="IH45" i="2"/>
  <c r="HW45" i="2"/>
  <c r="HL45" i="2"/>
  <c r="HA45" i="2"/>
  <c r="GP45" i="2"/>
  <c r="GE45" i="2"/>
  <c r="FT45" i="2"/>
  <c r="FI45" i="2"/>
  <c r="EX45" i="2"/>
  <c r="EM45" i="2"/>
  <c r="EB45" i="2"/>
  <c r="DQ45" i="2"/>
  <c r="DF45" i="2"/>
  <c r="CU45" i="2"/>
  <c r="CJ45" i="2"/>
  <c r="BY45" i="2"/>
  <c r="BN45" i="2"/>
  <c r="BC45" i="2"/>
  <c r="AR45" i="2"/>
  <c r="AG45" i="2"/>
  <c r="V45" i="2"/>
  <c r="K45" i="2"/>
  <c r="A45" i="2"/>
  <c r="IS44" i="2"/>
  <c r="IH44" i="2"/>
  <c r="HW44" i="2"/>
  <c r="HL44" i="2"/>
  <c r="HA44" i="2"/>
  <c r="GP44" i="2"/>
  <c r="GE44" i="2"/>
  <c r="FT44" i="2"/>
  <c r="FI44" i="2"/>
  <c r="EX44" i="2"/>
  <c r="EM44" i="2"/>
  <c r="EB44" i="2"/>
  <c r="DQ44" i="2"/>
  <c r="DF44" i="2"/>
  <c r="CU44" i="2"/>
  <c r="CJ44" i="2"/>
  <c r="BY44" i="2"/>
  <c r="BN44" i="2"/>
  <c r="BC44" i="2"/>
  <c r="AR44" i="2"/>
  <c r="AG44" i="2"/>
  <c r="V44" i="2"/>
  <c r="K44" i="2"/>
  <c r="A44" i="2"/>
  <c r="IS43" i="2"/>
  <c r="IH43" i="2"/>
  <c r="HW43" i="2"/>
  <c r="HL43" i="2"/>
  <c r="HA43" i="2"/>
  <c r="GP43" i="2"/>
  <c r="GE43" i="2"/>
  <c r="FT43" i="2"/>
  <c r="FI43" i="2"/>
  <c r="EX43" i="2"/>
  <c r="EM43" i="2"/>
  <c r="EB43" i="2"/>
  <c r="DQ43" i="2"/>
  <c r="DF43" i="2"/>
  <c r="CU43" i="2"/>
  <c r="CJ43" i="2"/>
  <c r="BY43" i="2"/>
  <c r="BN43" i="2"/>
  <c r="BC43" i="2"/>
  <c r="AR43" i="2"/>
  <c r="AG43" i="2"/>
  <c r="V43" i="2"/>
  <c r="K43" i="2"/>
  <c r="A43" i="2"/>
  <c r="IS42" i="2"/>
  <c r="IH42" i="2"/>
  <c r="HW42" i="2"/>
  <c r="HL42" i="2"/>
  <c r="HA42" i="2"/>
  <c r="GP42" i="2"/>
  <c r="GE42" i="2"/>
  <c r="FT42" i="2"/>
  <c r="FI42" i="2"/>
  <c r="EX42" i="2"/>
  <c r="EM42" i="2"/>
  <c r="EB42" i="2"/>
  <c r="DQ42" i="2"/>
  <c r="DF42" i="2"/>
  <c r="CU42" i="2"/>
  <c r="CJ42" i="2"/>
  <c r="BY42" i="2"/>
  <c r="BN42" i="2"/>
  <c r="BC42" i="2"/>
  <c r="AR42" i="2"/>
  <c r="AG42" i="2"/>
  <c r="V42" i="2"/>
  <c r="K42" i="2"/>
  <c r="A42" i="2"/>
  <c r="IS41" i="2"/>
  <c r="IH41" i="2"/>
  <c r="HW41" i="2"/>
  <c r="HL41" i="2"/>
  <c r="HA41" i="2"/>
  <c r="GP41" i="2"/>
  <c r="GE41" i="2"/>
  <c r="FT41" i="2"/>
  <c r="FI41" i="2"/>
  <c r="EX41" i="2"/>
  <c r="EM41" i="2"/>
  <c r="EB41" i="2"/>
  <c r="DQ41" i="2"/>
  <c r="DF41" i="2"/>
  <c r="CU41" i="2"/>
  <c r="CJ41" i="2"/>
  <c r="BY41" i="2"/>
  <c r="BN41" i="2"/>
  <c r="BC41" i="2"/>
  <c r="AR41" i="2"/>
  <c r="AG41" i="2"/>
  <c r="V41" i="2"/>
  <c r="K41" i="2"/>
  <c r="A41" i="2"/>
  <c r="IS40" i="2"/>
  <c r="IH40" i="2"/>
  <c r="HW40" i="2"/>
  <c r="HL40" i="2"/>
  <c r="HA40" i="2"/>
  <c r="GP40" i="2"/>
  <c r="GE40" i="2"/>
  <c r="FT40" i="2"/>
  <c r="FI40" i="2"/>
  <c r="EX40" i="2"/>
  <c r="EM40" i="2"/>
  <c r="EB40" i="2"/>
  <c r="DQ40" i="2"/>
  <c r="DF40" i="2"/>
  <c r="CU40" i="2"/>
  <c r="CJ40" i="2"/>
  <c r="BY40" i="2"/>
  <c r="BN40" i="2"/>
  <c r="BC40" i="2"/>
  <c r="AR40" i="2"/>
  <c r="AG40" i="2"/>
  <c r="V40" i="2"/>
  <c r="K40" i="2"/>
  <c r="A40" i="2"/>
  <c r="IS39" i="2"/>
  <c r="IH39" i="2"/>
  <c r="HW39" i="2"/>
  <c r="HL39" i="2"/>
  <c r="HA39" i="2"/>
  <c r="GP39" i="2"/>
  <c r="GE39" i="2"/>
  <c r="FT39" i="2"/>
  <c r="FI39" i="2"/>
  <c r="EX39" i="2"/>
  <c r="EM39" i="2"/>
  <c r="EB39" i="2"/>
  <c r="DQ39" i="2"/>
  <c r="DF39" i="2"/>
  <c r="CU39" i="2"/>
  <c r="CJ39" i="2"/>
  <c r="BY39" i="2"/>
  <c r="BN39" i="2"/>
  <c r="BC39" i="2"/>
  <c r="AR39" i="2"/>
  <c r="AG39" i="2"/>
  <c r="V39" i="2"/>
  <c r="K39" i="2"/>
  <c r="A39" i="2"/>
  <c r="IS38" i="2"/>
  <c r="IH38" i="2"/>
  <c r="HW38" i="2"/>
  <c r="HL38" i="2"/>
  <c r="HA38" i="2"/>
  <c r="GP38" i="2"/>
  <c r="GE38" i="2"/>
  <c r="FT38" i="2"/>
  <c r="FI38" i="2"/>
  <c r="EX38" i="2"/>
  <c r="EM38" i="2"/>
  <c r="EB38" i="2"/>
  <c r="DQ38" i="2"/>
  <c r="DF38" i="2"/>
  <c r="CU38" i="2"/>
  <c r="CJ38" i="2"/>
  <c r="BY38" i="2"/>
  <c r="BN38" i="2"/>
  <c r="BC38" i="2"/>
  <c r="AR38" i="2"/>
  <c r="AG38" i="2"/>
  <c r="V38" i="2"/>
  <c r="K38" i="2"/>
  <c r="A38" i="2"/>
  <c r="IS37" i="2"/>
  <c r="IH37" i="2"/>
  <c r="HW37" i="2"/>
  <c r="HL37" i="2"/>
  <c r="HA37" i="2"/>
  <c r="GP37" i="2"/>
  <c r="GE37" i="2"/>
  <c r="FT37" i="2"/>
  <c r="FI37" i="2"/>
  <c r="EX37" i="2"/>
  <c r="EM37" i="2"/>
  <c r="EB37" i="2"/>
  <c r="DQ37" i="2"/>
  <c r="DF37" i="2"/>
  <c r="CU37" i="2"/>
  <c r="CJ37" i="2"/>
  <c r="BY37" i="2"/>
  <c r="BN37" i="2"/>
  <c r="BC37" i="2"/>
  <c r="AR37" i="2"/>
  <c r="AG37" i="2"/>
  <c r="V37" i="2"/>
  <c r="K37" i="2"/>
  <c r="A37" i="2"/>
  <c r="IS36" i="2"/>
  <c r="IH36" i="2"/>
  <c r="HW36" i="2"/>
  <c r="HL36" i="2"/>
  <c r="HA36" i="2"/>
  <c r="GP36" i="2"/>
  <c r="GE36" i="2"/>
  <c r="FT36" i="2"/>
  <c r="FI36" i="2"/>
  <c r="EX36" i="2"/>
  <c r="EM36" i="2"/>
  <c r="EB36" i="2"/>
  <c r="DQ36" i="2"/>
  <c r="DF36" i="2"/>
  <c r="CU36" i="2"/>
  <c r="CJ36" i="2"/>
  <c r="BY36" i="2"/>
  <c r="BN36" i="2"/>
  <c r="BC36" i="2"/>
  <c r="AR36" i="2"/>
  <c r="AG36" i="2"/>
  <c r="V36" i="2"/>
  <c r="K36" i="2"/>
  <c r="A36" i="2"/>
  <c r="IS35" i="2"/>
  <c r="IH35" i="2"/>
  <c r="HW35" i="2"/>
  <c r="HL35" i="2"/>
  <c r="HA35" i="2"/>
  <c r="GP35" i="2"/>
  <c r="GE35" i="2"/>
  <c r="FT35" i="2"/>
  <c r="FI35" i="2"/>
  <c r="EX35" i="2"/>
  <c r="EM35" i="2"/>
  <c r="EB35" i="2"/>
  <c r="DQ35" i="2"/>
  <c r="DF35" i="2"/>
  <c r="CU35" i="2"/>
  <c r="CJ35" i="2"/>
  <c r="BY35" i="2"/>
  <c r="BN35" i="2"/>
  <c r="BC35" i="2"/>
  <c r="AR35" i="2"/>
  <c r="AG35" i="2"/>
  <c r="V35" i="2"/>
  <c r="K35" i="2"/>
  <c r="A35" i="2"/>
  <c r="IS34" i="2"/>
  <c r="IH34" i="2"/>
  <c r="HW34" i="2"/>
  <c r="HL34" i="2"/>
  <c r="HA34" i="2"/>
  <c r="GP34" i="2"/>
  <c r="GE34" i="2"/>
  <c r="FT34" i="2"/>
  <c r="FI34" i="2"/>
  <c r="EX34" i="2"/>
  <c r="EM34" i="2"/>
  <c r="EB34" i="2"/>
  <c r="DQ34" i="2"/>
  <c r="DF34" i="2"/>
  <c r="CU34" i="2"/>
  <c r="CJ34" i="2"/>
  <c r="BY34" i="2"/>
  <c r="BN34" i="2"/>
  <c r="BC34" i="2"/>
  <c r="AR34" i="2"/>
  <c r="AG34" i="2"/>
  <c r="V34" i="2"/>
  <c r="K34" i="2"/>
  <c r="A34" i="2"/>
  <c r="IS33" i="2"/>
  <c r="IH33" i="2"/>
  <c r="HW33" i="2"/>
  <c r="HL33" i="2"/>
  <c r="HA33" i="2"/>
  <c r="GP33" i="2"/>
  <c r="GE33" i="2"/>
  <c r="FT33" i="2"/>
  <c r="FI33" i="2"/>
  <c r="EX33" i="2"/>
  <c r="EM33" i="2"/>
  <c r="EB33" i="2"/>
  <c r="DQ33" i="2"/>
  <c r="DF33" i="2"/>
  <c r="CU33" i="2"/>
  <c r="CJ33" i="2"/>
  <c r="BY33" i="2"/>
  <c r="BN33" i="2"/>
  <c r="BC33" i="2"/>
  <c r="AR33" i="2"/>
  <c r="AG33" i="2"/>
  <c r="V33" i="2"/>
  <c r="K33" i="2"/>
  <c r="A33" i="2"/>
  <c r="IS32" i="2"/>
  <c r="IH32" i="2"/>
  <c r="HW32" i="2"/>
  <c r="HL32" i="2"/>
  <c r="HA32" i="2"/>
  <c r="GP32" i="2"/>
  <c r="GE32" i="2"/>
  <c r="FT32" i="2"/>
  <c r="FI32" i="2"/>
  <c r="EX32" i="2"/>
  <c r="EM32" i="2"/>
  <c r="EB32" i="2"/>
  <c r="DQ32" i="2"/>
  <c r="DF32" i="2"/>
  <c r="CU32" i="2"/>
  <c r="CJ32" i="2"/>
  <c r="BY32" i="2"/>
  <c r="BN32" i="2"/>
  <c r="BC32" i="2"/>
  <c r="AR32" i="2"/>
  <c r="AG32" i="2"/>
  <c r="V32" i="2"/>
  <c r="K32" i="2"/>
  <c r="A32" i="2"/>
  <c r="IS31" i="2"/>
  <c r="IH31" i="2"/>
  <c r="HW31" i="2"/>
  <c r="HL31" i="2"/>
  <c r="HA31" i="2"/>
  <c r="GP31" i="2"/>
  <c r="GE31" i="2"/>
  <c r="FT31" i="2"/>
  <c r="FI31" i="2"/>
  <c r="EX31" i="2"/>
  <c r="EM31" i="2"/>
  <c r="EB31" i="2"/>
  <c r="DQ31" i="2"/>
  <c r="DF31" i="2"/>
  <c r="CU31" i="2"/>
  <c r="CJ31" i="2"/>
  <c r="BY31" i="2"/>
  <c r="BN31" i="2"/>
  <c r="BC31" i="2"/>
  <c r="AR31" i="2"/>
  <c r="AG31" i="2"/>
  <c r="V31" i="2"/>
  <c r="K31" i="2"/>
  <c r="A31" i="2"/>
  <c r="IS30" i="2"/>
  <c r="IH30" i="2"/>
  <c r="HW30" i="2"/>
  <c r="HL30" i="2"/>
  <c r="HA30" i="2"/>
  <c r="GP30" i="2"/>
  <c r="GE30" i="2"/>
  <c r="FT30" i="2"/>
  <c r="FI30" i="2"/>
  <c r="EX30" i="2"/>
  <c r="EM30" i="2"/>
  <c r="EB30" i="2"/>
  <c r="DQ30" i="2"/>
  <c r="DF30" i="2"/>
  <c r="CU30" i="2"/>
  <c r="CJ30" i="2"/>
  <c r="BY30" i="2"/>
  <c r="BN30" i="2"/>
  <c r="BC30" i="2"/>
  <c r="AR30" i="2"/>
  <c r="AG30" i="2"/>
  <c r="V30" i="2"/>
  <c r="K30" i="2"/>
  <c r="A30" i="2"/>
  <c r="IS29" i="2"/>
  <c r="IH29" i="2"/>
  <c r="HW29" i="2"/>
  <c r="HL29" i="2"/>
  <c r="HA29" i="2"/>
  <c r="GP29" i="2"/>
  <c r="GE29" i="2"/>
  <c r="FT29" i="2"/>
  <c r="FI29" i="2"/>
  <c r="EX29" i="2"/>
  <c r="EM29" i="2"/>
  <c r="EB29" i="2"/>
  <c r="DQ29" i="2"/>
  <c r="DF29" i="2"/>
  <c r="CU29" i="2"/>
  <c r="CJ29" i="2"/>
  <c r="BY29" i="2"/>
  <c r="BN29" i="2"/>
  <c r="BC29" i="2"/>
  <c r="AR29" i="2"/>
  <c r="AG29" i="2"/>
  <c r="V29" i="2"/>
  <c r="K29" i="2"/>
  <c r="A29" i="2"/>
  <c r="IS28" i="2"/>
  <c r="IH28" i="2"/>
  <c r="HW28" i="2"/>
  <c r="HL28" i="2"/>
  <c r="HA28" i="2"/>
  <c r="GP28" i="2"/>
  <c r="GE28" i="2"/>
  <c r="FT28" i="2"/>
  <c r="FI28" i="2"/>
  <c r="EX28" i="2"/>
  <c r="EM28" i="2"/>
  <c r="EB28" i="2"/>
  <c r="DQ28" i="2"/>
  <c r="DF28" i="2"/>
  <c r="CU28" i="2"/>
  <c r="CJ28" i="2"/>
  <c r="BY28" i="2"/>
  <c r="BN28" i="2"/>
  <c r="BC28" i="2"/>
  <c r="AR28" i="2"/>
  <c r="AG28" i="2"/>
  <c r="V28" i="2"/>
  <c r="K28" i="2"/>
  <c r="A28" i="2"/>
  <c r="IS27" i="2"/>
  <c r="IH27" i="2"/>
  <c r="HW27" i="2"/>
  <c r="HL27" i="2"/>
  <c r="HA27" i="2"/>
  <c r="GP27" i="2"/>
  <c r="GE27" i="2"/>
  <c r="FT27" i="2"/>
  <c r="FI27" i="2"/>
  <c r="EX27" i="2"/>
  <c r="EM27" i="2"/>
  <c r="EB27" i="2"/>
  <c r="DQ27" i="2"/>
  <c r="DF27" i="2"/>
  <c r="CU27" i="2"/>
  <c r="CJ27" i="2"/>
  <c r="BY27" i="2"/>
  <c r="BN27" i="2"/>
  <c r="BC27" i="2"/>
  <c r="AR27" i="2"/>
  <c r="AG27" i="2"/>
  <c r="V27" i="2"/>
  <c r="K27" i="2"/>
  <c r="A27" i="2"/>
  <c r="IS26" i="2"/>
  <c r="IH26" i="2"/>
  <c r="HW26" i="2"/>
  <c r="HL26" i="2"/>
  <c r="HA26" i="2"/>
  <c r="GP26" i="2"/>
  <c r="GE26" i="2"/>
  <c r="FT26" i="2"/>
  <c r="FI26" i="2"/>
  <c r="EX26" i="2"/>
  <c r="EM26" i="2"/>
  <c r="EB26" i="2"/>
  <c r="DQ26" i="2"/>
  <c r="DF26" i="2"/>
  <c r="CU26" i="2"/>
  <c r="CJ26" i="2"/>
  <c r="BY26" i="2"/>
  <c r="BN26" i="2"/>
  <c r="BC26" i="2"/>
  <c r="AR26" i="2"/>
  <c r="AG26" i="2"/>
  <c r="V26" i="2"/>
  <c r="K26" i="2"/>
  <c r="A26" i="2"/>
  <c r="IS25" i="2"/>
  <c r="IH25" i="2"/>
  <c r="HW25" i="2"/>
  <c r="HL25" i="2"/>
  <c r="HA25" i="2"/>
  <c r="GP25" i="2"/>
  <c r="GE25" i="2"/>
  <c r="FT25" i="2"/>
  <c r="FI25" i="2"/>
  <c r="EX25" i="2"/>
  <c r="EM25" i="2"/>
  <c r="EB25" i="2"/>
  <c r="DQ25" i="2"/>
  <c r="DF25" i="2"/>
  <c r="CU25" i="2"/>
  <c r="CJ25" i="2"/>
  <c r="BY25" i="2"/>
  <c r="BN25" i="2"/>
  <c r="BC25" i="2"/>
  <c r="AR25" i="2"/>
  <c r="AG25" i="2"/>
  <c r="V25" i="2"/>
  <c r="K25" i="2"/>
  <c r="A25" i="2"/>
  <c r="IS24" i="2"/>
  <c r="IH24" i="2"/>
  <c r="HW24" i="2"/>
  <c r="HL24" i="2"/>
  <c r="HA24" i="2"/>
  <c r="GP24" i="2"/>
  <c r="GE24" i="2"/>
  <c r="FT24" i="2"/>
  <c r="FI24" i="2"/>
  <c r="EX24" i="2"/>
  <c r="EM24" i="2"/>
  <c r="EB24" i="2"/>
  <c r="DQ24" i="2"/>
  <c r="DF24" i="2"/>
  <c r="CU24" i="2"/>
  <c r="CJ24" i="2"/>
  <c r="BY24" i="2"/>
  <c r="BN24" i="2"/>
  <c r="BC24" i="2"/>
  <c r="AR24" i="2"/>
  <c r="AG24" i="2"/>
  <c r="V24" i="2"/>
  <c r="K24" i="2"/>
  <c r="A24" i="2"/>
  <c r="IS23" i="2"/>
  <c r="IH23" i="2"/>
  <c r="HW23" i="2"/>
  <c r="HL23" i="2"/>
  <c r="HA23" i="2"/>
  <c r="GP23" i="2"/>
  <c r="GE23" i="2"/>
  <c r="FT23" i="2"/>
  <c r="FI23" i="2"/>
  <c r="EX23" i="2"/>
  <c r="EM23" i="2"/>
  <c r="EB23" i="2"/>
  <c r="DQ23" i="2"/>
  <c r="DF23" i="2"/>
  <c r="CU23" i="2"/>
  <c r="CJ23" i="2"/>
  <c r="BY23" i="2"/>
  <c r="BN23" i="2"/>
  <c r="BC23" i="2"/>
  <c r="AR23" i="2"/>
  <c r="AG23" i="2"/>
  <c r="V23" i="2"/>
  <c r="K23" i="2"/>
  <c r="A23" i="2"/>
  <c r="IS22" i="2"/>
  <c r="IH22" i="2"/>
  <c r="HW22" i="2"/>
  <c r="HL22" i="2"/>
  <c r="HA22" i="2"/>
  <c r="GP22" i="2"/>
  <c r="GE22" i="2"/>
  <c r="FT22" i="2"/>
  <c r="FI22" i="2"/>
  <c r="EX22" i="2"/>
  <c r="EM22" i="2"/>
  <c r="EB22" i="2"/>
  <c r="DQ22" i="2"/>
  <c r="DF22" i="2"/>
  <c r="CU22" i="2"/>
  <c r="CJ22" i="2"/>
  <c r="BY22" i="2"/>
  <c r="BN22" i="2"/>
  <c r="BC22" i="2"/>
  <c r="AR22" i="2"/>
  <c r="AG22" i="2"/>
  <c r="V22" i="2"/>
  <c r="K22" i="2"/>
  <c r="A22" i="2"/>
  <c r="IS21" i="2"/>
  <c r="IH21" i="2"/>
  <c r="HW21" i="2"/>
  <c r="HL21" i="2"/>
  <c r="HA21" i="2"/>
  <c r="GP21" i="2"/>
  <c r="GE21" i="2"/>
  <c r="FT21" i="2"/>
  <c r="FI21" i="2"/>
  <c r="EX21" i="2"/>
  <c r="EM21" i="2"/>
  <c r="EB21" i="2"/>
  <c r="DQ21" i="2"/>
  <c r="DF21" i="2"/>
  <c r="CU21" i="2"/>
  <c r="CJ21" i="2"/>
  <c r="BY21" i="2"/>
  <c r="BN21" i="2"/>
  <c r="BC21" i="2"/>
  <c r="AR21" i="2"/>
  <c r="AG21" i="2"/>
  <c r="V21" i="2"/>
  <c r="K21" i="2"/>
  <c r="A21" i="2"/>
  <c r="IS20" i="2"/>
  <c r="IH20" i="2"/>
  <c r="HW20" i="2"/>
  <c r="HL20" i="2"/>
  <c r="HA20" i="2"/>
  <c r="GP20" i="2"/>
  <c r="GE20" i="2"/>
  <c r="FT20" i="2"/>
  <c r="FI20" i="2"/>
  <c r="EX20" i="2"/>
  <c r="EM20" i="2"/>
  <c r="EB20" i="2"/>
  <c r="DQ20" i="2"/>
  <c r="DF20" i="2"/>
  <c r="CU20" i="2"/>
  <c r="CJ20" i="2"/>
  <c r="BY20" i="2"/>
  <c r="BN20" i="2"/>
  <c r="BC20" i="2"/>
  <c r="AR20" i="2"/>
  <c r="AG20" i="2"/>
  <c r="V20" i="2"/>
  <c r="K20" i="2"/>
  <c r="A20" i="2"/>
  <c r="IS19" i="2"/>
  <c r="IH19" i="2"/>
  <c r="HW19" i="2"/>
  <c r="HL19" i="2"/>
  <c r="HA19" i="2"/>
  <c r="GP19" i="2"/>
  <c r="GE19" i="2"/>
  <c r="FT19" i="2"/>
  <c r="FI19" i="2"/>
  <c r="EX19" i="2"/>
  <c r="EM19" i="2"/>
  <c r="EB19" i="2"/>
  <c r="DQ19" i="2"/>
  <c r="DF19" i="2"/>
  <c r="CU19" i="2"/>
  <c r="CJ19" i="2"/>
  <c r="BY19" i="2"/>
  <c r="BN19" i="2"/>
  <c r="BC19" i="2"/>
  <c r="AR19" i="2"/>
  <c r="AG19" i="2"/>
  <c r="V19" i="2"/>
  <c r="K19" i="2"/>
  <c r="A19" i="2"/>
  <c r="IS18" i="2"/>
  <c r="IH18" i="2"/>
  <c r="HW18" i="2"/>
  <c r="HL18" i="2"/>
  <c r="HA18" i="2"/>
  <c r="GP18" i="2"/>
  <c r="GE18" i="2"/>
  <c r="FT18" i="2"/>
  <c r="FI18" i="2"/>
  <c r="EX18" i="2"/>
  <c r="EM18" i="2"/>
  <c r="EB18" i="2"/>
  <c r="DQ18" i="2"/>
  <c r="DF18" i="2"/>
  <c r="CU18" i="2"/>
  <c r="CJ18" i="2"/>
  <c r="BY18" i="2"/>
  <c r="BN18" i="2"/>
  <c r="BC18" i="2"/>
  <c r="AR18" i="2"/>
  <c r="AG18" i="2"/>
  <c r="V18" i="2"/>
  <c r="K18" i="2"/>
  <c r="A18" i="2"/>
  <c r="IS17" i="2"/>
  <c r="IH17" i="2"/>
  <c r="HW17" i="2"/>
  <c r="HL17" i="2"/>
  <c r="HA17" i="2"/>
  <c r="GP17" i="2"/>
  <c r="GE17" i="2"/>
  <c r="FT17" i="2"/>
  <c r="FI17" i="2"/>
  <c r="EX17" i="2"/>
  <c r="EM17" i="2"/>
  <c r="EB17" i="2"/>
  <c r="DQ17" i="2"/>
  <c r="DF17" i="2"/>
  <c r="CU17" i="2"/>
  <c r="CJ17" i="2"/>
  <c r="BY17" i="2"/>
  <c r="BN17" i="2"/>
  <c r="BC17" i="2"/>
  <c r="AR17" i="2"/>
  <c r="AG17" i="2"/>
  <c r="V17" i="2"/>
  <c r="K17" i="2"/>
  <c r="A17" i="2"/>
  <c r="IS16" i="2"/>
  <c r="IH16" i="2"/>
  <c r="HW16" i="2"/>
  <c r="HL16" i="2"/>
  <c r="HA16" i="2"/>
  <c r="GP16" i="2"/>
  <c r="GE16" i="2"/>
  <c r="FT16" i="2"/>
  <c r="FI16" i="2"/>
  <c r="EX16" i="2"/>
  <c r="EM16" i="2"/>
  <c r="EB16" i="2"/>
  <c r="DQ16" i="2"/>
  <c r="DF16" i="2"/>
  <c r="CU16" i="2"/>
  <c r="CJ16" i="2"/>
  <c r="BY16" i="2"/>
  <c r="BN16" i="2"/>
  <c r="BC16" i="2"/>
  <c r="AR16" i="2"/>
  <c r="AG16" i="2"/>
  <c r="V16" i="2"/>
  <c r="K16" i="2"/>
  <c r="A16" i="2"/>
  <c r="IS15" i="2"/>
  <c r="IH15" i="2"/>
  <c r="HW15" i="2"/>
  <c r="HL15" i="2"/>
  <c r="HA15" i="2"/>
  <c r="GP15" i="2"/>
  <c r="GE15" i="2"/>
  <c r="FT15" i="2"/>
  <c r="FI15" i="2"/>
  <c r="EX15" i="2"/>
  <c r="EM15" i="2"/>
  <c r="EB15" i="2"/>
  <c r="DQ15" i="2"/>
  <c r="DF15" i="2"/>
  <c r="CU15" i="2"/>
  <c r="CJ15" i="2"/>
  <c r="BY15" i="2"/>
  <c r="BN15" i="2"/>
  <c r="BC15" i="2"/>
  <c r="AR15" i="2"/>
  <c r="AG15" i="2"/>
  <c r="V15" i="2"/>
  <c r="K15" i="2"/>
  <c r="A15" i="2"/>
  <c r="IS14" i="2"/>
  <c r="IH14" i="2"/>
  <c r="HW14" i="2"/>
  <c r="HL14" i="2"/>
  <c r="HA14" i="2"/>
  <c r="GP14" i="2"/>
  <c r="GE14" i="2"/>
  <c r="FT14" i="2"/>
  <c r="FI14" i="2"/>
  <c r="EX14" i="2"/>
  <c r="EM14" i="2"/>
  <c r="EB14" i="2"/>
  <c r="DQ14" i="2"/>
  <c r="DF14" i="2"/>
  <c r="CU14" i="2"/>
  <c r="CJ14" i="2"/>
  <c r="BY14" i="2"/>
  <c r="BN14" i="2"/>
  <c r="BC14" i="2"/>
  <c r="AR14" i="2"/>
  <c r="AG14" i="2"/>
  <c r="V14" i="2"/>
  <c r="K14" i="2"/>
  <c r="A14" i="2"/>
  <c r="IS13" i="2"/>
  <c r="IH13" i="2"/>
  <c r="HW13" i="2"/>
  <c r="HL13" i="2"/>
  <c r="HA13" i="2"/>
  <c r="GP13" i="2"/>
  <c r="GE13" i="2"/>
  <c r="FT13" i="2"/>
  <c r="FI13" i="2"/>
  <c r="EX13" i="2"/>
  <c r="EM13" i="2"/>
  <c r="EB13" i="2"/>
  <c r="DQ13" i="2"/>
  <c r="DF13" i="2"/>
  <c r="CU13" i="2"/>
  <c r="CJ13" i="2"/>
  <c r="BY13" i="2"/>
  <c r="BN13" i="2"/>
  <c r="BC13" i="2"/>
  <c r="AR13" i="2"/>
  <c r="AG13" i="2"/>
  <c r="V13" i="2"/>
  <c r="K13" i="2"/>
  <c r="A13" i="2"/>
  <c r="IS12" i="2"/>
  <c r="IH12" i="2"/>
  <c r="HW12" i="2"/>
  <c r="HL12" i="2"/>
  <c r="HA12" i="2"/>
  <c r="GP12" i="2"/>
  <c r="GE12" i="2"/>
  <c r="FT12" i="2"/>
  <c r="FI12" i="2"/>
  <c r="EX12" i="2"/>
  <c r="EM12" i="2"/>
  <c r="EB12" i="2"/>
  <c r="DQ12" i="2"/>
  <c r="DF12" i="2"/>
  <c r="CU12" i="2"/>
  <c r="CJ12" i="2"/>
  <c r="BY12" i="2"/>
  <c r="BN12" i="2"/>
  <c r="BC12" i="2"/>
  <c r="AR12" i="2"/>
  <c r="AG12" i="2"/>
  <c r="V12" i="2"/>
  <c r="K12" i="2"/>
  <c r="A12" i="2"/>
  <c r="IS11" i="2"/>
  <c r="IH11" i="2"/>
  <c r="HW11" i="2"/>
  <c r="HL11" i="2"/>
  <c r="HA11" i="2"/>
  <c r="GP11" i="2"/>
  <c r="GE11" i="2"/>
  <c r="FT11" i="2"/>
  <c r="FI11" i="2"/>
  <c r="EX11" i="2"/>
  <c r="EM11" i="2"/>
  <c r="EB11" i="2"/>
  <c r="DQ11" i="2"/>
  <c r="DF11" i="2"/>
  <c r="CU11" i="2"/>
  <c r="CJ11" i="2"/>
  <c r="BY11" i="2"/>
  <c r="BN11" i="2"/>
  <c r="BC11" i="2"/>
  <c r="AR11" i="2"/>
  <c r="AG11" i="2"/>
  <c r="V11" i="2"/>
  <c r="K11" i="2"/>
  <c r="A11" i="2"/>
  <c r="IS10" i="2"/>
  <c r="IH10" i="2"/>
  <c r="HW10" i="2"/>
  <c r="HL10" i="2"/>
  <c r="HA10" i="2"/>
  <c r="GP10" i="2"/>
  <c r="GE10" i="2"/>
  <c r="FT10" i="2"/>
  <c r="FI10" i="2"/>
  <c r="EX10" i="2"/>
  <c r="EM10" i="2"/>
  <c r="EB10" i="2"/>
  <c r="DQ10" i="2"/>
  <c r="DF10" i="2"/>
  <c r="CU10" i="2"/>
  <c r="CJ10" i="2"/>
  <c r="BY10" i="2"/>
  <c r="BN10" i="2"/>
  <c r="BC10" i="2"/>
  <c r="AR10" i="2"/>
  <c r="AG10" i="2"/>
  <c r="V10" i="2"/>
  <c r="K10" i="2"/>
  <c r="A10" i="2"/>
  <c r="IS9" i="2"/>
  <c r="IH9" i="2"/>
  <c r="HW9" i="2"/>
  <c r="HL9" i="2"/>
  <c r="HA9" i="2"/>
  <c r="GP9" i="2"/>
  <c r="GE9" i="2"/>
  <c r="FT9" i="2"/>
  <c r="FI9" i="2"/>
  <c r="EX9" i="2"/>
  <c r="EM9" i="2"/>
  <c r="EB9" i="2"/>
  <c r="DQ9" i="2"/>
  <c r="DF9" i="2"/>
  <c r="CU9" i="2"/>
  <c r="CJ9" i="2"/>
  <c r="BY9" i="2"/>
  <c r="BN9" i="2"/>
  <c r="BC9" i="2"/>
  <c r="AR9" i="2"/>
  <c r="AG9" i="2"/>
  <c r="V9" i="2"/>
  <c r="K9" i="2"/>
  <c r="A9" i="2"/>
  <c r="IS8" i="2"/>
  <c r="IH8" i="2"/>
  <c r="HW8" i="2"/>
  <c r="HL8" i="2"/>
  <c r="HA8" i="2"/>
  <c r="GP8" i="2"/>
  <c r="GE8" i="2"/>
  <c r="FT8" i="2"/>
  <c r="FI8" i="2"/>
  <c r="EX8" i="2"/>
  <c r="EM8" i="2"/>
  <c r="EB8" i="2"/>
  <c r="DQ8" i="2"/>
  <c r="DF8" i="2"/>
  <c r="CU8" i="2"/>
  <c r="CJ8" i="2"/>
  <c r="BY8" i="2"/>
  <c r="BN8" i="2"/>
  <c r="BC8" i="2"/>
  <c r="AR8" i="2"/>
  <c r="AG8" i="2"/>
  <c r="V8" i="2"/>
  <c r="K8" i="2"/>
  <c r="A8" i="2"/>
  <c r="IS7" i="2"/>
  <c r="IH7" i="2"/>
  <c r="HW7" i="2"/>
  <c r="HL7" i="2"/>
  <c r="HA7" i="2"/>
  <c r="GP7" i="2"/>
  <c r="GE7" i="2"/>
  <c r="FT7" i="2"/>
  <c r="FI7" i="2"/>
  <c r="EX7" i="2"/>
  <c r="EM7" i="2"/>
  <c r="EB7" i="2"/>
  <c r="DQ7" i="2"/>
  <c r="DF7" i="2"/>
  <c r="CU7" i="2"/>
  <c r="CJ7" i="2"/>
  <c r="BY7" i="2"/>
  <c r="BN7" i="2"/>
  <c r="BC7" i="2"/>
  <c r="AR7" i="2"/>
  <c r="AG7" i="2"/>
  <c r="V7" i="2"/>
  <c r="K7" i="2"/>
  <c r="A7" i="2"/>
  <c r="IS6" i="2"/>
  <c r="IH6" i="2"/>
  <c r="HW6" i="2"/>
  <c r="HL6" i="2"/>
  <c r="HA6" i="2"/>
  <c r="GP6" i="2"/>
  <c r="GE6" i="2"/>
  <c r="FT6" i="2"/>
  <c r="FI6" i="2"/>
  <c r="EX6" i="2"/>
  <c r="EM6" i="2"/>
  <c r="EB6" i="2"/>
  <c r="DQ6" i="2"/>
  <c r="DF6" i="2"/>
  <c r="CU6" i="2"/>
  <c r="CJ6" i="2"/>
  <c r="BY6" i="2"/>
  <c r="BN6" i="2"/>
  <c r="BC6" i="2"/>
  <c r="AR6" i="2"/>
  <c r="AG6" i="2"/>
  <c r="V6" i="2"/>
  <c r="K6" i="2"/>
  <c r="A6" i="2"/>
  <c r="IS5" i="2"/>
  <c r="IH5" i="2"/>
  <c r="HW5" i="2"/>
  <c r="HL5" i="2"/>
  <c r="HA5" i="2"/>
  <c r="GP5" i="2"/>
  <c r="GE5" i="2"/>
  <c r="FT5" i="2"/>
  <c r="FI5" i="2"/>
  <c r="EX5" i="2"/>
  <c r="EM5" i="2"/>
  <c r="EB5" i="2"/>
  <c r="DQ5" i="2"/>
  <c r="DF5" i="2"/>
  <c r="CU5" i="2"/>
  <c r="CJ5" i="2"/>
  <c r="BY5" i="2"/>
  <c r="BN5" i="2"/>
  <c r="BC5" i="2"/>
  <c r="AR5" i="2"/>
  <c r="AG5" i="2"/>
  <c r="V5" i="2"/>
  <c r="K5" i="2"/>
  <c r="A5" i="2"/>
  <c r="IS4" i="2"/>
  <c r="IH4" i="2"/>
  <c r="HW4" i="2"/>
  <c r="HL4" i="2"/>
  <c r="HA4" i="2"/>
  <c r="GP4" i="2"/>
  <c r="GE4" i="2"/>
  <c r="FT4" i="2"/>
  <c r="FI4" i="2"/>
  <c r="EX4" i="2"/>
  <c r="EM4" i="2"/>
  <c r="EB4" i="2"/>
  <c r="DQ4" i="2"/>
  <c r="DF4" i="2"/>
  <c r="CU4" i="2"/>
  <c r="CJ4" i="2"/>
  <c r="BY4" i="2"/>
  <c r="BN4" i="2"/>
  <c r="BC4" i="2"/>
  <c r="AR4" i="2"/>
  <c r="AG4" i="2"/>
  <c r="V4" i="2"/>
  <c r="K4" i="2"/>
  <c r="A4" i="2"/>
  <c r="IS3" i="2"/>
  <c r="IH3" i="2"/>
  <c r="HW3" i="2"/>
  <c r="HL3" i="2"/>
  <c r="HA3" i="2"/>
  <c r="GP3" i="2"/>
  <c r="GE3" i="2"/>
  <c r="FT3" i="2"/>
  <c r="FI3" i="2"/>
  <c r="EX3" i="2"/>
  <c r="EM3" i="2"/>
  <c r="EB3" i="2"/>
  <c r="DQ3" i="2"/>
  <c r="DF3" i="2"/>
  <c r="CU3" i="2"/>
  <c r="CJ3" i="2"/>
  <c r="BY3" i="2"/>
  <c r="BN3" i="2"/>
  <c r="BC3" i="2"/>
  <c r="AR3" i="2"/>
  <c r="AG3" i="2"/>
  <c r="V3" i="2"/>
  <c r="K3" i="2"/>
  <c r="A3" i="2"/>
  <c r="IS2" i="2"/>
  <c r="IH2" i="2"/>
  <c r="HW2" i="2"/>
  <c r="HL2" i="2"/>
  <c r="HA2" i="2"/>
  <c r="GP2" i="2"/>
  <c r="GE2" i="2"/>
  <c r="FT2" i="2"/>
  <c r="FI2" i="2"/>
  <c r="EX2" i="2"/>
  <c r="EM2" i="2"/>
  <c r="EB2" i="2"/>
  <c r="DQ2" i="2"/>
  <c r="DF2" i="2"/>
  <c r="CU2" i="2"/>
  <c r="CJ2" i="2"/>
  <c r="BY2" i="2"/>
  <c r="BN2" i="2"/>
  <c r="BC2" i="2"/>
  <c r="AR2" i="2"/>
  <c r="AG2" i="2"/>
  <c r="V2" i="2"/>
  <c r="K2" i="2"/>
  <c r="A2" i="2"/>
  <c r="CA67" i="1"/>
  <c r="BY67" i="1"/>
  <c r="BP67" i="1"/>
  <c r="BN67" i="1"/>
  <c r="BC67" i="1"/>
  <c r="AT67" i="1"/>
  <c r="AR67" i="1"/>
  <c r="AI67" i="1"/>
  <c r="AG67" i="1"/>
  <c r="X67" i="1"/>
  <c r="V67" i="1"/>
  <c r="M67" i="1"/>
  <c r="K67" i="1"/>
  <c r="A67" i="1"/>
  <c r="CA66" i="1"/>
  <c r="BY66" i="1"/>
  <c r="BP66" i="1"/>
  <c r="BN66" i="1"/>
  <c r="BC66" i="1"/>
  <c r="AR66" i="1"/>
  <c r="AI66" i="1"/>
  <c r="AG66" i="1"/>
  <c r="X66" i="1"/>
  <c r="V66" i="1"/>
  <c r="M66" i="1"/>
  <c r="K66" i="1"/>
  <c r="A66" i="1"/>
  <c r="BY65" i="1"/>
  <c r="BN65" i="1"/>
  <c r="BC65" i="1"/>
  <c r="AR65" i="1"/>
  <c r="AG65" i="1"/>
  <c r="V65" i="1"/>
  <c r="K65" i="1"/>
  <c r="A65" i="1"/>
  <c r="BY64" i="1"/>
  <c r="BN64" i="1"/>
  <c r="BC64" i="1"/>
  <c r="AR64" i="1"/>
  <c r="AG64" i="1"/>
  <c r="V64" i="1"/>
  <c r="K64" i="1"/>
  <c r="A64" i="1"/>
  <c r="BY63" i="1"/>
  <c r="BN63" i="1"/>
  <c r="BC63" i="1"/>
  <c r="AR63" i="1"/>
  <c r="AG63" i="1"/>
  <c r="V63" i="1"/>
  <c r="K63" i="1"/>
  <c r="A63" i="1"/>
  <c r="BY62" i="1"/>
  <c r="BN62" i="1"/>
  <c r="BC62" i="1"/>
  <c r="AR62" i="1"/>
  <c r="AG62" i="1"/>
  <c r="V62" i="1"/>
  <c r="K62" i="1"/>
  <c r="A62" i="1"/>
  <c r="BY61" i="1"/>
  <c r="BN61" i="1"/>
  <c r="BC61" i="1"/>
  <c r="AR61" i="1"/>
  <c r="AG61" i="1"/>
  <c r="V61" i="1"/>
  <c r="K61" i="1"/>
  <c r="A61" i="1"/>
  <c r="BY60" i="1"/>
  <c r="BN60" i="1"/>
  <c r="BC60" i="1"/>
  <c r="AR60" i="1"/>
  <c r="AG60" i="1"/>
  <c r="V60" i="1"/>
  <c r="K60" i="1"/>
  <c r="A60" i="1"/>
  <c r="BY59" i="1"/>
  <c r="BN59" i="1"/>
  <c r="BC59" i="1"/>
  <c r="AR59" i="1"/>
  <c r="AG59" i="1"/>
  <c r="V59" i="1"/>
  <c r="K59" i="1"/>
  <c r="A59" i="1"/>
  <c r="BY58" i="1"/>
  <c r="BN58" i="1"/>
  <c r="BC58" i="1"/>
  <c r="AR58" i="1"/>
  <c r="AG58" i="1"/>
  <c r="V58" i="1"/>
  <c r="K58" i="1"/>
  <c r="A58" i="1"/>
  <c r="BY57" i="1"/>
  <c r="BN57" i="1"/>
  <c r="BC57" i="1"/>
  <c r="AR57" i="1"/>
  <c r="AG57" i="1"/>
  <c r="V57" i="1"/>
  <c r="K57" i="1"/>
  <c r="A57" i="1"/>
  <c r="BY56" i="1"/>
  <c r="BN56" i="1"/>
  <c r="BC56" i="1"/>
  <c r="AR56" i="1"/>
  <c r="AG56" i="1"/>
  <c r="V56" i="1"/>
  <c r="K56" i="1"/>
  <c r="A56" i="1"/>
  <c r="BY55" i="1"/>
  <c r="BN55" i="1"/>
  <c r="BC55" i="1"/>
  <c r="AR55" i="1"/>
  <c r="AG55" i="1"/>
  <c r="V55" i="1"/>
  <c r="K55" i="1"/>
  <c r="A55" i="1"/>
  <c r="BY54" i="1"/>
  <c r="BN54" i="1"/>
  <c r="BC54" i="1"/>
  <c r="AR54" i="1"/>
  <c r="AG54" i="1"/>
  <c r="V54" i="1"/>
  <c r="K54" i="1"/>
  <c r="A54" i="1"/>
  <c r="BY53" i="1"/>
  <c r="BN53" i="1"/>
  <c r="BC53" i="1"/>
  <c r="AR53" i="1"/>
  <c r="AG53" i="1"/>
  <c r="V53" i="1"/>
  <c r="K53" i="1"/>
  <c r="A53" i="1"/>
  <c r="BY52" i="1"/>
  <c r="BN52" i="1"/>
  <c r="BC52" i="1"/>
  <c r="AR52" i="1"/>
  <c r="AG52" i="1"/>
  <c r="V52" i="1"/>
  <c r="K52" i="1"/>
  <c r="A52" i="1"/>
  <c r="BY51" i="1"/>
  <c r="BN51" i="1"/>
  <c r="BC51" i="1"/>
  <c r="AR51" i="1"/>
  <c r="AG51" i="1"/>
  <c r="V51" i="1"/>
  <c r="K51" i="1"/>
  <c r="A51" i="1"/>
  <c r="BY50" i="1"/>
  <c r="BN50" i="1"/>
  <c r="BC50" i="1"/>
  <c r="AR50" i="1"/>
  <c r="AG50" i="1"/>
  <c r="V50" i="1"/>
  <c r="K50" i="1"/>
  <c r="A50" i="1"/>
  <c r="BY49" i="1"/>
  <c r="BN49" i="1"/>
  <c r="BC49" i="1"/>
  <c r="AR49" i="1"/>
  <c r="AG49" i="1"/>
  <c r="V49" i="1"/>
  <c r="K49" i="1"/>
  <c r="A49" i="1"/>
  <c r="BY48" i="1"/>
  <c r="BN48" i="1"/>
  <c r="BC48" i="1"/>
  <c r="AR48" i="1"/>
  <c r="AG48" i="1"/>
  <c r="V48" i="1"/>
  <c r="K48" i="1"/>
  <c r="A48" i="1"/>
  <c r="BY47" i="1"/>
  <c r="BN47" i="1"/>
  <c r="BC47" i="1"/>
  <c r="AR47" i="1"/>
  <c r="AG47" i="1"/>
  <c r="V47" i="1"/>
  <c r="K47" i="1"/>
  <c r="A47" i="1"/>
  <c r="BY46" i="1"/>
  <c r="BN46" i="1"/>
  <c r="BC46" i="1"/>
  <c r="AR46" i="1"/>
  <c r="AG46" i="1"/>
  <c r="V46" i="1"/>
  <c r="K46" i="1"/>
  <c r="A46" i="1"/>
  <c r="BY45" i="1"/>
  <c r="BN45" i="1"/>
  <c r="BC45" i="1"/>
  <c r="AR45" i="1"/>
  <c r="AG45" i="1"/>
  <c r="V45" i="1"/>
  <c r="K45" i="1"/>
  <c r="A45" i="1"/>
  <c r="BY44" i="1"/>
  <c r="BN44" i="1"/>
  <c r="BC44" i="1"/>
  <c r="AR44" i="1"/>
  <c r="AG44" i="1"/>
  <c r="V44" i="1"/>
  <c r="K44" i="1"/>
  <c r="A44" i="1"/>
  <c r="BY43" i="1"/>
  <c r="BN43" i="1"/>
  <c r="BC43" i="1"/>
  <c r="AR43" i="1"/>
  <c r="AG43" i="1"/>
  <c r="V43" i="1"/>
  <c r="K43" i="1"/>
  <c r="A43" i="1"/>
  <c r="BY42" i="1"/>
  <c r="BN42" i="1"/>
  <c r="BC42" i="1"/>
  <c r="AR42" i="1"/>
  <c r="AG42" i="1"/>
  <c r="V42" i="1"/>
  <c r="K42" i="1"/>
  <c r="A42" i="1"/>
  <c r="BY41" i="1"/>
  <c r="BN41" i="1"/>
  <c r="BC41" i="1"/>
  <c r="AR41" i="1"/>
  <c r="AG41" i="1"/>
  <c r="V41" i="1"/>
  <c r="K41" i="1"/>
  <c r="A41" i="1"/>
  <c r="BY40" i="1"/>
  <c r="BN40" i="1"/>
  <c r="BC40" i="1"/>
  <c r="AR40" i="1"/>
  <c r="AG40" i="1"/>
  <c r="V40" i="1"/>
  <c r="K40" i="1"/>
  <c r="A40" i="1"/>
  <c r="BY39" i="1"/>
  <c r="BN39" i="1"/>
  <c r="BC39" i="1"/>
  <c r="AR39" i="1"/>
  <c r="AG39" i="1"/>
  <c r="V39" i="1"/>
  <c r="K39" i="1"/>
  <c r="A39" i="1"/>
  <c r="BY38" i="1"/>
  <c r="BN38" i="1"/>
  <c r="BC38" i="1"/>
  <c r="AR38" i="1"/>
  <c r="AG38" i="1"/>
  <c r="V38" i="1"/>
  <c r="K38" i="1"/>
  <c r="A38" i="1"/>
  <c r="BY37" i="1"/>
  <c r="BN37" i="1"/>
  <c r="BC37" i="1"/>
  <c r="AR37" i="1"/>
  <c r="AG37" i="1"/>
  <c r="V37" i="1"/>
  <c r="K37" i="1"/>
  <c r="A37" i="1"/>
  <c r="BY36" i="1"/>
  <c r="BN36" i="1"/>
  <c r="BC36" i="1"/>
  <c r="AR36" i="1"/>
  <c r="AG36" i="1"/>
  <c r="V36" i="1"/>
  <c r="K36" i="1"/>
  <c r="A36" i="1"/>
  <c r="BY35" i="1"/>
  <c r="BN35" i="1"/>
  <c r="BC35" i="1"/>
  <c r="AR35" i="1"/>
  <c r="AG35" i="1"/>
  <c r="V35" i="1"/>
  <c r="K35" i="1"/>
  <c r="A35" i="1"/>
  <c r="BY34" i="1"/>
  <c r="BN34" i="1"/>
  <c r="BC34" i="1"/>
  <c r="AR34" i="1"/>
  <c r="AG34" i="1"/>
  <c r="V34" i="1"/>
  <c r="K34" i="1"/>
  <c r="A34" i="1"/>
  <c r="BY33" i="1"/>
  <c r="BN33" i="1"/>
  <c r="BC33" i="1"/>
  <c r="AR33" i="1"/>
  <c r="AG33" i="1"/>
  <c r="V33" i="1"/>
  <c r="K33" i="1"/>
  <c r="A33" i="1"/>
  <c r="BY32" i="1"/>
  <c r="BN32" i="1"/>
  <c r="BC32" i="1"/>
  <c r="AR32" i="1"/>
  <c r="AG32" i="1"/>
  <c r="V32" i="1"/>
  <c r="K32" i="1"/>
  <c r="A32" i="1"/>
  <c r="BY31" i="1"/>
  <c r="BN31" i="1"/>
  <c r="BC31" i="1"/>
  <c r="AR31" i="1"/>
  <c r="AG31" i="1"/>
  <c r="V31" i="1"/>
  <c r="K31" i="1"/>
  <c r="A31" i="1"/>
  <c r="BY30" i="1"/>
  <c r="BN30" i="1"/>
  <c r="BC30" i="1"/>
  <c r="AR30" i="1"/>
  <c r="AG30" i="1"/>
  <c r="V30" i="1"/>
  <c r="K30" i="1"/>
  <c r="A30" i="1"/>
  <c r="BY29" i="1"/>
  <c r="BN29" i="1"/>
  <c r="BC29" i="1"/>
  <c r="AR29" i="1"/>
  <c r="AG29" i="1"/>
  <c r="V29" i="1"/>
  <c r="K29" i="1"/>
  <c r="A29" i="1"/>
  <c r="BY28" i="1"/>
  <c r="BN28" i="1"/>
  <c r="BC28" i="1"/>
  <c r="AR28" i="1"/>
  <c r="AG28" i="1"/>
  <c r="V28" i="1"/>
  <c r="K28" i="1"/>
  <c r="A28" i="1"/>
  <c r="BY27" i="1"/>
  <c r="BN27" i="1"/>
  <c r="BC27" i="1"/>
  <c r="AR27" i="1"/>
  <c r="AG27" i="1"/>
  <c r="V27" i="1"/>
  <c r="K27" i="1"/>
  <c r="A27" i="1"/>
  <c r="BY26" i="1"/>
  <c r="BN26" i="1"/>
  <c r="BC26" i="1"/>
  <c r="AR26" i="1"/>
  <c r="AG26" i="1"/>
  <c r="V26" i="1"/>
  <c r="K26" i="1"/>
  <c r="A26" i="1"/>
  <c r="BY25" i="1"/>
  <c r="BN25" i="1"/>
  <c r="BC25" i="1"/>
  <c r="AR25" i="1"/>
  <c r="AG25" i="1"/>
  <c r="V25" i="1"/>
  <c r="K25" i="1"/>
  <c r="A25" i="1"/>
  <c r="BY24" i="1"/>
  <c r="BN24" i="1"/>
  <c r="BC24" i="1"/>
  <c r="AR24" i="1"/>
  <c r="AG24" i="1"/>
  <c r="V24" i="1"/>
  <c r="K24" i="1"/>
  <c r="A24" i="1"/>
  <c r="BY23" i="1"/>
  <c r="BN23" i="1"/>
  <c r="BC23" i="1"/>
  <c r="AR23" i="1"/>
  <c r="AG23" i="1"/>
  <c r="V23" i="1"/>
  <c r="K23" i="1"/>
  <c r="A23" i="1"/>
  <c r="BY22" i="1"/>
  <c r="BN22" i="1"/>
  <c r="BC22" i="1"/>
  <c r="AR22" i="1"/>
  <c r="AG22" i="1"/>
  <c r="V22" i="1"/>
  <c r="K22" i="1"/>
  <c r="A22" i="1"/>
  <c r="BY21" i="1"/>
  <c r="BN21" i="1"/>
  <c r="BC21" i="1"/>
  <c r="AR21" i="1"/>
  <c r="AG21" i="1"/>
  <c r="V21" i="1"/>
  <c r="K21" i="1"/>
  <c r="A21" i="1"/>
  <c r="BY20" i="1"/>
  <c r="BN20" i="1"/>
  <c r="BC20" i="1"/>
  <c r="AR20" i="1"/>
  <c r="AG20" i="1"/>
  <c r="V20" i="1"/>
  <c r="K20" i="1"/>
  <c r="A20" i="1"/>
  <c r="BY19" i="1"/>
  <c r="BN19" i="1"/>
  <c r="BC19" i="1"/>
  <c r="AR19" i="1"/>
  <c r="AG19" i="1"/>
  <c r="V19" i="1"/>
  <c r="K19" i="1"/>
  <c r="A19" i="1"/>
  <c r="BY18" i="1"/>
  <c r="BN18" i="1"/>
  <c r="BC18" i="1"/>
  <c r="AR18" i="1"/>
  <c r="AG18" i="1"/>
  <c r="V18" i="1"/>
  <c r="K18" i="1"/>
  <c r="A18" i="1"/>
  <c r="BY17" i="1"/>
  <c r="BN17" i="1"/>
  <c r="BC17" i="1"/>
  <c r="AR17" i="1"/>
  <c r="AG17" i="1"/>
  <c r="V17" i="1"/>
  <c r="K17" i="1"/>
  <c r="A17" i="1"/>
  <c r="BY16" i="1"/>
  <c r="BN16" i="1"/>
  <c r="BC16" i="1"/>
  <c r="AR16" i="1"/>
  <c r="AG16" i="1"/>
  <c r="V16" i="1"/>
  <c r="K16" i="1"/>
  <c r="A16" i="1"/>
  <c r="BY15" i="1"/>
  <c r="BN15" i="1"/>
  <c r="BC15" i="1"/>
  <c r="AR15" i="1"/>
  <c r="AG15" i="1"/>
  <c r="V15" i="1"/>
  <c r="K15" i="1"/>
  <c r="A15" i="1"/>
  <c r="BY14" i="1"/>
  <c r="BN14" i="1"/>
  <c r="BC14" i="1"/>
  <c r="AR14" i="1"/>
  <c r="AG14" i="1"/>
  <c r="V14" i="1"/>
  <c r="K14" i="1"/>
  <c r="A14" i="1"/>
  <c r="BY13" i="1"/>
  <c r="BN13" i="1"/>
  <c r="BC13" i="1"/>
  <c r="AR13" i="1"/>
  <c r="AG13" i="1"/>
  <c r="V13" i="1"/>
  <c r="K13" i="1"/>
  <c r="A13" i="1"/>
  <c r="BY12" i="1"/>
  <c r="BN12" i="1"/>
  <c r="BC12" i="1"/>
  <c r="AR12" i="1"/>
  <c r="AG12" i="1"/>
  <c r="V12" i="1"/>
  <c r="K12" i="1"/>
  <c r="A12" i="1"/>
  <c r="BY11" i="1"/>
  <c r="BN11" i="1"/>
  <c r="BC11" i="1"/>
  <c r="AR11" i="1"/>
  <c r="AG11" i="1"/>
  <c r="V11" i="1"/>
  <c r="K11" i="1"/>
  <c r="A11" i="1"/>
  <c r="BY10" i="1"/>
  <c r="BN10" i="1"/>
  <c r="BC10" i="1"/>
  <c r="AR10" i="1"/>
  <c r="AG10" i="1"/>
  <c r="V10" i="1"/>
  <c r="K10" i="1"/>
  <c r="A10" i="1"/>
  <c r="BY9" i="1"/>
  <c r="BN9" i="1"/>
  <c r="BC9" i="1"/>
  <c r="AR9" i="1"/>
  <c r="AG9" i="1"/>
  <c r="V9" i="1"/>
  <c r="K9" i="1"/>
  <c r="A9" i="1"/>
  <c r="BY8" i="1"/>
  <c r="BN8" i="1"/>
  <c r="BC8" i="1"/>
  <c r="AR8" i="1"/>
  <c r="AG8" i="1"/>
  <c r="V8" i="1"/>
  <c r="K8" i="1"/>
  <c r="A8" i="1"/>
  <c r="BY7" i="1"/>
  <c r="BN7" i="1"/>
  <c r="BC7" i="1"/>
  <c r="AR7" i="1"/>
  <c r="AG7" i="1"/>
  <c r="V7" i="1"/>
  <c r="K7" i="1"/>
  <c r="A7" i="1"/>
  <c r="BY6" i="1"/>
  <c r="BN6" i="1"/>
  <c r="BC6" i="1"/>
  <c r="AR6" i="1"/>
  <c r="AG6" i="1"/>
  <c r="V6" i="1"/>
  <c r="K6" i="1"/>
  <c r="A6" i="1"/>
  <c r="BY5" i="1"/>
  <c r="BN5" i="1"/>
  <c r="BC5" i="1"/>
  <c r="AR5" i="1"/>
  <c r="AG5" i="1"/>
  <c r="V5" i="1"/>
  <c r="K5" i="1"/>
  <c r="A5" i="1"/>
  <c r="BY4" i="1"/>
  <c r="BN4" i="1"/>
  <c r="BC4" i="1"/>
  <c r="AR4" i="1"/>
  <c r="AG4" i="1"/>
  <c r="V4" i="1"/>
  <c r="K4" i="1"/>
  <c r="A4" i="1"/>
  <c r="BY3" i="1"/>
  <c r="BN3" i="1"/>
  <c r="BC3" i="1"/>
  <c r="AR3" i="1"/>
  <c r="AG3" i="1"/>
  <c r="V3" i="1"/>
  <c r="K3" i="1"/>
  <c r="A3" i="1"/>
  <c r="BY2" i="1"/>
  <c r="BN2" i="1"/>
  <c r="BC2" i="1"/>
  <c r="AR2" i="1"/>
  <c r="AG2" i="1"/>
  <c r="V2" i="1"/>
  <c r="K2" i="1"/>
  <c r="A2" i="1"/>
  <c r="I4" i="4" l="1"/>
  <c r="C63" i="5"/>
  <c r="E64" i="5"/>
  <c r="DT66" i="2"/>
  <c r="EE66" i="2"/>
  <c r="E64" i="4"/>
  <c r="C63" i="4"/>
  <c r="AU66" i="2"/>
  <c r="I4" i="3"/>
  <c r="C65" i="3"/>
  <c r="X66" i="2"/>
  <c r="E66" i="3"/>
  <c r="BF66" i="2"/>
  <c r="CB66" i="2"/>
  <c r="CM66" i="2"/>
  <c r="HO66" i="2"/>
  <c r="HZ66" i="2"/>
  <c r="FA65" i="2"/>
  <c r="CX66" i="2"/>
  <c r="I4" i="5"/>
  <c r="N66" i="2"/>
  <c r="I8" i="7"/>
  <c r="E66" i="6"/>
  <c r="C65" i="6"/>
  <c r="E64" i="9"/>
  <c r="C63" i="9"/>
  <c r="E65" i="9"/>
  <c r="E66" i="7"/>
  <c r="C65" i="7"/>
  <c r="EO66" i="2"/>
  <c r="AT66" i="1"/>
  <c r="I7" i="14"/>
  <c r="I5" i="10"/>
  <c r="I3" i="8"/>
  <c r="E65" i="13"/>
  <c r="C64" i="13"/>
  <c r="E66" i="14"/>
  <c r="C65" i="14"/>
  <c r="C63" i="11"/>
  <c r="I3" i="17"/>
  <c r="I3" i="11"/>
  <c r="I6" i="13"/>
  <c r="I8" i="12"/>
  <c r="C64" i="15"/>
  <c r="E65" i="15"/>
  <c r="I8" i="15"/>
  <c r="I6" i="9"/>
  <c r="C65" i="8"/>
  <c r="E65" i="10"/>
  <c r="C64" i="10"/>
  <c r="C65" i="12"/>
  <c r="E66" i="12"/>
  <c r="I6" i="16"/>
  <c r="I5" i="18"/>
  <c r="I7" i="24"/>
  <c r="C63" i="25"/>
  <c r="E64" i="25"/>
  <c r="I7" i="27"/>
  <c r="I5" i="25"/>
  <c r="I4" i="20"/>
  <c r="I4" i="19"/>
  <c r="C63" i="16"/>
  <c r="C63" i="17"/>
  <c r="E64" i="17"/>
  <c r="I6" i="29"/>
  <c r="I7" i="22"/>
  <c r="I6" i="26"/>
  <c r="C64" i="20"/>
  <c r="E65" i="20"/>
  <c r="C63" i="18"/>
  <c r="E65" i="16"/>
  <c r="E65" i="23"/>
  <c r="C64" i="23"/>
  <c r="I5" i="23"/>
  <c r="E65" i="18"/>
  <c r="C64" i="21"/>
  <c r="I4" i="31"/>
  <c r="I4" i="21"/>
  <c r="E64" i="19"/>
  <c r="C63" i="19"/>
  <c r="E65" i="19"/>
  <c r="I5" i="28"/>
  <c r="C62" i="26"/>
  <c r="I4" i="33"/>
  <c r="C65" i="27"/>
  <c r="E65" i="26"/>
  <c r="C65" i="28"/>
  <c r="C65" i="29"/>
  <c r="C63" i="22"/>
  <c r="C60" i="30"/>
  <c r="E61" i="30"/>
  <c r="E62" i="30"/>
  <c r="I7" i="32"/>
  <c r="I5" i="30"/>
  <c r="C60" i="32"/>
  <c r="I7" i="42"/>
  <c r="I3" i="35"/>
  <c r="C64" i="35"/>
  <c r="E65" i="35"/>
  <c r="I4" i="39"/>
  <c r="C64" i="36"/>
  <c r="E65" i="36"/>
  <c r="I3" i="34"/>
  <c r="I3" i="36"/>
  <c r="C64" i="31"/>
  <c r="E64" i="32"/>
  <c r="I5" i="41"/>
  <c r="C64" i="33"/>
  <c r="E65" i="33"/>
  <c r="I3" i="38"/>
  <c r="E62" i="34"/>
  <c r="C61" i="34"/>
  <c r="E66" i="34"/>
  <c r="I5" i="44"/>
  <c r="C62" i="37"/>
  <c r="E63" i="40"/>
  <c r="C62" i="40"/>
  <c r="C64" i="38"/>
  <c r="E64" i="37"/>
  <c r="I3" i="43"/>
  <c r="I3" i="40"/>
  <c r="E66" i="40"/>
  <c r="I5" i="37"/>
  <c r="E66" i="42"/>
  <c r="C65" i="42"/>
  <c r="E62" i="43"/>
  <c r="C61" i="43"/>
  <c r="C64" i="44"/>
  <c r="I8" i="46"/>
  <c r="I6" i="48"/>
  <c r="E62" i="45"/>
  <c r="C61" i="45"/>
  <c r="C65" i="46"/>
  <c r="E66" i="46"/>
  <c r="E65" i="41"/>
  <c r="C64" i="41"/>
  <c r="E63" i="39"/>
  <c r="C62" i="39"/>
  <c r="E66" i="39"/>
  <c r="E65" i="48"/>
  <c r="C64" i="48"/>
  <c r="E66" i="49"/>
  <c r="C65" i="49"/>
  <c r="E66" i="53"/>
  <c r="C65" i="53"/>
  <c r="I4" i="54"/>
  <c r="I3" i="45"/>
  <c r="I4" i="52"/>
  <c r="I4" i="49"/>
  <c r="E66" i="50"/>
  <c r="C65" i="50"/>
  <c r="I6" i="51"/>
  <c r="I3" i="47"/>
  <c r="E63" i="51"/>
  <c r="C62" i="51"/>
  <c r="E66" i="43"/>
  <c r="C62" i="47"/>
  <c r="E63" i="61"/>
  <c r="C62" i="61"/>
  <c r="I4" i="53"/>
  <c r="C61" i="59"/>
  <c r="E62" i="59"/>
  <c r="C63" i="57"/>
  <c r="E64" i="57"/>
  <c r="C65" i="55"/>
  <c r="E66" i="55"/>
  <c r="I4" i="56"/>
  <c r="C63" i="54"/>
  <c r="E64" i="54"/>
  <c r="I5" i="60"/>
  <c r="I4" i="50"/>
  <c r="E65" i="54"/>
  <c r="C65" i="52"/>
  <c r="E66" i="52"/>
  <c r="I7" i="59"/>
  <c r="E66" i="56"/>
  <c r="C65" i="56"/>
  <c r="I3" i="58"/>
  <c r="C65" i="58"/>
  <c r="E66" i="58"/>
  <c r="I3" i="64"/>
  <c r="C62" i="62"/>
  <c r="E63" i="62"/>
  <c r="I4" i="57"/>
  <c r="I6" i="62"/>
  <c r="I8" i="61"/>
  <c r="I3" i="65"/>
  <c r="C63" i="67"/>
  <c r="E64" i="67"/>
  <c r="I5" i="63"/>
  <c r="E64" i="60"/>
  <c r="C63" i="60"/>
  <c r="C64" i="63"/>
  <c r="E65" i="63"/>
  <c r="I3" i="55"/>
  <c r="E64" i="68"/>
  <c r="C63" i="68"/>
  <c r="I4" i="67"/>
  <c r="I4" i="73"/>
  <c r="E64" i="65"/>
  <c r="C63" i="65"/>
  <c r="I5" i="68"/>
  <c r="I7" i="71"/>
  <c r="I3" i="69"/>
  <c r="I5" i="66"/>
  <c r="C63" i="66"/>
  <c r="E64" i="66"/>
  <c r="E64" i="64"/>
  <c r="C63" i="64"/>
  <c r="E65" i="67"/>
  <c r="I4" i="76"/>
  <c r="E66" i="73"/>
  <c r="C63" i="74"/>
  <c r="E64" i="74"/>
  <c r="I4" i="70"/>
  <c r="E65" i="70"/>
  <c r="C64" i="70"/>
  <c r="I5" i="72"/>
  <c r="C64" i="71"/>
  <c r="C62" i="69"/>
  <c r="I8" i="74"/>
  <c r="E63" i="72"/>
  <c r="C62" i="72"/>
  <c r="E65" i="69"/>
  <c r="C62" i="73"/>
  <c r="I8" i="75"/>
  <c r="I6" i="77"/>
  <c r="C64" i="80"/>
  <c r="E65" i="80"/>
  <c r="C64" i="77"/>
  <c r="I7" i="79"/>
  <c r="I6" i="78"/>
  <c r="E64" i="75"/>
  <c r="C63" i="75"/>
  <c r="E65" i="78"/>
  <c r="C64" i="78"/>
  <c r="I4" i="80"/>
  <c r="C63" i="81"/>
  <c r="E64" i="81"/>
  <c r="I7" i="82"/>
  <c r="E66" i="80"/>
  <c r="C58" i="82"/>
  <c r="I4" i="84"/>
  <c r="C62" i="84"/>
  <c r="E65" i="81"/>
  <c r="C64" i="88"/>
  <c r="E65" i="88"/>
  <c r="E61" i="82"/>
  <c r="C64" i="76"/>
  <c r="C64" i="79"/>
  <c r="I3" i="81"/>
  <c r="I4" i="88"/>
  <c r="E62" i="82"/>
  <c r="E64" i="86"/>
  <c r="I5" i="83"/>
  <c r="E63" i="86"/>
  <c r="C62" i="86"/>
  <c r="I6" i="89"/>
  <c r="I4" i="85"/>
  <c r="E63" i="82"/>
  <c r="E64" i="83"/>
  <c r="C63" i="83"/>
  <c r="I4" i="86"/>
  <c r="I4" i="87"/>
  <c r="E65" i="85"/>
  <c r="E66" i="88"/>
  <c r="C60" i="87"/>
  <c r="E66" i="90"/>
  <c r="C65" i="90"/>
  <c r="C64" i="89"/>
  <c r="I5" i="93"/>
  <c r="C62" i="85"/>
  <c r="I5" i="92"/>
  <c r="I3" i="90"/>
  <c r="I4" i="97"/>
  <c r="I3" i="95"/>
  <c r="I6" i="98"/>
  <c r="I5" i="99"/>
  <c r="I3" i="91"/>
  <c r="C58" i="98"/>
  <c r="C64" i="97"/>
  <c r="C65" i="93"/>
  <c r="I7" i="94"/>
  <c r="C65" i="91"/>
  <c r="E66" i="92"/>
  <c r="C65" i="92"/>
  <c r="I4" i="103"/>
  <c r="I3" i="100"/>
  <c r="I3" i="96"/>
  <c r="E63" i="98"/>
  <c r="E62" i="102"/>
  <c r="C61" i="102"/>
  <c r="C63" i="99"/>
  <c r="I6" i="101"/>
  <c r="C64" i="95"/>
  <c r="C64" i="96"/>
  <c r="E65" i="99"/>
  <c r="C64" i="101"/>
  <c r="E65" i="101"/>
  <c r="E66" i="99"/>
  <c r="I4" i="104"/>
  <c r="C65" i="100"/>
  <c r="C63" i="94"/>
  <c r="I3" i="102"/>
  <c r="E62" i="105"/>
  <c r="C61" i="105"/>
  <c r="C65" i="107"/>
  <c r="E66" i="107"/>
  <c r="E65" i="108"/>
  <c r="C64" i="108"/>
  <c r="E66" i="108"/>
  <c r="I4" i="108"/>
  <c r="E64" i="104"/>
  <c r="C63" i="104"/>
  <c r="I4" i="106"/>
  <c r="I6" i="107"/>
  <c r="I3" i="105"/>
  <c r="E64" i="103"/>
  <c r="C63" i="103"/>
  <c r="I3" i="110"/>
  <c r="C63" i="110"/>
  <c r="E64" i="110"/>
  <c r="E62" i="111"/>
  <c r="C61" i="111"/>
  <c r="C62" i="106"/>
  <c r="I4" i="111"/>
  <c r="E65" i="106"/>
  <c r="E66" i="109"/>
  <c r="C65" i="109"/>
  <c r="I4" i="116"/>
  <c r="I3" i="112"/>
  <c r="E64" i="113"/>
  <c r="C63" i="113"/>
  <c r="I5" i="113"/>
  <c r="E63" i="115"/>
  <c r="C62" i="115"/>
  <c r="C64" i="114"/>
  <c r="E65" i="114"/>
  <c r="I4" i="114"/>
  <c r="I3" i="109"/>
  <c r="I5" i="115"/>
  <c r="C63" i="116"/>
  <c r="I5" i="118"/>
  <c r="I6" i="117"/>
  <c r="I4" i="121"/>
  <c r="C63" i="112"/>
  <c r="I4" i="123"/>
  <c r="I4" i="119"/>
  <c r="E65" i="117"/>
  <c r="C64" i="117"/>
  <c r="C64" i="119"/>
  <c r="E65" i="119"/>
  <c r="E63" i="120"/>
  <c r="C62" i="120"/>
  <c r="I3" i="120"/>
  <c r="C63" i="118"/>
  <c r="E64" i="118"/>
  <c r="I6" i="122"/>
  <c r="E65" i="125"/>
  <c r="C64" i="125"/>
  <c r="I6" i="127"/>
  <c r="C63" i="130"/>
  <c r="E64" i="130"/>
  <c r="I5" i="129"/>
  <c r="I3" i="125"/>
  <c r="I4" i="126"/>
  <c r="E63" i="123"/>
  <c r="C62" i="123"/>
  <c r="C62" i="127"/>
  <c r="E63" i="127"/>
  <c r="C64" i="122"/>
  <c r="C61" i="131"/>
  <c r="E62" i="131"/>
  <c r="E64" i="126"/>
  <c r="C63" i="126"/>
  <c r="E63" i="124"/>
  <c r="C62" i="124"/>
  <c r="C65" i="121"/>
  <c r="I6" i="128"/>
  <c r="I5" i="124"/>
  <c r="E65" i="130"/>
  <c r="I6" i="132"/>
  <c r="I6" i="135"/>
  <c r="E64" i="128"/>
  <c r="C63" i="128"/>
  <c r="E65" i="128"/>
  <c r="E65" i="132"/>
  <c r="C64" i="132"/>
  <c r="I3" i="130"/>
  <c r="I8" i="134"/>
  <c r="I4" i="131"/>
  <c r="E64" i="129"/>
  <c r="C63" i="129"/>
  <c r="I8" i="133"/>
  <c r="I4" i="137"/>
  <c r="C64" i="134"/>
  <c r="I5" i="139"/>
  <c r="I6" i="136"/>
  <c r="C63" i="137"/>
  <c r="E64" i="137"/>
  <c r="C64" i="133"/>
  <c r="E65" i="133"/>
  <c r="C60" i="138"/>
  <c r="E61" i="138"/>
  <c r="E64" i="131"/>
  <c r="E66" i="133"/>
  <c r="E66" i="136"/>
  <c r="C65" i="136"/>
  <c r="E64" i="135"/>
  <c r="C63" i="135"/>
  <c r="C62" i="141"/>
  <c r="E63" i="141"/>
  <c r="E63" i="138"/>
  <c r="I3" i="140"/>
  <c r="I6" i="142"/>
  <c r="I4" i="144"/>
  <c r="I4" i="138"/>
  <c r="C63" i="139"/>
  <c r="I3" i="141"/>
  <c r="I8" i="145"/>
  <c r="I22" i="150"/>
  <c r="E64" i="144"/>
  <c r="C63" i="144"/>
  <c r="C64" i="140"/>
  <c r="E65" i="140"/>
  <c r="I3" i="143"/>
  <c r="I5" i="149"/>
  <c r="C65" i="143"/>
  <c r="E66" i="143"/>
  <c r="E65" i="144"/>
  <c r="I3" i="148"/>
  <c r="I3" i="147"/>
  <c r="C64" i="145"/>
  <c r="E63" i="149"/>
  <c r="C62" i="149"/>
  <c r="C64" i="142"/>
  <c r="E61" i="146"/>
  <c r="C60" i="146"/>
  <c r="E62" i="146"/>
  <c r="I4" i="151"/>
  <c r="I3" i="146"/>
  <c r="C64" i="147"/>
  <c r="E65" i="147"/>
  <c r="I6" i="150"/>
  <c r="I6" i="152"/>
  <c r="I4" i="153"/>
  <c r="C63" i="150"/>
  <c r="E64" i="148"/>
  <c r="C63" i="148"/>
  <c r="C64" i="151"/>
  <c r="E65" i="151"/>
  <c r="I6" i="156"/>
  <c r="C64" i="153"/>
  <c r="I5" i="159"/>
  <c r="I5" i="157"/>
  <c r="C64" i="154"/>
  <c r="E65" i="154"/>
  <c r="E61" i="156"/>
  <c r="C60" i="156"/>
  <c r="I5" i="158"/>
  <c r="I4" i="154"/>
  <c r="C60" i="157"/>
  <c r="E61" i="157"/>
  <c r="C65" i="158"/>
  <c r="E62" i="160"/>
  <c r="C61" i="160"/>
  <c r="C65" i="155"/>
  <c r="C63" i="161"/>
  <c r="E64" i="161"/>
  <c r="C62" i="159"/>
  <c r="E63" i="159"/>
  <c r="I4" i="155"/>
  <c r="E66" i="152"/>
  <c r="C65" i="152"/>
  <c r="I3" i="160"/>
  <c r="E63" i="163"/>
  <c r="C62" i="163"/>
  <c r="I3" i="163"/>
  <c r="I4" i="161"/>
  <c r="I4" i="162"/>
  <c r="E62" i="166"/>
  <c r="C60" i="166"/>
  <c r="E61" i="166"/>
  <c r="E63" i="166"/>
  <c r="C64" i="164"/>
  <c r="E65" i="164"/>
  <c r="I6" i="164"/>
  <c r="I4" i="168"/>
  <c r="C64" i="162"/>
  <c r="I5" i="165"/>
  <c r="E65" i="160"/>
  <c r="I3" i="166"/>
  <c r="E63" i="168"/>
  <c r="C62" i="168"/>
  <c r="I5" i="167"/>
  <c r="C61" i="165"/>
  <c r="E62" i="165"/>
  <c r="C63" i="167"/>
  <c r="E64" i="167"/>
  <c r="C62" i="171"/>
  <c r="E63" i="171"/>
  <c r="I6" i="172"/>
  <c r="I4" i="170"/>
  <c r="E65" i="165"/>
  <c r="C65" i="170"/>
  <c r="E66" i="170"/>
  <c r="I4" i="169"/>
  <c r="I5" i="173"/>
  <c r="I3" i="171"/>
  <c r="E63" i="173"/>
  <c r="C62" i="173"/>
  <c r="E64" i="171"/>
  <c r="E65" i="169"/>
  <c r="C64" i="169"/>
  <c r="E66" i="166"/>
  <c r="C65" i="172"/>
  <c r="E66" i="172"/>
  <c r="I3" i="174"/>
  <c r="C65" i="174"/>
  <c r="C64" i="109" l="1"/>
  <c r="E65" i="109"/>
  <c r="ED65" i="2"/>
  <c r="C63" i="108"/>
  <c r="E64" i="108"/>
  <c r="E64" i="76"/>
  <c r="C63" i="76"/>
  <c r="I4" i="55"/>
  <c r="E65" i="56"/>
  <c r="C64" i="56"/>
  <c r="I4" i="38"/>
  <c r="I5" i="31"/>
  <c r="I6" i="25"/>
  <c r="I9" i="7"/>
  <c r="C63" i="164"/>
  <c r="E64" i="164"/>
  <c r="I6" i="158"/>
  <c r="I5" i="162"/>
  <c r="C59" i="156"/>
  <c r="E60" i="156"/>
  <c r="I4" i="125"/>
  <c r="C62" i="112"/>
  <c r="E63" i="112"/>
  <c r="C64" i="92"/>
  <c r="E65" i="92"/>
  <c r="HN65" i="2"/>
  <c r="E62" i="85"/>
  <c r="C61" i="85"/>
  <c r="I5" i="70"/>
  <c r="I7" i="172"/>
  <c r="E64" i="63"/>
  <c r="C63" i="63"/>
  <c r="I8" i="59"/>
  <c r="I7" i="48"/>
  <c r="E64" i="33"/>
  <c r="C63" i="33"/>
  <c r="C61" i="149"/>
  <c r="E62" i="149"/>
  <c r="E65" i="107"/>
  <c r="C64" i="107"/>
  <c r="I6" i="93"/>
  <c r="E63" i="74"/>
  <c r="C62" i="74"/>
  <c r="I7" i="51"/>
  <c r="I9" i="46"/>
  <c r="C63" i="21"/>
  <c r="E64" i="21"/>
  <c r="I4" i="17"/>
  <c r="E63" i="4"/>
  <c r="C62" i="4"/>
  <c r="I5" i="121"/>
  <c r="I4" i="146"/>
  <c r="I7" i="117"/>
  <c r="C60" i="105"/>
  <c r="E61" i="105"/>
  <c r="C64" i="91"/>
  <c r="E65" i="91"/>
  <c r="C63" i="89"/>
  <c r="E64" i="89"/>
  <c r="HN64" i="2"/>
  <c r="E64" i="88"/>
  <c r="C63" i="88"/>
  <c r="I8" i="79"/>
  <c r="I6" i="41"/>
  <c r="I8" i="27"/>
  <c r="C62" i="128"/>
  <c r="E63" i="128"/>
  <c r="E65" i="90"/>
  <c r="C64" i="90"/>
  <c r="E64" i="77"/>
  <c r="C63" i="77"/>
  <c r="C62" i="60"/>
  <c r="E63" i="60"/>
  <c r="E65" i="52"/>
  <c r="C64" i="52"/>
  <c r="BP65" i="2"/>
  <c r="E65" i="50"/>
  <c r="C64" i="50"/>
  <c r="AT65" i="2"/>
  <c r="E64" i="44"/>
  <c r="C63" i="44"/>
  <c r="E63" i="22"/>
  <c r="C62" i="22"/>
  <c r="C63" i="147"/>
  <c r="E64" i="147"/>
  <c r="I5" i="161"/>
  <c r="E65" i="174"/>
  <c r="C64" i="174"/>
  <c r="HY65" i="2"/>
  <c r="I4" i="163"/>
  <c r="C63" i="154"/>
  <c r="E64" i="154"/>
  <c r="I9" i="145"/>
  <c r="I4" i="174"/>
  <c r="I6" i="157"/>
  <c r="C62" i="130"/>
  <c r="E63" i="130"/>
  <c r="I5" i="111"/>
  <c r="I8" i="94"/>
  <c r="C60" i="43"/>
  <c r="E61" i="43"/>
  <c r="C62" i="25"/>
  <c r="E63" i="25"/>
  <c r="I23" i="150"/>
  <c r="C62" i="167"/>
  <c r="E63" i="167"/>
  <c r="E65" i="93"/>
  <c r="C64" i="93"/>
  <c r="I5" i="50"/>
  <c r="E64" i="31"/>
  <c r="C63" i="31"/>
  <c r="E65" i="29"/>
  <c r="C64" i="29"/>
  <c r="X65" i="1"/>
  <c r="C62" i="11"/>
  <c r="E63" i="11"/>
  <c r="E60" i="138"/>
  <c r="C59" i="138"/>
  <c r="I6" i="129"/>
  <c r="C61" i="106"/>
  <c r="E62" i="106"/>
  <c r="E60" i="87"/>
  <c r="C59" i="87"/>
  <c r="I6" i="63"/>
  <c r="I6" i="159"/>
  <c r="E61" i="111"/>
  <c r="C60" i="111"/>
  <c r="I5" i="84"/>
  <c r="I5" i="49"/>
  <c r="E65" i="42"/>
  <c r="C64" i="42"/>
  <c r="FV65" i="2"/>
  <c r="E65" i="28"/>
  <c r="C64" i="28"/>
  <c r="AI65" i="2"/>
  <c r="I6" i="23"/>
  <c r="E65" i="14"/>
  <c r="C64" i="14"/>
  <c r="GR65" i="2"/>
  <c r="I5" i="5"/>
  <c r="E64" i="133"/>
  <c r="C63" i="133"/>
  <c r="DH64" i="2"/>
  <c r="I7" i="135"/>
  <c r="E63" i="137"/>
  <c r="C62" i="137"/>
  <c r="E64" i="80"/>
  <c r="C63" i="80"/>
  <c r="I5" i="76"/>
  <c r="I7" i="132"/>
  <c r="E61" i="165"/>
  <c r="C60" i="165"/>
  <c r="I4" i="160"/>
  <c r="I5" i="151"/>
  <c r="I4" i="141"/>
  <c r="I7" i="136"/>
  <c r="C62" i="116"/>
  <c r="E63" i="116"/>
  <c r="C63" i="97"/>
  <c r="E64" i="97"/>
  <c r="EO64" i="2"/>
  <c r="C57" i="82"/>
  <c r="E58" i="82"/>
  <c r="I6" i="60"/>
  <c r="I4" i="36"/>
  <c r="E64" i="23"/>
  <c r="C63" i="23"/>
  <c r="I8" i="24"/>
  <c r="C61" i="171"/>
  <c r="E62" i="171"/>
  <c r="E62" i="163"/>
  <c r="C61" i="163"/>
  <c r="I4" i="102"/>
  <c r="C61" i="84"/>
  <c r="E62" i="84"/>
  <c r="I7" i="127"/>
  <c r="I6" i="118"/>
  <c r="E63" i="94"/>
  <c r="C62" i="94"/>
  <c r="C64" i="172"/>
  <c r="E65" i="172"/>
  <c r="I6" i="167"/>
  <c r="C62" i="139"/>
  <c r="E63" i="139"/>
  <c r="E64" i="125"/>
  <c r="C63" i="125"/>
  <c r="I6" i="115"/>
  <c r="E65" i="100"/>
  <c r="C64" i="100"/>
  <c r="C57" i="98"/>
  <c r="E58" i="98"/>
  <c r="I5" i="87"/>
  <c r="I7" i="77"/>
  <c r="C62" i="67"/>
  <c r="E63" i="67"/>
  <c r="I5" i="52"/>
  <c r="I6" i="37"/>
  <c r="I4" i="34"/>
  <c r="I5" i="138"/>
  <c r="C62" i="110"/>
  <c r="E63" i="110"/>
  <c r="E63" i="64"/>
  <c r="C62" i="64"/>
  <c r="E63" i="54"/>
  <c r="C62" i="54"/>
  <c r="E65" i="27"/>
  <c r="C64" i="27"/>
  <c r="IJ64" i="2" s="1"/>
  <c r="IJ65" i="2"/>
  <c r="I6" i="18"/>
  <c r="E60" i="146"/>
  <c r="C59" i="146"/>
  <c r="I6" i="139"/>
  <c r="I7" i="122"/>
  <c r="I5" i="104"/>
  <c r="I5" i="86"/>
  <c r="I4" i="65"/>
  <c r="I4" i="45"/>
  <c r="E64" i="36"/>
  <c r="C63" i="36"/>
  <c r="CW64" i="2"/>
  <c r="I5" i="33"/>
  <c r="E63" i="18"/>
  <c r="C62" i="18"/>
  <c r="I7" i="16"/>
  <c r="C63" i="13"/>
  <c r="E64" i="13"/>
  <c r="IU64" i="2"/>
  <c r="E63" i="5"/>
  <c r="C62" i="5"/>
  <c r="I6" i="124"/>
  <c r="I4" i="110"/>
  <c r="I4" i="91"/>
  <c r="I5" i="56"/>
  <c r="I4" i="40"/>
  <c r="I5" i="39"/>
  <c r="C63" i="169"/>
  <c r="E64" i="169"/>
  <c r="HY64" i="2"/>
  <c r="C64" i="152"/>
  <c r="M64" i="2" s="1"/>
  <c r="E65" i="152"/>
  <c r="M65" i="2"/>
  <c r="I7" i="156"/>
  <c r="C63" i="142"/>
  <c r="E64" i="142"/>
  <c r="I4" i="109"/>
  <c r="E63" i="103"/>
  <c r="C62" i="103"/>
  <c r="E63" i="83"/>
  <c r="C62" i="83"/>
  <c r="I8" i="82"/>
  <c r="E63" i="66"/>
  <c r="C62" i="66"/>
  <c r="I5" i="54"/>
  <c r="I4" i="43"/>
  <c r="E64" i="20"/>
  <c r="C63" i="20"/>
  <c r="C62" i="118"/>
  <c r="E63" i="118"/>
  <c r="I9" i="75"/>
  <c r="C64" i="53"/>
  <c r="E65" i="53"/>
  <c r="BE65" i="2"/>
  <c r="E65" i="12"/>
  <c r="C64" i="12"/>
  <c r="X65" i="2"/>
  <c r="M65" i="1"/>
  <c r="C61" i="73"/>
  <c r="E62" i="73"/>
  <c r="I9" i="61"/>
  <c r="E65" i="55"/>
  <c r="C64" i="55"/>
  <c r="FK64" i="2" s="1"/>
  <c r="FK65" i="2"/>
  <c r="E64" i="10"/>
  <c r="C63" i="10"/>
  <c r="I4" i="8"/>
  <c r="I5" i="114"/>
  <c r="E64" i="101"/>
  <c r="C63" i="101"/>
  <c r="I5" i="155"/>
  <c r="C63" i="145"/>
  <c r="E64" i="145"/>
  <c r="I7" i="142"/>
  <c r="I5" i="137"/>
  <c r="E65" i="121"/>
  <c r="C64" i="121"/>
  <c r="I4" i="120"/>
  <c r="I6" i="99"/>
  <c r="C62" i="81"/>
  <c r="E63" i="81"/>
  <c r="I6" i="66"/>
  <c r="C64" i="49"/>
  <c r="E65" i="49"/>
  <c r="E64" i="35"/>
  <c r="C63" i="35"/>
  <c r="I7" i="26"/>
  <c r="I5" i="4"/>
  <c r="E62" i="124"/>
  <c r="C61" i="124"/>
  <c r="C63" i="96"/>
  <c r="E64" i="96"/>
  <c r="I7" i="98"/>
  <c r="I5" i="85"/>
  <c r="E63" i="57"/>
  <c r="C62" i="57"/>
  <c r="E64" i="38"/>
  <c r="C63" i="38"/>
  <c r="E62" i="26"/>
  <c r="C61" i="26"/>
  <c r="C64" i="8"/>
  <c r="HC65" i="2"/>
  <c r="E65" i="8"/>
  <c r="BP65" i="1"/>
  <c r="I6" i="10"/>
  <c r="C63" i="151"/>
  <c r="E64" i="151"/>
  <c r="I4" i="147"/>
  <c r="I4" i="140"/>
  <c r="I9" i="133"/>
  <c r="C63" i="114"/>
  <c r="E64" i="114"/>
  <c r="I4" i="105"/>
  <c r="E64" i="95"/>
  <c r="C63" i="95"/>
  <c r="I5" i="80"/>
  <c r="I4" i="69"/>
  <c r="I7" i="62"/>
  <c r="C63" i="48"/>
  <c r="E64" i="48"/>
  <c r="I4" i="35"/>
  <c r="I8" i="22"/>
  <c r="I7" i="9"/>
  <c r="I7" i="128"/>
  <c r="I6" i="165"/>
  <c r="E63" i="129"/>
  <c r="C62" i="129"/>
  <c r="DS63" i="2"/>
  <c r="C62" i="126"/>
  <c r="E63" i="126"/>
  <c r="C61" i="115"/>
  <c r="E62" i="115"/>
  <c r="I7" i="101"/>
  <c r="I4" i="95"/>
  <c r="I7" i="89"/>
  <c r="I8" i="71"/>
  <c r="I5" i="57"/>
  <c r="E61" i="59"/>
  <c r="C60" i="59"/>
  <c r="E62" i="40"/>
  <c r="C61" i="40"/>
  <c r="I8" i="14"/>
  <c r="C63" i="162"/>
  <c r="E64" i="162"/>
  <c r="E63" i="161"/>
  <c r="C62" i="161"/>
  <c r="E62" i="86"/>
  <c r="C61" i="86"/>
  <c r="E62" i="72"/>
  <c r="C61" i="72"/>
  <c r="I8" i="42"/>
  <c r="I6" i="28"/>
  <c r="I7" i="29"/>
  <c r="I9" i="15"/>
  <c r="E62" i="159"/>
  <c r="C61" i="159"/>
  <c r="I5" i="168"/>
  <c r="C64" i="155"/>
  <c r="E65" i="155"/>
  <c r="CL65" i="2"/>
  <c r="E63" i="150"/>
  <c r="C62" i="150"/>
  <c r="C61" i="120"/>
  <c r="E62" i="120"/>
  <c r="I7" i="107"/>
  <c r="E63" i="99"/>
  <c r="C62" i="99"/>
  <c r="I5" i="97"/>
  <c r="I6" i="68"/>
  <c r="I5" i="53"/>
  <c r="E62" i="37"/>
  <c r="C61" i="37"/>
  <c r="C59" i="32"/>
  <c r="E60" i="32"/>
  <c r="EP66" i="2"/>
  <c r="E61" i="160"/>
  <c r="C60" i="160"/>
  <c r="E62" i="141"/>
  <c r="C61" i="141"/>
  <c r="I5" i="131"/>
  <c r="I6" i="113"/>
  <c r="I5" i="106"/>
  <c r="E61" i="102"/>
  <c r="C60" i="102"/>
  <c r="I9" i="74"/>
  <c r="C61" i="61"/>
  <c r="E62" i="61"/>
  <c r="C61" i="39"/>
  <c r="E62" i="39"/>
  <c r="E65" i="7"/>
  <c r="C64" i="7"/>
  <c r="EO65" i="2"/>
  <c r="AT65" i="1"/>
  <c r="C63" i="153"/>
  <c r="E64" i="153"/>
  <c r="C63" i="134"/>
  <c r="E64" i="134"/>
  <c r="EZ64" i="2"/>
  <c r="I7" i="164"/>
  <c r="I5" i="153"/>
  <c r="E61" i="131"/>
  <c r="C60" i="131"/>
  <c r="C62" i="113"/>
  <c r="E63" i="113"/>
  <c r="I6" i="83"/>
  <c r="C63" i="78"/>
  <c r="E64" i="78"/>
  <c r="C62" i="65"/>
  <c r="E63" i="65"/>
  <c r="I6" i="44"/>
  <c r="I6" i="30"/>
  <c r="E63" i="17"/>
  <c r="C62" i="17"/>
  <c r="C63" i="15"/>
  <c r="E64" i="15"/>
  <c r="I4" i="148"/>
  <c r="I5" i="169"/>
  <c r="E65" i="143"/>
  <c r="C64" i="143"/>
  <c r="E65" i="158"/>
  <c r="C64" i="158"/>
  <c r="C62" i="135"/>
  <c r="E63" i="135"/>
  <c r="E64" i="122"/>
  <c r="C63" i="122"/>
  <c r="E64" i="119"/>
  <c r="C63" i="119"/>
  <c r="C62" i="104"/>
  <c r="E63" i="104"/>
  <c r="E62" i="62"/>
  <c r="C61" i="62"/>
  <c r="E62" i="47"/>
  <c r="C61" i="47"/>
  <c r="I9" i="12"/>
  <c r="I5" i="144"/>
  <c r="E62" i="173"/>
  <c r="C61" i="173"/>
  <c r="I6" i="149"/>
  <c r="I9" i="134"/>
  <c r="E64" i="117"/>
  <c r="C63" i="117"/>
  <c r="I4" i="96"/>
  <c r="I4" i="90"/>
  <c r="E62" i="69"/>
  <c r="C61" i="69"/>
  <c r="C63" i="41"/>
  <c r="E64" i="41"/>
  <c r="BE64" i="2"/>
  <c r="I8" i="32"/>
  <c r="E60" i="157"/>
  <c r="C59" i="157"/>
  <c r="E62" i="127"/>
  <c r="C61" i="127"/>
  <c r="E63" i="75"/>
  <c r="C62" i="75"/>
  <c r="E64" i="71"/>
  <c r="C63" i="71"/>
  <c r="I5" i="73"/>
  <c r="I4" i="64"/>
  <c r="E63" i="16"/>
  <c r="C62" i="16"/>
  <c r="I7" i="13"/>
  <c r="C62" i="9"/>
  <c r="E63" i="9"/>
  <c r="I6" i="173"/>
  <c r="I7" i="152"/>
  <c r="E62" i="123"/>
  <c r="C61" i="123"/>
  <c r="I4" i="112"/>
  <c r="I5" i="88"/>
  <c r="I5" i="67"/>
  <c r="C61" i="51"/>
  <c r="E62" i="51"/>
  <c r="E63" i="19"/>
  <c r="C62" i="19"/>
  <c r="Y66" i="2"/>
  <c r="E62" i="168"/>
  <c r="C61" i="168"/>
  <c r="I4" i="166"/>
  <c r="I4" i="143"/>
  <c r="C59" i="166"/>
  <c r="E60" i="166"/>
  <c r="I4" i="130"/>
  <c r="I5" i="119"/>
  <c r="I4" i="100"/>
  <c r="I6" i="72"/>
  <c r="E65" i="58"/>
  <c r="C64" i="58"/>
  <c r="CA64" i="2" s="1"/>
  <c r="CA65" i="2"/>
  <c r="E65" i="46"/>
  <c r="C64" i="46"/>
  <c r="AI65" i="1"/>
  <c r="C60" i="34"/>
  <c r="E61" i="34"/>
  <c r="I5" i="19"/>
  <c r="I4" i="11"/>
  <c r="C64" i="6"/>
  <c r="IU65" i="2"/>
  <c r="E65" i="6"/>
  <c r="CA65" i="1"/>
  <c r="E65" i="3"/>
  <c r="C64" i="3"/>
  <c r="I4" i="171"/>
  <c r="E65" i="170"/>
  <c r="C64" i="170"/>
  <c r="E65" i="136"/>
  <c r="C64" i="136"/>
  <c r="I5" i="170"/>
  <c r="I5" i="154"/>
  <c r="E64" i="140"/>
  <c r="C63" i="140"/>
  <c r="C63" i="132"/>
  <c r="E64" i="132"/>
  <c r="I5" i="116"/>
  <c r="I5" i="108"/>
  <c r="I4" i="81"/>
  <c r="I7" i="78"/>
  <c r="E64" i="70"/>
  <c r="C63" i="70"/>
  <c r="C62" i="68"/>
  <c r="E63" i="68"/>
  <c r="I4" i="47"/>
  <c r="E61" i="45"/>
  <c r="C60" i="45"/>
  <c r="I5" i="3"/>
  <c r="E63" i="148"/>
  <c r="C62" i="148"/>
  <c r="I7" i="150"/>
  <c r="E63" i="144"/>
  <c r="C62" i="144"/>
  <c r="I5" i="126"/>
  <c r="I5" i="123"/>
  <c r="I5" i="103"/>
  <c r="I6" i="92"/>
  <c r="E64" i="79"/>
  <c r="C63" i="79"/>
  <c r="I4" i="58"/>
  <c r="E60" i="30"/>
  <c r="C59" i="30"/>
  <c r="I5" i="21"/>
  <c r="I5" i="20"/>
  <c r="FL64" i="2" l="1"/>
  <c r="CB64" i="2"/>
  <c r="N64" i="2"/>
  <c r="IK64" i="2"/>
  <c r="E60" i="34"/>
  <c r="C59" i="34"/>
  <c r="I7" i="149"/>
  <c r="E62" i="144"/>
  <c r="C61" i="144"/>
  <c r="I6" i="170"/>
  <c r="I6" i="119"/>
  <c r="I8" i="13"/>
  <c r="E61" i="39"/>
  <c r="C60" i="39"/>
  <c r="E63" i="162"/>
  <c r="C62" i="162"/>
  <c r="I9" i="22"/>
  <c r="C60" i="26"/>
  <c r="E61" i="26"/>
  <c r="I5" i="40"/>
  <c r="C62" i="23"/>
  <c r="E63" i="23"/>
  <c r="I8" i="135"/>
  <c r="I7" i="129"/>
  <c r="I5" i="35"/>
  <c r="I6" i="137"/>
  <c r="C61" i="118"/>
  <c r="E62" i="118"/>
  <c r="I6" i="104"/>
  <c r="I5" i="174"/>
  <c r="I10" i="46"/>
  <c r="C61" i="112"/>
  <c r="E62" i="112"/>
  <c r="E61" i="173"/>
  <c r="C60" i="173"/>
  <c r="I8" i="150"/>
  <c r="I7" i="30"/>
  <c r="I8" i="107"/>
  <c r="I9" i="14"/>
  <c r="E63" i="38"/>
  <c r="C62" i="38"/>
  <c r="I6" i="56"/>
  <c r="E57" i="98"/>
  <c r="C56" i="98"/>
  <c r="DI64" i="2"/>
  <c r="E62" i="128"/>
  <c r="C61" i="128"/>
  <c r="I5" i="125"/>
  <c r="E64" i="170"/>
  <c r="C63" i="170"/>
  <c r="I6" i="144"/>
  <c r="E61" i="61"/>
  <c r="C60" i="61"/>
  <c r="I8" i="142"/>
  <c r="E63" i="20"/>
  <c r="C62" i="20"/>
  <c r="I8" i="122"/>
  <c r="E64" i="100"/>
  <c r="C63" i="100"/>
  <c r="I5" i="36"/>
  <c r="C62" i="133"/>
  <c r="E63" i="133"/>
  <c r="DH63" i="2"/>
  <c r="C58" i="138"/>
  <c r="E59" i="138"/>
  <c r="I8" i="51"/>
  <c r="E59" i="166"/>
  <c r="C58" i="166"/>
  <c r="I5" i="64"/>
  <c r="I7" i="44"/>
  <c r="I10" i="74"/>
  <c r="C60" i="120"/>
  <c r="E61" i="120"/>
  <c r="E61" i="40"/>
  <c r="C60" i="40"/>
  <c r="E63" i="48"/>
  <c r="C62" i="48"/>
  <c r="E62" i="57"/>
  <c r="C61" i="57"/>
  <c r="I10" i="145"/>
  <c r="I9" i="27"/>
  <c r="C61" i="74"/>
  <c r="E62" i="74"/>
  <c r="C61" i="150"/>
  <c r="E62" i="150"/>
  <c r="C62" i="145"/>
  <c r="E63" i="145"/>
  <c r="I5" i="91"/>
  <c r="I7" i="139"/>
  <c r="I7" i="60"/>
  <c r="I7" i="41"/>
  <c r="C58" i="156"/>
  <c r="E59" i="156"/>
  <c r="I6" i="73"/>
  <c r="I10" i="12"/>
  <c r="E62" i="65"/>
  <c r="C61" i="65"/>
  <c r="E60" i="102"/>
  <c r="C59" i="102"/>
  <c r="C59" i="59"/>
  <c r="E60" i="59"/>
  <c r="I8" i="62"/>
  <c r="I6" i="155"/>
  <c r="I5" i="43"/>
  <c r="I5" i="110"/>
  <c r="C58" i="146"/>
  <c r="E59" i="146"/>
  <c r="I7" i="115"/>
  <c r="I6" i="5"/>
  <c r="E62" i="11"/>
  <c r="C61" i="11"/>
  <c r="CM65" i="2"/>
  <c r="E63" i="125"/>
  <c r="C62" i="125"/>
  <c r="E57" i="82"/>
  <c r="C56" i="82"/>
  <c r="GS65" i="2"/>
  <c r="Y65" i="1"/>
  <c r="E63" i="154"/>
  <c r="C62" i="154"/>
  <c r="I9" i="79"/>
  <c r="I7" i="93"/>
  <c r="I6" i="162"/>
  <c r="C62" i="78"/>
  <c r="E63" i="78"/>
  <c r="C62" i="101"/>
  <c r="E63" i="101"/>
  <c r="I6" i="54"/>
  <c r="EP64" i="2"/>
  <c r="E64" i="14"/>
  <c r="C63" i="14"/>
  <c r="C63" i="29"/>
  <c r="E64" i="29"/>
  <c r="E64" i="107"/>
  <c r="C63" i="107"/>
  <c r="I5" i="166"/>
  <c r="I5" i="69"/>
  <c r="E64" i="3"/>
  <c r="C63" i="3"/>
  <c r="C60" i="168"/>
  <c r="E61" i="168"/>
  <c r="C61" i="75"/>
  <c r="E62" i="75"/>
  <c r="C60" i="47"/>
  <c r="E61" i="47"/>
  <c r="I7" i="83"/>
  <c r="I6" i="106"/>
  <c r="E64" i="155"/>
  <c r="C63" i="155"/>
  <c r="I6" i="57"/>
  <c r="I8" i="98"/>
  <c r="C61" i="66"/>
  <c r="E62" i="66"/>
  <c r="I7" i="124"/>
  <c r="I7" i="18"/>
  <c r="I5" i="163"/>
  <c r="I7" i="158"/>
  <c r="E63" i="71"/>
  <c r="C62" i="71"/>
  <c r="I6" i="85"/>
  <c r="E60" i="45"/>
  <c r="C59" i="45"/>
  <c r="I5" i="47"/>
  <c r="I7" i="113"/>
  <c r="I6" i="80"/>
  <c r="IK65" i="2"/>
  <c r="E62" i="139"/>
  <c r="C61" i="139"/>
  <c r="E63" i="97"/>
  <c r="C62" i="97"/>
  <c r="HZ65" i="2"/>
  <c r="E63" i="88"/>
  <c r="C62" i="88"/>
  <c r="E61" i="127"/>
  <c r="C60" i="127"/>
  <c r="E61" i="62"/>
  <c r="C60" i="62"/>
  <c r="I6" i="168"/>
  <c r="I9" i="71"/>
  <c r="C62" i="95"/>
  <c r="E63" i="95"/>
  <c r="C62" i="96"/>
  <c r="E63" i="96"/>
  <c r="I6" i="114"/>
  <c r="I9" i="82"/>
  <c r="C61" i="5"/>
  <c r="E62" i="5"/>
  <c r="C63" i="27"/>
  <c r="E64" i="27"/>
  <c r="I7" i="167"/>
  <c r="I7" i="23"/>
  <c r="C62" i="31"/>
  <c r="E63" i="31"/>
  <c r="E64" i="174"/>
  <c r="C63" i="174"/>
  <c r="E61" i="149"/>
  <c r="C60" i="149"/>
  <c r="E63" i="164"/>
  <c r="C62" i="164"/>
  <c r="E62" i="113"/>
  <c r="C61" i="113"/>
  <c r="E61" i="124"/>
  <c r="C60" i="124"/>
  <c r="AJ65" i="2"/>
  <c r="HO64" i="2"/>
  <c r="I10" i="7"/>
  <c r="E64" i="136"/>
  <c r="C63" i="136"/>
  <c r="CB65" i="1"/>
  <c r="C61" i="116"/>
  <c r="E62" i="116"/>
  <c r="C63" i="28"/>
  <c r="E64" i="28"/>
  <c r="I6" i="50"/>
  <c r="I6" i="161"/>
  <c r="C62" i="33"/>
  <c r="E63" i="33"/>
  <c r="C61" i="68"/>
  <c r="E62" i="68"/>
  <c r="E63" i="70"/>
  <c r="C62" i="70"/>
  <c r="E64" i="6"/>
  <c r="C63" i="6"/>
  <c r="IU63" i="2" s="1"/>
  <c r="CA64" i="1"/>
  <c r="E62" i="104"/>
  <c r="C61" i="104"/>
  <c r="E61" i="141"/>
  <c r="C60" i="141"/>
  <c r="I5" i="95"/>
  <c r="I5" i="105"/>
  <c r="C62" i="10"/>
  <c r="E63" i="10"/>
  <c r="E62" i="83"/>
  <c r="C61" i="83"/>
  <c r="C63" i="172"/>
  <c r="E64" i="172"/>
  <c r="E63" i="89"/>
  <c r="C62" i="89"/>
  <c r="I6" i="3"/>
  <c r="IV65" i="2"/>
  <c r="C60" i="159"/>
  <c r="E61" i="159"/>
  <c r="I8" i="89"/>
  <c r="E62" i="54"/>
  <c r="C61" i="54"/>
  <c r="I6" i="20"/>
  <c r="I5" i="11"/>
  <c r="I9" i="32"/>
  <c r="C62" i="119"/>
  <c r="E63" i="119"/>
  <c r="I6" i="153"/>
  <c r="I6" i="4"/>
  <c r="E63" i="13"/>
  <c r="C62" i="13"/>
  <c r="E62" i="64"/>
  <c r="C61" i="64"/>
  <c r="C61" i="94"/>
  <c r="E62" i="94"/>
  <c r="I8" i="136"/>
  <c r="FW65" i="2"/>
  <c r="E64" i="93"/>
  <c r="C63" i="93"/>
  <c r="I8" i="48"/>
  <c r="I7" i="25"/>
  <c r="E62" i="148"/>
  <c r="C61" i="148"/>
  <c r="C61" i="19"/>
  <c r="E62" i="19"/>
  <c r="E59" i="157"/>
  <c r="C58" i="157"/>
  <c r="C59" i="131"/>
  <c r="E60" i="131"/>
  <c r="I6" i="131"/>
  <c r="I5" i="8"/>
  <c r="IV64" i="2"/>
  <c r="I6" i="21"/>
  <c r="E61" i="51"/>
  <c r="C60" i="51"/>
  <c r="E63" i="114"/>
  <c r="C62" i="114"/>
  <c r="FL65" i="2"/>
  <c r="E62" i="103"/>
  <c r="C61" i="103"/>
  <c r="E64" i="42"/>
  <c r="C63" i="42"/>
  <c r="FV64" i="2"/>
  <c r="E63" i="147"/>
  <c r="C62" i="147"/>
  <c r="E64" i="91"/>
  <c r="C63" i="91"/>
  <c r="E60" i="160"/>
  <c r="C59" i="160"/>
  <c r="I10" i="15"/>
  <c r="I8" i="101"/>
  <c r="I10" i="133"/>
  <c r="I8" i="26"/>
  <c r="E64" i="55"/>
  <c r="C63" i="55"/>
  <c r="I8" i="16"/>
  <c r="I5" i="141"/>
  <c r="C61" i="22"/>
  <c r="E62" i="22"/>
  <c r="I9" i="59"/>
  <c r="I6" i="31"/>
  <c r="I5" i="130"/>
  <c r="I5" i="143"/>
  <c r="I5" i="81"/>
  <c r="I8" i="164"/>
  <c r="I8" i="29"/>
  <c r="E63" i="35"/>
  <c r="C62" i="35"/>
  <c r="E62" i="110"/>
  <c r="C61" i="110"/>
  <c r="I7" i="118"/>
  <c r="E62" i="167"/>
  <c r="C61" i="167"/>
  <c r="E60" i="105"/>
  <c r="C59" i="105"/>
  <c r="FA64" i="2"/>
  <c r="E61" i="115"/>
  <c r="C60" i="115"/>
  <c r="I5" i="140"/>
  <c r="I5" i="109"/>
  <c r="C61" i="18"/>
  <c r="E62" i="18"/>
  <c r="I6" i="138"/>
  <c r="I8" i="127"/>
  <c r="I6" i="151"/>
  <c r="I6" i="49"/>
  <c r="I24" i="150"/>
  <c r="E63" i="44"/>
  <c r="C62" i="44"/>
  <c r="I8" i="117"/>
  <c r="CL64" i="2"/>
  <c r="I5" i="38"/>
  <c r="I8" i="78"/>
  <c r="C62" i="41"/>
  <c r="E63" i="41"/>
  <c r="I5" i="58"/>
  <c r="I6" i="108"/>
  <c r="I10" i="61"/>
  <c r="E63" i="63"/>
  <c r="C62" i="63"/>
  <c r="C63" i="56"/>
  <c r="E64" i="56"/>
  <c r="C61" i="126"/>
  <c r="E62" i="126"/>
  <c r="E64" i="49"/>
  <c r="C63" i="49"/>
  <c r="C62" i="142"/>
  <c r="E63" i="142"/>
  <c r="I6" i="33"/>
  <c r="I5" i="160"/>
  <c r="I6" i="84"/>
  <c r="AU65" i="2"/>
  <c r="I5" i="146"/>
  <c r="I5" i="171"/>
  <c r="E64" i="158"/>
  <c r="C63" i="158"/>
  <c r="I5" i="34"/>
  <c r="C60" i="84"/>
  <c r="E61" i="84"/>
  <c r="E60" i="165"/>
  <c r="C59" i="165"/>
  <c r="C59" i="111"/>
  <c r="E60" i="111"/>
  <c r="E62" i="25"/>
  <c r="C61" i="25"/>
  <c r="C63" i="50"/>
  <c r="E64" i="50"/>
  <c r="AT64" i="2"/>
  <c r="I5" i="55"/>
  <c r="I7" i="37"/>
  <c r="I6" i="121"/>
  <c r="I8" i="172"/>
  <c r="C61" i="135"/>
  <c r="E62" i="135"/>
  <c r="DT63" i="2"/>
  <c r="I6" i="116"/>
  <c r="E63" i="153"/>
  <c r="C62" i="153"/>
  <c r="C60" i="72"/>
  <c r="E61" i="72"/>
  <c r="C62" i="151"/>
  <c r="E63" i="151"/>
  <c r="Y65" i="2"/>
  <c r="N65" i="2"/>
  <c r="C62" i="36"/>
  <c r="CW62" i="2" s="1"/>
  <c r="E63" i="36"/>
  <c r="I5" i="102"/>
  <c r="I8" i="132"/>
  <c r="C59" i="43"/>
  <c r="E60" i="43"/>
  <c r="BQ65" i="2"/>
  <c r="C62" i="76"/>
  <c r="E63" i="76"/>
  <c r="I6" i="67"/>
  <c r="I6" i="88"/>
  <c r="E64" i="46"/>
  <c r="C63" i="46"/>
  <c r="E63" i="132"/>
  <c r="C62" i="132"/>
  <c r="C60" i="163"/>
  <c r="E61" i="163"/>
  <c r="I7" i="159"/>
  <c r="E64" i="52"/>
  <c r="C63" i="52"/>
  <c r="BP64" i="2"/>
  <c r="E62" i="4"/>
  <c r="C61" i="4"/>
  <c r="I6" i="70"/>
  <c r="E63" i="134"/>
  <c r="C62" i="134"/>
  <c r="EZ63" i="2"/>
  <c r="C58" i="32"/>
  <c r="E59" i="32"/>
  <c r="I7" i="92"/>
  <c r="E64" i="58"/>
  <c r="C63" i="58"/>
  <c r="CA63" i="2" s="1"/>
  <c r="I5" i="96"/>
  <c r="AU65" i="1"/>
  <c r="I6" i="53"/>
  <c r="I7" i="10"/>
  <c r="E62" i="81"/>
  <c r="C61" i="81"/>
  <c r="C63" i="12"/>
  <c r="E64" i="12"/>
  <c r="X64" i="2"/>
  <c r="M64" i="1"/>
  <c r="I8" i="152"/>
  <c r="E63" i="117"/>
  <c r="C62" i="117"/>
  <c r="I6" i="169"/>
  <c r="EP65" i="2"/>
  <c r="E61" i="86"/>
  <c r="C60" i="86"/>
  <c r="I7" i="165"/>
  <c r="E64" i="152"/>
  <c r="C63" i="152"/>
  <c r="M63" i="2" s="1"/>
  <c r="I5" i="45"/>
  <c r="I6" i="52"/>
  <c r="I9" i="94"/>
  <c r="E61" i="85"/>
  <c r="C60" i="85"/>
  <c r="E63" i="122"/>
  <c r="C62" i="122"/>
  <c r="C58" i="30"/>
  <c r="E59" i="30"/>
  <c r="E63" i="79"/>
  <c r="C62" i="79"/>
  <c r="I5" i="147"/>
  <c r="C60" i="123"/>
  <c r="E61" i="123"/>
  <c r="E64" i="143"/>
  <c r="C63" i="143"/>
  <c r="E62" i="129"/>
  <c r="C61" i="129"/>
  <c r="DS62" i="2"/>
  <c r="AI64" i="2"/>
  <c r="I6" i="103"/>
  <c r="E63" i="140"/>
  <c r="C62" i="140"/>
  <c r="I5" i="148"/>
  <c r="C63" i="7"/>
  <c r="EO63" i="2" s="1"/>
  <c r="E64" i="7"/>
  <c r="AT64" i="1"/>
  <c r="I7" i="68"/>
  <c r="BQ65" i="1"/>
  <c r="I7" i="99"/>
  <c r="BF65" i="2"/>
  <c r="HZ64" i="2"/>
  <c r="I6" i="76"/>
  <c r="I7" i="63"/>
  <c r="E63" i="108"/>
  <c r="C62" i="108"/>
  <c r="E62" i="16"/>
  <c r="C61" i="16"/>
  <c r="I7" i="28"/>
  <c r="GR64" i="2"/>
  <c r="I7" i="72"/>
  <c r="I7" i="173"/>
  <c r="E62" i="67"/>
  <c r="C61" i="67"/>
  <c r="C60" i="171"/>
  <c r="E61" i="171"/>
  <c r="C62" i="80"/>
  <c r="E63" i="80"/>
  <c r="E59" i="87"/>
  <c r="C58" i="87"/>
  <c r="I6" i="111"/>
  <c r="C61" i="60"/>
  <c r="E62" i="60"/>
  <c r="HO65" i="2"/>
  <c r="EE65" i="2"/>
  <c r="C60" i="73"/>
  <c r="E61" i="73"/>
  <c r="I5" i="90"/>
  <c r="E61" i="37"/>
  <c r="C60" i="37"/>
  <c r="I7" i="66"/>
  <c r="N65" i="1"/>
  <c r="I8" i="156"/>
  <c r="I8" i="128"/>
  <c r="I6" i="123"/>
  <c r="I6" i="154"/>
  <c r="I5" i="100"/>
  <c r="I10" i="134"/>
  <c r="C61" i="161"/>
  <c r="E62" i="161"/>
  <c r="HD65" i="2"/>
  <c r="I5" i="120"/>
  <c r="E64" i="53"/>
  <c r="C63" i="53"/>
  <c r="E63" i="169"/>
  <c r="C62" i="169"/>
  <c r="HY63" i="2"/>
  <c r="I5" i="65"/>
  <c r="I8" i="77"/>
  <c r="C62" i="77"/>
  <c r="E63" i="77"/>
  <c r="I5" i="17"/>
  <c r="BF64" i="2"/>
  <c r="AJ65" i="1"/>
  <c r="I5" i="112"/>
  <c r="I9" i="42"/>
  <c r="CX64" i="2"/>
  <c r="CB65" i="2"/>
  <c r="I6" i="126"/>
  <c r="E62" i="9"/>
  <c r="C61" i="9"/>
  <c r="E63" i="15"/>
  <c r="C62" i="15"/>
  <c r="I6" i="97"/>
  <c r="I8" i="9"/>
  <c r="E64" i="8"/>
  <c r="C63" i="8"/>
  <c r="HC64" i="2"/>
  <c r="BP64" i="1"/>
  <c r="C63" i="121"/>
  <c r="AI63" i="2" s="1"/>
  <c r="E64" i="121"/>
  <c r="I10" i="75"/>
  <c r="I6" i="39"/>
  <c r="I9" i="24"/>
  <c r="C61" i="137"/>
  <c r="E62" i="137"/>
  <c r="C61" i="130"/>
  <c r="E62" i="130"/>
  <c r="E64" i="92"/>
  <c r="C63" i="92"/>
  <c r="HN63" i="2" s="1"/>
  <c r="C63" i="109"/>
  <c r="E64" i="109"/>
  <c r="ED64" i="2"/>
  <c r="I6" i="19"/>
  <c r="E61" i="69"/>
  <c r="C60" i="69"/>
  <c r="C61" i="17"/>
  <c r="E62" i="17"/>
  <c r="E62" i="99"/>
  <c r="C61" i="99"/>
  <c r="I6" i="86"/>
  <c r="I6" i="87"/>
  <c r="X64" i="1"/>
  <c r="E61" i="106"/>
  <c r="C60" i="106"/>
  <c r="I7" i="157"/>
  <c r="E64" i="90"/>
  <c r="C63" i="90"/>
  <c r="CL63" i="2" s="1"/>
  <c r="E63" i="21"/>
  <c r="C62" i="21"/>
  <c r="CW63" i="2"/>
  <c r="AI64" i="1"/>
  <c r="AJ63" i="2" l="1"/>
  <c r="HO63" i="2"/>
  <c r="N63" i="2"/>
  <c r="CX62" i="2"/>
  <c r="CM63" i="2"/>
  <c r="EP63" i="2"/>
  <c r="CB63" i="2"/>
  <c r="IV63" i="2"/>
  <c r="I9" i="117"/>
  <c r="E61" i="54"/>
  <c r="C60" i="54"/>
  <c r="C61" i="70"/>
  <c r="E62" i="70"/>
  <c r="E62" i="88"/>
  <c r="C61" i="88"/>
  <c r="I8" i="124"/>
  <c r="DI63" i="2"/>
  <c r="I10" i="14"/>
  <c r="I8" i="63"/>
  <c r="I6" i="147"/>
  <c r="C62" i="12"/>
  <c r="E63" i="12"/>
  <c r="X63" i="2"/>
  <c r="M63" i="1"/>
  <c r="C61" i="132"/>
  <c r="E62" i="132"/>
  <c r="I7" i="87"/>
  <c r="HZ63" i="2"/>
  <c r="C61" i="79"/>
  <c r="E62" i="79"/>
  <c r="E63" i="174"/>
  <c r="C62" i="174"/>
  <c r="I8" i="115"/>
  <c r="C61" i="145"/>
  <c r="E62" i="145"/>
  <c r="I6" i="40"/>
  <c r="E61" i="81"/>
  <c r="C60" i="81"/>
  <c r="I11" i="15"/>
  <c r="E61" i="19"/>
  <c r="C60" i="19"/>
  <c r="C61" i="169"/>
  <c r="E62" i="169"/>
  <c r="C59" i="73"/>
  <c r="E60" i="73"/>
  <c r="I7" i="76"/>
  <c r="E63" i="46"/>
  <c r="C62" i="46"/>
  <c r="I7" i="84"/>
  <c r="E62" i="44"/>
  <c r="C61" i="44"/>
  <c r="C61" i="35"/>
  <c r="E62" i="35"/>
  <c r="E61" i="148"/>
  <c r="C60" i="148"/>
  <c r="E61" i="66"/>
  <c r="C60" i="66"/>
  <c r="E62" i="133"/>
  <c r="C61" i="133"/>
  <c r="DH62" i="2"/>
  <c r="I9" i="9"/>
  <c r="I7" i="86"/>
  <c r="I8" i="10"/>
  <c r="C60" i="135"/>
  <c r="E61" i="135"/>
  <c r="C58" i="160"/>
  <c r="E59" i="160"/>
  <c r="I9" i="89"/>
  <c r="E61" i="68"/>
  <c r="C60" i="68"/>
  <c r="I9" i="98"/>
  <c r="C57" i="146"/>
  <c r="E58" i="146"/>
  <c r="E61" i="150"/>
  <c r="C60" i="150"/>
  <c r="I9" i="107"/>
  <c r="C59" i="26"/>
  <c r="E60" i="26"/>
  <c r="I6" i="65"/>
  <c r="E61" i="99"/>
  <c r="C60" i="99"/>
  <c r="I7" i="97"/>
  <c r="E63" i="53"/>
  <c r="C62" i="53"/>
  <c r="E58" i="30"/>
  <c r="C57" i="30"/>
  <c r="I7" i="88"/>
  <c r="I6" i="160"/>
  <c r="I9" i="29"/>
  <c r="I7" i="54"/>
  <c r="I6" i="110"/>
  <c r="I6" i="36"/>
  <c r="C61" i="122"/>
  <c r="E62" i="122"/>
  <c r="I25" i="150"/>
  <c r="E63" i="91"/>
  <c r="C62" i="91"/>
  <c r="I8" i="25"/>
  <c r="E62" i="31"/>
  <c r="C61" i="31"/>
  <c r="E62" i="97"/>
  <c r="C61" i="97"/>
  <c r="E61" i="74"/>
  <c r="C60" i="74"/>
  <c r="E63" i="100"/>
  <c r="C62" i="100"/>
  <c r="I8" i="30"/>
  <c r="I10" i="22"/>
  <c r="I6" i="120"/>
  <c r="I7" i="53"/>
  <c r="I7" i="33"/>
  <c r="I7" i="49"/>
  <c r="I9" i="164"/>
  <c r="C59" i="159"/>
  <c r="E60" i="159"/>
  <c r="E62" i="33"/>
  <c r="C61" i="33"/>
  <c r="I7" i="57"/>
  <c r="E62" i="101"/>
  <c r="C61" i="101"/>
  <c r="I9" i="150"/>
  <c r="E62" i="162"/>
  <c r="C61" i="162"/>
  <c r="C60" i="17"/>
  <c r="E61" i="17"/>
  <c r="E62" i="15"/>
  <c r="C61" i="15"/>
  <c r="E60" i="85"/>
  <c r="C59" i="85"/>
  <c r="I7" i="67"/>
  <c r="I7" i="121"/>
  <c r="E62" i="147"/>
  <c r="C61" i="147"/>
  <c r="I9" i="48"/>
  <c r="I8" i="23"/>
  <c r="C60" i="139"/>
  <c r="E61" i="139"/>
  <c r="E63" i="155"/>
  <c r="C62" i="155"/>
  <c r="I6" i="43"/>
  <c r="I10" i="27"/>
  <c r="I9" i="122"/>
  <c r="E60" i="69"/>
  <c r="C59" i="69"/>
  <c r="E61" i="60"/>
  <c r="C60" i="60"/>
  <c r="I8" i="99"/>
  <c r="C62" i="93"/>
  <c r="E63" i="93"/>
  <c r="I7" i="161"/>
  <c r="C61" i="78"/>
  <c r="E62" i="78"/>
  <c r="I7" i="155"/>
  <c r="I11" i="145"/>
  <c r="C59" i="39"/>
  <c r="E60" i="39"/>
  <c r="C61" i="142"/>
  <c r="E62" i="142"/>
  <c r="E61" i="9"/>
  <c r="C60" i="9"/>
  <c r="I10" i="94"/>
  <c r="C61" i="76"/>
  <c r="E62" i="76"/>
  <c r="I8" i="37"/>
  <c r="E63" i="49"/>
  <c r="C62" i="49"/>
  <c r="I7" i="151"/>
  <c r="I6" i="81"/>
  <c r="FW64" i="2"/>
  <c r="I7" i="3"/>
  <c r="I7" i="50"/>
  <c r="I8" i="167"/>
  <c r="I7" i="106"/>
  <c r="C61" i="20"/>
  <c r="E62" i="20"/>
  <c r="C59" i="173"/>
  <c r="E60" i="173"/>
  <c r="I9" i="172"/>
  <c r="I7" i="111"/>
  <c r="I6" i="96"/>
  <c r="I6" i="55"/>
  <c r="E63" i="42"/>
  <c r="C62" i="42"/>
  <c r="FV63" i="2"/>
  <c r="I7" i="162"/>
  <c r="I9" i="62"/>
  <c r="C60" i="57"/>
  <c r="E61" i="57"/>
  <c r="I9" i="127"/>
  <c r="I6" i="143"/>
  <c r="E63" i="27"/>
  <c r="C62" i="27"/>
  <c r="I7" i="80"/>
  <c r="I9" i="13"/>
  <c r="AU64" i="2"/>
  <c r="E61" i="126"/>
  <c r="C60" i="126"/>
  <c r="E61" i="103"/>
  <c r="C60" i="103"/>
  <c r="I9" i="136"/>
  <c r="E62" i="89"/>
  <c r="C61" i="89"/>
  <c r="E63" i="28"/>
  <c r="C62" i="28"/>
  <c r="AI62" i="2" s="1"/>
  <c r="I8" i="83"/>
  <c r="I8" i="93"/>
  <c r="E62" i="48"/>
  <c r="C61" i="48"/>
  <c r="I9" i="142"/>
  <c r="I11" i="134"/>
  <c r="AU64" i="1"/>
  <c r="I6" i="45"/>
  <c r="I8" i="92"/>
  <c r="E59" i="43"/>
  <c r="C58" i="43"/>
  <c r="I7" i="138"/>
  <c r="I6" i="130"/>
  <c r="I8" i="113"/>
  <c r="I10" i="79"/>
  <c r="E59" i="59"/>
  <c r="C58" i="59"/>
  <c r="E61" i="112"/>
  <c r="C60" i="112"/>
  <c r="CW61" i="2"/>
  <c r="I7" i="119"/>
  <c r="I9" i="132"/>
  <c r="C62" i="50"/>
  <c r="E63" i="50"/>
  <c r="AT63" i="2"/>
  <c r="E63" i="56"/>
  <c r="C62" i="56"/>
  <c r="E61" i="116"/>
  <c r="C60" i="116"/>
  <c r="E61" i="5"/>
  <c r="C60" i="5"/>
  <c r="E60" i="47"/>
  <c r="C59" i="47"/>
  <c r="C58" i="102"/>
  <c r="E59" i="102"/>
  <c r="E60" i="61"/>
  <c r="C59" i="61"/>
  <c r="I7" i="170"/>
  <c r="C62" i="152"/>
  <c r="E63" i="152"/>
  <c r="E61" i="25"/>
  <c r="C60" i="25"/>
  <c r="I7" i="31"/>
  <c r="E61" i="94"/>
  <c r="C60" i="94"/>
  <c r="C62" i="172"/>
  <c r="E63" i="172"/>
  <c r="IJ63" i="2"/>
  <c r="C59" i="40"/>
  <c r="E60" i="40"/>
  <c r="I11" i="46"/>
  <c r="I7" i="19"/>
  <c r="I7" i="126"/>
  <c r="I7" i="52"/>
  <c r="E63" i="109"/>
  <c r="C62" i="109"/>
  <c r="ED63" i="2"/>
  <c r="E60" i="171"/>
  <c r="C59" i="171"/>
  <c r="C57" i="32"/>
  <c r="E58" i="32"/>
  <c r="I6" i="102"/>
  <c r="E62" i="63"/>
  <c r="C61" i="63"/>
  <c r="E61" i="18"/>
  <c r="C60" i="18"/>
  <c r="E62" i="114"/>
  <c r="C61" i="114"/>
  <c r="C60" i="64"/>
  <c r="E61" i="64"/>
  <c r="I10" i="82"/>
  <c r="I6" i="47"/>
  <c r="E61" i="75"/>
  <c r="C60" i="75"/>
  <c r="E62" i="154"/>
  <c r="C61" i="154"/>
  <c r="IJ62" i="2"/>
  <c r="C60" i="65"/>
  <c r="E61" i="65"/>
  <c r="E61" i="144"/>
  <c r="C60" i="144"/>
  <c r="EE64" i="2"/>
  <c r="C60" i="83"/>
  <c r="E61" i="83"/>
  <c r="C62" i="136"/>
  <c r="E63" i="136"/>
  <c r="E59" i="45"/>
  <c r="C58" i="45"/>
  <c r="I7" i="144"/>
  <c r="I6" i="174"/>
  <c r="I10" i="59"/>
  <c r="C60" i="130"/>
  <c r="E61" i="130"/>
  <c r="I7" i="154"/>
  <c r="I8" i="165"/>
  <c r="C61" i="134"/>
  <c r="E62" i="134"/>
  <c r="EZ62" i="2"/>
  <c r="C58" i="111"/>
  <c r="E59" i="111"/>
  <c r="C59" i="51"/>
  <c r="E60" i="51"/>
  <c r="E62" i="13"/>
  <c r="C61" i="13"/>
  <c r="I7" i="114"/>
  <c r="E60" i="168"/>
  <c r="C59" i="168"/>
  <c r="E60" i="120"/>
  <c r="C59" i="120"/>
  <c r="C62" i="170"/>
  <c r="E63" i="170"/>
  <c r="I7" i="104"/>
  <c r="I8" i="149"/>
  <c r="E62" i="140"/>
  <c r="C61" i="140"/>
  <c r="E62" i="36"/>
  <c r="C61" i="36"/>
  <c r="C58" i="165"/>
  <c r="E59" i="165"/>
  <c r="I11" i="61"/>
  <c r="I6" i="140"/>
  <c r="E61" i="22"/>
  <c r="C60" i="22"/>
  <c r="I7" i="85"/>
  <c r="I11" i="12"/>
  <c r="I11" i="74"/>
  <c r="I6" i="109"/>
  <c r="I6" i="112"/>
  <c r="E60" i="86"/>
  <c r="C59" i="86"/>
  <c r="E61" i="137"/>
  <c r="C60" i="137"/>
  <c r="I7" i="123"/>
  <c r="I8" i="173"/>
  <c r="I7" i="108"/>
  <c r="I7" i="4"/>
  <c r="E62" i="10"/>
  <c r="C61" i="10"/>
  <c r="I11" i="7"/>
  <c r="E62" i="96"/>
  <c r="C61" i="96"/>
  <c r="E63" i="3"/>
  <c r="C62" i="3"/>
  <c r="C58" i="34"/>
  <c r="E59" i="34"/>
  <c r="E58" i="87"/>
  <c r="C57" i="87"/>
  <c r="I7" i="103"/>
  <c r="I7" i="70"/>
  <c r="E60" i="115"/>
  <c r="C59" i="115"/>
  <c r="I6" i="141"/>
  <c r="I7" i="21"/>
  <c r="I7" i="73"/>
  <c r="I8" i="44"/>
  <c r="I6" i="125"/>
  <c r="C60" i="118"/>
  <c r="E61" i="118"/>
  <c r="I8" i="72"/>
  <c r="CX63" i="2"/>
  <c r="C60" i="4"/>
  <c r="E61" i="4"/>
  <c r="E60" i="84"/>
  <c r="C59" i="84"/>
  <c r="I6" i="58"/>
  <c r="I9" i="16"/>
  <c r="I6" i="105"/>
  <c r="E62" i="95"/>
  <c r="C61" i="95"/>
  <c r="C55" i="82"/>
  <c r="E56" i="82"/>
  <c r="E61" i="128"/>
  <c r="C60" i="128"/>
  <c r="I9" i="128"/>
  <c r="E62" i="21"/>
  <c r="C61" i="21"/>
  <c r="I9" i="156"/>
  <c r="GS64" i="2"/>
  <c r="AJ64" i="2"/>
  <c r="I7" i="169"/>
  <c r="I6" i="34"/>
  <c r="I7" i="153"/>
  <c r="I6" i="95"/>
  <c r="C61" i="71"/>
  <c r="E62" i="71"/>
  <c r="E58" i="156"/>
  <c r="C57" i="156"/>
  <c r="I7" i="137"/>
  <c r="AJ64" i="1"/>
  <c r="I10" i="24"/>
  <c r="I7" i="39"/>
  <c r="I8" i="28"/>
  <c r="DT62" i="2"/>
  <c r="BE63" i="2"/>
  <c r="E63" i="55"/>
  <c r="C62" i="55"/>
  <c r="I10" i="71"/>
  <c r="I6" i="69"/>
  <c r="E62" i="125"/>
  <c r="C61" i="125"/>
  <c r="I8" i="41"/>
  <c r="I6" i="64"/>
  <c r="E63" i="158"/>
  <c r="C62" i="158"/>
  <c r="E59" i="105"/>
  <c r="C58" i="105"/>
  <c r="I6" i="8"/>
  <c r="E62" i="119"/>
  <c r="C61" i="119"/>
  <c r="C59" i="141"/>
  <c r="E60" i="141"/>
  <c r="E60" i="124"/>
  <c r="C59" i="124"/>
  <c r="I8" i="158"/>
  <c r="E58" i="166"/>
  <c r="C57" i="166"/>
  <c r="I6" i="35"/>
  <c r="I6" i="100"/>
  <c r="E63" i="7"/>
  <c r="C62" i="7"/>
  <c r="AT63" i="1"/>
  <c r="BQ64" i="2"/>
  <c r="E61" i="16"/>
  <c r="C60" i="16"/>
  <c r="E63" i="52"/>
  <c r="C62" i="52"/>
  <c r="BP63" i="2"/>
  <c r="E62" i="41"/>
  <c r="C61" i="41"/>
  <c r="I7" i="168"/>
  <c r="I6" i="166"/>
  <c r="I8" i="60"/>
  <c r="E56" i="98"/>
  <c r="C55" i="98"/>
  <c r="E63" i="143"/>
  <c r="C62" i="143"/>
  <c r="I9" i="152"/>
  <c r="E60" i="72"/>
  <c r="C59" i="72"/>
  <c r="I6" i="171"/>
  <c r="I9" i="78"/>
  <c r="E61" i="167"/>
  <c r="C60" i="167"/>
  <c r="I9" i="26"/>
  <c r="I7" i="131"/>
  <c r="I10" i="32"/>
  <c r="C60" i="104"/>
  <c r="E61" i="104"/>
  <c r="C60" i="113"/>
  <c r="E61" i="113"/>
  <c r="E60" i="62"/>
  <c r="C59" i="62"/>
  <c r="I6" i="163"/>
  <c r="E63" i="107"/>
  <c r="C62" i="107"/>
  <c r="I9" i="51"/>
  <c r="I8" i="129"/>
  <c r="E62" i="80"/>
  <c r="C61" i="80"/>
  <c r="C62" i="92"/>
  <c r="E63" i="92"/>
  <c r="E62" i="108"/>
  <c r="C61" i="108"/>
  <c r="E61" i="11"/>
  <c r="C60" i="11"/>
  <c r="I7" i="56"/>
  <c r="I9" i="135"/>
  <c r="I6" i="17"/>
  <c r="E63" i="121"/>
  <c r="C62" i="121"/>
  <c r="E62" i="153"/>
  <c r="C61" i="153"/>
  <c r="C59" i="106"/>
  <c r="E60" i="106"/>
  <c r="BQ64" i="1"/>
  <c r="I9" i="77"/>
  <c r="E60" i="37"/>
  <c r="C59" i="37"/>
  <c r="N64" i="1"/>
  <c r="I8" i="159"/>
  <c r="I11" i="133"/>
  <c r="E59" i="131"/>
  <c r="C58" i="131"/>
  <c r="I6" i="11"/>
  <c r="CB64" i="1"/>
  <c r="E62" i="164"/>
  <c r="C61" i="164"/>
  <c r="E60" i="127"/>
  <c r="C59" i="127"/>
  <c r="I8" i="139"/>
  <c r="E63" i="58"/>
  <c r="C62" i="58"/>
  <c r="C60" i="161"/>
  <c r="E61" i="161"/>
  <c r="I8" i="68"/>
  <c r="C60" i="67"/>
  <c r="E61" i="67"/>
  <c r="I6" i="148"/>
  <c r="FA63" i="2"/>
  <c r="C62" i="90"/>
  <c r="CL62" i="2" s="1"/>
  <c r="E63" i="90"/>
  <c r="E61" i="129"/>
  <c r="C60" i="129"/>
  <c r="DS61" i="2"/>
  <c r="C61" i="117"/>
  <c r="E62" i="117"/>
  <c r="C61" i="151"/>
  <c r="E62" i="151"/>
  <c r="I11" i="75"/>
  <c r="I8" i="66"/>
  <c r="I8" i="157"/>
  <c r="E62" i="77"/>
  <c r="C61" i="77"/>
  <c r="HD64" i="2"/>
  <c r="AI63" i="1"/>
  <c r="C59" i="123"/>
  <c r="E60" i="123"/>
  <c r="Y64" i="2"/>
  <c r="I6" i="146"/>
  <c r="I6" i="38"/>
  <c r="I8" i="118"/>
  <c r="E58" i="157"/>
  <c r="C57" i="157"/>
  <c r="E63" i="6"/>
  <c r="C62" i="6"/>
  <c r="IU62" i="2" s="1"/>
  <c r="CA63" i="1"/>
  <c r="I8" i="18"/>
  <c r="E63" i="29"/>
  <c r="C62" i="29"/>
  <c r="X63" i="1"/>
  <c r="E62" i="38"/>
  <c r="C61" i="38"/>
  <c r="I10" i="42"/>
  <c r="Y64" i="1"/>
  <c r="HC63" i="2"/>
  <c r="E63" i="8"/>
  <c r="C62" i="8"/>
  <c r="BP63" i="1"/>
  <c r="I6" i="90"/>
  <c r="E60" i="163"/>
  <c r="C59" i="163"/>
  <c r="I7" i="116"/>
  <c r="CM64" i="2"/>
  <c r="E61" i="110"/>
  <c r="C60" i="110"/>
  <c r="I9" i="101"/>
  <c r="I7" i="20"/>
  <c r="E60" i="149"/>
  <c r="C59" i="149"/>
  <c r="FK63" i="2"/>
  <c r="C62" i="14"/>
  <c r="E63" i="14"/>
  <c r="GR63" i="2"/>
  <c r="I7" i="5"/>
  <c r="I6" i="91"/>
  <c r="C57" i="138"/>
  <c r="E58" i="138"/>
  <c r="C61" i="23"/>
  <c r="E62" i="23"/>
  <c r="AJ62" i="2" l="1"/>
  <c r="CM62" i="2"/>
  <c r="IV62" i="2"/>
  <c r="C59" i="103"/>
  <c r="E60" i="103"/>
  <c r="I10" i="172"/>
  <c r="E61" i="147"/>
  <c r="C60" i="147"/>
  <c r="I8" i="33"/>
  <c r="I8" i="54"/>
  <c r="E61" i="169"/>
  <c r="C60" i="169"/>
  <c r="FL63" i="2"/>
  <c r="I7" i="166"/>
  <c r="I9" i="165"/>
  <c r="C61" i="121"/>
  <c r="E62" i="121"/>
  <c r="I8" i="131"/>
  <c r="E60" i="118"/>
  <c r="C59" i="118"/>
  <c r="I8" i="4"/>
  <c r="C60" i="140"/>
  <c r="E61" i="140"/>
  <c r="I7" i="174"/>
  <c r="E59" i="39"/>
  <c r="C58" i="39"/>
  <c r="E60" i="19"/>
  <c r="C59" i="19"/>
  <c r="E59" i="115"/>
  <c r="C58" i="115"/>
  <c r="I10" i="77"/>
  <c r="I8" i="119"/>
  <c r="I10" i="101"/>
  <c r="I9" i="118"/>
  <c r="I8" i="116"/>
  <c r="C58" i="163"/>
  <c r="E59" i="163"/>
  <c r="C59" i="161"/>
  <c r="E60" i="161"/>
  <c r="E59" i="123"/>
  <c r="C58" i="123"/>
  <c r="C61" i="58"/>
  <c r="E62" i="58"/>
  <c r="AU63" i="1"/>
  <c r="I8" i="108"/>
  <c r="E61" i="63"/>
  <c r="C60" i="63"/>
  <c r="C61" i="152"/>
  <c r="E62" i="152"/>
  <c r="I9" i="113"/>
  <c r="E60" i="126"/>
  <c r="C59" i="126"/>
  <c r="E58" i="160"/>
  <c r="C57" i="160"/>
  <c r="I7" i="105"/>
  <c r="E62" i="172"/>
  <c r="C61" i="172"/>
  <c r="I11" i="71"/>
  <c r="AJ63" i="1"/>
  <c r="I7" i="17"/>
  <c r="I10" i="26"/>
  <c r="E62" i="7"/>
  <c r="C61" i="7"/>
  <c r="AT62" i="1"/>
  <c r="E62" i="55"/>
  <c r="C61" i="55"/>
  <c r="I7" i="125"/>
  <c r="I8" i="144"/>
  <c r="C58" i="173"/>
  <c r="E59" i="173"/>
  <c r="I12" i="145"/>
  <c r="I8" i="121"/>
  <c r="I8" i="53"/>
  <c r="I10" i="29"/>
  <c r="I12" i="15"/>
  <c r="I9" i="124"/>
  <c r="I9" i="158"/>
  <c r="I7" i="91"/>
  <c r="E61" i="38"/>
  <c r="C60" i="38"/>
  <c r="E61" i="151"/>
  <c r="C60" i="151"/>
  <c r="E60" i="129"/>
  <c r="C59" i="129"/>
  <c r="DS60" i="2"/>
  <c r="E62" i="90"/>
  <c r="C61" i="90"/>
  <c r="I7" i="163"/>
  <c r="I7" i="64"/>
  <c r="C59" i="167"/>
  <c r="E60" i="167"/>
  <c r="I10" i="156"/>
  <c r="I9" i="149"/>
  <c r="E58" i="45"/>
  <c r="C57" i="45"/>
  <c r="I7" i="102"/>
  <c r="I8" i="170"/>
  <c r="I7" i="130"/>
  <c r="E60" i="135"/>
  <c r="C59" i="135"/>
  <c r="E60" i="110"/>
  <c r="C59" i="110"/>
  <c r="I7" i="38"/>
  <c r="E60" i="67"/>
  <c r="C59" i="67"/>
  <c r="E59" i="106"/>
  <c r="C58" i="106"/>
  <c r="I7" i="90"/>
  <c r="I9" i="139"/>
  <c r="BQ63" i="1"/>
  <c r="I10" i="135"/>
  <c r="I7" i="100"/>
  <c r="BF63" i="2"/>
  <c r="C60" i="21"/>
  <c r="E61" i="21"/>
  <c r="I9" i="44"/>
  <c r="I9" i="173"/>
  <c r="I8" i="104"/>
  <c r="E61" i="20"/>
  <c r="C60" i="20"/>
  <c r="I8" i="155"/>
  <c r="I8" i="67"/>
  <c r="I7" i="120"/>
  <c r="I7" i="160"/>
  <c r="E60" i="81"/>
  <c r="C59" i="81"/>
  <c r="FK62" i="2"/>
  <c r="AI62" i="1"/>
  <c r="I8" i="73"/>
  <c r="I8" i="123"/>
  <c r="E59" i="61"/>
  <c r="C58" i="61"/>
  <c r="I8" i="138"/>
  <c r="C58" i="85"/>
  <c r="E59" i="85"/>
  <c r="I9" i="10"/>
  <c r="E61" i="88"/>
  <c r="C60" i="88"/>
  <c r="I9" i="18"/>
  <c r="CB63" i="1"/>
  <c r="E62" i="8"/>
  <c r="C61" i="8"/>
  <c r="HC62" i="2"/>
  <c r="BP62" i="1"/>
  <c r="E61" i="77"/>
  <c r="C60" i="77"/>
  <c r="C58" i="127"/>
  <c r="E59" i="127"/>
  <c r="I10" i="78"/>
  <c r="I7" i="35"/>
  <c r="I10" i="128"/>
  <c r="C61" i="136"/>
  <c r="E62" i="136"/>
  <c r="E57" i="32"/>
  <c r="C56" i="32"/>
  <c r="E58" i="43"/>
  <c r="C57" i="43"/>
  <c r="I10" i="13"/>
  <c r="I8" i="106"/>
  <c r="C60" i="78"/>
  <c r="E61" i="78"/>
  <c r="I11" i="22"/>
  <c r="I8" i="88"/>
  <c r="I7" i="40"/>
  <c r="HD63" i="2"/>
  <c r="E61" i="164"/>
  <c r="C60" i="164"/>
  <c r="E60" i="11"/>
  <c r="C59" i="11"/>
  <c r="I7" i="171"/>
  <c r="E60" i="137"/>
  <c r="C59" i="137"/>
  <c r="E62" i="170"/>
  <c r="C61" i="170"/>
  <c r="C58" i="171"/>
  <c r="E59" i="171"/>
  <c r="I9" i="167"/>
  <c r="E61" i="15"/>
  <c r="C60" i="15"/>
  <c r="E57" i="30"/>
  <c r="C56" i="30"/>
  <c r="I8" i="86"/>
  <c r="I8" i="56"/>
  <c r="I9" i="157"/>
  <c r="C60" i="23"/>
  <c r="E61" i="23"/>
  <c r="E57" i="166"/>
  <c r="C56" i="166"/>
  <c r="E60" i="128"/>
  <c r="C59" i="128"/>
  <c r="I8" i="21"/>
  <c r="E59" i="120"/>
  <c r="C58" i="120"/>
  <c r="C57" i="102"/>
  <c r="E58" i="102"/>
  <c r="I8" i="80"/>
  <c r="I8" i="161"/>
  <c r="I9" i="30"/>
  <c r="I10" i="9"/>
  <c r="C60" i="70"/>
  <c r="E61" i="70"/>
  <c r="E59" i="72"/>
  <c r="C58" i="72"/>
  <c r="I9" i="28"/>
  <c r="E59" i="86"/>
  <c r="C58" i="86"/>
  <c r="C59" i="83"/>
  <c r="E60" i="83"/>
  <c r="EE63" i="2"/>
  <c r="E59" i="47"/>
  <c r="C58" i="47"/>
  <c r="I9" i="92"/>
  <c r="C61" i="27"/>
  <c r="IJ61" i="2" s="1"/>
  <c r="E62" i="27"/>
  <c r="I8" i="50"/>
  <c r="C61" i="100"/>
  <c r="E62" i="100"/>
  <c r="C61" i="53"/>
  <c r="E62" i="53"/>
  <c r="E61" i="145"/>
  <c r="C60" i="145"/>
  <c r="E60" i="54"/>
  <c r="C59" i="54"/>
  <c r="I9" i="66"/>
  <c r="I8" i="39"/>
  <c r="I7" i="141"/>
  <c r="E59" i="168"/>
  <c r="C58" i="168"/>
  <c r="E62" i="109"/>
  <c r="C61" i="109"/>
  <c r="ED62" i="2"/>
  <c r="E62" i="93"/>
  <c r="C61" i="93"/>
  <c r="E60" i="17"/>
  <c r="C59" i="17"/>
  <c r="DI62" i="2"/>
  <c r="I9" i="115"/>
  <c r="C59" i="5"/>
  <c r="E60" i="5"/>
  <c r="I7" i="45"/>
  <c r="I9" i="99"/>
  <c r="E60" i="74"/>
  <c r="C59" i="74"/>
  <c r="I8" i="97"/>
  <c r="C60" i="133"/>
  <c r="E61" i="133"/>
  <c r="DH61" i="2"/>
  <c r="E59" i="124"/>
  <c r="C58" i="124"/>
  <c r="I8" i="114"/>
  <c r="E60" i="144"/>
  <c r="C59" i="144"/>
  <c r="I8" i="52"/>
  <c r="I7" i="143"/>
  <c r="I8" i="3"/>
  <c r="E62" i="174"/>
  <c r="C61" i="174"/>
  <c r="HY61" i="2" s="1"/>
  <c r="I10" i="117"/>
  <c r="I7" i="11"/>
  <c r="E62" i="92"/>
  <c r="C61" i="92"/>
  <c r="I7" i="112"/>
  <c r="E58" i="131"/>
  <c r="C57" i="131"/>
  <c r="E61" i="80"/>
  <c r="C60" i="80"/>
  <c r="E62" i="143"/>
  <c r="C61" i="143"/>
  <c r="I11" i="24"/>
  <c r="I8" i="70"/>
  <c r="I7" i="109"/>
  <c r="C59" i="60"/>
  <c r="E60" i="60"/>
  <c r="C60" i="162"/>
  <c r="E61" i="162"/>
  <c r="EO62" i="2"/>
  <c r="E60" i="99"/>
  <c r="C59" i="99"/>
  <c r="C59" i="66"/>
  <c r="E60" i="66"/>
  <c r="I10" i="152"/>
  <c r="E55" i="82"/>
  <c r="C54" i="82"/>
  <c r="C60" i="13"/>
  <c r="E61" i="13"/>
  <c r="I8" i="126"/>
  <c r="E60" i="116"/>
  <c r="C59" i="116"/>
  <c r="I12" i="134"/>
  <c r="I10" i="127"/>
  <c r="E61" i="97"/>
  <c r="C60" i="97"/>
  <c r="EO61" i="2"/>
  <c r="E62" i="29"/>
  <c r="C61" i="29"/>
  <c r="X62" i="1"/>
  <c r="I9" i="129"/>
  <c r="C54" i="98"/>
  <c r="E55" i="98"/>
  <c r="C58" i="141"/>
  <c r="E59" i="141"/>
  <c r="I8" i="103"/>
  <c r="I12" i="74"/>
  <c r="E60" i="65"/>
  <c r="C59" i="65"/>
  <c r="I7" i="81"/>
  <c r="C58" i="69"/>
  <c r="E59" i="69"/>
  <c r="E60" i="148"/>
  <c r="C59" i="148"/>
  <c r="E61" i="79"/>
  <c r="C60" i="79"/>
  <c r="C60" i="117"/>
  <c r="E61" i="117"/>
  <c r="I12" i="133"/>
  <c r="E61" i="119"/>
  <c r="C60" i="119"/>
  <c r="I8" i="137"/>
  <c r="IK62" i="2"/>
  <c r="I8" i="19"/>
  <c r="E62" i="56"/>
  <c r="C61" i="56"/>
  <c r="C59" i="57"/>
  <c r="E60" i="57"/>
  <c r="I10" i="150"/>
  <c r="CA62" i="2"/>
  <c r="I7" i="65"/>
  <c r="C60" i="108"/>
  <c r="E61" i="108"/>
  <c r="DT61" i="2"/>
  <c r="E57" i="87"/>
  <c r="C56" i="87"/>
  <c r="E59" i="51"/>
  <c r="C58" i="51"/>
  <c r="C60" i="154"/>
  <c r="E61" i="154"/>
  <c r="I10" i="142"/>
  <c r="I8" i="151"/>
  <c r="E61" i="101"/>
  <c r="C60" i="101"/>
  <c r="C60" i="31"/>
  <c r="E61" i="31"/>
  <c r="CA61" i="2"/>
  <c r="C61" i="14"/>
  <c r="E62" i="14"/>
  <c r="I10" i="51"/>
  <c r="I9" i="60"/>
  <c r="C56" i="156"/>
  <c r="E57" i="156"/>
  <c r="I12" i="12"/>
  <c r="AU63" i="2"/>
  <c r="C60" i="48"/>
  <c r="E61" i="48"/>
  <c r="I10" i="62"/>
  <c r="I10" i="122"/>
  <c r="E59" i="26"/>
  <c r="C58" i="26"/>
  <c r="C60" i="35"/>
  <c r="E61" i="35"/>
  <c r="I8" i="87"/>
  <c r="I10" i="16"/>
  <c r="E58" i="111"/>
  <c r="C57" i="111"/>
  <c r="E60" i="75"/>
  <c r="C59" i="75"/>
  <c r="I12" i="46"/>
  <c r="I8" i="162"/>
  <c r="E62" i="49"/>
  <c r="C61" i="49"/>
  <c r="I11" i="27"/>
  <c r="I8" i="57"/>
  <c r="I10" i="107"/>
  <c r="E61" i="44"/>
  <c r="C60" i="44"/>
  <c r="IU61" i="2"/>
  <c r="E62" i="6"/>
  <c r="C61" i="6"/>
  <c r="CA62" i="1"/>
  <c r="C57" i="105"/>
  <c r="E58" i="105"/>
  <c r="C57" i="34"/>
  <c r="E58" i="34"/>
  <c r="I8" i="85"/>
  <c r="FA62" i="2"/>
  <c r="E62" i="50"/>
  <c r="C61" i="50"/>
  <c r="AT62" i="2"/>
  <c r="I9" i="93"/>
  <c r="I9" i="25"/>
  <c r="I9" i="159"/>
  <c r="C58" i="37"/>
  <c r="E59" i="37"/>
  <c r="C60" i="71"/>
  <c r="E61" i="71"/>
  <c r="I7" i="58"/>
  <c r="C61" i="3"/>
  <c r="E62" i="3"/>
  <c r="E60" i="22"/>
  <c r="C59" i="22"/>
  <c r="I7" i="47"/>
  <c r="FW63" i="2"/>
  <c r="M62" i="2"/>
  <c r="E62" i="91"/>
  <c r="C61" i="91"/>
  <c r="C59" i="150"/>
  <c r="E60" i="150"/>
  <c r="E61" i="132"/>
  <c r="C60" i="132"/>
  <c r="E59" i="84"/>
  <c r="C58" i="84"/>
  <c r="E61" i="134"/>
  <c r="C60" i="134"/>
  <c r="EZ61" i="2"/>
  <c r="E59" i="40"/>
  <c r="C58" i="40"/>
  <c r="I10" i="132"/>
  <c r="I9" i="83"/>
  <c r="C61" i="42"/>
  <c r="E62" i="42"/>
  <c r="FV62" i="2"/>
  <c r="I9" i="37"/>
  <c r="I7" i="43"/>
  <c r="E61" i="33"/>
  <c r="C60" i="33"/>
  <c r="M61" i="2"/>
  <c r="I8" i="84"/>
  <c r="N63" i="1"/>
  <c r="C61" i="158"/>
  <c r="E62" i="158"/>
  <c r="I8" i="20"/>
  <c r="E59" i="62"/>
  <c r="C58" i="62"/>
  <c r="BE62" i="2"/>
  <c r="I7" i="95"/>
  <c r="IK63" i="2"/>
  <c r="C61" i="155"/>
  <c r="E62" i="155"/>
  <c r="I26" i="150"/>
  <c r="E62" i="46"/>
  <c r="C61" i="46"/>
  <c r="Y63" i="2"/>
  <c r="GS63" i="2"/>
  <c r="E62" i="28"/>
  <c r="C61" i="28"/>
  <c r="E61" i="76"/>
  <c r="C60" i="76"/>
  <c r="C56" i="146"/>
  <c r="E57" i="146"/>
  <c r="E62" i="107"/>
  <c r="C61" i="107"/>
  <c r="I7" i="8"/>
  <c r="C58" i="149"/>
  <c r="E59" i="149"/>
  <c r="I7" i="140"/>
  <c r="C60" i="96"/>
  <c r="E61" i="96"/>
  <c r="CX61" i="2"/>
  <c r="I7" i="55"/>
  <c r="I10" i="98"/>
  <c r="I8" i="76"/>
  <c r="E62" i="12"/>
  <c r="C61" i="12"/>
  <c r="X62" i="2"/>
  <c r="M62" i="1"/>
  <c r="I12" i="75"/>
  <c r="I8" i="5"/>
  <c r="C60" i="95"/>
  <c r="E61" i="95"/>
  <c r="I11" i="82"/>
  <c r="E60" i="113"/>
  <c r="C59" i="113"/>
  <c r="BQ63" i="2"/>
  <c r="I7" i="34"/>
  <c r="E60" i="4"/>
  <c r="C59" i="4"/>
  <c r="I12" i="61"/>
  <c r="I8" i="154"/>
  <c r="E60" i="64"/>
  <c r="C59" i="64"/>
  <c r="E60" i="94"/>
  <c r="C59" i="94"/>
  <c r="C59" i="112"/>
  <c r="E60" i="112"/>
  <c r="CW60" i="2"/>
  <c r="HN62" i="2"/>
  <c r="I11" i="94"/>
  <c r="C59" i="139"/>
  <c r="E60" i="139"/>
  <c r="E59" i="159"/>
  <c r="C58" i="159"/>
  <c r="E61" i="122"/>
  <c r="C60" i="122"/>
  <c r="GR62" i="2"/>
  <c r="I8" i="153"/>
  <c r="E62" i="52"/>
  <c r="C61" i="52"/>
  <c r="BP62" i="2"/>
  <c r="I9" i="41"/>
  <c r="I12" i="7"/>
  <c r="C60" i="114"/>
  <c r="E61" i="114"/>
  <c r="C60" i="89"/>
  <c r="E61" i="89"/>
  <c r="HN61" i="2"/>
  <c r="I7" i="96"/>
  <c r="E60" i="9"/>
  <c r="C59" i="9"/>
  <c r="I9" i="23"/>
  <c r="E60" i="68"/>
  <c r="C59" i="68"/>
  <c r="I7" i="147"/>
  <c r="E61" i="125"/>
  <c r="C60" i="125"/>
  <c r="I8" i="169"/>
  <c r="E58" i="165"/>
  <c r="C57" i="165"/>
  <c r="E60" i="130"/>
  <c r="C59" i="130"/>
  <c r="C57" i="59"/>
  <c r="E58" i="59"/>
  <c r="I8" i="111"/>
  <c r="I10" i="164"/>
  <c r="I7" i="36"/>
  <c r="C58" i="73"/>
  <c r="E59" i="73"/>
  <c r="I11" i="42"/>
  <c r="E57" i="138"/>
  <c r="C56" i="138"/>
  <c r="Y63" i="1"/>
  <c r="C56" i="157"/>
  <c r="E57" i="157"/>
  <c r="I8" i="168"/>
  <c r="I7" i="148"/>
  <c r="E60" i="104"/>
  <c r="C59" i="104"/>
  <c r="I7" i="146"/>
  <c r="I9" i="68"/>
  <c r="E61" i="153"/>
  <c r="C60" i="153"/>
  <c r="C59" i="16"/>
  <c r="E60" i="16"/>
  <c r="C60" i="10"/>
  <c r="E61" i="10"/>
  <c r="E61" i="36"/>
  <c r="C60" i="36"/>
  <c r="I8" i="31"/>
  <c r="I10" i="136"/>
  <c r="I7" i="110"/>
  <c r="HY62" i="2"/>
  <c r="I9" i="63"/>
  <c r="E61" i="41"/>
  <c r="C60" i="41"/>
  <c r="BE61" i="2"/>
  <c r="I11" i="32"/>
  <c r="I7" i="69"/>
  <c r="I9" i="72"/>
  <c r="I11" i="59"/>
  <c r="E60" i="18"/>
  <c r="C59" i="18"/>
  <c r="C59" i="25"/>
  <c r="E60" i="25"/>
  <c r="I11" i="79"/>
  <c r="C60" i="142"/>
  <c r="E61" i="142"/>
  <c r="I10" i="48"/>
  <c r="I8" i="49"/>
  <c r="I10" i="89"/>
  <c r="I11" i="14"/>
  <c r="IK61" i="2" l="1"/>
  <c r="HZ61" i="2"/>
  <c r="CX60" i="2"/>
  <c r="I9" i="76"/>
  <c r="I27" i="150"/>
  <c r="I10" i="159"/>
  <c r="I13" i="46"/>
  <c r="CB61" i="2"/>
  <c r="EP61" i="2"/>
  <c r="I10" i="66"/>
  <c r="I11" i="9"/>
  <c r="C57" i="171"/>
  <c r="E58" i="171"/>
  <c r="I11" i="128"/>
  <c r="I10" i="139"/>
  <c r="C58" i="118"/>
  <c r="E59" i="118"/>
  <c r="C59" i="97"/>
  <c r="E60" i="97"/>
  <c r="C60" i="143"/>
  <c r="E61" i="143"/>
  <c r="DI61" i="2"/>
  <c r="C60" i="170"/>
  <c r="E61" i="170"/>
  <c r="AJ62" i="1"/>
  <c r="DT60" i="2"/>
  <c r="AU62" i="1"/>
  <c r="C60" i="58"/>
  <c r="E61" i="58"/>
  <c r="I9" i="168"/>
  <c r="I10" i="23"/>
  <c r="E58" i="40"/>
  <c r="C57" i="40"/>
  <c r="I12" i="32"/>
  <c r="E59" i="112"/>
  <c r="C58" i="112"/>
  <c r="E61" i="155"/>
  <c r="C60" i="155"/>
  <c r="I10" i="25"/>
  <c r="C58" i="75"/>
  <c r="E59" i="75"/>
  <c r="C59" i="31"/>
  <c r="E60" i="31"/>
  <c r="I9" i="137"/>
  <c r="E59" i="54"/>
  <c r="C58" i="54"/>
  <c r="I10" i="30"/>
  <c r="I8" i="35"/>
  <c r="FL62" i="2"/>
  <c r="I8" i="90"/>
  <c r="C58" i="129"/>
  <c r="E59" i="129"/>
  <c r="DS59" i="2"/>
  <c r="E61" i="7"/>
  <c r="C60" i="7"/>
  <c r="AT61" i="1"/>
  <c r="E58" i="123"/>
  <c r="C57" i="123"/>
  <c r="I9" i="131"/>
  <c r="C59" i="101"/>
  <c r="E60" i="101"/>
  <c r="C59" i="119"/>
  <c r="E60" i="119"/>
  <c r="C59" i="80"/>
  <c r="E60" i="80"/>
  <c r="C59" i="133"/>
  <c r="E60" i="133"/>
  <c r="DH60" i="2"/>
  <c r="E59" i="137"/>
  <c r="C58" i="137"/>
  <c r="I11" i="78"/>
  <c r="C58" i="81"/>
  <c r="E59" i="81"/>
  <c r="E58" i="106"/>
  <c r="C57" i="106"/>
  <c r="I11" i="127"/>
  <c r="C59" i="145"/>
  <c r="E60" i="145"/>
  <c r="I9" i="161"/>
  <c r="C59" i="151"/>
  <c r="E60" i="151"/>
  <c r="BF61" i="2"/>
  <c r="E59" i="94"/>
  <c r="C58" i="94"/>
  <c r="C58" i="64"/>
  <c r="E59" i="64"/>
  <c r="AU62" i="2"/>
  <c r="I13" i="133"/>
  <c r="E57" i="131"/>
  <c r="C56" i="131"/>
  <c r="I9" i="97"/>
  <c r="I9" i="80"/>
  <c r="I8" i="171"/>
  <c r="I8" i="160"/>
  <c r="E59" i="67"/>
  <c r="C58" i="67"/>
  <c r="I11" i="26"/>
  <c r="E61" i="121"/>
  <c r="C60" i="121"/>
  <c r="E61" i="50"/>
  <c r="C60" i="50"/>
  <c r="AT61" i="2"/>
  <c r="I9" i="151"/>
  <c r="I13" i="134"/>
  <c r="C58" i="74"/>
  <c r="E59" i="74"/>
  <c r="C57" i="127"/>
  <c r="E58" i="127"/>
  <c r="E60" i="38"/>
  <c r="C59" i="38"/>
  <c r="E59" i="161"/>
  <c r="C58" i="161"/>
  <c r="I10" i="165"/>
  <c r="I8" i="95"/>
  <c r="E56" i="138"/>
  <c r="C55" i="138"/>
  <c r="I11" i="16"/>
  <c r="E59" i="116"/>
  <c r="C58" i="116"/>
  <c r="E61" i="53"/>
  <c r="C60" i="53"/>
  <c r="E59" i="11"/>
  <c r="C58" i="11"/>
  <c r="C59" i="77"/>
  <c r="E60" i="77"/>
  <c r="I8" i="17"/>
  <c r="HO61" i="2"/>
  <c r="BF62" i="2"/>
  <c r="HZ62" i="2"/>
  <c r="I9" i="154"/>
  <c r="C57" i="62"/>
  <c r="E58" i="62"/>
  <c r="E60" i="132"/>
  <c r="C59" i="132"/>
  <c r="I11" i="142"/>
  <c r="E60" i="117"/>
  <c r="C59" i="117"/>
  <c r="I8" i="112"/>
  <c r="E57" i="102"/>
  <c r="C56" i="102"/>
  <c r="I8" i="120"/>
  <c r="I8" i="38"/>
  <c r="C57" i="163"/>
  <c r="E58" i="163"/>
  <c r="I8" i="166"/>
  <c r="E58" i="84"/>
  <c r="C57" i="84"/>
  <c r="I8" i="110"/>
  <c r="I12" i="42"/>
  <c r="C59" i="89"/>
  <c r="E60" i="89"/>
  <c r="E60" i="96"/>
  <c r="C59" i="96"/>
  <c r="I9" i="87"/>
  <c r="E60" i="79"/>
  <c r="C59" i="79"/>
  <c r="C60" i="92"/>
  <c r="E61" i="92"/>
  <c r="I10" i="99"/>
  <c r="E61" i="100"/>
  <c r="C60" i="100"/>
  <c r="C57" i="120"/>
  <c r="E58" i="120"/>
  <c r="C59" i="164"/>
  <c r="E60" i="164"/>
  <c r="BQ62" i="1"/>
  <c r="E59" i="110"/>
  <c r="C58" i="110"/>
  <c r="I8" i="91"/>
  <c r="I8" i="69"/>
  <c r="E60" i="41"/>
  <c r="C59" i="41"/>
  <c r="E60" i="134"/>
  <c r="C59" i="134"/>
  <c r="EZ60" i="2"/>
  <c r="I13" i="61"/>
  <c r="I8" i="140"/>
  <c r="I9" i="126"/>
  <c r="I9" i="50"/>
  <c r="HD62" i="2"/>
  <c r="I9" i="67"/>
  <c r="I10" i="158"/>
  <c r="I12" i="71"/>
  <c r="I9" i="116"/>
  <c r="I10" i="93"/>
  <c r="E59" i="148"/>
  <c r="C58" i="148"/>
  <c r="I8" i="45"/>
  <c r="C60" i="8"/>
  <c r="E61" i="8"/>
  <c r="HC61" i="2"/>
  <c r="BP61" i="1"/>
  <c r="I9" i="155"/>
  <c r="C58" i="135"/>
  <c r="E59" i="135"/>
  <c r="C58" i="9"/>
  <c r="E59" i="9"/>
  <c r="I11" i="98"/>
  <c r="I8" i="55"/>
  <c r="E57" i="111"/>
  <c r="C56" i="111"/>
  <c r="C59" i="35"/>
  <c r="E60" i="35"/>
  <c r="C59" i="154"/>
  <c r="E60" i="154"/>
  <c r="I11" i="89"/>
  <c r="E58" i="73"/>
  <c r="C57" i="73"/>
  <c r="E59" i="4"/>
  <c r="C58" i="4"/>
  <c r="C60" i="91"/>
  <c r="E61" i="91"/>
  <c r="E58" i="26"/>
  <c r="C57" i="26"/>
  <c r="E58" i="51"/>
  <c r="C57" i="51"/>
  <c r="E60" i="13"/>
  <c r="C59" i="13"/>
  <c r="I8" i="11"/>
  <c r="I9" i="21"/>
  <c r="E61" i="172"/>
  <c r="C60" i="172"/>
  <c r="I10" i="118"/>
  <c r="C53" i="82"/>
  <c r="E54" i="82"/>
  <c r="E59" i="5"/>
  <c r="C58" i="5"/>
  <c r="E61" i="27"/>
  <c r="C60" i="27"/>
  <c r="C58" i="128"/>
  <c r="E59" i="128"/>
  <c r="E60" i="20"/>
  <c r="C59" i="20"/>
  <c r="I8" i="130"/>
  <c r="I10" i="124"/>
  <c r="I11" i="101"/>
  <c r="C59" i="169"/>
  <c r="E60" i="169"/>
  <c r="HY60" i="2"/>
  <c r="I9" i="20"/>
  <c r="I8" i="8"/>
  <c r="N62" i="2"/>
  <c r="C55" i="87"/>
  <c r="E56" i="87"/>
  <c r="E58" i="69"/>
  <c r="C57" i="69"/>
  <c r="I11" i="117"/>
  <c r="I10" i="92"/>
  <c r="I8" i="40"/>
  <c r="I10" i="63"/>
  <c r="E61" i="174"/>
  <c r="C60" i="174"/>
  <c r="C55" i="166"/>
  <c r="E56" i="166"/>
  <c r="I9" i="88"/>
  <c r="I9" i="104"/>
  <c r="I13" i="15"/>
  <c r="I8" i="105"/>
  <c r="I12" i="14"/>
  <c r="I11" i="136"/>
  <c r="E60" i="114"/>
  <c r="C59" i="114"/>
  <c r="I9" i="49"/>
  <c r="I11" i="48"/>
  <c r="C59" i="36"/>
  <c r="CW59" i="2" s="1"/>
  <c r="E60" i="36"/>
  <c r="BQ62" i="2"/>
  <c r="E61" i="107"/>
  <c r="C60" i="107"/>
  <c r="CB62" i="1"/>
  <c r="I8" i="81"/>
  <c r="I11" i="152"/>
  <c r="I10" i="115"/>
  <c r="C57" i="47"/>
  <c r="E58" i="47"/>
  <c r="I10" i="18"/>
  <c r="I9" i="170"/>
  <c r="I11" i="29"/>
  <c r="I9" i="119"/>
  <c r="I9" i="54"/>
  <c r="E61" i="52"/>
  <c r="C60" i="52"/>
  <c r="BP61" i="2"/>
  <c r="I9" i="84"/>
  <c r="E61" i="6"/>
  <c r="C60" i="6"/>
  <c r="CA61" i="1"/>
  <c r="I11" i="62"/>
  <c r="E59" i="65"/>
  <c r="C58" i="65"/>
  <c r="FK61" i="2"/>
  <c r="I8" i="102"/>
  <c r="C56" i="160"/>
  <c r="E57" i="160"/>
  <c r="C56" i="34"/>
  <c r="E57" i="34"/>
  <c r="I9" i="111"/>
  <c r="E59" i="113"/>
  <c r="C58" i="113"/>
  <c r="N61" i="2"/>
  <c r="I8" i="47"/>
  <c r="C58" i="66"/>
  <c r="E59" i="66"/>
  <c r="C59" i="23"/>
  <c r="E60" i="23"/>
  <c r="I12" i="22"/>
  <c r="E60" i="88"/>
  <c r="C59" i="88"/>
  <c r="I10" i="173"/>
  <c r="I11" i="77"/>
  <c r="I9" i="33"/>
  <c r="E56" i="146"/>
  <c r="C55" i="146"/>
  <c r="C59" i="108"/>
  <c r="E60" i="108"/>
  <c r="E59" i="17"/>
  <c r="C58" i="17"/>
  <c r="I10" i="44"/>
  <c r="C56" i="45"/>
  <c r="E57" i="45"/>
  <c r="I9" i="53"/>
  <c r="E59" i="126"/>
  <c r="C58" i="126"/>
  <c r="E58" i="115"/>
  <c r="C57" i="115"/>
  <c r="C59" i="147"/>
  <c r="E60" i="147"/>
  <c r="I8" i="36"/>
  <c r="E60" i="33"/>
  <c r="C59" i="33"/>
  <c r="C58" i="99"/>
  <c r="E59" i="99"/>
  <c r="C56" i="59"/>
  <c r="E57" i="59"/>
  <c r="C59" i="44"/>
  <c r="E60" i="44"/>
  <c r="I8" i="65"/>
  <c r="I13" i="74"/>
  <c r="I9" i="3"/>
  <c r="I10" i="157"/>
  <c r="E60" i="78"/>
  <c r="C59" i="78"/>
  <c r="I9" i="121"/>
  <c r="I11" i="122"/>
  <c r="E60" i="48"/>
  <c r="C59" i="48"/>
  <c r="I9" i="153"/>
  <c r="I12" i="79"/>
  <c r="E59" i="16"/>
  <c r="C58" i="16"/>
  <c r="C58" i="130"/>
  <c r="E59" i="130"/>
  <c r="GS62" i="2"/>
  <c r="I12" i="82"/>
  <c r="E60" i="76"/>
  <c r="C59" i="76"/>
  <c r="EP62" i="2"/>
  <c r="I8" i="143"/>
  <c r="C60" i="93"/>
  <c r="E61" i="93"/>
  <c r="I9" i="106"/>
  <c r="I10" i="10"/>
  <c r="I10" i="149"/>
  <c r="E59" i="19"/>
  <c r="C58" i="19"/>
  <c r="I11" i="172"/>
  <c r="E58" i="149"/>
  <c r="C57" i="149"/>
  <c r="I11" i="164"/>
  <c r="I10" i="41"/>
  <c r="I8" i="34"/>
  <c r="C58" i="22"/>
  <c r="E59" i="22"/>
  <c r="C59" i="153"/>
  <c r="E60" i="153"/>
  <c r="I11" i="107"/>
  <c r="CB62" i="2"/>
  <c r="I9" i="103"/>
  <c r="E60" i="21"/>
  <c r="C59" i="21"/>
  <c r="I10" i="113"/>
  <c r="I13" i="7"/>
  <c r="IV61" i="2"/>
  <c r="E60" i="122"/>
  <c r="C59" i="122"/>
  <c r="I8" i="43"/>
  <c r="E59" i="83"/>
  <c r="C58" i="83"/>
  <c r="I9" i="56"/>
  <c r="E59" i="25"/>
  <c r="C58" i="25"/>
  <c r="E57" i="165"/>
  <c r="C56" i="165"/>
  <c r="E60" i="95"/>
  <c r="C59" i="95"/>
  <c r="C60" i="28"/>
  <c r="E61" i="28"/>
  <c r="I13" i="12"/>
  <c r="E60" i="162"/>
  <c r="C59" i="162"/>
  <c r="EE62" i="2"/>
  <c r="C57" i="86"/>
  <c r="E58" i="86"/>
  <c r="E58" i="85"/>
  <c r="C57" i="85"/>
  <c r="I11" i="156"/>
  <c r="I13" i="145"/>
  <c r="E58" i="39"/>
  <c r="C57" i="39"/>
  <c r="I9" i="31"/>
  <c r="I10" i="37"/>
  <c r="E61" i="3"/>
  <c r="C60" i="3"/>
  <c r="I11" i="150"/>
  <c r="E58" i="141"/>
  <c r="C57" i="141"/>
  <c r="I9" i="52"/>
  <c r="E61" i="109"/>
  <c r="C60" i="109"/>
  <c r="ED61" i="2"/>
  <c r="I9" i="86"/>
  <c r="I11" i="13"/>
  <c r="I9" i="138"/>
  <c r="E61" i="152"/>
  <c r="C60" i="152"/>
  <c r="C58" i="103"/>
  <c r="E59" i="103"/>
  <c r="E57" i="105"/>
  <c r="C56" i="105"/>
  <c r="E58" i="159"/>
  <c r="C57" i="159"/>
  <c r="I9" i="57"/>
  <c r="E59" i="60"/>
  <c r="C58" i="60"/>
  <c r="E59" i="144"/>
  <c r="C58" i="144"/>
  <c r="E56" i="30"/>
  <c r="C55" i="30"/>
  <c r="C56" i="43"/>
  <c r="E57" i="43"/>
  <c r="CL61" i="2"/>
  <c r="FA61" i="2"/>
  <c r="E59" i="18"/>
  <c r="C58" i="18"/>
  <c r="FW62" i="2"/>
  <c r="I8" i="146"/>
  <c r="I9" i="169"/>
  <c r="I8" i="58"/>
  <c r="I12" i="27"/>
  <c r="I10" i="60"/>
  <c r="E59" i="57"/>
  <c r="C58" i="57"/>
  <c r="E54" i="98"/>
  <c r="C53" i="98"/>
  <c r="X61" i="1"/>
  <c r="C57" i="168"/>
  <c r="E58" i="168"/>
  <c r="I10" i="28"/>
  <c r="I8" i="100"/>
  <c r="E59" i="167"/>
  <c r="C58" i="167"/>
  <c r="C57" i="173"/>
  <c r="E58" i="173"/>
  <c r="C59" i="63"/>
  <c r="E60" i="63"/>
  <c r="CL60" i="2"/>
  <c r="I8" i="174"/>
  <c r="I9" i="85"/>
  <c r="E61" i="56"/>
  <c r="C60" i="56"/>
  <c r="E58" i="72"/>
  <c r="C57" i="72"/>
  <c r="E60" i="15"/>
  <c r="C59" i="15"/>
  <c r="E56" i="32"/>
  <c r="C55" i="32"/>
  <c r="E58" i="61"/>
  <c r="C57" i="61"/>
  <c r="I11" i="135"/>
  <c r="I9" i="144"/>
  <c r="AI61" i="2"/>
  <c r="I8" i="96"/>
  <c r="E61" i="158"/>
  <c r="C60" i="158"/>
  <c r="C59" i="142"/>
  <c r="E60" i="142"/>
  <c r="E61" i="42"/>
  <c r="C60" i="42"/>
  <c r="FV61" i="2"/>
  <c r="N62" i="1"/>
  <c r="E61" i="49"/>
  <c r="C60" i="49"/>
  <c r="I11" i="51"/>
  <c r="I10" i="129"/>
  <c r="I8" i="64"/>
  <c r="E56" i="157"/>
  <c r="C55" i="157"/>
  <c r="E59" i="150"/>
  <c r="C58" i="150"/>
  <c r="E60" i="10"/>
  <c r="C59" i="10"/>
  <c r="I12" i="59"/>
  <c r="C59" i="125"/>
  <c r="E60" i="125"/>
  <c r="I13" i="75"/>
  <c r="E59" i="104"/>
  <c r="C58" i="104"/>
  <c r="E59" i="139"/>
  <c r="C58" i="139"/>
  <c r="C59" i="71"/>
  <c r="E60" i="71"/>
  <c r="I8" i="109"/>
  <c r="I9" i="114"/>
  <c r="I8" i="141"/>
  <c r="I10" i="72"/>
  <c r="I8" i="147"/>
  <c r="Y62" i="2"/>
  <c r="E61" i="46"/>
  <c r="C60" i="46"/>
  <c r="AI61" i="1"/>
  <c r="I10" i="83"/>
  <c r="Y62" i="1"/>
  <c r="I10" i="167"/>
  <c r="I8" i="163"/>
  <c r="I8" i="125"/>
  <c r="I9" i="108"/>
  <c r="E60" i="140"/>
  <c r="C59" i="140"/>
  <c r="I10" i="68"/>
  <c r="E56" i="156"/>
  <c r="C55" i="156"/>
  <c r="I8" i="148"/>
  <c r="E61" i="12"/>
  <c r="C60" i="12"/>
  <c r="M61" i="1"/>
  <c r="X61" i="2"/>
  <c r="I9" i="19"/>
  <c r="C60" i="29"/>
  <c r="E61" i="29"/>
  <c r="I9" i="70"/>
  <c r="E60" i="70"/>
  <c r="C59" i="70"/>
  <c r="E61" i="136"/>
  <c r="C60" i="136"/>
  <c r="I9" i="123"/>
  <c r="I9" i="5"/>
  <c r="I12" i="94"/>
  <c r="I11" i="132"/>
  <c r="E58" i="37"/>
  <c r="C57" i="37"/>
  <c r="E59" i="68"/>
  <c r="C58" i="68"/>
  <c r="HO62" i="2"/>
  <c r="I9" i="162"/>
  <c r="C60" i="14"/>
  <c r="E61" i="14"/>
  <c r="I12" i="24"/>
  <c r="E58" i="124"/>
  <c r="C57" i="124"/>
  <c r="I9" i="39"/>
  <c r="I9" i="73"/>
  <c r="C60" i="90"/>
  <c r="E61" i="90"/>
  <c r="C60" i="55"/>
  <c r="E61" i="55"/>
  <c r="I9" i="4"/>
  <c r="GR61" i="2"/>
  <c r="CX59" i="2" l="1"/>
  <c r="I9" i="109"/>
  <c r="C57" i="57"/>
  <c r="E58" i="57"/>
  <c r="I11" i="10"/>
  <c r="I11" i="157"/>
  <c r="E60" i="174"/>
  <c r="C59" i="174"/>
  <c r="C57" i="128"/>
  <c r="E58" i="128"/>
  <c r="E56" i="131"/>
  <c r="C55" i="131"/>
  <c r="E59" i="80"/>
  <c r="C58" i="80"/>
  <c r="C58" i="97"/>
  <c r="E59" i="97"/>
  <c r="CM60" i="2"/>
  <c r="C59" i="42"/>
  <c r="E60" i="42"/>
  <c r="FV60" i="2"/>
  <c r="I11" i="167"/>
  <c r="GS61" i="2"/>
  <c r="I10" i="123"/>
  <c r="I13" i="59"/>
  <c r="E57" i="61"/>
  <c r="C56" i="61"/>
  <c r="E56" i="105"/>
  <c r="C55" i="105"/>
  <c r="I14" i="145"/>
  <c r="I14" i="7"/>
  <c r="I10" i="3"/>
  <c r="E59" i="108"/>
  <c r="C58" i="108"/>
  <c r="I9" i="102"/>
  <c r="I12" i="152"/>
  <c r="E60" i="27"/>
  <c r="C59" i="27"/>
  <c r="IJ59" i="2" s="1"/>
  <c r="E59" i="154"/>
  <c r="C58" i="154"/>
  <c r="I10" i="67"/>
  <c r="I11" i="99"/>
  <c r="I11" i="165"/>
  <c r="I11" i="25"/>
  <c r="I12" i="156"/>
  <c r="I10" i="106"/>
  <c r="E55" i="146"/>
  <c r="C54" i="146"/>
  <c r="FL61" i="2"/>
  <c r="I12" i="142"/>
  <c r="C58" i="119"/>
  <c r="E59" i="119"/>
  <c r="C59" i="155"/>
  <c r="E60" i="155"/>
  <c r="E58" i="118"/>
  <c r="C57" i="118"/>
  <c r="E60" i="46"/>
  <c r="C59" i="46"/>
  <c r="AI60" i="1"/>
  <c r="I10" i="4"/>
  <c r="C59" i="136"/>
  <c r="E60" i="136"/>
  <c r="E59" i="10"/>
  <c r="C58" i="10"/>
  <c r="E55" i="32"/>
  <c r="C54" i="32"/>
  <c r="I11" i="60"/>
  <c r="I14" i="74"/>
  <c r="I9" i="81"/>
  <c r="I11" i="63"/>
  <c r="C57" i="5"/>
  <c r="E58" i="5"/>
  <c r="E59" i="35"/>
  <c r="C58" i="35"/>
  <c r="C59" i="92"/>
  <c r="E60" i="92"/>
  <c r="C58" i="132"/>
  <c r="E59" i="132"/>
  <c r="E58" i="161"/>
  <c r="C57" i="161"/>
  <c r="I14" i="133"/>
  <c r="I11" i="139"/>
  <c r="I13" i="24"/>
  <c r="C58" i="70"/>
  <c r="E59" i="70"/>
  <c r="E58" i="150"/>
  <c r="C57" i="150"/>
  <c r="E58" i="103"/>
  <c r="C57" i="103"/>
  <c r="E57" i="85"/>
  <c r="C56" i="85"/>
  <c r="I11" i="113"/>
  <c r="E60" i="93"/>
  <c r="C59" i="93"/>
  <c r="I10" i="33"/>
  <c r="I9" i="40"/>
  <c r="C55" i="111"/>
  <c r="E56" i="111"/>
  <c r="C58" i="79"/>
  <c r="E59" i="79"/>
  <c r="E59" i="101"/>
  <c r="C58" i="101"/>
  <c r="I10" i="73"/>
  <c r="E59" i="21"/>
  <c r="C58" i="21"/>
  <c r="E58" i="65"/>
  <c r="C57" i="65"/>
  <c r="I10" i="50"/>
  <c r="C58" i="38"/>
  <c r="E59" i="38"/>
  <c r="C57" i="112"/>
  <c r="E58" i="112"/>
  <c r="I10" i="162"/>
  <c r="E60" i="55"/>
  <c r="C59" i="55"/>
  <c r="E59" i="15"/>
  <c r="C58" i="15"/>
  <c r="I13" i="27"/>
  <c r="C59" i="152"/>
  <c r="E60" i="152"/>
  <c r="I11" i="83"/>
  <c r="E55" i="157"/>
  <c r="C54" i="157"/>
  <c r="I9" i="143"/>
  <c r="I9" i="65"/>
  <c r="C59" i="107"/>
  <c r="E60" i="107"/>
  <c r="I10" i="126"/>
  <c r="E57" i="62"/>
  <c r="C56" i="62"/>
  <c r="I10" i="131"/>
  <c r="I12" i="128"/>
  <c r="C56" i="72"/>
  <c r="E57" i="72"/>
  <c r="I9" i="58"/>
  <c r="I10" i="138"/>
  <c r="E57" i="86"/>
  <c r="C56" i="86"/>
  <c r="I10" i="103"/>
  <c r="I12" i="77"/>
  <c r="I12" i="62"/>
  <c r="I11" i="92"/>
  <c r="E53" i="82"/>
  <c r="C52" i="82"/>
  <c r="I9" i="55"/>
  <c r="I10" i="87"/>
  <c r="I10" i="154"/>
  <c r="E58" i="64"/>
  <c r="C57" i="64"/>
  <c r="E57" i="123"/>
  <c r="C56" i="123"/>
  <c r="I11" i="118"/>
  <c r="I12" i="98"/>
  <c r="I9" i="140"/>
  <c r="E59" i="96"/>
  <c r="C58" i="96"/>
  <c r="E57" i="127"/>
  <c r="C56" i="127"/>
  <c r="C57" i="94"/>
  <c r="E58" i="94"/>
  <c r="I13" i="32"/>
  <c r="C56" i="171"/>
  <c r="E57" i="171"/>
  <c r="E60" i="29"/>
  <c r="C59" i="29"/>
  <c r="X60" i="1"/>
  <c r="I10" i="169"/>
  <c r="I12" i="13"/>
  <c r="I11" i="173"/>
  <c r="CB61" i="1"/>
  <c r="I12" i="117"/>
  <c r="AU61" i="1"/>
  <c r="I9" i="64"/>
  <c r="C59" i="56"/>
  <c r="E60" i="56"/>
  <c r="C55" i="59"/>
  <c r="E56" i="59"/>
  <c r="FK60" i="2"/>
  <c r="E60" i="6"/>
  <c r="C59" i="6"/>
  <c r="CA60" i="1"/>
  <c r="IU60" i="2"/>
  <c r="E57" i="69"/>
  <c r="C56" i="69"/>
  <c r="E60" i="172"/>
  <c r="C59" i="172"/>
  <c r="HN60" i="2"/>
  <c r="E58" i="74"/>
  <c r="C57" i="74"/>
  <c r="C59" i="7"/>
  <c r="EO59" i="2" s="1"/>
  <c r="E60" i="7"/>
  <c r="AT60" i="1"/>
  <c r="E57" i="40"/>
  <c r="C56" i="40"/>
  <c r="I12" i="9"/>
  <c r="I11" i="129"/>
  <c r="I9" i="146"/>
  <c r="C58" i="88"/>
  <c r="E59" i="88"/>
  <c r="C58" i="36"/>
  <c r="CW58" i="2" s="1"/>
  <c r="E59" i="36"/>
  <c r="C57" i="9"/>
  <c r="E58" i="9"/>
  <c r="I14" i="61"/>
  <c r="I14" i="134"/>
  <c r="I11" i="66"/>
  <c r="E59" i="76"/>
  <c r="C58" i="76"/>
  <c r="C58" i="162"/>
  <c r="E59" i="162"/>
  <c r="I10" i="39"/>
  <c r="I10" i="19"/>
  <c r="C56" i="124"/>
  <c r="E57" i="124"/>
  <c r="Y61" i="2"/>
  <c r="I10" i="85"/>
  <c r="I10" i="86"/>
  <c r="I12" i="107"/>
  <c r="I13" i="82"/>
  <c r="E58" i="99"/>
  <c r="C57" i="99"/>
  <c r="FA60" i="2"/>
  <c r="E59" i="89"/>
  <c r="C58" i="89"/>
  <c r="HN59" i="2"/>
  <c r="DT59" i="2"/>
  <c r="I11" i="23"/>
  <c r="C58" i="44"/>
  <c r="E59" i="44"/>
  <c r="N61" i="1"/>
  <c r="I9" i="147"/>
  <c r="I12" i="51"/>
  <c r="EE61" i="2"/>
  <c r="I14" i="12"/>
  <c r="M60" i="2"/>
  <c r="I13" i="22"/>
  <c r="I10" i="84"/>
  <c r="I12" i="48"/>
  <c r="E55" i="87"/>
  <c r="C54" i="87"/>
  <c r="I10" i="21"/>
  <c r="C57" i="135"/>
  <c r="E58" i="135"/>
  <c r="C58" i="134"/>
  <c r="E59" i="134"/>
  <c r="EZ59" i="2"/>
  <c r="I13" i="42"/>
  <c r="E59" i="151"/>
  <c r="C58" i="151"/>
  <c r="E60" i="49"/>
  <c r="C59" i="49"/>
  <c r="I9" i="174"/>
  <c r="E60" i="109"/>
  <c r="C59" i="109"/>
  <c r="ED60" i="2"/>
  <c r="E59" i="153"/>
  <c r="C58" i="153"/>
  <c r="C58" i="33"/>
  <c r="E59" i="33"/>
  <c r="M59" i="2"/>
  <c r="BQ61" i="2"/>
  <c r="I9" i="11"/>
  <c r="I10" i="151"/>
  <c r="E58" i="129"/>
  <c r="C57" i="129"/>
  <c r="DS58" i="2"/>
  <c r="E58" i="18"/>
  <c r="C57" i="18"/>
  <c r="E60" i="28"/>
  <c r="C59" i="28"/>
  <c r="C59" i="52"/>
  <c r="E60" i="52"/>
  <c r="BP60" i="2"/>
  <c r="I10" i="49"/>
  <c r="I10" i="155"/>
  <c r="BE60" i="2"/>
  <c r="I9" i="17"/>
  <c r="AU61" i="2"/>
  <c r="I10" i="161"/>
  <c r="I9" i="90"/>
  <c r="I10" i="168"/>
  <c r="E58" i="22"/>
  <c r="C57" i="22"/>
  <c r="E58" i="130"/>
  <c r="C57" i="130"/>
  <c r="E59" i="23"/>
  <c r="C58" i="23"/>
  <c r="C58" i="114"/>
  <c r="E59" i="114"/>
  <c r="E59" i="13"/>
  <c r="C58" i="13"/>
  <c r="IU59" i="2"/>
  <c r="BQ61" i="1"/>
  <c r="C58" i="41"/>
  <c r="E59" i="41"/>
  <c r="I9" i="110"/>
  <c r="C59" i="50"/>
  <c r="E60" i="50"/>
  <c r="AT60" i="2"/>
  <c r="C58" i="95"/>
  <c r="E59" i="95"/>
  <c r="C59" i="14"/>
  <c r="E60" i="14"/>
  <c r="I9" i="148"/>
  <c r="I9" i="141"/>
  <c r="C58" i="63"/>
  <c r="E59" i="63"/>
  <c r="I10" i="52"/>
  <c r="C57" i="16"/>
  <c r="E58" i="16"/>
  <c r="I9" i="36"/>
  <c r="I10" i="54"/>
  <c r="I9" i="8"/>
  <c r="HD61" i="2"/>
  <c r="E57" i="84"/>
  <c r="C56" i="84"/>
  <c r="E59" i="145"/>
  <c r="C58" i="145"/>
  <c r="C59" i="58"/>
  <c r="E60" i="58"/>
  <c r="I14" i="46"/>
  <c r="I12" i="136"/>
  <c r="E57" i="51"/>
  <c r="C56" i="51"/>
  <c r="E59" i="77"/>
  <c r="C58" i="77"/>
  <c r="E60" i="121"/>
  <c r="C59" i="121"/>
  <c r="I10" i="114"/>
  <c r="CM61" i="2"/>
  <c r="C58" i="147"/>
  <c r="E59" i="147"/>
  <c r="I10" i="20"/>
  <c r="E60" i="8"/>
  <c r="C59" i="8"/>
  <c r="HC60" i="2"/>
  <c r="BP60" i="1"/>
  <c r="I9" i="69"/>
  <c r="E58" i="11"/>
  <c r="C57" i="11"/>
  <c r="I12" i="127"/>
  <c r="I10" i="70"/>
  <c r="E58" i="25"/>
  <c r="C57" i="25"/>
  <c r="I11" i="41"/>
  <c r="I13" i="79"/>
  <c r="C56" i="115"/>
  <c r="E57" i="115"/>
  <c r="I9" i="47"/>
  <c r="I10" i="119"/>
  <c r="HZ60" i="2"/>
  <c r="E57" i="26"/>
  <c r="C56" i="26"/>
  <c r="I9" i="91"/>
  <c r="I9" i="166"/>
  <c r="I12" i="26"/>
  <c r="C56" i="106"/>
  <c r="E57" i="106"/>
  <c r="I9" i="35"/>
  <c r="I11" i="159"/>
  <c r="I12" i="150"/>
  <c r="I13" i="14"/>
  <c r="I9" i="45"/>
  <c r="E60" i="53"/>
  <c r="C59" i="53"/>
  <c r="C59" i="12"/>
  <c r="E60" i="12"/>
  <c r="M60" i="1"/>
  <c r="X60" i="2"/>
  <c r="E59" i="142"/>
  <c r="C58" i="142"/>
  <c r="C54" i="30"/>
  <c r="E55" i="30"/>
  <c r="I10" i="56"/>
  <c r="I12" i="164"/>
  <c r="I10" i="153"/>
  <c r="E58" i="126"/>
  <c r="C57" i="126"/>
  <c r="I9" i="105"/>
  <c r="E59" i="169"/>
  <c r="C58" i="169"/>
  <c r="HY59" i="2"/>
  <c r="C57" i="148"/>
  <c r="E58" i="148"/>
  <c r="E58" i="110"/>
  <c r="C57" i="110"/>
  <c r="C56" i="163"/>
  <c r="E57" i="163"/>
  <c r="C57" i="67"/>
  <c r="E58" i="67"/>
  <c r="I11" i="30"/>
  <c r="I28" i="150"/>
  <c r="I11" i="72"/>
  <c r="C56" i="173"/>
  <c r="E57" i="173"/>
  <c r="C57" i="113"/>
  <c r="E58" i="113"/>
  <c r="I12" i="29"/>
  <c r="C59" i="91"/>
  <c r="E60" i="91"/>
  <c r="I9" i="38"/>
  <c r="E58" i="116"/>
  <c r="C57" i="116"/>
  <c r="C57" i="81"/>
  <c r="E58" i="81"/>
  <c r="C57" i="54"/>
  <c r="E58" i="54"/>
  <c r="I11" i="68"/>
  <c r="AI60" i="2"/>
  <c r="C58" i="48"/>
  <c r="E59" i="48"/>
  <c r="E60" i="3"/>
  <c r="C59" i="3"/>
  <c r="I10" i="53"/>
  <c r="I10" i="170"/>
  <c r="I14" i="15"/>
  <c r="I12" i="101"/>
  <c r="I9" i="160"/>
  <c r="I10" i="76"/>
  <c r="C57" i="66"/>
  <c r="E58" i="66"/>
  <c r="I10" i="108"/>
  <c r="I11" i="124"/>
  <c r="I11" i="93"/>
  <c r="I9" i="120"/>
  <c r="I12" i="16"/>
  <c r="I12" i="78"/>
  <c r="C59" i="170"/>
  <c r="E60" i="170"/>
  <c r="AJ61" i="1"/>
  <c r="C59" i="158"/>
  <c r="E60" i="158"/>
  <c r="E58" i="83"/>
  <c r="C57" i="83"/>
  <c r="I12" i="172"/>
  <c r="E58" i="4"/>
  <c r="C57" i="4"/>
  <c r="E58" i="104"/>
  <c r="C57" i="104"/>
  <c r="I9" i="96"/>
  <c r="I11" i="28"/>
  <c r="E58" i="60"/>
  <c r="C57" i="60"/>
  <c r="I12" i="122"/>
  <c r="I10" i="111"/>
  <c r="I10" i="104"/>
  <c r="C57" i="137"/>
  <c r="E58" i="137"/>
  <c r="I10" i="137"/>
  <c r="C57" i="144"/>
  <c r="E58" i="144"/>
  <c r="I11" i="18"/>
  <c r="E57" i="73"/>
  <c r="C56" i="73"/>
  <c r="I10" i="116"/>
  <c r="E59" i="164"/>
  <c r="C58" i="164"/>
  <c r="C55" i="102"/>
  <c r="E56" i="102"/>
  <c r="I9" i="171"/>
  <c r="CA60" i="2"/>
  <c r="E59" i="140"/>
  <c r="C58" i="140"/>
  <c r="E58" i="139"/>
  <c r="C57" i="139"/>
  <c r="I9" i="100"/>
  <c r="I9" i="125"/>
  <c r="I10" i="144"/>
  <c r="E57" i="168"/>
  <c r="C56" i="168"/>
  <c r="I10" i="57"/>
  <c r="I10" i="31"/>
  <c r="I10" i="121"/>
  <c r="I11" i="44"/>
  <c r="C55" i="34"/>
  <c r="E56" i="34"/>
  <c r="I9" i="130"/>
  <c r="I13" i="71"/>
  <c r="E55" i="138"/>
  <c r="C54" i="138"/>
  <c r="DI60" i="2"/>
  <c r="E56" i="43"/>
  <c r="C55" i="43"/>
  <c r="C58" i="71"/>
  <c r="E59" i="71"/>
  <c r="I11" i="37"/>
  <c r="I9" i="43"/>
  <c r="E58" i="19"/>
  <c r="C57" i="19"/>
  <c r="I14" i="75"/>
  <c r="Y61" i="1"/>
  <c r="E59" i="122"/>
  <c r="C58" i="122"/>
  <c r="C56" i="47"/>
  <c r="E57" i="47"/>
  <c r="I10" i="88"/>
  <c r="C58" i="20"/>
  <c r="E59" i="20"/>
  <c r="E57" i="120"/>
  <c r="C56" i="120"/>
  <c r="I10" i="80"/>
  <c r="E59" i="31"/>
  <c r="C58" i="31"/>
  <c r="E60" i="143"/>
  <c r="C59" i="143"/>
  <c r="C54" i="156"/>
  <c r="E55" i="156"/>
  <c r="FW61" i="2"/>
  <c r="C56" i="141"/>
  <c r="E57" i="141"/>
  <c r="C55" i="165"/>
  <c r="E56" i="165"/>
  <c r="I9" i="34"/>
  <c r="E58" i="68"/>
  <c r="C57" i="68"/>
  <c r="E57" i="37"/>
  <c r="C56" i="37"/>
  <c r="AJ61" i="2"/>
  <c r="E56" i="45"/>
  <c r="C55" i="45"/>
  <c r="I13" i="94"/>
  <c r="E59" i="78"/>
  <c r="C58" i="78"/>
  <c r="E57" i="39"/>
  <c r="C56" i="39"/>
  <c r="I11" i="149"/>
  <c r="E58" i="17"/>
  <c r="C57" i="17"/>
  <c r="E60" i="100"/>
  <c r="C59" i="100"/>
  <c r="FK59" i="2" s="1"/>
  <c r="I9" i="112"/>
  <c r="E59" i="133"/>
  <c r="C58" i="133"/>
  <c r="DH59" i="2"/>
  <c r="EO60" i="2"/>
  <c r="E60" i="90"/>
  <c r="C59" i="90"/>
  <c r="E58" i="167"/>
  <c r="C57" i="167"/>
  <c r="E57" i="149"/>
  <c r="C56" i="149"/>
  <c r="I12" i="132"/>
  <c r="I9" i="163"/>
  <c r="E53" i="98"/>
  <c r="C52" i="98"/>
  <c r="I12" i="89"/>
  <c r="I10" i="5"/>
  <c r="E59" i="125"/>
  <c r="C58" i="125"/>
  <c r="I12" i="135"/>
  <c r="E57" i="159"/>
  <c r="C56" i="159"/>
  <c r="C55" i="160"/>
  <c r="E56" i="160"/>
  <c r="I11" i="115"/>
  <c r="E55" i="166"/>
  <c r="C54" i="166"/>
  <c r="IJ60" i="2"/>
  <c r="I11" i="158"/>
  <c r="E59" i="117"/>
  <c r="C58" i="117"/>
  <c r="I9" i="95"/>
  <c r="I10" i="97"/>
  <c r="E58" i="75"/>
  <c r="C57" i="75"/>
  <c r="GR60" i="2"/>
  <c r="FL59" i="2" l="1"/>
  <c r="IK59" i="2"/>
  <c r="CX58" i="2"/>
  <c r="EP59" i="2"/>
  <c r="C57" i="164"/>
  <c r="E58" i="164"/>
  <c r="I15" i="15"/>
  <c r="I14" i="79"/>
  <c r="E58" i="95"/>
  <c r="C57" i="95"/>
  <c r="BF60" i="2"/>
  <c r="C58" i="49"/>
  <c r="E59" i="49"/>
  <c r="E57" i="94"/>
  <c r="C56" i="94"/>
  <c r="E57" i="103"/>
  <c r="C56" i="103"/>
  <c r="I11" i="123"/>
  <c r="I12" i="149"/>
  <c r="C55" i="120"/>
  <c r="E56" i="120"/>
  <c r="E59" i="12"/>
  <c r="C58" i="12"/>
  <c r="X59" i="2"/>
  <c r="M59" i="1"/>
  <c r="I13" i="136"/>
  <c r="AU60" i="2"/>
  <c r="I11" i="155"/>
  <c r="E58" i="44"/>
  <c r="C57" i="44"/>
  <c r="IV60" i="2"/>
  <c r="C55" i="127"/>
  <c r="E56" i="127"/>
  <c r="I12" i="60"/>
  <c r="C56" i="83"/>
  <c r="E57" i="83"/>
  <c r="I12" i="41"/>
  <c r="C57" i="151"/>
  <c r="E58" i="151"/>
  <c r="I12" i="66"/>
  <c r="CB60" i="1"/>
  <c r="I11" i="138"/>
  <c r="I11" i="162"/>
  <c r="C56" i="150"/>
  <c r="E57" i="150"/>
  <c r="E54" i="32"/>
  <c r="C53" i="32"/>
  <c r="I12" i="165"/>
  <c r="I11" i="116"/>
  <c r="I12" i="30"/>
  <c r="I15" i="46"/>
  <c r="C58" i="50"/>
  <c r="E59" i="50"/>
  <c r="AT59" i="2"/>
  <c r="I12" i="23"/>
  <c r="E59" i="6"/>
  <c r="C58" i="6"/>
  <c r="CA59" i="1"/>
  <c r="E58" i="96"/>
  <c r="C57" i="96"/>
  <c r="I12" i="99"/>
  <c r="I12" i="167"/>
  <c r="I11" i="170"/>
  <c r="I29" i="150"/>
  <c r="C58" i="53"/>
  <c r="E59" i="53"/>
  <c r="I10" i="130"/>
  <c r="E58" i="125"/>
  <c r="C57" i="125"/>
  <c r="C57" i="78"/>
  <c r="E58" i="78"/>
  <c r="E58" i="20"/>
  <c r="C57" i="20"/>
  <c r="E56" i="73"/>
  <c r="C55" i="73"/>
  <c r="I11" i="53"/>
  <c r="I10" i="45"/>
  <c r="E57" i="25"/>
  <c r="C56" i="25"/>
  <c r="I11" i="49"/>
  <c r="I14" i="42"/>
  <c r="I15" i="134"/>
  <c r="I10" i="58"/>
  <c r="E58" i="10"/>
  <c r="C57" i="10"/>
  <c r="I11" i="88"/>
  <c r="E59" i="58"/>
  <c r="C58" i="58"/>
  <c r="I10" i="110"/>
  <c r="BQ60" i="2"/>
  <c r="FL60" i="2"/>
  <c r="C56" i="112"/>
  <c r="E57" i="112"/>
  <c r="E58" i="70"/>
  <c r="C57" i="70"/>
  <c r="I11" i="67"/>
  <c r="FW60" i="2"/>
  <c r="E55" i="34"/>
  <c r="C54" i="34"/>
  <c r="C58" i="158"/>
  <c r="E59" i="158"/>
  <c r="E59" i="3"/>
  <c r="C58" i="3"/>
  <c r="I14" i="94"/>
  <c r="E57" i="67"/>
  <c r="C56" i="67"/>
  <c r="I11" i="70"/>
  <c r="E58" i="145"/>
  <c r="C57" i="145"/>
  <c r="BE59" i="2"/>
  <c r="FA59" i="2"/>
  <c r="HO59" i="2"/>
  <c r="I15" i="61"/>
  <c r="I10" i="140"/>
  <c r="E56" i="72"/>
  <c r="C55" i="72"/>
  <c r="I14" i="14"/>
  <c r="E59" i="52"/>
  <c r="C58" i="52"/>
  <c r="BP59" i="2"/>
  <c r="C57" i="89"/>
  <c r="E58" i="89"/>
  <c r="E55" i="59"/>
  <c r="C54" i="59"/>
  <c r="I13" i="128"/>
  <c r="C57" i="38"/>
  <c r="E58" i="38"/>
  <c r="I14" i="24"/>
  <c r="E59" i="42"/>
  <c r="C58" i="42"/>
  <c r="FV59" i="2"/>
  <c r="E55" i="45"/>
  <c r="C54" i="45"/>
  <c r="E56" i="47"/>
  <c r="C55" i="47"/>
  <c r="I11" i="121"/>
  <c r="E56" i="163"/>
  <c r="C55" i="163"/>
  <c r="I13" i="150"/>
  <c r="I13" i="127"/>
  <c r="E56" i="84"/>
  <c r="C55" i="84"/>
  <c r="E58" i="41"/>
  <c r="C57" i="41"/>
  <c r="E59" i="28"/>
  <c r="C58" i="28"/>
  <c r="E58" i="134"/>
  <c r="C57" i="134"/>
  <c r="EZ58" i="2"/>
  <c r="E57" i="9"/>
  <c r="C56" i="9"/>
  <c r="I13" i="98"/>
  <c r="C57" i="154"/>
  <c r="E58" i="154"/>
  <c r="IJ58" i="2"/>
  <c r="C56" i="110"/>
  <c r="E57" i="110"/>
  <c r="C58" i="56"/>
  <c r="E59" i="56"/>
  <c r="I11" i="131"/>
  <c r="I11" i="50"/>
  <c r="I12" i="139"/>
  <c r="E59" i="136"/>
  <c r="C58" i="136"/>
  <c r="E52" i="98"/>
  <c r="C51" i="98"/>
  <c r="E58" i="122"/>
  <c r="C57" i="122"/>
  <c r="E58" i="48"/>
  <c r="C57" i="48"/>
  <c r="I12" i="159"/>
  <c r="E57" i="11"/>
  <c r="C56" i="11"/>
  <c r="E57" i="135"/>
  <c r="C56" i="135"/>
  <c r="C57" i="36"/>
  <c r="E58" i="36"/>
  <c r="I12" i="118"/>
  <c r="C56" i="65"/>
  <c r="E57" i="65"/>
  <c r="I15" i="133"/>
  <c r="I11" i="4"/>
  <c r="E59" i="27"/>
  <c r="C58" i="27"/>
  <c r="I11" i="31"/>
  <c r="I11" i="137"/>
  <c r="AJ60" i="2"/>
  <c r="C56" i="18"/>
  <c r="E57" i="18"/>
  <c r="I11" i="21"/>
  <c r="E57" i="99"/>
  <c r="C56" i="99"/>
  <c r="I10" i="64"/>
  <c r="E56" i="123"/>
  <c r="C55" i="123"/>
  <c r="E56" i="62"/>
  <c r="C55" i="62"/>
  <c r="I13" i="89"/>
  <c r="I13" i="78"/>
  <c r="IV59" i="2"/>
  <c r="GS60" i="2"/>
  <c r="E56" i="37"/>
  <c r="C55" i="37"/>
  <c r="E57" i="148"/>
  <c r="C56" i="148"/>
  <c r="I10" i="69"/>
  <c r="I10" i="8"/>
  <c r="E58" i="13"/>
  <c r="C57" i="13"/>
  <c r="IU58" i="2"/>
  <c r="C57" i="21"/>
  <c r="E58" i="21"/>
  <c r="AJ60" i="1"/>
  <c r="C57" i="97"/>
  <c r="E58" i="97"/>
  <c r="I14" i="82"/>
  <c r="E58" i="88"/>
  <c r="C57" i="88"/>
  <c r="C56" i="64"/>
  <c r="E57" i="64"/>
  <c r="E57" i="161"/>
  <c r="C56" i="161"/>
  <c r="E59" i="46"/>
  <c r="C58" i="46"/>
  <c r="I13" i="152"/>
  <c r="C57" i="80"/>
  <c r="E58" i="80"/>
  <c r="I11" i="54"/>
  <c r="C56" i="129"/>
  <c r="E57" i="129"/>
  <c r="DS57" i="2"/>
  <c r="I13" i="117"/>
  <c r="I11" i="126"/>
  <c r="I14" i="71"/>
  <c r="C58" i="170"/>
  <c r="E59" i="170"/>
  <c r="E57" i="54"/>
  <c r="C56" i="54"/>
  <c r="E56" i="106"/>
  <c r="C55" i="106"/>
  <c r="HD60" i="2"/>
  <c r="C57" i="114"/>
  <c r="E58" i="114"/>
  <c r="I10" i="146"/>
  <c r="I11" i="154"/>
  <c r="I11" i="73"/>
  <c r="E57" i="118"/>
  <c r="C56" i="118"/>
  <c r="I10" i="102"/>
  <c r="C54" i="131"/>
  <c r="E55" i="131"/>
  <c r="I10" i="163"/>
  <c r="BQ60" i="1"/>
  <c r="I13" i="132"/>
  <c r="I11" i="104"/>
  <c r="I10" i="120"/>
  <c r="I10" i="105"/>
  <c r="E58" i="23"/>
  <c r="C57" i="23"/>
  <c r="I13" i="48"/>
  <c r="I13" i="107"/>
  <c r="E59" i="107"/>
  <c r="C58" i="107"/>
  <c r="E58" i="101"/>
  <c r="C57" i="101"/>
  <c r="E58" i="132"/>
  <c r="C57" i="132"/>
  <c r="C57" i="108"/>
  <c r="E58" i="108"/>
  <c r="I12" i="18"/>
  <c r="I13" i="16"/>
  <c r="HZ59" i="2"/>
  <c r="I10" i="35"/>
  <c r="E58" i="169"/>
  <c r="C57" i="169"/>
  <c r="I11" i="97"/>
  <c r="E56" i="149"/>
  <c r="C55" i="149"/>
  <c r="C56" i="19"/>
  <c r="E57" i="19"/>
  <c r="I11" i="144"/>
  <c r="C58" i="8"/>
  <c r="E59" i="8"/>
  <c r="HC59" i="2"/>
  <c r="BP59" i="1"/>
  <c r="I11" i="151"/>
  <c r="I10" i="95"/>
  <c r="I10" i="34"/>
  <c r="I11" i="111"/>
  <c r="I12" i="93"/>
  <c r="E57" i="81"/>
  <c r="C56" i="81"/>
  <c r="I13" i="26"/>
  <c r="I10" i="36"/>
  <c r="I12" i="129"/>
  <c r="I11" i="87"/>
  <c r="I10" i="65"/>
  <c r="I12" i="68"/>
  <c r="I12" i="124"/>
  <c r="C56" i="116"/>
  <c r="E57" i="116"/>
  <c r="C56" i="126"/>
  <c r="E57" i="126"/>
  <c r="I10" i="166"/>
  <c r="I11" i="20"/>
  <c r="E57" i="130"/>
  <c r="C56" i="130"/>
  <c r="I11" i="84"/>
  <c r="I11" i="86"/>
  <c r="C58" i="92"/>
  <c r="E59" i="92"/>
  <c r="E59" i="155"/>
  <c r="C58" i="155"/>
  <c r="C56" i="128"/>
  <c r="E57" i="128"/>
  <c r="E56" i="159"/>
  <c r="C55" i="159"/>
  <c r="I11" i="80"/>
  <c r="I13" i="135"/>
  <c r="C55" i="39"/>
  <c r="E56" i="39"/>
  <c r="I11" i="5"/>
  <c r="C54" i="165"/>
  <c r="E55" i="165"/>
  <c r="I10" i="125"/>
  <c r="I13" i="122"/>
  <c r="C56" i="16"/>
  <c r="E57" i="16"/>
  <c r="I10" i="11"/>
  <c r="I13" i="9"/>
  <c r="I12" i="173"/>
  <c r="I10" i="143"/>
  <c r="C57" i="79"/>
  <c r="E58" i="79"/>
  <c r="E58" i="35"/>
  <c r="C57" i="35"/>
  <c r="I11" i="3"/>
  <c r="E59" i="174"/>
  <c r="C58" i="174"/>
  <c r="DT58" i="2"/>
  <c r="C56" i="167"/>
  <c r="E57" i="167"/>
  <c r="E59" i="90"/>
  <c r="C58" i="90"/>
  <c r="E57" i="22"/>
  <c r="C56" i="22"/>
  <c r="I14" i="22"/>
  <c r="I10" i="55"/>
  <c r="E58" i="119"/>
  <c r="C57" i="119"/>
  <c r="E58" i="117"/>
  <c r="C57" i="117"/>
  <c r="I10" i="43"/>
  <c r="C56" i="60"/>
  <c r="E57" i="60"/>
  <c r="I10" i="38"/>
  <c r="I11" i="85"/>
  <c r="E56" i="141"/>
  <c r="C55" i="141"/>
  <c r="I12" i="37"/>
  <c r="I10" i="100"/>
  <c r="I11" i="108"/>
  <c r="I11" i="153"/>
  <c r="I10" i="91"/>
  <c r="C57" i="147"/>
  <c r="E58" i="147"/>
  <c r="I11" i="52"/>
  <c r="N60" i="2"/>
  <c r="C55" i="40"/>
  <c r="E56" i="40"/>
  <c r="I13" i="13"/>
  <c r="E52" i="82"/>
  <c r="C51" i="82"/>
  <c r="C53" i="157"/>
  <c r="E54" i="157"/>
  <c r="E55" i="111"/>
  <c r="C54" i="111"/>
  <c r="I15" i="7"/>
  <c r="I12" i="157"/>
  <c r="C55" i="168"/>
  <c r="E56" i="168"/>
  <c r="I13" i="164"/>
  <c r="E56" i="26"/>
  <c r="C55" i="26"/>
  <c r="CL59" i="2"/>
  <c r="N59" i="2"/>
  <c r="I15" i="12"/>
  <c r="I10" i="40"/>
  <c r="I13" i="142"/>
  <c r="I15" i="145"/>
  <c r="I12" i="44"/>
  <c r="C56" i="144"/>
  <c r="E57" i="144"/>
  <c r="C56" i="75"/>
  <c r="E57" i="75"/>
  <c r="E57" i="66"/>
  <c r="C56" i="66"/>
  <c r="I11" i="168"/>
  <c r="AU60" i="1"/>
  <c r="I11" i="169"/>
  <c r="I12" i="92"/>
  <c r="I12" i="83"/>
  <c r="E57" i="5"/>
  <c r="C56" i="5"/>
  <c r="I12" i="158"/>
  <c r="EP60" i="2"/>
  <c r="GR59" i="2"/>
  <c r="IK60" i="2"/>
  <c r="I11" i="76"/>
  <c r="I13" i="29"/>
  <c r="I11" i="114"/>
  <c r="C57" i="63"/>
  <c r="E58" i="63"/>
  <c r="I10" i="90"/>
  <c r="E58" i="33"/>
  <c r="C57" i="33"/>
  <c r="M58" i="2"/>
  <c r="E56" i="124"/>
  <c r="C55" i="124"/>
  <c r="Y60" i="1"/>
  <c r="I11" i="33"/>
  <c r="C54" i="105"/>
  <c r="E55" i="105"/>
  <c r="I12" i="10"/>
  <c r="AI59" i="2"/>
  <c r="I10" i="96"/>
  <c r="I11" i="56"/>
  <c r="I11" i="19"/>
  <c r="E59" i="7"/>
  <c r="C58" i="7"/>
  <c r="EO58" i="2" s="1"/>
  <c r="AT59" i="1"/>
  <c r="C58" i="29"/>
  <c r="E59" i="29"/>
  <c r="I12" i="63"/>
  <c r="E54" i="146"/>
  <c r="C53" i="146"/>
  <c r="E59" i="91"/>
  <c r="C58" i="91"/>
  <c r="X58" i="1" s="1"/>
  <c r="C54" i="43"/>
  <c r="E55" i="43"/>
  <c r="E58" i="140"/>
  <c r="C57" i="140"/>
  <c r="C57" i="153"/>
  <c r="E58" i="153"/>
  <c r="I12" i="115"/>
  <c r="I10" i="112"/>
  <c r="C58" i="143"/>
  <c r="E59" i="143"/>
  <c r="C56" i="104"/>
  <c r="E57" i="104"/>
  <c r="C58" i="121"/>
  <c r="AI58" i="2" s="1"/>
  <c r="E59" i="121"/>
  <c r="I10" i="141"/>
  <c r="E57" i="74"/>
  <c r="C56" i="74"/>
  <c r="I13" i="62"/>
  <c r="C58" i="152"/>
  <c r="E59" i="152"/>
  <c r="C58" i="93"/>
  <c r="E59" i="93"/>
  <c r="E57" i="57"/>
  <c r="C56" i="57"/>
  <c r="I11" i="57"/>
  <c r="C56" i="68"/>
  <c r="E57" i="68"/>
  <c r="I15" i="75"/>
  <c r="C53" i="166"/>
  <c r="E54" i="166"/>
  <c r="I11" i="119"/>
  <c r="I11" i="161"/>
  <c r="EE60" i="2"/>
  <c r="I13" i="51"/>
  <c r="I13" i="77"/>
  <c r="I10" i="81"/>
  <c r="C55" i="61"/>
  <c r="E56" i="61"/>
  <c r="E57" i="137"/>
  <c r="C56" i="137"/>
  <c r="E54" i="87"/>
  <c r="C53" i="87"/>
  <c r="DI59" i="2"/>
  <c r="E58" i="133"/>
  <c r="C57" i="133"/>
  <c r="DH58" i="2"/>
  <c r="CB60" i="2"/>
  <c r="I10" i="160"/>
  <c r="E57" i="113"/>
  <c r="C56" i="113"/>
  <c r="C53" i="30"/>
  <c r="E54" i="30"/>
  <c r="E59" i="100"/>
  <c r="C58" i="100"/>
  <c r="CA59" i="2"/>
  <c r="I10" i="171"/>
  <c r="AI59" i="1"/>
  <c r="E58" i="142"/>
  <c r="C57" i="142"/>
  <c r="I10" i="47"/>
  <c r="C57" i="77"/>
  <c r="E58" i="77"/>
  <c r="I10" i="148"/>
  <c r="C58" i="109"/>
  <c r="E59" i="109"/>
  <c r="ED59" i="2"/>
  <c r="I11" i="39"/>
  <c r="HO60" i="2"/>
  <c r="E56" i="171"/>
  <c r="C55" i="171"/>
  <c r="I14" i="27"/>
  <c r="I11" i="106"/>
  <c r="I10" i="109"/>
  <c r="E54" i="156"/>
  <c r="C53" i="156"/>
  <c r="E57" i="4"/>
  <c r="C56" i="4"/>
  <c r="I13" i="101"/>
  <c r="I10" i="147"/>
  <c r="C58" i="172"/>
  <c r="E59" i="172"/>
  <c r="C57" i="15"/>
  <c r="E58" i="15"/>
  <c r="I12" i="113"/>
  <c r="C56" i="139"/>
  <c r="E57" i="139"/>
  <c r="I12" i="28"/>
  <c r="C57" i="31"/>
  <c r="E58" i="31"/>
  <c r="CA58" i="2"/>
  <c r="E55" i="160"/>
  <c r="C54" i="160"/>
  <c r="E57" i="17"/>
  <c r="C56" i="17"/>
  <c r="C53" i="138"/>
  <c r="E54" i="138"/>
  <c r="E56" i="173"/>
  <c r="C55" i="173"/>
  <c r="Y60" i="2"/>
  <c r="C55" i="51"/>
  <c r="E56" i="51"/>
  <c r="E59" i="14"/>
  <c r="C58" i="14"/>
  <c r="E58" i="162"/>
  <c r="C57" i="162"/>
  <c r="I14" i="32"/>
  <c r="I11" i="103"/>
  <c r="E56" i="85"/>
  <c r="C55" i="85"/>
  <c r="I13" i="156"/>
  <c r="I14" i="59"/>
  <c r="E58" i="71"/>
  <c r="C57" i="71"/>
  <c r="E55" i="102"/>
  <c r="C54" i="102"/>
  <c r="I13" i="172"/>
  <c r="I12" i="72"/>
  <c r="N60" i="1"/>
  <c r="C55" i="115"/>
  <c r="E56" i="115"/>
  <c r="I10" i="17"/>
  <c r="I10" i="174"/>
  <c r="E58" i="76"/>
  <c r="C57" i="76"/>
  <c r="E56" i="69"/>
  <c r="C55" i="69"/>
  <c r="E56" i="86"/>
  <c r="C55" i="86"/>
  <c r="E59" i="55"/>
  <c r="C58" i="55"/>
  <c r="I15" i="74"/>
  <c r="I12" i="25"/>
  <c r="X59" i="1"/>
  <c r="EP58" i="2" l="1"/>
  <c r="Y58" i="1"/>
  <c r="AJ58" i="2"/>
  <c r="C56" i="142"/>
  <c r="E57" i="142"/>
  <c r="E57" i="140"/>
  <c r="C56" i="140"/>
  <c r="I11" i="81"/>
  <c r="E57" i="169"/>
  <c r="C56" i="169"/>
  <c r="HY57" i="2"/>
  <c r="DT57" i="2"/>
  <c r="I12" i="31"/>
  <c r="I12" i="131"/>
  <c r="I12" i="162"/>
  <c r="I11" i="96"/>
  <c r="I13" i="158"/>
  <c r="CM59" i="2"/>
  <c r="I12" i="153"/>
  <c r="I12" i="80"/>
  <c r="E54" i="45"/>
  <c r="C53" i="45"/>
  <c r="I11" i="110"/>
  <c r="E58" i="53"/>
  <c r="C57" i="53"/>
  <c r="E58" i="55"/>
  <c r="C57" i="55"/>
  <c r="AJ59" i="2"/>
  <c r="E55" i="26"/>
  <c r="C54" i="26"/>
  <c r="I12" i="108"/>
  <c r="I13" i="129"/>
  <c r="I11" i="35"/>
  <c r="I11" i="163"/>
  <c r="E56" i="129"/>
  <c r="C55" i="129"/>
  <c r="DS56" i="2"/>
  <c r="I11" i="69"/>
  <c r="E58" i="27"/>
  <c r="C57" i="27"/>
  <c r="BF59" i="2"/>
  <c r="C57" i="58"/>
  <c r="E58" i="58"/>
  <c r="I30" i="150"/>
  <c r="C54" i="120"/>
  <c r="E55" i="120"/>
  <c r="E57" i="15"/>
  <c r="C56" i="15"/>
  <c r="C57" i="174"/>
  <c r="E58" i="174"/>
  <c r="I15" i="32"/>
  <c r="E58" i="172"/>
  <c r="C57" i="172"/>
  <c r="I11" i="47"/>
  <c r="I14" i="77"/>
  <c r="C55" i="104"/>
  <c r="E56" i="104"/>
  <c r="I13" i="10"/>
  <c r="E56" i="5"/>
  <c r="C55" i="5"/>
  <c r="C54" i="159"/>
  <c r="E55" i="159"/>
  <c r="I11" i="36"/>
  <c r="E56" i="148"/>
  <c r="C55" i="148"/>
  <c r="E58" i="56"/>
  <c r="C57" i="56"/>
  <c r="FW59" i="2"/>
  <c r="C56" i="145"/>
  <c r="E57" i="145"/>
  <c r="I12" i="138"/>
  <c r="C54" i="86"/>
  <c r="E55" i="86"/>
  <c r="I12" i="54"/>
  <c r="I12" i="4"/>
  <c r="C57" i="42"/>
  <c r="E58" i="42"/>
  <c r="FV58" i="2"/>
  <c r="I12" i="88"/>
  <c r="I12" i="170"/>
  <c r="I13" i="149"/>
  <c r="I11" i="100"/>
  <c r="I12" i="3"/>
  <c r="E54" i="131"/>
  <c r="C53" i="131"/>
  <c r="C54" i="37"/>
  <c r="E55" i="37"/>
  <c r="E56" i="110"/>
  <c r="C55" i="110"/>
  <c r="I14" i="26"/>
  <c r="I11" i="102"/>
  <c r="E57" i="80"/>
  <c r="C56" i="80"/>
  <c r="IK58" i="2"/>
  <c r="I12" i="70"/>
  <c r="C56" i="10"/>
  <c r="E57" i="10"/>
  <c r="I13" i="66"/>
  <c r="I12" i="123"/>
  <c r="C56" i="162"/>
  <c r="E57" i="162"/>
  <c r="C54" i="168"/>
  <c r="E55" i="168"/>
  <c r="E58" i="155"/>
  <c r="C57" i="155"/>
  <c r="E56" i="81"/>
  <c r="C55" i="81"/>
  <c r="I14" i="16"/>
  <c r="I16" i="133"/>
  <c r="I15" i="24"/>
  <c r="E56" i="67"/>
  <c r="C55" i="67"/>
  <c r="I13" i="167"/>
  <c r="C55" i="103"/>
  <c r="E56" i="103"/>
  <c r="I14" i="51"/>
  <c r="I13" i="92"/>
  <c r="E55" i="141"/>
  <c r="C54" i="141"/>
  <c r="I13" i="18"/>
  <c r="E56" i="118"/>
  <c r="C55" i="118"/>
  <c r="I14" i="152"/>
  <c r="E57" i="154"/>
  <c r="C56" i="154"/>
  <c r="IJ57" i="2"/>
  <c r="I11" i="58"/>
  <c r="I11" i="171"/>
  <c r="I12" i="161"/>
  <c r="I12" i="33"/>
  <c r="E55" i="51"/>
  <c r="C54" i="51"/>
  <c r="C55" i="4"/>
  <c r="E56" i="4"/>
  <c r="CB59" i="2"/>
  <c r="I13" i="115"/>
  <c r="I13" i="157"/>
  <c r="E57" i="79"/>
  <c r="C56" i="79"/>
  <c r="C57" i="46"/>
  <c r="E58" i="46"/>
  <c r="E56" i="65"/>
  <c r="C55" i="65"/>
  <c r="C56" i="38"/>
  <c r="E57" i="38"/>
  <c r="I13" i="99"/>
  <c r="E57" i="151"/>
  <c r="C56" i="151"/>
  <c r="E56" i="94"/>
  <c r="C55" i="94"/>
  <c r="C57" i="100"/>
  <c r="E58" i="100"/>
  <c r="I12" i="169"/>
  <c r="I12" i="85"/>
  <c r="C57" i="92"/>
  <c r="E58" i="92"/>
  <c r="I13" i="93"/>
  <c r="I13" i="118"/>
  <c r="I14" i="98"/>
  <c r="I15" i="94"/>
  <c r="E57" i="96"/>
  <c r="C56" i="96"/>
  <c r="I13" i="41"/>
  <c r="E57" i="153"/>
  <c r="C56" i="153"/>
  <c r="C54" i="124"/>
  <c r="E55" i="124"/>
  <c r="I16" i="7"/>
  <c r="I11" i="143"/>
  <c r="E57" i="108"/>
  <c r="C56" i="108"/>
  <c r="I12" i="73"/>
  <c r="E56" i="9"/>
  <c r="C55" i="9"/>
  <c r="I14" i="128"/>
  <c r="I16" i="134"/>
  <c r="C56" i="76"/>
  <c r="E57" i="76"/>
  <c r="I11" i="174"/>
  <c r="E53" i="156"/>
  <c r="C52" i="156"/>
  <c r="I12" i="119"/>
  <c r="I11" i="17"/>
  <c r="I11" i="38"/>
  <c r="I12" i="86"/>
  <c r="I12" i="111"/>
  <c r="E57" i="132"/>
  <c r="C56" i="132"/>
  <c r="E56" i="161"/>
  <c r="C55" i="161"/>
  <c r="I14" i="78"/>
  <c r="E54" i="59"/>
  <c r="C53" i="59"/>
  <c r="C57" i="3"/>
  <c r="E58" i="3"/>
  <c r="I15" i="42"/>
  <c r="CB59" i="1"/>
  <c r="C57" i="49"/>
  <c r="E58" i="49"/>
  <c r="I12" i="168"/>
  <c r="C53" i="111"/>
  <c r="E54" i="111"/>
  <c r="I13" i="173"/>
  <c r="I12" i="154"/>
  <c r="E57" i="36"/>
  <c r="C56" i="36"/>
  <c r="FA58" i="2"/>
  <c r="E58" i="6"/>
  <c r="C57" i="6"/>
  <c r="CA58" i="1"/>
  <c r="I12" i="103"/>
  <c r="E58" i="121"/>
  <c r="C57" i="121"/>
  <c r="E57" i="33"/>
  <c r="C56" i="33"/>
  <c r="I14" i="9"/>
  <c r="I11" i="34"/>
  <c r="E57" i="101"/>
  <c r="C56" i="101"/>
  <c r="I14" i="89"/>
  <c r="E56" i="135"/>
  <c r="C55" i="135"/>
  <c r="C56" i="134"/>
  <c r="E57" i="134"/>
  <c r="EZ57" i="2"/>
  <c r="HN58" i="2"/>
  <c r="I12" i="49"/>
  <c r="E56" i="83"/>
  <c r="C55" i="83"/>
  <c r="C56" i="77"/>
  <c r="E57" i="77"/>
  <c r="C52" i="166"/>
  <c r="E53" i="166"/>
  <c r="N58" i="2"/>
  <c r="I12" i="84"/>
  <c r="E55" i="115"/>
  <c r="C54" i="115"/>
  <c r="I16" i="75"/>
  <c r="C55" i="66"/>
  <c r="E56" i="66"/>
  <c r="C55" i="60"/>
  <c r="E56" i="60"/>
  <c r="C55" i="130"/>
  <c r="E56" i="130"/>
  <c r="I11" i="146"/>
  <c r="E56" i="64"/>
  <c r="C55" i="64"/>
  <c r="C54" i="62"/>
  <c r="E55" i="62"/>
  <c r="I13" i="23"/>
  <c r="E57" i="95"/>
  <c r="C56" i="95"/>
  <c r="E53" i="30"/>
  <c r="C52" i="30"/>
  <c r="E58" i="107"/>
  <c r="C57" i="107"/>
  <c r="E56" i="11"/>
  <c r="C55" i="11"/>
  <c r="C57" i="28"/>
  <c r="AI57" i="2" s="1"/>
  <c r="E58" i="28"/>
  <c r="C56" i="89"/>
  <c r="E57" i="89"/>
  <c r="HN57" i="2"/>
  <c r="C57" i="158"/>
  <c r="E58" i="158"/>
  <c r="C55" i="25"/>
  <c r="E56" i="25"/>
  <c r="I13" i="60"/>
  <c r="I16" i="74"/>
  <c r="C54" i="69"/>
  <c r="E55" i="69"/>
  <c r="E54" i="105"/>
  <c r="C53" i="105"/>
  <c r="I11" i="109"/>
  <c r="C55" i="113"/>
  <c r="E56" i="113"/>
  <c r="I11" i="90"/>
  <c r="E57" i="114"/>
  <c r="C56" i="114"/>
  <c r="C56" i="88"/>
  <c r="E57" i="88"/>
  <c r="FK57" i="2"/>
  <c r="E55" i="123"/>
  <c r="C54" i="123"/>
  <c r="BQ59" i="2"/>
  <c r="E54" i="34"/>
  <c r="C53" i="34"/>
  <c r="AU59" i="2"/>
  <c r="I12" i="20"/>
  <c r="CL58" i="2"/>
  <c r="E56" i="75"/>
  <c r="C55" i="75"/>
  <c r="E57" i="117"/>
  <c r="C56" i="117"/>
  <c r="I12" i="151"/>
  <c r="I13" i="159"/>
  <c r="BE58" i="2"/>
  <c r="E58" i="52"/>
  <c r="C57" i="52"/>
  <c r="BP58" i="2"/>
  <c r="I11" i="45"/>
  <c r="E55" i="127"/>
  <c r="C54" i="127"/>
  <c r="I15" i="79"/>
  <c r="I14" i="13"/>
  <c r="E56" i="16"/>
  <c r="C55" i="16"/>
  <c r="I11" i="166"/>
  <c r="BQ59" i="1"/>
  <c r="I14" i="107"/>
  <c r="I15" i="82"/>
  <c r="I11" i="64"/>
  <c r="C56" i="41"/>
  <c r="E57" i="41"/>
  <c r="C57" i="50"/>
  <c r="E58" i="50"/>
  <c r="AT58" i="2"/>
  <c r="I16" i="15"/>
  <c r="E56" i="68"/>
  <c r="C55" i="68"/>
  <c r="I15" i="27"/>
  <c r="C55" i="57"/>
  <c r="E56" i="57"/>
  <c r="E57" i="63"/>
  <c r="C56" i="63"/>
  <c r="E56" i="144"/>
  <c r="C55" i="144"/>
  <c r="E57" i="119"/>
  <c r="C56" i="119"/>
  <c r="HD59" i="2"/>
  <c r="C54" i="106"/>
  <c r="E55" i="106"/>
  <c r="C56" i="48"/>
  <c r="E57" i="48"/>
  <c r="I15" i="14"/>
  <c r="I12" i="53"/>
  <c r="DI58" i="2"/>
  <c r="I14" i="172"/>
  <c r="C53" i="160"/>
  <c r="E54" i="160"/>
  <c r="C54" i="171"/>
  <c r="E55" i="171"/>
  <c r="E57" i="133"/>
  <c r="C56" i="133"/>
  <c r="DH57" i="2"/>
  <c r="I14" i="122"/>
  <c r="I14" i="48"/>
  <c r="E56" i="99"/>
  <c r="C55" i="99"/>
  <c r="C54" i="84"/>
  <c r="E55" i="84"/>
  <c r="I16" i="46"/>
  <c r="C56" i="44"/>
  <c r="E57" i="44"/>
  <c r="I14" i="101"/>
  <c r="I11" i="95"/>
  <c r="I13" i="72"/>
  <c r="I12" i="57"/>
  <c r="E53" i="146"/>
  <c r="C52" i="146"/>
  <c r="C53" i="102"/>
  <c r="E54" i="102"/>
  <c r="I13" i="63"/>
  <c r="I12" i="114"/>
  <c r="I13" i="44"/>
  <c r="C55" i="126"/>
  <c r="E56" i="126"/>
  <c r="E58" i="8"/>
  <c r="C57" i="8"/>
  <c r="BP58" i="1"/>
  <c r="HC58" i="2"/>
  <c r="E57" i="23"/>
  <c r="C56" i="23"/>
  <c r="E56" i="54"/>
  <c r="C55" i="54"/>
  <c r="C56" i="122"/>
  <c r="E57" i="122"/>
  <c r="I12" i="67"/>
  <c r="C54" i="73"/>
  <c r="E55" i="73"/>
  <c r="C56" i="164"/>
  <c r="E57" i="164"/>
  <c r="AJ59" i="1"/>
  <c r="I11" i="112"/>
  <c r="I13" i="83"/>
  <c r="I13" i="37"/>
  <c r="E57" i="35"/>
  <c r="C56" i="35"/>
  <c r="C50" i="82"/>
  <c r="E51" i="82"/>
  <c r="CB58" i="2"/>
  <c r="E58" i="93"/>
  <c r="C57" i="93"/>
  <c r="E55" i="40"/>
  <c r="C54" i="40"/>
  <c r="I11" i="55"/>
  <c r="I11" i="125"/>
  <c r="E57" i="97"/>
  <c r="C56" i="97"/>
  <c r="E57" i="70"/>
  <c r="C56" i="70"/>
  <c r="I13" i="30"/>
  <c r="I12" i="155"/>
  <c r="I11" i="147"/>
  <c r="E53" i="138"/>
  <c r="C52" i="138"/>
  <c r="I11" i="43"/>
  <c r="E56" i="17"/>
  <c r="C55" i="17"/>
  <c r="E57" i="71"/>
  <c r="C56" i="71"/>
  <c r="C57" i="29"/>
  <c r="E58" i="29"/>
  <c r="I14" i="29"/>
  <c r="I16" i="145"/>
  <c r="I15" i="22"/>
  <c r="E56" i="116"/>
  <c r="C55" i="116"/>
  <c r="I12" i="144"/>
  <c r="I11" i="105"/>
  <c r="I12" i="21"/>
  <c r="E51" i="98"/>
  <c r="C50" i="98"/>
  <c r="I14" i="127"/>
  <c r="E55" i="72"/>
  <c r="C54" i="72"/>
  <c r="C56" i="20"/>
  <c r="E57" i="20"/>
  <c r="E58" i="143"/>
  <c r="C57" i="143"/>
  <c r="I14" i="164"/>
  <c r="E58" i="14"/>
  <c r="C57" i="14"/>
  <c r="GR57" i="2" s="1"/>
  <c r="GR58" i="2"/>
  <c r="AU59" i="1"/>
  <c r="C53" i="165"/>
  <c r="E54" i="165"/>
  <c r="I13" i="124"/>
  <c r="E58" i="170"/>
  <c r="C57" i="170"/>
  <c r="CW57" i="2"/>
  <c r="I12" i="116"/>
  <c r="C57" i="7"/>
  <c r="EO57" i="2" s="1"/>
  <c r="E58" i="7"/>
  <c r="AT58" i="1"/>
  <c r="E58" i="136"/>
  <c r="C57" i="136"/>
  <c r="I14" i="150"/>
  <c r="I11" i="140"/>
  <c r="I13" i="165"/>
  <c r="C54" i="173"/>
  <c r="E55" i="173"/>
  <c r="I11" i="160"/>
  <c r="E54" i="43"/>
  <c r="C53" i="43"/>
  <c r="I11" i="11"/>
  <c r="E58" i="152"/>
  <c r="C57" i="152"/>
  <c r="M57" i="2" s="1"/>
  <c r="E56" i="22"/>
  <c r="C55" i="22"/>
  <c r="C55" i="137"/>
  <c r="E56" i="137"/>
  <c r="I14" i="62"/>
  <c r="I11" i="120"/>
  <c r="I15" i="71"/>
  <c r="E57" i="21"/>
  <c r="C56" i="21"/>
  <c r="E56" i="18"/>
  <c r="C55" i="18"/>
  <c r="C54" i="163"/>
  <c r="E55" i="163"/>
  <c r="E56" i="112"/>
  <c r="C55" i="112"/>
  <c r="CW56" i="2"/>
  <c r="E57" i="78"/>
  <c r="C56" i="78"/>
  <c r="E56" i="128"/>
  <c r="C55" i="128"/>
  <c r="FK58" i="2"/>
  <c r="I11" i="40"/>
  <c r="C57" i="90"/>
  <c r="E58" i="90"/>
  <c r="I13" i="68"/>
  <c r="IV58" i="2"/>
  <c r="I16" i="61"/>
  <c r="E57" i="125"/>
  <c r="C56" i="125"/>
  <c r="C52" i="32"/>
  <c r="E53" i="32"/>
  <c r="I14" i="136"/>
  <c r="I12" i="39"/>
  <c r="I12" i="76"/>
  <c r="I12" i="52"/>
  <c r="E55" i="149"/>
  <c r="C54" i="149"/>
  <c r="Y59" i="1"/>
  <c r="E56" i="139"/>
  <c r="C55" i="139"/>
  <c r="E58" i="109"/>
  <c r="C57" i="109"/>
  <c r="ED58" i="2"/>
  <c r="E55" i="39"/>
  <c r="C54" i="39"/>
  <c r="I12" i="97"/>
  <c r="I12" i="104"/>
  <c r="I12" i="126"/>
  <c r="C56" i="13"/>
  <c r="E57" i="13"/>
  <c r="IU57" i="2"/>
  <c r="I13" i="139"/>
  <c r="N59" i="1"/>
  <c r="AI58" i="1"/>
  <c r="I12" i="106"/>
  <c r="E53" i="157"/>
  <c r="C52" i="157"/>
  <c r="I14" i="142"/>
  <c r="I15" i="59"/>
  <c r="EE59" i="2"/>
  <c r="I12" i="5"/>
  <c r="I14" i="156"/>
  <c r="C55" i="74"/>
  <c r="E56" i="74"/>
  <c r="I12" i="19"/>
  <c r="GS59" i="2"/>
  <c r="C56" i="147"/>
  <c r="E57" i="147"/>
  <c r="C54" i="85"/>
  <c r="E55" i="85"/>
  <c r="I13" i="113"/>
  <c r="I11" i="148"/>
  <c r="I11" i="141"/>
  <c r="I12" i="56"/>
  <c r="I16" i="12"/>
  <c r="I14" i="135"/>
  <c r="I11" i="65"/>
  <c r="I12" i="121"/>
  <c r="Y59" i="2"/>
  <c r="E58" i="91"/>
  <c r="C57" i="91"/>
  <c r="E57" i="31"/>
  <c r="C56" i="31"/>
  <c r="CA57" i="2"/>
  <c r="C52" i="87"/>
  <c r="E53" i="87"/>
  <c r="E56" i="19"/>
  <c r="C55" i="19"/>
  <c r="I13" i="28"/>
  <c r="I13" i="25"/>
  <c r="C54" i="61"/>
  <c r="E55" i="61"/>
  <c r="I11" i="91"/>
  <c r="E56" i="167"/>
  <c r="C55" i="167"/>
  <c r="I12" i="87"/>
  <c r="HY58" i="2"/>
  <c r="I14" i="132"/>
  <c r="I14" i="117"/>
  <c r="I11" i="8"/>
  <c r="I12" i="137"/>
  <c r="I12" i="50"/>
  <c r="E55" i="47"/>
  <c r="C54" i="47"/>
  <c r="I11" i="130"/>
  <c r="C55" i="150"/>
  <c r="E56" i="150"/>
  <c r="C57" i="12"/>
  <c r="E58" i="12"/>
  <c r="M58" i="1"/>
  <c r="X58" i="2"/>
  <c r="EP57" i="2" l="1"/>
  <c r="N57" i="2"/>
  <c r="GS57" i="2"/>
  <c r="AJ57" i="2"/>
  <c r="C53" i="61"/>
  <c r="E54" i="61"/>
  <c r="E52" i="157"/>
  <c r="C51" i="157"/>
  <c r="I12" i="141"/>
  <c r="E56" i="125"/>
  <c r="C55" i="125"/>
  <c r="C53" i="40"/>
  <c r="E54" i="40"/>
  <c r="HD58" i="2"/>
  <c r="C55" i="63"/>
  <c r="E56" i="63"/>
  <c r="C53" i="127"/>
  <c r="E54" i="127"/>
  <c r="I12" i="90"/>
  <c r="I14" i="23"/>
  <c r="I13" i="168"/>
  <c r="E52" i="156"/>
  <c r="C51" i="156"/>
  <c r="E55" i="67"/>
  <c r="C54" i="67"/>
  <c r="C54" i="110"/>
  <c r="E55" i="110"/>
  <c r="C56" i="58"/>
  <c r="E57" i="58"/>
  <c r="I13" i="50"/>
  <c r="I13" i="5"/>
  <c r="E55" i="112"/>
  <c r="C54" i="112"/>
  <c r="I15" i="142"/>
  <c r="I12" i="91"/>
  <c r="I12" i="148"/>
  <c r="I14" i="139"/>
  <c r="I14" i="124"/>
  <c r="BQ58" i="1"/>
  <c r="I15" i="48"/>
  <c r="C55" i="134"/>
  <c r="E56" i="134"/>
  <c r="EZ56" i="2"/>
  <c r="I14" i="118"/>
  <c r="E55" i="148"/>
  <c r="C54" i="148"/>
  <c r="I13" i="153"/>
  <c r="IV57" i="2"/>
  <c r="E55" i="137"/>
  <c r="C54" i="137"/>
  <c r="I15" i="29"/>
  <c r="C56" i="93"/>
  <c r="E57" i="93"/>
  <c r="E57" i="8"/>
  <c r="HC57" i="2"/>
  <c r="C56" i="8"/>
  <c r="BP57" i="1"/>
  <c r="E54" i="62"/>
  <c r="C53" i="62"/>
  <c r="C54" i="135"/>
  <c r="E55" i="135"/>
  <c r="I14" i="93"/>
  <c r="E55" i="4"/>
  <c r="C54" i="4"/>
  <c r="I17" i="61"/>
  <c r="E55" i="22"/>
  <c r="C54" i="22"/>
  <c r="C52" i="165"/>
  <c r="E53" i="165"/>
  <c r="I15" i="122"/>
  <c r="E55" i="57"/>
  <c r="C54" i="57"/>
  <c r="I12" i="45"/>
  <c r="E55" i="113"/>
  <c r="C54" i="113"/>
  <c r="E55" i="64"/>
  <c r="C54" i="64"/>
  <c r="E57" i="49"/>
  <c r="C56" i="49"/>
  <c r="I12" i="174"/>
  <c r="C53" i="51"/>
  <c r="E54" i="51"/>
  <c r="I16" i="24"/>
  <c r="E54" i="37"/>
  <c r="C53" i="37"/>
  <c r="E57" i="27"/>
  <c r="C56" i="27"/>
  <c r="E57" i="29"/>
  <c r="C56" i="29"/>
  <c r="X57" i="1"/>
  <c r="DI57" i="2"/>
  <c r="BQ58" i="2"/>
  <c r="I12" i="109"/>
  <c r="I17" i="133"/>
  <c r="E53" i="131"/>
  <c r="C52" i="131"/>
  <c r="I12" i="36"/>
  <c r="I14" i="158"/>
  <c r="E56" i="71"/>
  <c r="C55" i="71"/>
  <c r="E55" i="126"/>
  <c r="C54" i="126"/>
  <c r="E56" i="133"/>
  <c r="C55" i="133"/>
  <c r="DH56" i="2"/>
  <c r="I16" i="27"/>
  <c r="E57" i="52"/>
  <c r="C56" i="52"/>
  <c r="BP57" i="2"/>
  <c r="I15" i="89"/>
  <c r="C55" i="76"/>
  <c r="E56" i="76"/>
  <c r="E57" i="92"/>
  <c r="C56" i="92"/>
  <c r="GS58" i="2"/>
  <c r="I14" i="44"/>
  <c r="C54" i="68"/>
  <c r="E55" i="68"/>
  <c r="C52" i="105"/>
  <c r="E53" i="105"/>
  <c r="I12" i="146"/>
  <c r="C55" i="101"/>
  <c r="E56" i="101"/>
  <c r="I17" i="134"/>
  <c r="I13" i="85"/>
  <c r="I13" i="33"/>
  <c r="I12" i="69"/>
  <c r="I13" i="161"/>
  <c r="I15" i="16"/>
  <c r="I13" i="3"/>
  <c r="C53" i="159"/>
  <c r="E54" i="159"/>
  <c r="DT56" i="2"/>
  <c r="I12" i="96"/>
  <c r="I12" i="11"/>
  <c r="C54" i="130"/>
  <c r="E55" i="130"/>
  <c r="I16" i="42"/>
  <c r="I13" i="169"/>
  <c r="E55" i="81"/>
  <c r="C54" i="81"/>
  <c r="I12" i="100"/>
  <c r="C54" i="5"/>
  <c r="E55" i="5"/>
  <c r="E55" i="129"/>
  <c r="C54" i="129"/>
  <c r="DS55" i="2"/>
  <c r="I13" i="162"/>
  <c r="E54" i="171"/>
  <c r="C53" i="171"/>
  <c r="N58" i="1"/>
  <c r="I14" i="28"/>
  <c r="I13" i="114"/>
  <c r="I14" i="159"/>
  <c r="E54" i="69"/>
  <c r="C53" i="69"/>
  <c r="I12" i="34"/>
  <c r="I15" i="128"/>
  <c r="E57" i="90"/>
  <c r="C56" i="90"/>
  <c r="E53" i="43"/>
  <c r="C52" i="43"/>
  <c r="I15" i="164"/>
  <c r="I17" i="15"/>
  <c r="E55" i="19"/>
  <c r="C54" i="19"/>
  <c r="I13" i="97"/>
  <c r="I12" i="43"/>
  <c r="E56" i="35"/>
  <c r="C55" i="35"/>
  <c r="AU58" i="2"/>
  <c r="I17" i="74"/>
  <c r="E55" i="60"/>
  <c r="C54" i="60"/>
  <c r="E55" i="9"/>
  <c r="C54" i="9"/>
  <c r="I12" i="171"/>
  <c r="E57" i="155"/>
  <c r="C56" i="155"/>
  <c r="I14" i="149"/>
  <c r="C53" i="85"/>
  <c r="E54" i="85"/>
  <c r="I14" i="68"/>
  <c r="E57" i="14"/>
  <c r="C56" i="14"/>
  <c r="E57" i="12"/>
  <c r="M57" i="1"/>
  <c r="C56" i="12"/>
  <c r="X57" i="2"/>
  <c r="E54" i="39"/>
  <c r="C53" i="39"/>
  <c r="I12" i="40"/>
  <c r="I12" i="160"/>
  <c r="E57" i="143"/>
  <c r="C56" i="143"/>
  <c r="I14" i="63"/>
  <c r="E53" i="160"/>
  <c r="C52" i="160"/>
  <c r="I13" i="151"/>
  <c r="I15" i="9"/>
  <c r="C56" i="100"/>
  <c r="E57" i="100"/>
  <c r="I12" i="58"/>
  <c r="I14" i="10"/>
  <c r="I12" i="163"/>
  <c r="I13" i="131"/>
  <c r="FL58" i="2"/>
  <c r="E55" i="66"/>
  <c r="C54" i="66"/>
  <c r="C56" i="3"/>
  <c r="E57" i="3"/>
  <c r="I13" i="73"/>
  <c r="C54" i="94"/>
  <c r="E55" i="94"/>
  <c r="I13" i="170"/>
  <c r="I12" i="35"/>
  <c r="E50" i="82"/>
  <c r="C49" i="82"/>
  <c r="E57" i="50"/>
  <c r="C56" i="50"/>
  <c r="AT57" i="2"/>
  <c r="EE58" i="2"/>
  <c r="I14" i="37"/>
  <c r="E56" i="33"/>
  <c r="C55" i="33"/>
  <c r="C52" i="59"/>
  <c r="E53" i="59"/>
  <c r="IK57" i="2"/>
  <c r="E54" i="168"/>
  <c r="C53" i="168"/>
  <c r="I13" i="31"/>
  <c r="I14" i="113"/>
  <c r="C54" i="74"/>
  <c r="E55" i="74"/>
  <c r="C56" i="109"/>
  <c r="E57" i="109"/>
  <c r="ED57" i="2"/>
  <c r="E56" i="20"/>
  <c r="C55" i="20"/>
  <c r="I12" i="147"/>
  <c r="I14" i="83"/>
  <c r="C51" i="146"/>
  <c r="E52" i="146"/>
  <c r="E55" i="75"/>
  <c r="C54" i="75"/>
  <c r="I17" i="75"/>
  <c r="C55" i="108"/>
  <c r="E56" i="108"/>
  <c r="E56" i="151"/>
  <c r="C55" i="151"/>
  <c r="E56" i="154"/>
  <c r="C55" i="154"/>
  <c r="IJ56" i="2"/>
  <c r="C54" i="104"/>
  <c r="E55" i="104"/>
  <c r="E56" i="41"/>
  <c r="C55" i="41"/>
  <c r="E55" i="25"/>
  <c r="C54" i="25"/>
  <c r="C53" i="115"/>
  <c r="E54" i="115"/>
  <c r="E57" i="121"/>
  <c r="C56" i="121"/>
  <c r="I15" i="78"/>
  <c r="E56" i="162"/>
  <c r="C55" i="162"/>
  <c r="I13" i="88"/>
  <c r="I14" i="129"/>
  <c r="I14" i="25"/>
  <c r="I13" i="104"/>
  <c r="C54" i="17"/>
  <c r="E55" i="17"/>
  <c r="I15" i="156"/>
  <c r="E55" i="139"/>
  <c r="C54" i="139"/>
  <c r="I14" i="165"/>
  <c r="I12" i="64"/>
  <c r="CM58" i="2"/>
  <c r="I15" i="152"/>
  <c r="I13" i="123"/>
  <c r="FW58" i="2"/>
  <c r="I15" i="77"/>
  <c r="HZ57" i="2"/>
  <c r="C51" i="138"/>
  <c r="E52" i="138"/>
  <c r="C55" i="117"/>
  <c r="E56" i="117"/>
  <c r="C54" i="150"/>
  <c r="E55" i="150"/>
  <c r="E52" i="87"/>
  <c r="C51" i="87"/>
  <c r="E55" i="128"/>
  <c r="C54" i="128"/>
  <c r="E57" i="158"/>
  <c r="C56" i="158"/>
  <c r="I13" i="103"/>
  <c r="I12" i="143"/>
  <c r="I14" i="99"/>
  <c r="I12" i="47"/>
  <c r="I13" i="108"/>
  <c r="C55" i="169"/>
  <c r="E56" i="169"/>
  <c r="HY56" i="2"/>
  <c r="BF58" i="2"/>
  <c r="I13" i="20"/>
  <c r="HO57" i="2"/>
  <c r="I13" i="84"/>
  <c r="E55" i="161"/>
  <c r="C54" i="161"/>
  <c r="E55" i="118"/>
  <c r="C54" i="118"/>
  <c r="E57" i="42"/>
  <c r="C56" i="42"/>
  <c r="FV57" i="2"/>
  <c r="C53" i="26"/>
  <c r="E54" i="26"/>
  <c r="C53" i="173"/>
  <c r="E54" i="173"/>
  <c r="I12" i="140"/>
  <c r="E50" i="98"/>
  <c r="C49" i="98"/>
  <c r="I14" i="30"/>
  <c r="I14" i="72"/>
  <c r="I16" i="14"/>
  <c r="I16" i="82"/>
  <c r="CB58" i="1"/>
  <c r="I17" i="7"/>
  <c r="E56" i="38"/>
  <c r="C55" i="38"/>
  <c r="I14" i="66"/>
  <c r="C56" i="172"/>
  <c r="E57" i="172"/>
  <c r="I13" i="57"/>
  <c r="C55" i="70"/>
  <c r="E56" i="70"/>
  <c r="I15" i="107"/>
  <c r="E56" i="89"/>
  <c r="C55" i="89"/>
  <c r="C56" i="6"/>
  <c r="E57" i="6"/>
  <c r="CA57" i="1"/>
  <c r="E56" i="132"/>
  <c r="C55" i="132"/>
  <c r="E55" i="65"/>
  <c r="C54" i="65"/>
  <c r="I13" i="4"/>
  <c r="I12" i="81"/>
  <c r="E56" i="31"/>
  <c r="C55" i="31"/>
  <c r="E57" i="91"/>
  <c r="C56" i="91"/>
  <c r="E56" i="164"/>
  <c r="C55" i="164"/>
  <c r="I12" i="95"/>
  <c r="C52" i="34"/>
  <c r="E53" i="34"/>
  <c r="C53" i="124"/>
  <c r="E54" i="124"/>
  <c r="I14" i="18"/>
  <c r="E56" i="10"/>
  <c r="C55" i="10"/>
  <c r="I15" i="172"/>
  <c r="I14" i="60"/>
  <c r="I12" i="8"/>
  <c r="I16" i="59"/>
  <c r="I13" i="52"/>
  <c r="C56" i="136"/>
  <c r="E57" i="136"/>
  <c r="I13" i="21"/>
  <c r="I15" i="101"/>
  <c r="E56" i="48"/>
  <c r="C55" i="48"/>
  <c r="C56" i="28"/>
  <c r="E57" i="28"/>
  <c r="E52" i="166"/>
  <c r="C51" i="166"/>
  <c r="E56" i="153"/>
  <c r="C55" i="153"/>
  <c r="E54" i="141"/>
  <c r="C53" i="141"/>
  <c r="I13" i="54"/>
  <c r="I16" i="32"/>
  <c r="C56" i="55"/>
  <c r="E57" i="55"/>
  <c r="E56" i="140"/>
  <c r="C55" i="140"/>
  <c r="E56" i="147"/>
  <c r="C55" i="147"/>
  <c r="C55" i="78"/>
  <c r="E56" i="78"/>
  <c r="E55" i="11"/>
  <c r="C54" i="11"/>
  <c r="I13" i="111"/>
  <c r="E57" i="46"/>
  <c r="C56" i="46"/>
  <c r="AI57" i="1"/>
  <c r="I13" i="70"/>
  <c r="C56" i="152"/>
  <c r="E57" i="152"/>
  <c r="I12" i="130"/>
  <c r="E54" i="47"/>
  <c r="C53" i="47"/>
  <c r="AU58" i="1"/>
  <c r="I13" i="67"/>
  <c r="E54" i="106"/>
  <c r="C53" i="106"/>
  <c r="E56" i="77"/>
  <c r="C55" i="77"/>
  <c r="E56" i="36"/>
  <c r="C55" i="36"/>
  <c r="I13" i="86"/>
  <c r="I14" i="41"/>
  <c r="C55" i="79"/>
  <c r="E56" i="79"/>
  <c r="I14" i="92"/>
  <c r="E54" i="86"/>
  <c r="C53" i="86"/>
  <c r="C56" i="174"/>
  <c r="E57" i="174"/>
  <c r="E57" i="53"/>
  <c r="C56" i="53"/>
  <c r="BE56" i="2" s="1"/>
  <c r="C54" i="18"/>
  <c r="E55" i="18"/>
  <c r="I12" i="105"/>
  <c r="I13" i="76"/>
  <c r="E56" i="21"/>
  <c r="C55" i="21"/>
  <c r="E56" i="97"/>
  <c r="C55" i="97"/>
  <c r="C55" i="44"/>
  <c r="E56" i="44"/>
  <c r="I12" i="166"/>
  <c r="E54" i="123"/>
  <c r="C53" i="123"/>
  <c r="E57" i="107"/>
  <c r="C56" i="107"/>
  <c r="E56" i="15"/>
  <c r="C55" i="15"/>
  <c r="E56" i="142"/>
  <c r="C55" i="142"/>
  <c r="I15" i="150"/>
  <c r="I13" i="137"/>
  <c r="I13" i="121"/>
  <c r="I12" i="65"/>
  <c r="E57" i="7"/>
  <c r="C56" i="7"/>
  <c r="EO56" i="2" s="1"/>
  <c r="AT57" i="1"/>
  <c r="I13" i="144"/>
  <c r="C54" i="16"/>
  <c r="E55" i="16"/>
  <c r="E55" i="83"/>
  <c r="C54" i="83"/>
  <c r="I13" i="154"/>
  <c r="C55" i="96"/>
  <c r="E56" i="96"/>
  <c r="E56" i="80"/>
  <c r="C55" i="80"/>
  <c r="I13" i="138"/>
  <c r="Y58" i="2"/>
  <c r="BE57" i="2"/>
  <c r="E54" i="72"/>
  <c r="C53" i="72"/>
  <c r="I15" i="117"/>
  <c r="E55" i="116"/>
  <c r="C54" i="116"/>
  <c r="C55" i="122"/>
  <c r="E56" i="122"/>
  <c r="I17" i="46"/>
  <c r="E56" i="119"/>
  <c r="C55" i="119"/>
  <c r="FL57" i="2"/>
  <c r="E52" i="30"/>
  <c r="C51" i="30"/>
  <c r="I12" i="38"/>
  <c r="I14" i="157"/>
  <c r="I15" i="51"/>
  <c r="I12" i="110"/>
  <c r="I13" i="126"/>
  <c r="CB57" i="2"/>
  <c r="E54" i="163"/>
  <c r="C53" i="163"/>
  <c r="I15" i="135"/>
  <c r="I13" i="39"/>
  <c r="I15" i="136"/>
  <c r="I12" i="125"/>
  <c r="E55" i="54"/>
  <c r="C54" i="54"/>
  <c r="I15" i="13"/>
  <c r="I13" i="49"/>
  <c r="I14" i="173"/>
  <c r="E56" i="145"/>
  <c r="C55" i="145"/>
  <c r="E54" i="120"/>
  <c r="C53" i="120"/>
  <c r="E53" i="45"/>
  <c r="C52" i="45"/>
  <c r="I13" i="155"/>
  <c r="I15" i="127"/>
  <c r="I13" i="53"/>
  <c r="E54" i="149"/>
  <c r="C53" i="149"/>
  <c r="I13" i="116"/>
  <c r="HZ58" i="2"/>
  <c r="I17" i="12"/>
  <c r="I13" i="106"/>
  <c r="I16" i="71"/>
  <c r="I13" i="56"/>
  <c r="AJ58" i="1"/>
  <c r="CX57" i="2"/>
  <c r="I16" i="22"/>
  <c r="C53" i="84"/>
  <c r="E54" i="84"/>
  <c r="E55" i="144"/>
  <c r="C54" i="144"/>
  <c r="E56" i="88"/>
  <c r="C55" i="88"/>
  <c r="C55" i="95"/>
  <c r="E56" i="95"/>
  <c r="I12" i="17"/>
  <c r="I16" i="94"/>
  <c r="I14" i="115"/>
  <c r="E55" i="103"/>
  <c r="C54" i="103"/>
  <c r="I12" i="102"/>
  <c r="I13" i="19"/>
  <c r="CX56" i="2"/>
  <c r="I12" i="120"/>
  <c r="E57" i="170"/>
  <c r="C56" i="170"/>
  <c r="I12" i="55"/>
  <c r="E56" i="23"/>
  <c r="C55" i="23"/>
  <c r="E55" i="99"/>
  <c r="C54" i="99"/>
  <c r="I16" i="79"/>
  <c r="E56" i="114"/>
  <c r="C55" i="114"/>
  <c r="HO58" i="2"/>
  <c r="I13" i="119"/>
  <c r="I14" i="167"/>
  <c r="I15" i="26"/>
  <c r="I31" i="150"/>
  <c r="I13" i="80"/>
  <c r="E56" i="13"/>
  <c r="C55" i="13"/>
  <c r="IU56" i="2"/>
  <c r="C52" i="102"/>
  <c r="E53" i="102"/>
  <c r="I12" i="112"/>
  <c r="E54" i="73"/>
  <c r="C53" i="73"/>
  <c r="I15" i="132"/>
  <c r="I13" i="87"/>
  <c r="E55" i="167"/>
  <c r="C54" i="167"/>
  <c r="C51" i="32"/>
  <c r="E52" i="32"/>
  <c r="I15" i="62"/>
  <c r="I17" i="145"/>
  <c r="CL57" i="2"/>
  <c r="FA57" i="2"/>
  <c r="E53" i="111"/>
  <c r="C52" i="111"/>
  <c r="I15" i="98"/>
  <c r="E57" i="56"/>
  <c r="C56" i="56"/>
  <c r="EP56" i="2" l="1"/>
  <c r="BF56" i="2"/>
  <c r="I16" i="132"/>
  <c r="I18" i="46"/>
  <c r="I14" i="31"/>
  <c r="C52" i="163"/>
  <c r="E53" i="163"/>
  <c r="I14" i="86"/>
  <c r="I15" i="60"/>
  <c r="E55" i="89"/>
  <c r="C54" i="89"/>
  <c r="E53" i="173"/>
  <c r="C52" i="173"/>
  <c r="C55" i="158"/>
  <c r="E56" i="158"/>
  <c r="C54" i="108"/>
  <c r="E55" i="108"/>
  <c r="I15" i="149"/>
  <c r="I13" i="34"/>
  <c r="I18" i="61"/>
  <c r="I16" i="48"/>
  <c r="E55" i="164"/>
  <c r="C54" i="164"/>
  <c r="E55" i="169"/>
  <c r="C54" i="169"/>
  <c r="I14" i="80"/>
  <c r="E56" i="56"/>
  <c r="C55" i="56"/>
  <c r="I15" i="115"/>
  <c r="I14" i="116"/>
  <c r="C52" i="123"/>
  <c r="E53" i="123"/>
  <c r="E55" i="36"/>
  <c r="C54" i="36"/>
  <c r="C55" i="100"/>
  <c r="E56" i="100"/>
  <c r="C55" i="155"/>
  <c r="E56" i="155"/>
  <c r="C52" i="69"/>
  <c r="E53" i="69"/>
  <c r="I13" i="90"/>
  <c r="E55" i="95"/>
  <c r="C54" i="95"/>
  <c r="E54" i="144"/>
  <c r="C53" i="144"/>
  <c r="I13" i="38"/>
  <c r="I16" i="62"/>
  <c r="I17" i="82"/>
  <c r="I16" i="172"/>
  <c r="E53" i="26"/>
  <c r="C52" i="26"/>
  <c r="C53" i="128"/>
  <c r="E54" i="128"/>
  <c r="E54" i="17"/>
  <c r="C53" i="17"/>
  <c r="I18" i="75"/>
  <c r="I16" i="9"/>
  <c r="I13" i="96"/>
  <c r="C55" i="92"/>
  <c r="E56" i="92"/>
  <c r="Y57" i="1"/>
  <c r="E54" i="4"/>
  <c r="C53" i="4"/>
  <c r="E55" i="10"/>
  <c r="C54" i="10"/>
  <c r="I16" i="107"/>
  <c r="FW57" i="2"/>
  <c r="E54" i="75"/>
  <c r="C53" i="75"/>
  <c r="AU57" i="2"/>
  <c r="C55" i="29"/>
  <c r="E56" i="29"/>
  <c r="I15" i="124"/>
  <c r="E53" i="127"/>
  <c r="C52" i="127"/>
  <c r="I32" i="150"/>
  <c r="C52" i="149"/>
  <c r="E53" i="149"/>
  <c r="I14" i="138"/>
  <c r="I13" i="166"/>
  <c r="I17" i="32"/>
  <c r="C55" i="42"/>
  <c r="E56" i="42"/>
  <c r="FV56" i="2"/>
  <c r="E51" i="87"/>
  <c r="C50" i="87"/>
  <c r="I14" i="104"/>
  <c r="C55" i="50"/>
  <c r="E56" i="50"/>
  <c r="AT56" i="2"/>
  <c r="I13" i="171"/>
  <c r="I15" i="159"/>
  <c r="CL56" i="2"/>
  <c r="E56" i="46"/>
  <c r="C55" i="46"/>
  <c r="C54" i="77"/>
  <c r="E55" i="77"/>
  <c r="I16" i="98"/>
  <c r="I16" i="26"/>
  <c r="I17" i="94"/>
  <c r="E53" i="106"/>
  <c r="C52" i="106"/>
  <c r="I15" i="18"/>
  <c r="C54" i="70"/>
  <c r="E55" i="70"/>
  <c r="I15" i="25"/>
  <c r="I14" i="151"/>
  <c r="E54" i="9"/>
  <c r="C53" i="9"/>
  <c r="I14" i="114"/>
  <c r="E55" i="76"/>
  <c r="C54" i="76"/>
  <c r="C55" i="27"/>
  <c r="E56" i="27"/>
  <c r="I15" i="93"/>
  <c r="I15" i="139"/>
  <c r="E56" i="55"/>
  <c r="C55" i="55"/>
  <c r="C54" i="80"/>
  <c r="E55" i="80"/>
  <c r="E52" i="111"/>
  <c r="C51" i="111"/>
  <c r="I13" i="17"/>
  <c r="I14" i="53"/>
  <c r="I14" i="126"/>
  <c r="I15" i="167"/>
  <c r="I16" i="127"/>
  <c r="I13" i="110"/>
  <c r="C54" i="96"/>
  <c r="E55" i="96"/>
  <c r="E55" i="44"/>
  <c r="C54" i="44"/>
  <c r="I14" i="54"/>
  <c r="E54" i="118"/>
  <c r="C53" i="118"/>
  <c r="C50" i="146"/>
  <c r="E51" i="146"/>
  <c r="E49" i="82"/>
  <c r="C48" i="82"/>
  <c r="E55" i="63"/>
  <c r="C54" i="63"/>
  <c r="I14" i="119"/>
  <c r="E53" i="141"/>
  <c r="C52" i="141"/>
  <c r="I14" i="57"/>
  <c r="C53" i="150"/>
  <c r="E54" i="150"/>
  <c r="I15" i="129"/>
  <c r="E52" i="160"/>
  <c r="C51" i="160"/>
  <c r="C53" i="60"/>
  <c r="E54" i="60"/>
  <c r="I15" i="28"/>
  <c r="E53" i="159"/>
  <c r="C52" i="159"/>
  <c r="I16" i="89"/>
  <c r="E53" i="37"/>
  <c r="C52" i="37"/>
  <c r="E54" i="135"/>
  <c r="C53" i="135"/>
  <c r="E55" i="97"/>
  <c r="C54" i="97"/>
  <c r="E53" i="124"/>
  <c r="C52" i="124"/>
  <c r="I15" i="83"/>
  <c r="I13" i="35"/>
  <c r="I14" i="3"/>
  <c r="BQ57" i="2"/>
  <c r="E53" i="62"/>
  <c r="C52" i="62"/>
  <c r="I13" i="148"/>
  <c r="I14" i="155"/>
  <c r="CM57" i="2"/>
  <c r="I16" i="51"/>
  <c r="C54" i="153"/>
  <c r="E55" i="153"/>
  <c r="E54" i="161"/>
  <c r="C53" i="161"/>
  <c r="C54" i="117"/>
  <c r="E55" i="117"/>
  <c r="E56" i="52"/>
  <c r="C55" i="52"/>
  <c r="BP56" i="2"/>
  <c r="I17" i="24"/>
  <c r="I13" i="91"/>
  <c r="I14" i="154"/>
  <c r="C55" i="172"/>
  <c r="E56" i="172"/>
  <c r="E55" i="88"/>
  <c r="C54" i="88"/>
  <c r="FK55" i="2"/>
  <c r="C51" i="45"/>
  <c r="E52" i="45"/>
  <c r="I15" i="157"/>
  <c r="C53" i="83"/>
  <c r="E54" i="83"/>
  <c r="C54" i="21"/>
  <c r="E55" i="21"/>
  <c r="C51" i="34"/>
  <c r="E52" i="34"/>
  <c r="I14" i="88"/>
  <c r="I13" i="147"/>
  <c r="I15" i="63"/>
  <c r="I18" i="74"/>
  <c r="BQ57" i="1"/>
  <c r="I14" i="67"/>
  <c r="FK56" i="2"/>
  <c r="I18" i="145"/>
  <c r="C54" i="114"/>
  <c r="E55" i="114"/>
  <c r="E53" i="47"/>
  <c r="C52" i="47"/>
  <c r="E51" i="166"/>
  <c r="C50" i="166"/>
  <c r="I15" i="66"/>
  <c r="C54" i="162"/>
  <c r="E55" i="162"/>
  <c r="E55" i="20"/>
  <c r="C54" i="20"/>
  <c r="I14" i="170"/>
  <c r="E56" i="143"/>
  <c r="C55" i="143"/>
  <c r="E53" i="171"/>
  <c r="C52" i="171"/>
  <c r="I16" i="16"/>
  <c r="C55" i="8"/>
  <c r="E56" i="8"/>
  <c r="HC56" i="2"/>
  <c r="BP56" i="1"/>
  <c r="I16" i="142"/>
  <c r="E53" i="40"/>
  <c r="C52" i="40"/>
  <c r="I14" i="76"/>
  <c r="I13" i="95"/>
  <c r="C54" i="38"/>
  <c r="E55" i="38"/>
  <c r="I14" i="84"/>
  <c r="E51" i="138"/>
  <c r="C50" i="138"/>
  <c r="I17" i="27"/>
  <c r="E53" i="51"/>
  <c r="C52" i="51"/>
  <c r="HD57" i="2"/>
  <c r="E55" i="125"/>
  <c r="C54" i="125"/>
  <c r="E53" i="120"/>
  <c r="C52" i="120"/>
  <c r="I16" i="78"/>
  <c r="EE57" i="2"/>
  <c r="C53" i="94"/>
  <c r="E54" i="94"/>
  <c r="E55" i="35"/>
  <c r="C54" i="35"/>
  <c r="I14" i="162"/>
  <c r="I14" i="161"/>
  <c r="DI56" i="2"/>
  <c r="I13" i="174"/>
  <c r="CW55" i="2"/>
  <c r="E55" i="145"/>
  <c r="C54" i="145"/>
  <c r="C50" i="30"/>
  <c r="E51" i="30"/>
  <c r="I13" i="105"/>
  <c r="E56" i="28"/>
  <c r="C55" i="28"/>
  <c r="I18" i="7"/>
  <c r="I14" i="73"/>
  <c r="I13" i="160"/>
  <c r="I13" i="69"/>
  <c r="C54" i="133"/>
  <c r="E55" i="133"/>
  <c r="DH55" i="2"/>
  <c r="E54" i="112"/>
  <c r="C53" i="112"/>
  <c r="I13" i="141"/>
  <c r="C55" i="91"/>
  <c r="E56" i="91"/>
  <c r="I14" i="20"/>
  <c r="I16" i="77"/>
  <c r="E56" i="121"/>
  <c r="C55" i="121"/>
  <c r="E56" i="109"/>
  <c r="C55" i="109"/>
  <c r="ED56" i="2"/>
  <c r="I13" i="40"/>
  <c r="I13" i="43"/>
  <c r="DT55" i="2"/>
  <c r="C55" i="49"/>
  <c r="E56" i="49"/>
  <c r="E56" i="93"/>
  <c r="C55" i="93"/>
  <c r="I15" i="173"/>
  <c r="AU57" i="1"/>
  <c r="E56" i="152"/>
  <c r="C55" i="152"/>
  <c r="C53" i="129"/>
  <c r="E54" i="129"/>
  <c r="DS54" i="2"/>
  <c r="E54" i="126"/>
  <c r="C53" i="126"/>
  <c r="E51" i="157"/>
  <c r="C50" i="157"/>
  <c r="E55" i="48"/>
  <c r="C54" i="48"/>
  <c r="E54" i="167"/>
  <c r="C53" i="167"/>
  <c r="E55" i="23"/>
  <c r="C54" i="23"/>
  <c r="I17" i="22"/>
  <c r="C55" i="7"/>
  <c r="E56" i="7"/>
  <c r="AT56" i="1"/>
  <c r="I16" i="101"/>
  <c r="CA56" i="2"/>
  <c r="E54" i="74"/>
  <c r="C53" i="74"/>
  <c r="C52" i="39"/>
  <c r="E53" i="39"/>
  <c r="I14" i="33"/>
  <c r="E54" i="64"/>
  <c r="C53" i="64"/>
  <c r="I16" i="29"/>
  <c r="I14" i="5"/>
  <c r="E51" i="32"/>
  <c r="C50" i="32"/>
  <c r="I14" i="87"/>
  <c r="I14" i="49"/>
  <c r="E55" i="119"/>
  <c r="C54" i="119"/>
  <c r="C53" i="18"/>
  <c r="E54" i="18"/>
  <c r="I14" i="70"/>
  <c r="E55" i="31"/>
  <c r="C54" i="31"/>
  <c r="CA55" i="2"/>
  <c r="E53" i="115"/>
  <c r="C52" i="115"/>
  <c r="I14" i="97"/>
  <c r="C54" i="71"/>
  <c r="E55" i="71"/>
  <c r="E54" i="137"/>
  <c r="C53" i="137"/>
  <c r="AJ57" i="1"/>
  <c r="HZ56" i="2"/>
  <c r="I14" i="123"/>
  <c r="E54" i="25"/>
  <c r="C53" i="25"/>
  <c r="I15" i="113"/>
  <c r="C55" i="3"/>
  <c r="E56" i="3"/>
  <c r="Y57" i="2"/>
  <c r="C53" i="19"/>
  <c r="E54" i="19"/>
  <c r="I14" i="85"/>
  <c r="E54" i="113"/>
  <c r="C53" i="113"/>
  <c r="I14" i="50"/>
  <c r="C53" i="66"/>
  <c r="E54" i="66"/>
  <c r="M56" i="1"/>
  <c r="E56" i="12"/>
  <c r="C55" i="12"/>
  <c r="X56" i="2"/>
  <c r="E54" i="5"/>
  <c r="C53" i="5"/>
  <c r="C52" i="61"/>
  <c r="E53" i="61"/>
  <c r="I17" i="14"/>
  <c r="N57" i="1"/>
  <c r="I13" i="100"/>
  <c r="I18" i="134"/>
  <c r="I15" i="158"/>
  <c r="I13" i="45"/>
  <c r="C55" i="58"/>
  <c r="E56" i="58"/>
  <c r="AI56" i="1"/>
  <c r="I14" i="56"/>
  <c r="E54" i="54"/>
  <c r="C53" i="54"/>
  <c r="I14" i="121"/>
  <c r="E56" i="174"/>
  <c r="C55" i="174"/>
  <c r="I14" i="111"/>
  <c r="I15" i="72"/>
  <c r="I16" i="152"/>
  <c r="E55" i="41"/>
  <c r="C54" i="41"/>
  <c r="E53" i="168"/>
  <c r="C52" i="168"/>
  <c r="I18" i="15"/>
  <c r="I16" i="13"/>
  <c r="I14" i="21"/>
  <c r="I13" i="120"/>
  <c r="E55" i="122"/>
  <c r="C54" i="122"/>
  <c r="I14" i="137"/>
  <c r="E53" i="86"/>
  <c r="C52" i="86"/>
  <c r="I14" i="4"/>
  <c r="I14" i="108"/>
  <c r="E54" i="81"/>
  <c r="C53" i="81"/>
  <c r="E55" i="101"/>
  <c r="C54" i="101"/>
  <c r="I13" i="36"/>
  <c r="C53" i="57"/>
  <c r="E54" i="57"/>
  <c r="I14" i="153"/>
  <c r="E54" i="110"/>
  <c r="C53" i="110"/>
  <c r="C53" i="65"/>
  <c r="E54" i="65"/>
  <c r="I13" i="47"/>
  <c r="I16" i="164"/>
  <c r="I13" i="146"/>
  <c r="E52" i="131"/>
  <c r="C51" i="131"/>
  <c r="E54" i="148"/>
  <c r="C53" i="148"/>
  <c r="E54" i="67"/>
  <c r="C53" i="67"/>
  <c r="I13" i="55"/>
  <c r="I13" i="81"/>
  <c r="C52" i="73"/>
  <c r="E53" i="73"/>
  <c r="C55" i="136"/>
  <c r="E56" i="136"/>
  <c r="I13" i="125"/>
  <c r="I15" i="30"/>
  <c r="E54" i="104"/>
  <c r="C53" i="104"/>
  <c r="I14" i="131"/>
  <c r="C55" i="14"/>
  <c r="E56" i="14"/>
  <c r="GR56" i="2"/>
  <c r="E52" i="43"/>
  <c r="C51" i="43"/>
  <c r="I16" i="122"/>
  <c r="X56" i="1"/>
  <c r="I13" i="65"/>
  <c r="I13" i="112"/>
  <c r="I17" i="71"/>
  <c r="C53" i="116"/>
  <c r="E54" i="116"/>
  <c r="C54" i="132"/>
  <c r="E55" i="132"/>
  <c r="C48" i="98"/>
  <c r="E49" i="98"/>
  <c r="I14" i="169"/>
  <c r="I18" i="133"/>
  <c r="I15" i="118"/>
  <c r="C50" i="156"/>
  <c r="E51" i="156"/>
  <c r="I17" i="79"/>
  <c r="E54" i="16"/>
  <c r="C53" i="16"/>
  <c r="I13" i="130"/>
  <c r="C53" i="99"/>
  <c r="E54" i="99"/>
  <c r="E53" i="84"/>
  <c r="C52" i="84"/>
  <c r="C55" i="53"/>
  <c r="E56" i="53"/>
  <c r="E54" i="11"/>
  <c r="C53" i="11"/>
  <c r="I16" i="150"/>
  <c r="I13" i="64"/>
  <c r="I14" i="19"/>
  <c r="I16" i="136"/>
  <c r="E55" i="142"/>
  <c r="C54" i="142"/>
  <c r="C54" i="78"/>
  <c r="E55" i="78"/>
  <c r="C54" i="154"/>
  <c r="E55" i="154"/>
  <c r="IJ55" i="2"/>
  <c r="C51" i="59"/>
  <c r="E52" i="59"/>
  <c r="I13" i="163"/>
  <c r="I15" i="68"/>
  <c r="E56" i="90"/>
  <c r="C55" i="90"/>
  <c r="I17" i="42"/>
  <c r="C51" i="105"/>
  <c r="E52" i="105"/>
  <c r="IK56" i="2"/>
  <c r="C51" i="102"/>
  <c r="E52" i="102"/>
  <c r="I14" i="106"/>
  <c r="IV56" i="2"/>
  <c r="E55" i="79"/>
  <c r="C54" i="79"/>
  <c r="E55" i="147"/>
  <c r="C54" i="147"/>
  <c r="I17" i="59"/>
  <c r="CB57" i="1"/>
  <c r="I15" i="165"/>
  <c r="M56" i="2"/>
  <c r="I13" i="109"/>
  <c r="E52" i="165"/>
  <c r="C51" i="165"/>
  <c r="FA56" i="2"/>
  <c r="I14" i="144"/>
  <c r="I15" i="99"/>
  <c r="C52" i="72"/>
  <c r="E53" i="72"/>
  <c r="E55" i="13"/>
  <c r="C54" i="13"/>
  <c r="I18" i="12"/>
  <c r="I14" i="39"/>
  <c r="E55" i="15"/>
  <c r="C54" i="15"/>
  <c r="I15" i="41"/>
  <c r="I13" i="140"/>
  <c r="I13" i="143"/>
  <c r="E54" i="139"/>
  <c r="C53" i="139"/>
  <c r="E55" i="151"/>
  <c r="C54" i="151"/>
  <c r="E55" i="33"/>
  <c r="C54" i="33"/>
  <c r="M55" i="2"/>
  <c r="I15" i="10"/>
  <c r="I16" i="128"/>
  <c r="C53" i="68"/>
  <c r="E54" i="68"/>
  <c r="E54" i="22"/>
  <c r="C53" i="22"/>
  <c r="I14" i="168"/>
  <c r="E56" i="170"/>
  <c r="C55" i="170"/>
  <c r="I15" i="92"/>
  <c r="I13" i="102"/>
  <c r="BF57" i="2"/>
  <c r="AI56" i="2"/>
  <c r="I13" i="8"/>
  <c r="E56" i="6"/>
  <c r="C55" i="6"/>
  <c r="CA56" i="1"/>
  <c r="I14" i="103"/>
  <c r="C52" i="85"/>
  <c r="E53" i="85"/>
  <c r="E54" i="130"/>
  <c r="C53" i="130"/>
  <c r="E55" i="134"/>
  <c r="C54" i="134"/>
  <c r="EZ55" i="2"/>
  <c r="I14" i="52"/>
  <c r="I16" i="117"/>
  <c r="C53" i="103"/>
  <c r="E54" i="103"/>
  <c r="I16" i="135"/>
  <c r="E56" i="107"/>
  <c r="C55" i="107"/>
  <c r="C54" i="140"/>
  <c r="E55" i="140"/>
  <c r="AI55" i="2"/>
  <c r="HN56" i="2"/>
  <c r="I16" i="156"/>
  <c r="I15" i="37"/>
  <c r="I13" i="58"/>
  <c r="I13" i="11"/>
  <c r="I15" i="44"/>
  <c r="I15" i="23"/>
  <c r="C53" i="15" l="1"/>
  <c r="E54" i="15"/>
  <c r="I15" i="39"/>
  <c r="E51" i="105"/>
  <c r="C50" i="105"/>
  <c r="C51" i="168"/>
  <c r="E52" i="168"/>
  <c r="E53" i="112"/>
  <c r="C52" i="112"/>
  <c r="BQ56" i="1"/>
  <c r="I19" i="74"/>
  <c r="C51" i="37"/>
  <c r="E52" i="37"/>
  <c r="E53" i="118"/>
  <c r="C52" i="118"/>
  <c r="E54" i="76"/>
  <c r="C53" i="76"/>
  <c r="E54" i="95"/>
  <c r="C53" i="95"/>
  <c r="C52" i="99"/>
  <c r="E53" i="99"/>
  <c r="GS56" i="2"/>
  <c r="E53" i="65"/>
  <c r="C52" i="65"/>
  <c r="I18" i="14"/>
  <c r="I15" i="123"/>
  <c r="E53" i="129"/>
  <c r="C52" i="129"/>
  <c r="DS53" i="2"/>
  <c r="E53" i="94"/>
  <c r="C52" i="94"/>
  <c r="HD56" i="2"/>
  <c r="I16" i="63"/>
  <c r="E54" i="117"/>
  <c r="C53" i="117"/>
  <c r="E55" i="50"/>
  <c r="C54" i="50"/>
  <c r="AT55" i="2"/>
  <c r="C53" i="10"/>
  <c r="E54" i="10"/>
  <c r="I16" i="23"/>
  <c r="I14" i="8"/>
  <c r="I15" i="106"/>
  <c r="C54" i="107"/>
  <c r="E55" i="107"/>
  <c r="I15" i="168"/>
  <c r="C51" i="72"/>
  <c r="E52" i="72"/>
  <c r="E53" i="110"/>
  <c r="C52" i="110"/>
  <c r="BE55" i="2"/>
  <c r="I15" i="5"/>
  <c r="E55" i="152"/>
  <c r="C54" i="152"/>
  <c r="DI55" i="2"/>
  <c r="I17" i="89"/>
  <c r="I15" i="54"/>
  <c r="I14" i="90"/>
  <c r="I16" i="149"/>
  <c r="I18" i="42"/>
  <c r="I14" i="130"/>
  <c r="I17" i="135"/>
  <c r="C52" i="22"/>
  <c r="E53" i="22"/>
  <c r="I16" i="99"/>
  <c r="E55" i="90"/>
  <c r="C54" i="90"/>
  <c r="E55" i="14"/>
  <c r="C54" i="14"/>
  <c r="GR55" i="2"/>
  <c r="C53" i="41"/>
  <c r="E54" i="41"/>
  <c r="I17" i="29"/>
  <c r="E55" i="8"/>
  <c r="C54" i="8"/>
  <c r="HC55" i="2"/>
  <c r="BP55" i="1"/>
  <c r="I14" i="147"/>
  <c r="C52" i="161"/>
  <c r="E53" i="161"/>
  <c r="I15" i="114"/>
  <c r="I15" i="104"/>
  <c r="E53" i="4"/>
  <c r="C52" i="4"/>
  <c r="E53" i="139"/>
  <c r="C52" i="139"/>
  <c r="I16" i="44"/>
  <c r="I15" i="144"/>
  <c r="C51" i="61"/>
  <c r="E52" i="61"/>
  <c r="C53" i="133"/>
  <c r="E54" i="133"/>
  <c r="DH54" i="2"/>
  <c r="C53" i="44"/>
  <c r="E54" i="44"/>
  <c r="E53" i="9"/>
  <c r="C52" i="9"/>
  <c r="E50" i="87"/>
  <c r="C49" i="87"/>
  <c r="E54" i="108"/>
  <c r="C53" i="108"/>
  <c r="E53" i="103"/>
  <c r="C52" i="103"/>
  <c r="I15" i="131"/>
  <c r="I15" i="153"/>
  <c r="I17" i="152"/>
  <c r="I14" i="69"/>
  <c r="I17" i="78"/>
  <c r="I17" i="16"/>
  <c r="C51" i="159"/>
  <c r="E52" i="159"/>
  <c r="C51" i="69"/>
  <c r="E52" i="69"/>
  <c r="E52" i="85"/>
  <c r="C51" i="85"/>
  <c r="C52" i="68"/>
  <c r="E53" i="68"/>
  <c r="I16" i="68"/>
  <c r="C51" i="120"/>
  <c r="E52" i="120"/>
  <c r="E52" i="171"/>
  <c r="C51" i="171"/>
  <c r="I15" i="88"/>
  <c r="E54" i="153"/>
  <c r="C53" i="153"/>
  <c r="I15" i="151"/>
  <c r="FW56" i="2"/>
  <c r="C54" i="158"/>
  <c r="E55" i="158"/>
  <c r="E53" i="64"/>
  <c r="C52" i="64"/>
  <c r="E53" i="104"/>
  <c r="C52" i="104"/>
  <c r="C52" i="5"/>
  <c r="E53" i="5"/>
  <c r="I17" i="117"/>
  <c r="I14" i="163"/>
  <c r="I18" i="79"/>
  <c r="C52" i="57"/>
  <c r="E53" i="57"/>
  <c r="I15" i="33"/>
  <c r="I16" i="173"/>
  <c r="I17" i="51"/>
  <c r="E54" i="96"/>
  <c r="C53" i="96"/>
  <c r="C54" i="155"/>
  <c r="E55" i="155"/>
  <c r="I17" i="128"/>
  <c r="C50" i="165"/>
  <c r="E51" i="165"/>
  <c r="I14" i="36"/>
  <c r="I16" i="72"/>
  <c r="Y56" i="2"/>
  <c r="C52" i="137"/>
  <c r="E53" i="137"/>
  <c r="E55" i="93"/>
  <c r="C54" i="93"/>
  <c r="I14" i="160"/>
  <c r="C53" i="125"/>
  <c r="E54" i="125"/>
  <c r="C54" i="143"/>
  <c r="E55" i="143"/>
  <c r="E51" i="34"/>
  <c r="C50" i="34"/>
  <c r="I16" i="28"/>
  <c r="I16" i="25"/>
  <c r="E55" i="42"/>
  <c r="C54" i="42"/>
  <c r="FV55" i="2"/>
  <c r="C51" i="173"/>
  <c r="E52" i="173"/>
  <c r="I14" i="64"/>
  <c r="I15" i="52"/>
  <c r="I16" i="30"/>
  <c r="E55" i="12"/>
  <c r="M55" i="1"/>
  <c r="C54" i="12"/>
  <c r="X55" i="2"/>
  <c r="I14" i="110"/>
  <c r="E55" i="92"/>
  <c r="C54" i="92"/>
  <c r="E55" i="100"/>
  <c r="C54" i="100"/>
  <c r="I14" i="58"/>
  <c r="I16" i="37"/>
  <c r="C53" i="101"/>
  <c r="E54" i="101"/>
  <c r="I15" i="111"/>
  <c r="E52" i="39"/>
  <c r="C51" i="39"/>
  <c r="I15" i="73"/>
  <c r="E54" i="21"/>
  <c r="C53" i="21"/>
  <c r="E53" i="60"/>
  <c r="C52" i="60"/>
  <c r="I18" i="32"/>
  <c r="I14" i="96"/>
  <c r="C53" i="36"/>
  <c r="E54" i="36"/>
  <c r="HN55" i="2"/>
  <c r="I16" i="158"/>
  <c r="C52" i="16"/>
  <c r="E53" i="16"/>
  <c r="E50" i="156"/>
  <c r="C49" i="156"/>
  <c r="I16" i="10"/>
  <c r="C50" i="59"/>
  <c r="E51" i="59"/>
  <c r="I14" i="125"/>
  <c r="E54" i="134"/>
  <c r="C53" i="134"/>
  <c r="EZ54" i="2"/>
  <c r="N55" i="2"/>
  <c r="I14" i="109"/>
  <c r="IK55" i="2"/>
  <c r="I16" i="118"/>
  <c r="E55" i="174"/>
  <c r="C54" i="174"/>
  <c r="N56" i="1"/>
  <c r="C53" i="71"/>
  <c r="E54" i="71"/>
  <c r="C52" i="74"/>
  <c r="E53" i="74"/>
  <c r="C54" i="49"/>
  <c r="E55" i="49"/>
  <c r="I19" i="7"/>
  <c r="I15" i="170"/>
  <c r="GR54" i="2"/>
  <c r="I17" i="127"/>
  <c r="E54" i="70"/>
  <c r="C53" i="70"/>
  <c r="C53" i="89"/>
  <c r="E54" i="89"/>
  <c r="HN54" i="2"/>
  <c r="C50" i="131"/>
  <c r="E51" i="131"/>
  <c r="FA55" i="2"/>
  <c r="C53" i="33"/>
  <c r="E54" i="33"/>
  <c r="M54" i="2"/>
  <c r="N56" i="2"/>
  <c r="C52" i="81"/>
  <c r="E53" i="81"/>
  <c r="X55" i="1"/>
  <c r="E52" i="51"/>
  <c r="C51" i="51"/>
  <c r="C53" i="20"/>
  <c r="E54" i="20"/>
  <c r="I15" i="155"/>
  <c r="E51" i="160"/>
  <c r="C50" i="160"/>
  <c r="I14" i="166"/>
  <c r="I16" i="41"/>
  <c r="E53" i="130"/>
  <c r="C52" i="130"/>
  <c r="I16" i="165"/>
  <c r="C53" i="154"/>
  <c r="E54" i="154"/>
  <c r="I19" i="133"/>
  <c r="E55" i="136"/>
  <c r="C54" i="136"/>
  <c r="I15" i="121"/>
  <c r="E53" i="66"/>
  <c r="C52" i="66"/>
  <c r="I15" i="97"/>
  <c r="CB56" i="2"/>
  <c r="E55" i="28"/>
  <c r="C54" i="28"/>
  <c r="E53" i="83"/>
  <c r="C52" i="83"/>
  <c r="I14" i="148"/>
  <c r="I16" i="167"/>
  <c r="I16" i="18"/>
  <c r="I17" i="9"/>
  <c r="E52" i="123"/>
  <c r="C51" i="123"/>
  <c r="I16" i="60"/>
  <c r="I18" i="27"/>
  <c r="I16" i="129"/>
  <c r="I15" i="126"/>
  <c r="C51" i="106"/>
  <c r="E52" i="106"/>
  <c r="I15" i="138"/>
  <c r="E54" i="78"/>
  <c r="C53" i="78"/>
  <c r="C51" i="73"/>
  <c r="E52" i="73"/>
  <c r="I15" i="108"/>
  <c r="E53" i="54"/>
  <c r="C52" i="54"/>
  <c r="I15" i="50"/>
  <c r="E52" i="115"/>
  <c r="C51" i="115"/>
  <c r="I17" i="101"/>
  <c r="I14" i="43"/>
  <c r="E54" i="162"/>
  <c r="C53" i="162"/>
  <c r="I16" i="157"/>
  <c r="C51" i="62"/>
  <c r="E52" i="62"/>
  <c r="I19" i="75"/>
  <c r="I15" i="116"/>
  <c r="C53" i="142"/>
  <c r="E54" i="142"/>
  <c r="I14" i="81"/>
  <c r="C52" i="113"/>
  <c r="E53" i="113"/>
  <c r="AU56" i="1"/>
  <c r="I14" i="105"/>
  <c r="I16" i="66"/>
  <c r="I15" i="53"/>
  <c r="C51" i="149"/>
  <c r="E52" i="149"/>
  <c r="C52" i="17"/>
  <c r="E53" i="17"/>
  <c r="I15" i="86"/>
  <c r="I15" i="103"/>
  <c r="E48" i="98"/>
  <c r="C47" i="98"/>
  <c r="I15" i="4"/>
  <c r="CB55" i="2"/>
  <c r="I14" i="40"/>
  <c r="E50" i="138"/>
  <c r="C49" i="138"/>
  <c r="E51" i="45"/>
  <c r="C50" i="45"/>
  <c r="E53" i="150"/>
  <c r="C52" i="150"/>
  <c r="I18" i="94"/>
  <c r="I16" i="115"/>
  <c r="I14" i="143"/>
  <c r="I18" i="59"/>
  <c r="I14" i="55"/>
  <c r="C51" i="86"/>
  <c r="E52" i="86"/>
  <c r="I15" i="56"/>
  <c r="C53" i="31"/>
  <c r="E54" i="31"/>
  <c r="CA54" i="2"/>
  <c r="C54" i="7"/>
  <c r="E55" i="7"/>
  <c r="AT55" i="1"/>
  <c r="EE56" i="2"/>
  <c r="E50" i="30"/>
  <c r="C49" i="30"/>
  <c r="C49" i="166"/>
  <c r="E50" i="166"/>
  <c r="FL55" i="2"/>
  <c r="I33" i="150"/>
  <c r="E55" i="56"/>
  <c r="C54" i="56"/>
  <c r="C51" i="163"/>
  <c r="E52" i="163"/>
  <c r="CB56" i="1"/>
  <c r="C53" i="147"/>
  <c r="E54" i="147"/>
  <c r="E54" i="132"/>
  <c r="C53" i="132"/>
  <c r="AJ56" i="1"/>
  <c r="I15" i="85"/>
  <c r="E55" i="109"/>
  <c r="C54" i="109"/>
  <c r="ED55" i="2"/>
  <c r="E54" i="145"/>
  <c r="C53" i="145"/>
  <c r="E54" i="88"/>
  <c r="C53" i="88"/>
  <c r="I15" i="57"/>
  <c r="I14" i="17"/>
  <c r="I17" i="26"/>
  <c r="C51" i="127"/>
  <c r="E52" i="127"/>
  <c r="C52" i="128"/>
  <c r="E53" i="128"/>
  <c r="I17" i="136"/>
  <c r="I14" i="11"/>
  <c r="E55" i="6"/>
  <c r="C54" i="6"/>
  <c r="CA55" i="1"/>
  <c r="E53" i="67"/>
  <c r="C52" i="67"/>
  <c r="I18" i="22"/>
  <c r="I15" i="84"/>
  <c r="C51" i="47"/>
  <c r="E52" i="47"/>
  <c r="I15" i="3"/>
  <c r="C51" i="141"/>
  <c r="E52" i="141"/>
  <c r="C50" i="111"/>
  <c r="E51" i="111"/>
  <c r="E52" i="26"/>
  <c r="C51" i="26"/>
  <c r="I15" i="31"/>
  <c r="I14" i="140"/>
  <c r="E54" i="79"/>
  <c r="C53" i="79"/>
  <c r="I15" i="19"/>
  <c r="E53" i="116"/>
  <c r="C52" i="116"/>
  <c r="I15" i="137"/>
  <c r="C54" i="58"/>
  <c r="E55" i="58"/>
  <c r="E53" i="19"/>
  <c r="C52" i="19"/>
  <c r="I15" i="70"/>
  <c r="E54" i="23"/>
  <c r="C53" i="23"/>
  <c r="C54" i="121"/>
  <c r="E55" i="121"/>
  <c r="CX55" i="2"/>
  <c r="I14" i="35"/>
  <c r="I17" i="98"/>
  <c r="I15" i="80"/>
  <c r="I15" i="169"/>
  <c r="I18" i="71"/>
  <c r="E53" i="148"/>
  <c r="C52" i="148"/>
  <c r="C53" i="122"/>
  <c r="E54" i="122"/>
  <c r="E54" i="38"/>
  <c r="C53" i="38"/>
  <c r="E55" i="172"/>
  <c r="C54" i="172"/>
  <c r="I15" i="119"/>
  <c r="I16" i="124"/>
  <c r="I17" i="172"/>
  <c r="HY55" i="2"/>
  <c r="I19" i="46"/>
  <c r="I14" i="45"/>
  <c r="C52" i="167"/>
  <c r="E53" i="167"/>
  <c r="I14" i="174"/>
  <c r="I14" i="95"/>
  <c r="E54" i="114"/>
  <c r="C53" i="114"/>
  <c r="I15" i="154"/>
  <c r="C53" i="80"/>
  <c r="E54" i="80"/>
  <c r="E54" i="77"/>
  <c r="C53" i="77"/>
  <c r="C53" i="169"/>
  <c r="E54" i="169"/>
  <c r="HY54" i="2"/>
  <c r="I17" i="132"/>
  <c r="E53" i="18"/>
  <c r="C52" i="18"/>
  <c r="I17" i="77"/>
  <c r="I19" i="145"/>
  <c r="I16" i="83"/>
  <c r="CL55" i="2"/>
  <c r="C54" i="55"/>
  <c r="FK54" i="2" s="1"/>
  <c r="E55" i="55"/>
  <c r="C54" i="46"/>
  <c r="E55" i="46"/>
  <c r="C54" i="29"/>
  <c r="E55" i="29"/>
  <c r="I14" i="120"/>
  <c r="C53" i="119"/>
  <c r="E54" i="119"/>
  <c r="E54" i="48"/>
  <c r="C53" i="48"/>
  <c r="I15" i="76"/>
  <c r="E52" i="124"/>
  <c r="C51" i="124"/>
  <c r="E54" i="63"/>
  <c r="C53" i="63"/>
  <c r="CL54" i="2"/>
  <c r="I18" i="82"/>
  <c r="E54" i="164"/>
  <c r="C53" i="164"/>
  <c r="IU55" i="2"/>
  <c r="E53" i="11"/>
  <c r="C52" i="11"/>
  <c r="I14" i="146"/>
  <c r="I15" i="20"/>
  <c r="FL56" i="2"/>
  <c r="I14" i="91"/>
  <c r="I16" i="139"/>
  <c r="CM56" i="2"/>
  <c r="I14" i="65"/>
  <c r="I15" i="21"/>
  <c r="I19" i="134"/>
  <c r="C54" i="3"/>
  <c r="E55" i="3"/>
  <c r="I15" i="49"/>
  <c r="C49" i="157"/>
  <c r="E50" i="157"/>
  <c r="I15" i="161"/>
  <c r="EO55" i="2"/>
  <c r="E53" i="75"/>
  <c r="C52" i="75"/>
  <c r="I17" i="62"/>
  <c r="E54" i="151"/>
  <c r="C53" i="151"/>
  <c r="I17" i="13"/>
  <c r="I16" i="113"/>
  <c r="C54" i="91"/>
  <c r="E55" i="91"/>
  <c r="E52" i="40"/>
  <c r="C51" i="40"/>
  <c r="I15" i="67"/>
  <c r="I18" i="24"/>
  <c r="E54" i="97"/>
  <c r="C53" i="97"/>
  <c r="EO54" i="2"/>
  <c r="C47" i="82"/>
  <c r="E48" i="82"/>
  <c r="I16" i="93"/>
  <c r="I16" i="159"/>
  <c r="I17" i="48"/>
  <c r="I14" i="112"/>
  <c r="I17" i="156"/>
  <c r="HO56" i="2"/>
  <c r="I14" i="102"/>
  <c r="I19" i="12"/>
  <c r="C50" i="102"/>
  <c r="E51" i="102"/>
  <c r="Y56" i="1"/>
  <c r="E55" i="53"/>
  <c r="C54" i="53"/>
  <c r="I17" i="164"/>
  <c r="I14" i="100"/>
  <c r="I15" i="87"/>
  <c r="E53" i="126"/>
  <c r="C52" i="126"/>
  <c r="I15" i="162"/>
  <c r="BQ56" i="2"/>
  <c r="I14" i="38"/>
  <c r="I19" i="61"/>
  <c r="AJ56" i="2"/>
  <c r="E54" i="13"/>
  <c r="C53" i="13"/>
  <c r="E52" i="84"/>
  <c r="C51" i="84"/>
  <c r="I17" i="122"/>
  <c r="I19" i="15"/>
  <c r="C52" i="25"/>
  <c r="E53" i="25"/>
  <c r="I14" i="141"/>
  <c r="C53" i="35"/>
  <c r="E54" i="35"/>
  <c r="C54" i="52"/>
  <c r="E55" i="52"/>
  <c r="BP55" i="2"/>
  <c r="E53" i="135"/>
  <c r="C52" i="135"/>
  <c r="I14" i="171"/>
  <c r="E53" i="144"/>
  <c r="C52" i="144"/>
  <c r="IU54" i="2"/>
  <c r="AJ55" i="2"/>
  <c r="I16" i="92"/>
  <c r="E54" i="140"/>
  <c r="C53" i="140"/>
  <c r="C54" i="170"/>
  <c r="E55" i="170"/>
  <c r="C50" i="43"/>
  <c r="E51" i="43"/>
  <c r="I14" i="47"/>
  <c r="E50" i="32"/>
  <c r="C49" i="32"/>
  <c r="DT54" i="2"/>
  <c r="CW54" i="2"/>
  <c r="I17" i="142"/>
  <c r="E50" i="146"/>
  <c r="C49" i="146"/>
  <c r="E55" i="27"/>
  <c r="C54" i="27"/>
  <c r="IJ54" i="2" s="1"/>
  <c r="AU56" i="2"/>
  <c r="I17" i="107"/>
  <c r="I14" i="34"/>
  <c r="AI55" i="1"/>
  <c r="IK54" i="2" l="1"/>
  <c r="FL54" i="2"/>
  <c r="I15" i="100"/>
  <c r="I20" i="61"/>
  <c r="I18" i="132"/>
  <c r="E53" i="142"/>
  <c r="C52" i="142"/>
  <c r="I16" i="126"/>
  <c r="FA54" i="2"/>
  <c r="E50" i="34"/>
  <c r="C49" i="34"/>
  <c r="E52" i="68"/>
  <c r="C51" i="68"/>
  <c r="DI54" i="2"/>
  <c r="C52" i="41"/>
  <c r="E53" i="41"/>
  <c r="I19" i="14"/>
  <c r="I18" i="48"/>
  <c r="I15" i="38"/>
  <c r="I19" i="82"/>
  <c r="HZ54" i="2"/>
  <c r="E53" i="79"/>
  <c r="C52" i="79"/>
  <c r="E51" i="127"/>
  <c r="C50" i="127"/>
  <c r="E49" i="138"/>
  <c r="C48" i="138"/>
  <c r="I16" i="116"/>
  <c r="I20" i="133"/>
  <c r="E50" i="131"/>
  <c r="C49" i="131"/>
  <c r="C52" i="134"/>
  <c r="E53" i="134"/>
  <c r="EZ53" i="2"/>
  <c r="E53" i="101"/>
  <c r="C52" i="101"/>
  <c r="E52" i="57"/>
  <c r="C51" i="57"/>
  <c r="GS55" i="2"/>
  <c r="E52" i="65"/>
  <c r="C51" i="65"/>
  <c r="E49" i="157"/>
  <c r="C48" i="157"/>
  <c r="CM54" i="2"/>
  <c r="E53" i="122"/>
  <c r="C52" i="122"/>
  <c r="I18" i="26"/>
  <c r="I17" i="129"/>
  <c r="HO54" i="2"/>
  <c r="I19" i="79"/>
  <c r="E53" i="133"/>
  <c r="C52" i="133"/>
  <c r="DH53" i="2"/>
  <c r="C53" i="14"/>
  <c r="E54" i="14"/>
  <c r="E51" i="72"/>
  <c r="C50" i="72"/>
  <c r="I17" i="92"/>
  <c r="I17" i="159"/>
  <c r="E53" i="63"/>
  <c r="C52" i="63"/>
  <c r="C52" i="169"/>
  <c r="E53" i="169"/>
  <c r="E52" i="148"/>
  <c r="C51" i="148"/>
  <c r="C48" i="166"/>
  <c r="E49" i="166"/>
  <c r="I20" i="75"/>
  <c r="I17" i="37"/>
  <c r="E54" i="143"/>
  <c r="C53" i="143"/>
  <c r="E51" i="85"/>
  <c r="C50" i="85"/>
  <c r="I15" i="140"/>
  <c r="C48" i="30"/>
  <c r="E49" i="30"/>
  <c r="I15" i="40"/>
  <c r="I19" i="27"/>
  <c r="E53" i="154"/>
  <c r="C52" i="154"/>
  <c r="E53" i="89"/>
  <c r="C52" i="89"/>
  <c r="I15" i="125"/>
  <c r="I15" i="163"/>
  <c r="E54" i="90"/>
  <c r="C53" i="90"/>
  <c r="I16" i="168"/>
  <c r="I16" i="31"/>
  <c r="I15" i="17"/>
  <c r="I17" i="165"/>
  <c r="C52" i="70"/>
  <c r="E53" i="70"/>
  <c r="I15" i="58"/>
  <c r="E53" i="125"/>
  <c r="C52" i="125"/>
  <c r="E51" i="61"/>
  <c r="C50" i="61"/>
  <c r="E51" i="124"/>
  <c r="C50" i="124"/>
  <c r="AJ55" i="1"/>
  <c r="E52" i="144"/>
  <c r="C51" i="144"/>
  <c r="I16" i="162"/>
  <c r="C46" i="82"/>
  <c r="E47" i="82"/>
  <c r="I19" i="71"/>
  <c r="I16" i="57"/>
  <c r="E51" i="62"/>
  <c r="C50" i="62"/>
  <c r="I17" i="60"/>
  <c r="E50" i="59"/>
  <c r="C49" i="59"/>
  <c r="E54" i="100"/>
  <c r="C53" i="100"/>
  <c r="I15" i="160"/>
  <c r="E51" i="69"/>
  <c r="C50" i="69"/>
  <c r="I17" i="99"/>
  <c r="C53" i="107"/>
  <c r="E54" i="107"/>
  <c r="E52" i="99"/>
  <c r="C51" i="99"/>
  <c r="E53" i="80"/>
  <c r="C52" i="80"/>
  <c r="E51" i="26"/>
  <c r="C50" i="26"/>
  <c r="E51" i="123"/>
  <c r="C50" i="123"/>
  <c r="E52" i="130"/>
  <c r="C51" i="130"/>
  <c r="I18" i="117"/>
  <c r="I16" i="144"/>
  <c r="I16" i="106"/>
  <c r="C52" i="95"/>
  <c r="E53" i="95"/>
  <c r="EP54" i="2"/>
  <c r="I16" i="76"/>
  <c r="I16" i="169"/>
  <c r="AU55" i="1"/>
  <c r="I16" i="4"/>
  <c r="I17" i="157"/>
  <c r="I18" i="127"/>
  <c r="I17" i="10"/>
  <c r="E54" i="92"/>
  <c r="C53" i="92"/>
  <c r="HN53" i="2" s="1"/>
  <c r="C53" i="93"/>
  <c r="E54" i="93"/>
  <c r="I17" i="44"/>
  <c r="I16" i="87"/>
  <c r="C52" i="48"/>
  <c r="E53" i="48"/>
  <c r="I16" i="154"/>
  <c r="E53" i="88"/>
  <c r="C52" i="88"/>
  <c r="C46" i="98"/>
  <c r="E47" i="98"/>
  <c r="E53" i="162"/>
  <c r="C52" i="162"/>
  <c r="I18" i="9"/>
  <c r="GS54" i="2"/>
  <c r="C48" i="156"/>
  <c r="E49" i="156"/>
  <c r="E51" i="159"/>
  <c r="C50" i="159"/>
  <c r="E52" i="22"/>
  <c r="C51" i="22"/>
  <c r="I15" i="8"/>
  <c r="E53" i="76"/>
  <c r="C52" i="76"/>
  <c r="C52" i="114"/>
  <c r="E53" i="114"/>
  <c r="I16" i="80"/>
  <c r="E50" i="111"/>
  <c r="C49" i="111"/>
  <c r="E54" i="7"/>
  <c r="C53" i="7"/>
  <c r="AT54" i="1"/>
  <c r="I17" i="41"/>
  <c r="I15" i="110"/>
  <c r="E52" i="5"/>
  <c r="C51" i="5"/>
  <c r="I18" i="16"/>
  <c r="C51" i="139"/>
  <c r="E52" i="139"/>
  <c r="I18" i="98"/>
  <c r="C52" i="145"/>
  <c r="E53" i="145"/>
  <c r="CB54" i="2"/>
  <c r="I15" i="43"/>
  <c r="I17" i="18"/>
  <c r="I16" i="170"/>
  <c r="C51" i="137"/>
  <c r="E52" i="137"/>
  <c r="E52" i="104"/>
  <c r="C51" i="104"/>
  <c r="I18" i="135"/>
  <c r="I17" i="23"/>
  <c r="E52" i="118"/>
  <c r="C51" i="118"/>
  <c r="I17" i="93"/>
  <c r="C51" i="135"/>
  <c r="E52" i="135"/>
  <c r="C50" i="141"/>
  <c r="E51" i="141"/>
  <c r="I16" i="103"/>
  <c r="I15" i="166"/>
  <c r="C51" i="16"/>
  <c r="E52" i="16"/>
  <c r="Y55" i="2"/>
  <c r="I15" i="130"/>
  <c r="E53" i="31"/>
  <c r="C52" i="31"/>
  <c r="I18" i="101"/>
  <c r="I17" i="167"/>
  <c r="I20" i="7"/>
  <c r="I17" i="158"/>
  <c r="C53" i="12"/>
  <c r="E54" i="12"/>
  <c r="X54" i="2"/>
  <c r="M54" i="1"/>
  <c r="E52" i="64"/>
  <c r="C51" i="64"/>
  <c r="I18" i="78"/>
  <c r="E52" i="4"/>
  <c r="C51" i="4"/>
  <c r="E54" i="109"/>
  <c r="C53" i="109"/>
  <c r="ED54" i="2"/>
  <c r="I16" i="86"/>
  <c r="E50" i="160"/>
  <c r="C49" i="160"/>
  <c r="N55" i="1"/>
  <c r="C52" i="10"/>
  <c r="E53" i="10"/>
  <c r="E51" i="37"/>
  <c r="C50" i="37"/>
  <c r="BQ55" i="2"/>
  <c r="I15" i="174"/>
  <c r="I16" i="56"/>
  <c r="E51" i="115"/>
  <c r="C50" i="115"/>
  <c r="I15" i="148"/>
  <c r="C53" i="49"/>
  <c r="E54" i="49"/>
  <c r="HO55" i="2"/>
  <c r="I17" i="72"/>
  <c r="I15" i="69"/>
  <c r="I19" i="42"/>
  <c r="AU55" i="2"/>
  <c r="E53" i="35"/>
  <c r="C52" i="35"/>
  <c r="E54" i="29"/>
  <c r="C53" i="29"/>
  <c r="X54" i="1"/>
  <c r="E51" i="47"/>
  <c r="C50" i="47"/>
  <c r="I16" i="85"/>
  <c r="E52" i="17"/>
  <c r="C51" i="17"/>
  <c r="I16" i="155"/>
  <c r="C53" i="158"/>
  <c r="E54" i="158"/>
  <c r="I16" i="104"/>
  <c r="E54" i="50"/>
  <c r="C53" i="50"/>
  <c r="AT54" i="2"/>
  <c r="I20" i="74"/>
  <c r="I18" i="142"/>
  <c r="E52" i="167"/>
  <c r="C51" i="167"/>
  <c r="E51" i="86"/>
  <c r="C50" i="86"/>
  <c r="I16" i="50"/>
  <c r="E52" i="74"/>
  <c r="C51" i="74"/>
  <c r="C52" i="36"/>
  <c r="E53" i="36"/>
  <c r="I17" i="30"/>
  <c r="I15" i="36"/>
  <c r="I18" i="152"/>
  <c r="I17" i="149"/>
  <c r="C53" i="121"/>
  <c r="E54" i="121"/>
  <c r="I16" i="84"/>
  <c r="C50" i="149"/>
  <c r="E51" i="149"/>
  <c r="E52" i="83"/>
  <c r="C51" i="83"/>
  <c r="I15" i="96"/>
  <c r="I16" i="52"/>
  <c r="I16" i="153"/>
  <c r="I16" i="114"/>
  <c r="E53" i="117"/>
  <c r="C52" i="117"/>
  <c r="I19" i="24"/>
  <c r="C53" i="91"/>
  <c r="E54" i="91"/>
  <c r="I15" i="45"/>
  <c r="E53" i="23"/>
  <c r="C52" i="23"/>
  <c r="I15" i="55"/>
  <c r="C51" i="54"/>
  <c r="E52" i="54"/>
  <c r="C52" i="20"/>
  <c r="E53" i="20"/>
  <c r="E53" i="71"/>
  <c r="C52" i="71"/>
  <c r="E50" i="165"/>
  <c r="C49" i="165"/>
  <c r="I15" i="90"/>
  <c r="CW53" i="2"/>
  <c r="I19" i="22"/>
  <c r="E53" i="132"/>
  <c r="C52" i="132"/>
  <c r="I16" i="53"/>
  <c r="E54" i="28"/>
  <c r="C53" i="28"/>
  <c r="C50" i="51"/>
  <c r="E51" i="51"/>
  <c r="I15" i="64"/>
  <c r="I18" i="128"/>
  <c r="I16" i="151"/>
  <c r="C51" i="112"/>
  <c r="E52" i="112"/>
  <c r="CW52" i="2"/>
  <c r="I18" i="13"/>
  <c r="CM55" i="2"/>
  <c r="I20" i="46"/>
  <c r="C51" i="67"/>
  <c r="E52" i="67"/>
  <c r="I19" i="59"/>
  <c r="I17" i="66"/>
  <c r="I16" i="108"/>
  <c r="I19" i="32"/>
  <c r="E53" i="153"/>
  <c r="C52" i="153"/>
  <c r="I16" i="131"/>
  <c r="C51" i="161"/>
  <c r="E52" i="161"/>
  <c r="I16" i="54"/>
  <c r="I17" i="63"/>
  <c r="I20" i="134"/>
  <c r="C48" i="32"/>
  <c r="E49" i="32"/>
  <c r="Y55" i="1"/>
  <c r="E54" i="174"/>
  <c r="C53" i="174"/>
  <c r="HY53" i="2" s="1"/>
  <c r="C51" i="60"/>
  <c r="E52" i="60"/>
  <c r="E52" i="103"/>
  <c r="C51" i="103"/>
  <c r="I17" i="113"/>
  <c r="I17" i="83"/>
  <c r="E52" i="19"/>
  <c r="C51" i="19"/>
  <c r="CB55" i="1"/>
  <c r="C52" i="147"/>
  <c r="E53" i="147"/>
  <c r="I15" i="143"/>
  <c r="C53" i="155"/>
  <c r="E54" i="155"/>
  <c r="I15" i="147"/>
  <c r="I18" i="89"/>
  <c r="C50" i="168"/>
  <c r="E51" i="168"/>
  <c r="E53" i="77"/>
  <c r="C52" i="77"/>
  <c r="I18" i="107"/>
  <c r="E54" i="52"/>
  <c r="C53" i="52"/>
  <c r="BP54" i="2"/>
  <c r="E54" i="46"/>
  <c r="C53" i="46"/>
  <c r="I18" i="122"/>
  <c r="C52" i="151"/>
  <c r="E53" i="151"/>
  <c r="I16" i="20"/>
  <c r="I18" i="172"/>
  <c r="E54" i="6"/>
  <c r="C53" i="6"/>
  <c r="IU53" i="2" s="1"/>
  <c r="CA54" i="1"/>
  <c r="I15" i="105"/>
  <c r="E51" i="73"/>
  <c r="C50" i="73"/>
  <c r="I16" i="97"/>
  <c r="E52" i="81"/>
  <c r="C51" i="81"/>
  <c r="I17" i="118"/>
  <c r="E53" i="21"/>
  <c r="C52" i="21"/>
  <c r="E51" i="173"/>
  <c r="C50" i="173"/>
  <c r="C52" i="96"/>
  <c r="E53" i="96"/>
  <c r="I16" i="88"/>
  <c r="E53" i="108"/>
  <c r="C52" i="108"/>
  <c r="BQ55" i="1"/>
  <c r="C51" i="94"/>
  <c r="E52" i="94"/>
  <c r="C49" i="105"/>
  <c r="E50" i="105"/>
  <c r="I15" i="34"/>
  <c r="E53" i="119"/>
  <c r="C52" i="119"/>
  <c r="E54" i="27"/>
  <c r="C53" i="27"/>
  <c r="I16" i="67"/>
  <c r="I15" i="65"/>
  <c r="I15" i="120"/>
  <c r="I16" i="3"/>
  <c r="EE55" i="2"/>
  <c r="CX54" i="2"/>
  <c r="I20" i="15"/>
  <c r="HZ55" i="2"/>
  <c r="I15" i="146"/>
  <c r="I20" i="145"/>
  <c r="I17" i="124"/>
  <c r="I17" i="115"/>
  <c r="C52" i="78"/>
  <c r="E53" i="78"/>
  <c r="FW55" i="2"/>
  <c r="C50" i="171"/>
  <c r="E51" i="171"/>
  <c r="HD55" i="2"/>
  <c r="I16" i="21"/>
  <c r="I15" i="95"/>
  <c r="C50" i="40"/>
  <c r="E51" i="40"/>
  <c r="I17" i="139"/>
  <c r="E50" i="102"/>
  <c r="C49" i="102"/>
  <c r="I15" i="91"/>
  <c r="E54" i="55"/>
  <c r="C53" i="55"/>
  <c r="FK53" i="2" s="1"/>
  <c r="I16" i="70"/>
  <c r="E54" i="58"/>
  <c r="C53" i="58"/>
  <c r="I19" i="94"/>
  <c r="E52" i="66"/>
  <c r="C51" i="66"/>
  <c r="C53" i="42"/>
  <c r="E54" i="42"/>
  <c r="FV54" i="2"/>
  <c r="C48" i="87"/>
  <c r="E49" i="87"/>
  <c r="C53" i="8"/>
  <c r="E54" i="8"/>
  <c r="HC54" i="2"/>
  <c r="BP54" i="1"/>
  <c r="E54" i="152"/>
  <c r="C53" i="152"/>
  <c r="DT53" i="2"/>
  <c r="I16" i="39"/>
  <c r="I16" i="49"/>
  <c r="E54" i="53"/>
  <c r="C53" i="53"/>
  <c r="BE53" i="2" s="1"/>
  <c r="I20" i="12"/>
  <c r="C49" i="43"/>
  <c r="E50" i="43"/>
  <c r="I16" i="137"/>
  <c r="I15" i="11"/>
  <c r="C50" i="163"/>
  <c r="E51" i="163"/>
  <c r="I16" i="138"/>
  <c r="N54" i="2"/>
  <c r="I16" i="73"/>
  <c r="I18" i="51"/>
  <c r="C51" i="129"/>
  <c r="E52" i="129"/>
  <c r="DS52" i="2"/>
  <c r="E52" i="25"/>
  <c r="C51" i="25"/>
  <c r="E51" i="84"/>
  <c r="C50" i="84"/>
  <c r="I18" i="77"/>
  <c r="I18" i="156"/>
  <c r="C51" i="75"/>
  <c r="E52" i="75"/>
  <c r="I16" i="119"/>
  <c r="I18" i="136"/>
  <c r="C53" i="56"/>
  <c r="E54" i="56"/>
  <c r="E52" i="150"/>
  <c r="C51" i="150"/>
  <c r="E52" i="113"/>
  <c r="C51" i="113"/>
  <c r="C50" i="39"/>
  <c r="E51" i="39"/>
  <c r="E51" i="120"/>
  <c r="C50" i="120"/>
  <c r="E52" i="9"/>
  <c r="C51" i="9"/>
  <c r="IV54" i="2"/>
  <c r="I15" i="35"/>
  <c r="E49" i="146"/>
  <c r="C48" i="146"/>
  <c r="I15" i="141"/>
  <c r="C52" i="13"/>
  <c r="E53" i="13"/>
  <c r="C51" i="11"/>
  <c r="E52" i="11"/>
  <c r="IV55" i="2"/>
  <c r="C51" i="18"/>
  <c r="E52" i="18"/>
  <c r="E54" i="172"/>
  <c r="C53" i="172"/>
  <c r="E52" i="116"/>
  <c r="C51" i="116"/>
  <c r="I16" i="121"/>
  <c r="E53" i="33"/>
  <c r="C52" i="33"/>
  <c r="I15" i="109"/>
  <c r="I17" i="25"/>
  <c r="I17" i="173"/>
  <c r="I17" i="68"/>
  <c r="I18" i="29"/>
  <c r="I16" i="5"/>
  <c r="E53" i="15"/>
  <c r="C52" i="15"/>
  <c r="C51" i="126"/>
  <c r="E52" i="126"/>
  <c r="I18" i="62"/>
  <c r="AI54" i="2"/>
  <c r="EP55" i="2"/>
  <c r="E53" i="164"/>
  <c r="C52" i="164"/>
  <c r="E50" i="45"/>
  <c r="C49" i="45"/>
  <c r="C50" i="106"/>
  <c r="E51" i="106"/>
  <c r="E54" i="136"/>
  <c r="C53" i="136"/>
  <c r="I16" i="111"/>
  <c r="I16" i="33"/>
  <c r="BE54" i="2"/>
  <c r="BF55" i="2"/>
  <c r="I16" i="123"/>
  <c r="AI54" i="1"/>
  <c r="I15" i="171"/>
  <c r="E53" i="97"/>
  <c r="C52" i="97"/>
  <c r="EO53" i="2"/>
  <c r="E54" i="3"/>
  <c r="C53" i="3"/>
  <c r="I18" i="164"/>
  <c r="I15" i="102"/>
  <c r="I15" i="47"/>
  <c r="C53" i="170"/>
  <c r="E54" i="170"/>
  <c r="I15" i="112"/>
  <c r="I34" i="150"/>
  <c r="I15" i="81"/>
  <c r="C52" i="140"/>
  <c r="E53" i="140"/>
  <c r="I16" i="161"/>
  <c r="C52" i="38"/>
  <c r="E53" i="38"/>
  <c r="I16" i="19"/>
  <c r="C51" i="128"/>
  <c r="E52" i="128"/>
  <c r="I17" i="28"/>
  <c r="E53" i="44"/>
  <c r="C52" i="44"/>
  <c r="C51" i="110"/>
  <c r="E52" i="110"/>
  <c r="FL53" i="2" l="1"/>
  <c r="IV53" i="2"/>
  <c r="HZ53" i="2"/>
  <c r="BF53" i="2"/>
  <c r="HO53" i="2"/>
  <c r="I18" i="28"/>
  <c r="AJ54" i="1"/>
  <c r="I20" i="59"/>
  <c r="C51" i="38"/>
  <c r="E52" i="38"/>
  <c r="I16" i="95"/>
  <c r="E53" i="155"/>
  <c r="C52" i="155"/>
  <c r="CL52" i="2" s="1"/>
  <c r="E46" i="98"/>
  <c r="C45" i="98"/>
  <c r="C49" i="62"/>
  <c r="E50" i="62"/>
  <c r="I17" i="168"/>
  <c r="E48" i="157"/>
  <c r="C47" i="157"/>
  <c r="I19" i="48"/>
  <c r="I17" i="97"/>
  <c r="C52" i="3"/>
  <c r="E53" i="3"/>
  <c r="E51" i="126"/>
  <c r="C50" i="126"/>
  <c r="E52" i="13"/>
  <c r="C51" i="13"/>
  <c r="C49" i="84"/>
  <c r="E50" i="84"/>
  <c r="I16" i="65"/>
  <c r="C49" i="73"/>
  <c r="E50" i="73"/>
  <c r="I17" i="131"/>
  <c r="I17" i="153"/>
  <c r="I19" i="78"/>
  <c r="E51" i="135"/>
  <c r="C50" i="135"/>
  <c r="C51" i="95"/>
  <c r="E52" i="95"/>
  <c r="C52" i="90"/>
  <c r="E53" i="90"/>
  <c r="I16" i="141"/>
  <c r="C52" i="152"/>
  <c r="E53" i="152"/>
  <c r="I17" i="21"/>
  <c r="I16" i="143"/>
  <c r="C51" i="153"/>
  <c r="E52" i="153"/>
  <c r="I17" i="53"/>
  <c r="I19" i="142"/>
  <c r="C50" i="64"/>
  <c r="E51" i="64"/>
  <c r="I18" i="93"/>
  <c r="I16" i="110"/>
  <c r="E52" i="88"/>
  <c r="C51" i="88"/>
  <c r="I17" i="106"/>
  <c r="I17" i="57"/>
  <c r="E51" i="65"/>
  <c r="C50" i="65"/>
  <c r="E52" i="44"/>
  <c r="C51" i="44"/>
  <c r="C50" i="25"/>
  <c r="E51" i="25"/>
  <c r="I17" i="67"/>
  <c r="I16" i="105"/>
  <c r="E52" i="132"/>
  <c r="C51" i="132"/>
  <c r="I17" i="52"/>
  <c r="I18" i="41"/>
  <c r="C51" i="169"/>
  <c r="E52" i="169"/>
  <c r="I20" i="14"/>
  <c r="C52" i="27"/>
  <c r="E53" i="27"/>
  <c r="E52" i="147"/>
  <c r="C51" i="147"/>
  <c r="I20" i="32"/>
  <c r="I16" i="96"/>
  <c r="I21" i="74"/>
  <c r="E53" i="49"/>
  <c r="C52" i="49"/>
  <c r="N54" i="1"/>
  <c r="E51" i="118"/>
  <c r="C50" i="118"/>
  <c r="I16" i="163"/>
  <c r="CL53" i="2"/>
  <c r="I17" i="5"/>
  <c r="DT52" i="2"/>
  <c r="HD54" i="2"/>
  <c r="CB54" i="1"/>
  <c r="AU54" i="2"/>
  <c r="Y54" i="2"/>
  <c r="AU54" i="1"/>
  <c r="I17" i="154"/>
  <c r="I17" i="144"/>
  <c r="I20" i="71"/>
  <c r="I16" i="125"/>
  <c r="E52" i="63"/>
  <c r="C51" i="63"/>
  <c r="I20" i="22"/>
  <c r="C52" i="50"/>
  <c r="E53" i="50"/>
  <c r="AT53" i="2"/>
  <c r="I16" i="148"/>
  <c r="AT53" i="1"/>
  <c r="E53" i="7"/>
  <c r="C52" i="7"/>
  <c r="E51" i="57"/>
  <c r="C50" i="57"/>
  <c r="C51" i="41"/>
  <c r="E52" i="41"/>
  <c r="E50" i="115"/>
  <c r="C49" i="115"/>
  <c r="E53" i="12"/>
  <c r="C52" i="12"/>
  <c r="M53" i="1"/>
  <c r="X53" i="2"/>
  <c r="I18" i="23"/>
  <c r="E52" i="48"/>
  <c r="C51" i="48"/>
  <c r="I19" i="117"/>
  <c r="C45" i="82"/>
  <c r="E46" i="82"/>
  <c r="I18" i="159"/>
  <c r="I19" i="172"/>
  <c r="C48" i="111"/>
  <c r="E49" i="111"/>
  <c r="C50" i="130"/>
  <c r="E51" i="130"/>
  <c r="E52" i="89"/>
  <c r="C51" i="89"/>
  <c r="E52" i="101"/>
  <c r="C51" i="101"/>
  <c r="E51" i="110"/>
  <c r="C50" i="110"/>
  <c r="I19" i="29"/>
  <c r="E53" i="8"/>
  <c r="C52" i="8"/>
  <c r="BP53" i="1"/>
  <c r="HC53" i="2"/>
  <c r="I19" i="51"/>
  <c r="I16" i="34"/>
  <c r="I18" i="83"/>
  <c r="I16" i="90"/>
  <c r="I17" i="104"/>
  <c r="I17" i="56"/>
  <c r="I18" i="158"/>
  <c r="I19" i="135"/>
  <c r="I17" i="87"/>
  <c r="I17" i="162"/>
  <c r="E51" i="68"/>
  <c r="C50" i="68"/>
  <c r="E48" i="87"/>
  <c r="C47" i="87"/>
  <c r="I18" i="66"/>
  <c r="I18" i="173"/>
  <c r="C50" i="9"/>
  <c r="E51" i="9"/>
  <c r="FW54" i="2"/>
  <c r="E49" i="165"/>
  <c r="C48" i="165"/>
  <c r="E50" i="149"/>
  <c r="C49" i="149"/>
  <c r="E51" i="104"/>
  <c r="C50" i="104"/>
  <c r="I18" i="44"/>
  <c r="E50" i="123"/>
  <c r="C49" i="123"/>
  <c r="C50" i="144"/>
  <c r="E51" i="144"/>
  <c r="IJ53" i="2"/>
  <c r="I18" i="92"/>
  <c r="FA53" i="2"/>
  <c r="C52" i="158"/>
  <c r="E53" i="158"/>
  <c r="I21" i="7"/>
  <c r="I17" i="80"/>
  <c r="C51" i="154"/>
  <c r="E52" i="154"/>
  <c r="IJ52" i="2"/>
  <c r="E50" i="72"/>
  <c r="C49" i="72"/>
  <c r="E49" i="34"/>
  <c r="C48" i="34"/>
  <c r="I18" i="115"/>
  <c r="C51" i="71"/>
  <c r="E52" i="71"/>
  <c r="I17" i="84"/>
  <c r="I17" i="155"/>
  <c r="E50" i="26"/>
  <c r="C49" i="26"/>
  <c r="E52" i="134"/>
  <c r="C51" i="134"/>
  <c r="EZ52" i="2"/>
  <c r="C51" i="119"/>
  <c r="E52" i="119"/>
  <c r="C49" i="120"/>
  <c r="E50" i="120"/>
  <c r="E53" i="42"/>
  <c r="C52" i="42"/>
  <c r="FV53" i="2"/>
  <c r="I16" i="174"/>
  <c r="I17" i="161"/>
  <c r="I18" i="25"/>
  <c r="E51" i="66"/>
  <c r="C50" i="66"/>
  <c r="E51" i="94"/>
  <c r="C50" i="94"/>
  <c r="E52" i="151"/>
  <c r="C51" i="151"/>
  <c r="C50" i="103"/>
  <c r="E51" i="103"/>
  <c r="E51" i="67"/>
  <c r="C50" i="67"/>
  <c r="E51" i="137"/>
  <c r="C50" i="137"/>
  <c r="E52" i="114"/>
  <c r="C51" i="114"/>
  <c r="C52" i="93"/>
  <c r="E53" i="93"/>
  <c r="E49" i="131"/>
  <c r="C48" i="131"/>
  <c r="E52" i="76"/>
  <c r="C51" i="76"/>
  <c r="E53" i="92"/>
  <c r="C52" i="92"/>
  <c r="C51" i="80"/>
  <c r="E52" i="80"/>
  <c r="E50" i="124"/>
  <c r="C49" i="124"/>
  <c r="I20" i="27"/>
  <c r="E53" i="14"/>
  <c r="C52" i="14"/>
  <c r="GR52" i="2" s="1"/>
  <c r="GR53" i="2"/>
  <c r="C52" i="121"/>
  <c r="E53" i="121"/>
  <c r="I18" i="167"/>
  <c r="AI53" i="2"/>
  <c r="I16" i="109"/>
  <c r="I21" i="46"/>
  <c r="C51" i="20"/>
  <c r="E52" i="20"/>
  <c r="E50" i="37"/>
  <c r="C49" i="37"/>
  <c r="I17" i="170"/>
  <c r="I16" i="40"/>
  <c r="DI53" i="2"/>
  <c r="I21" i="133"/>
  <c r="I17" i="126"/>
  <c r="BF54" i="2"/>
  <c r="I20" i="94"/>
  <c r="E51" i="60"/>
  <c r="C50" i="60"/>
  <c r="I18" i="149"/>
  <c r="I19" i="101"/>
  <c r="I18" i="18"/>
  <c r="I16" i="8"/>
  <c r="I18" i="10"/>
  <c r="E51" i="99"/>
  <c r="C50" i="99"/>
  <c r="C51" i="133"/>
  <c r="E52" i="133"/>
  <c r="DH52" i="2"/>
  <c r="C50" i="17"/>
  <c r="E51" i="17"/>
  <c r="E50" i="39"/>
  <c r="C49" i="39"/>
  <c r="I17" i="138"/>
  <c r="I19" i="122"/>
  <c r="I17" i="33"/>
  <c r="M53" i="2"/>
  <c r="E51" i="113"/>
  <c r="C50" i="113"/>
  <c r="C51" i="108"/>
  <c r="E52" i="108"/>
  <c r="E53" i="46"/>
  <c r="C52" i="46"/>
  <c r="C51" i="140"/>
  <c r="E52" i="140"/>
  <c r="I17" i="111"/>
  <c r="E52" i="33"/>
  <c r="C51" i="33"/>
  <c r="E50" i="163"/>
  <c r="C49" i="163"/>
  <c r="C52" i="58"/>
  <c r="E53" i="58"/>
  <c r="I21" i="145"/>
  <c r="C52" i="174"/>
  <c r="E53" i="174"/>
  <c r="E51" i="54"/>
  <c r="C50" i="54"/>
  <c r="I17" i="85"/>
  <c r="CA53" i="2"/>
  <c r="E50" i="61"/>
  <c r="C49" i="61"/>
  <c r="C51" i="142"/>
  <c r="E52" i="142"/>
  <c r="C47" i="146"/>
  <c r="E48" i="146"/>
  <c r="E49" i="105"/>
  <c r="C48" i="105"/>
  <c r="I19" i="152"/>
  <c r="E50" i="47"/>
  <c r="C49" i="47"/>
  <c r="C51" i="10"/>
  <c r="E52" i="10"/>
  <c r="C51" i="31"/>
  <c r="E52" i="31"/>
  <c r="E51" i="22"/>
  <c r="C50" i="22"/>
  <c r="I19" i="127"/>
  <c r="E48" i="30"/>
  <c r="C47" i="30"/>
  <c r="I17" i="116"/>
  <c r="I17" i="70"/>
  <c r="I16" i="146"/>
  <c r="I17" i="88"/>
  <c r="C52" i="52"/>
  <c r="E53" i="52"/>
  <c r="BP53" i="2"/>
  <c r="I19" i="13"/>
  <c r="I16" i="55"/>
  <c r="I16" i="36"/>
  <c r="I16" i="43"/>
  <c r="E53" i="107"/>
  <c r="C52" i="107"/>
  <c r="C51" i="125"/>
  <c r="E52" i="125"/>
  <c r="E51" i="83"/>
  <c r="C50" i="83"/>
  <c r="E52" i="23"/>
  <c r="C51" i="23"/>
  <c r="Y54" i="1"/>
  <c r="I16" i="130"/>
  <c r="I16" i="140"/>
  <c r="I20" i="79"/>
  <c r="C47" i="138"/>
  <c r="E48" i="138"/>
  <c r="I19" i="132"/>
  <c r="E52" i="97"/>
  <c r="C51" i="97"/>
  <c r="EO52" i="2"/>
  <c r="I17" i="19"/>
  <c r="E52" i="96"/>
  <c r="C51" i="96"/>
  <c r="I18" i="30"/>
  <c r="C52" i="29"/>
  <c r="E53" i="29"/>
  <c r="E50" i="159"/>
  <c r="C49" i="159"/>
  <c r="I18" i="157"/>
  <c r="I18" i="99"/>
  <c r="I16" i="58"/>
  <c r="E50" i="85"/>
  <c r="C49" i="85"/>
  <c r="E52" i="15"/>
  <c r="C51" i="15"/>
  <c r="BQ54" i="1"/>
  <c r="I18" i="68"/>
  <c r="CX52" i="2"/>
  <c r="C50" i="116"/>
  <c r="E51" i="116"/>
  <c r="I16" i="45"/>
  <c r="E49" i="160"/>
  <c r="C48" i="160"/>
  <c r="C49" i="69"/>
  <c r="E50" i="69"/>
  <c r="E50" i="127"/>
  <c r="C49" i="127"/>
  <c r="I21" i="61"/>
  <c r="I17" i="123"/>
  <c r="I17" i="73"/>
  <c r="I17" i="20"/>
  <c r="C52" i="55"/>
  <c r="FK52" i="2" s="1"/>
  <c r="E53" i="55"/>
  <c r="I21" i="15"/>
  <c r="C49" i="173"/>
  <c r="E50" i="173"/>
  <c r="C51" i="77"/>
  <c r="E52" i="77"/>
  <c r="E52" i="35"/>
  <c r="C51" i="35"/>
  <c r="C51" i="145"/>
  <c r="E52" i="145"/>
  <c r="I17" i="4"/>
  <c r="C52" i="143"/>
  <c r="E53" i="143"/>
  <c r="E53" i="6"/>
  <c r="C52" i="6"/>
  <c r="CA53" i="1"/>
  <c r="E51" i="129"/>
  <c r="C50" i="129"/>
  <c r="DS51" i="2"/>
  <c r="E50" i="171"/>
  <c r="C49" i="171"/>
  <c r="E51" i="19"/>
  <c r="C50" i="19"/>
  <c r="E52" i="36"/>
  <c r="C51" i="36"/>
  <c r="E48" i="156"/>
  <c r="C47" i="156"/>
  <c r="E52" i="70"/>
  <c r="C51" i="70"/>
  <c r="E52" i="79"/>
  <c r="C51" i="79"/>
  <c r="I16" i="100"/>
  <c r="CX53" i="2"/>
  <c r="BQ54" i="2"/>
  <c r="I17" i="137"/>
  <c r="I19" i="107"/>
  <c r="E52" i="21"/>
  <c r="C51" i="21"/>
  <c r="E53" i="91"/>
  <c r="C52" i="91"/>
  <c r="E51" i="74"/>
  <c r="C50" i="74"/>
  <c r="I17" i="86"/>
  <c r="E51" i="16"/>
  <c r="C50" i="16"/>
  <c r="I19" i="98"/>
  <c r="I16" i="160"/>
  <c r="I18" i="165"/>
  <c r="I18" i="129"/>
  <c r="I17" i="108"/>
  <c r="I16" i="112"/>
  <c r="E50" i="106"/>
  <c r="C49" i="106"/>
  <c r="I19" i="136"/>
  <c r="I16" i="47"/>
  <c r="E50" i="168"/>
  <c r="C49" i="168"/>
  <c r="I17" i="169"/>
  <c r="E53" i="100"/>
  <c r="C52" i="100"/>
  <c r="I18" i="37"/>
  <c r="C50" i="150"/>
  <c r="E51" i="150"/>
  <c r="I16" i="11"/>
  <c r="I17" i="121"/>
  <c r="E48" i="32"/>
  <c r="C47" i="32"/>
  <c r="C50" i="112"/>
  <c r="E51" i="112"/>
  <c r="C48" i="45"/>
  <c r="E49" i="45"/>
  <c r="E53" i="172"/>
  <c r="C52" i="172"/>
  <c r="I18" i="63"/>
  <c r="I19" i="128"/>
  <c r="EE54" i="2"/>
  <c r="E51" i="18"/>
  <c r="C50" i="18"/>
  <c r="I19" i="89"/>
  <c r="I17" i="54"/>
  <c r="I20" i="24"/>
  <c r="I20" i="42"/>
  <c r="E53" i="109"/>
  <c r="C52" i="109"/>
  <c r="ED53" i="2"/>
  <c r="I16" i="166"/>
  <c r="C50" i="139"/>
  <c r="E51" i="139"/>
  <c r="I19" i="9"/>
  <c r="I16" i="17"/>
  <c r="I21" i="75"/>
  <c r="I19" i="26"/>
  <c r="I16" i="35"/>
  <c r="I18" i="113"/>
  <c r="E53" i="136"/>
  <c r="C52" i="136"/>
  <c r="I35" i="150"/>
  <c r="E53" i="56"/>
  <c r="C52" i="56"/>
  <c r="I17" i="151"/>
  <c r="I21" i="12"/>
  <c r="I16" i="102"/>
  <c r="I18" i="139"/>
  <c r="I17" i="3"/>
  <c r="I18" i="118"/>
  <c r="I16" i="64"/>
  <c r="C51" i="117"/>
  <c r="E52" i="117"/>
  <c r="I17" i="50"/>
  <c r="C48" i="59"/>
  <c r="E49" i="59"/>
  <c r="E52" i="122"/>
  <c r="C51" i="122"/>
  <c r="E51" i="128"/>
  <c r="C50" i="128"/>
  <c r="E52" i="78"/>
  <c r="C51" i="78"/>
  <c r="E52" i="164"/>
  <c r="C51" i="164"/>
  <c r="I17" i="119"/>
  <c r="E49" i="102"/>
  <c r="C48" i="102"/>
  <c r="E53" i="53"/>
  <c r="C52" i="53"/>
  <c r="C50" i="75"/>
  <c r="E51" i="75"/>
  <c r="AJ54" i="2"/>
  <c r="I19" i="156"/>
  <c r="I17" i="49"/>
  <c r="E51" i="81"/>
  <c r="C50" i="81"/>
  <c r="E50" i="86"/>
  <c r="C49" i="86"/>
  <c r="I17" i="103"/>
  <c r="I19" i="16"/>
  <c r="E52" i="162"/>
  <c r="C51" i="162"/>
  <c r="I17" i="76"/>
  <c r="I20" i="82"/>
  <c r="IU52" i="2"/>
  <c r="EP53" i="2"/>
  <c r="I18" i="124"/>
  <c r="I16" i="81"/>
  <c r="C48" i="43"/>
  <c r="E49" i="43"/>
  <c r="I21" i="134"/>
  <c r="I17" i="39"/>
  <c r="I16" i="147"/>
  <c r="E50" i="51"/>
  <c r="C49" i="51"/>
  <c r="I16" i="69"/>
  <c r="E51" i="4"/>
  <c r="C50" i="4"/>
  <c r="I18" i="60"/>
  <c r="I17" i="31"/>
  <c r="E48" i="166"/>
  <c r="C47" i="166"/>
  <c r="I16" i="38"/>
  <c r="AI53" i="1"/>
  <c r="I16" i="171"/>
  <c r="I16" i="91"/>
  <c r="E53" i="170"/>
  <c r="C52" i="170"/>
  <c r="I19" i="164"/>
  <c r="I17" i="114"/>
  <c r="I19" i="62"/>
  <c r="E51" i="11"/>
  <c r="C50" i="11"/>
  <c r="I19" i="77"/>
  <c r="C49" i="40"/>
  <c r="E50" i="40"/>
  <c r="I16" i="120"/>
  <c r="E51" i="161"/>
  <c r="C50" i="161"/>
  <c r="C52" i="28"/>
  <c r="E53" i="28"/>
  <c r="E51" i="167"/>
  <c r="C50" i="167"/>
  <c r="I18" i="72"/>
  <c r="E50" i="141"/>
  <c r="C49" i="141"/>
  <c r="C50" i="5"/>
  <c r="E51" i="5"/>
  <c r="E51" i="148"/>
  <c r="C50" i="148"/>
  <c r="X53" i="1"/>
  <c r="CM52" i="2" l="1"/>
  <c r="GS52" i="2"/>
  <c r="FL52" i="2"/>
  <c r="I18" i="49"/>
  <c r="I17" i="69"/>
  <c r="I19" i="118"/>
  <c r="E50" i="129"/>
  <c r="C49" i="129"/>
  <c r="DS50" i="2"/>
  <c r="I19" i="30"/>
  <c r="C49" i="60"/>
  <c r="E50" i="60"/>
  <c r="CM53" i="2"/>
  <c r="E52" i="152"/>
  <c r="C51" i="152"/>
  <c r="C49" i="81"/>
  <c r="E50" i="81"/>
  <c r="I17" i="166"/>
  <c r="I18" i="121"/>
  <c r="I20" i="152"/>
  <c r="E52" i="46"/>
  <c r="C51" i="46"/>
  <c r="I17" i="11"/>
  <c r="E49" i="69"/>
  <c r="C48" i="69"/>
  <c r="E51" i="96"/>
  <c r="C50" i="96"/>
  <c r="I17" i="36"/>
  <c r="I21" i="27"/>
  <c r="I17" i="174"/>
  <c r="I18" i="162"/>
  <c r="AU53" i="2"/>
  <c r="I17" i="163"/>
  <c r="I18" i="67"/>
  <c r="C46" i="157"/>
  <c r="E47" i="157"/>
  <c r="EE53" i="2"/>
  <c r="I18" i="86"/>
  <c r="CB53" i="1"/>
  <c r="C47" i="105"/>
  <c r="E48" i="105"/>
  <c r="I21" i="94"/>
  <c r="C48" i="124"/>
  <c r="E49" i="124"/>
  <c r="FW53" i="2"/>
  <c r="E52" i="158"/>
  <c r="C51" i="158"/>
  <c r="C49" i="130"/>
  <c r="E50" i="130"/>
  <c r="I17" i="141"/>
  <c r="I18" i="3"/>
  <c r="E52" i="109"/>
  <c r="C51" i="109"/>
  <c r="ED52" i="2"/>
  <c r="E50" i="74"/>
  <c r="C49" i="74"/>
  <c r="C51" i="6"/>
  <c r="E52" i="6"/>
  <c r="CA52" i="1"/>
  <c r="C47" i="160"/>
  <c r="E48" i="160"/>
  <c r="I17" i="55"/>
  <c r="E51" i="108"/>
  <c r="C50" i="108"/>
  <c r="E52" i="42"/>
  <c r="C51" i="42"/>
  <c r="FV52" i="2"/>
  <c r="I18" i="87"/>
  <c r="E52" i="50"/>
  <c r="C51" i="50"/>
  <c r="AT52" i="2"/>
  <c r="E50" i="118"/>
  <c r="C49" i="118"/>
  <c r="C49" i="25"/>
  <c r="E50" i="25"/>
  <c r="E50" i="150"/>
  <c r="C49" i="150"/>
  <c r="I18" i="19"/>
  <c r="E50" i="113"/>
  <c r="C49" i="113"/>
  <c r="E48" i="111"/>
  <c r="C47" i="111"/>
  <c r="E51" i="44"/>
  <c r="C50" i="44"/>
  <c r="E52" i="90"/>
  <c r="C51" i="90"/>
  <c r="I18" i="168"/>
  <c r="E52" i="91"/>
  <c r="C51" i="91"/>
  <c r="EP52" i="2"/>
  <c r="I20" i="13"/>
  <c r="E47" i="146"/>
  <c r="C46" i="146"/>
  <c r="C50" i="80"/>
  <c r="E51" i="80"/>
  <c r="I20" i="135"/>
  <c r="I17" i="102"/>
  <c r="I19" i="37"/>
  <c r="C51" i="143"/>
  <c r="E52" i="143"/>
  <c r="I17" i="45"/>
  <c r="E51" i="97"/>
  <c r="C50" i="97"/>
  <c r="BQ53" i="2"/>
  <c r="N53" i="2"/>
  <c r="E52" i="92"/>
  <c r="C51" i="92"/>
  <c r="C48" i="120"/>
  <c r="E49" i="120"/>
  <c r="I19" i="92"/>
  <c r="I19" i="158"/>
  <c r="I20" i="172"/>
  <c r="I21" i="22"/>
  <c r="C49" i="65"/>
  <c r="E50" i="65"/>
  <c r="E51" i="95"/>
  <c r="C50" i="95"/>
  <c r="C48" i="62"/>
  <c r="E49" i="62"/>
  <c r="E52" i="100"/>
  <c r="C51" i="100"/>
  <c r="E51" i="21"/>
  <c r="C50" i="21"/>
  <c r="E51" i="142"/>
  <c r="C50" i="142"/>
  <c r="I18" i="33"/>
  <c r="I18" i="126"/>
  <c r="IK53" i="2"/>
  <c r="I19" i="159"/>
  <c r="E52" i="49"/>
  <c r="C51" i="49"/>
  <c r="E50" i="135"/>
  <c r="C49" i="135"/>
  <c r="E45" i="98"/>
  <c r="C44" i="98"/>
  <c r="I19" i="139"/>
  <c r="E50" i="11"/>
  <c r="C49" i="11"/>
  <c r="I20" i="156"/>
  <c r="I20" i="62"/>
  <c r="I18" i="4"/>
  <c r="E50" i="116"/>
  <c r="C49" i="116"/>
  <c r="I20" i="132"/>
  <c r="E52" i="52"/>
  <c r="C51" i="52"/>
  <c r="BP52" i="2"/>
  <c r="I22" i="133"/>
  <c r="C50" i="76"/>
  <c r="E51" i="76"/>
  <c r="E51" i="119"/>
  <c r="C50" i="119"/>
  <c r="E51" i="63"/>
  <c r="C50" i="63"/>
  <c r="CL51" i="2"/>
  <c r="I18" i="57"/>
  <c r="I22" i="134"/>
  <c r="E50" i="75"/>
  <c r="C49" i="75"/>
  <c r="I22" i="12"/>
  <c r="E49" i="61"/>
  <c r="C48" i="61"/>
  <c r="FA52" i="2"/>
  <c r="C49" i="144"/>
  <c r="E50" i="144"/>
  <c r="I18" i="56"/>
  <c r="I22" i="74"/>
  <c r="E52" i="155"/>
  <c r="C51" i="155"/>
  <c r="I18" i="114"/>
  <c r="C51" i="53"/>
  <c r="E52" i="53"/>
  <c r="I18" i="54"/>
  <c r="I18" i="169"/>
  <c r="I20" i="107"/>
  <c r="C50" i="145"/>
  <c r="E51" i="145"/>
  <c r="I18" i="88"/>
  <c r="I20" i="122"/>
  <c r="C47" i="131"/>
  <c r="E48" i="131"/>
  <c r="E51" i="134"/>
  <c r="C50" i="134"/>
  <c r="EZ51" i="2"/>
  <c r="E49" i="123"/>
  <c r="C48" i="123"/>
  <c r="I18" i="104"/>
  <c r="C44" i="82"/>
  <c r="E45" i="82"/>
  <c r="I18" i="106"/>
  <c r="I20" i="78"/>
  <c r="I18" i="151"/>
  <c r="E49" i="168"/>
  <c r="C48" i="168"/>
  <c r="E51" i="35"/>
  <c r="C50" i="35"/>
  <c r="CB53" i="2"/>
  <c r="I18" i="138"/>
  <c r="I20" i="117"/>
  <c r="I17" i="125"/>
  <c r="I18" i="153"/>
  <c r="I19" i="68"/>
  <c r="C46" i="138"/>
  <c r="E47" i="138"/>
  <c r="I17" i="146"/>
  <c r="I17" i="40"/>
  <c r="E49" i="26"/>
  <c r="C48" i="26"/>
  <c r="I17" i="90"/>
  <c r="I21" i="71"/>
  <c r="I17" i="96"/>
  <c r="I17" i="95"/>
  <c r="E48" i="102"/>
  <c r="C47" i="102"/>
  <c r="Y53" i="1"/>
  <c r="I18" i="85"/>
  <c r="E49" i="39"/>
  <c r="C48" i="39"/>
  <c r="C51" i="93"/>
  <c r="E52" i="93"/>
  <c r="I19" i="44"/>
  <c r="E51" i="48"/>
  <c r="C50" i="48"/>
  <c r="I21" i="32"/>
  <c r="C50" i="88"/>
  <c r="E51" i="88"/>
  <c r="I18" i="131"/>
  <c r="I17" i="81"/>
  <c r="I19" i="124"/>
  <c r="I18" i="70"/>
  <c r="I18" i="170"/>
  <c r="E51" i="114"/>
  <c r="C50" i="114"/>
  <c r="I18" i="155"/>
  <c r="C49" i="104"/>
  <c r="E50" i="104"/>
  <c r="I19" i="83"/>
  <c r="E51" i="38"/>
  <c r="C50" i="38"/>
  <c r="E51" i="77"/>
  <c r="C50" i="77"/>
  <c r="I21" i="79"/>
  <c r="C49" i="54"/>
  <c r="E50" i="54"/>
  <c r="I18" i="119"/>
  <c r="I36" i="150"/>
  <c r="C50" i="15"/>
  <c r="E51" i="15"/>
  <c r="I17" i="140"/>
  <c r="I18" i="144"/>
  <c r="E51" i="147"/>
  <c r="C50" i="147"/>
  <c r="I20" i="164"/>
  <c r="C51" i="170"/>
  <c r="E52" i="170"/>
  <c r="I17" i="91"/>
  <c r="E51" i="164"/>
  <c r="C50" i="164"/>
  <c r="E52" i="136"/>
  <c r="C51" i="136"/>
  <c r="I20" i="136"/>
  <c r="I18" i="116"/>
  <c r="E50" i="17"/>
  <c r="C49" i="17"/>
  <c r="C48" i="37"/>
  <c r="E49" i="37"/>
  <c r="C49" i="137"/>
  <c r="E50" i="137"/>
  <c r="I18" i="84"/>
  <c r="C48" i="149"/>
  <c r="E49" i="149"/>
  <c r="I17" i="34"/>
  <c r="I19" i="23"/>
  <c r="I17" i="110"/>
  <c r="E49" i="73"/>
  <c r="C48" i="73"/>
  <c r="I21" i="59"/>
  <c r="I20" i="77"/>
  <c r="I21" i="42"/>
  <c r="C48" i="106"/>
  <c r="E49" i="106"/>
  <c r="I17" i="100"/>
  <c r="E49" i="173"/>
  <c r="C48" i="173"/>
  <c r="C48" i="85"/>
  <c r="E49" i="85"/>
  <c r="C51" i="174"/>
  <c r="E52" i="174"/>
  <c r="DI52" i="2"/>
  <c r="Y53" i="2"/>
  <c r="I18" i="154"/>
  <c r="C48" i="40"/>
  <c r="E49" i="40"/>
  <c r="I18" i="39"/>
  <c r="I17" i="130"/>
  <c r="I22" i="145"/>
  <c r="E50" i="67"/>
  <c r="C49" i="67"/>
  <c r="E48" i="165"/>
  <c r="C47" i="165"/>
  <c r="I20" i="51"/>
  <c r="N53" i="1"/>
  <c r="E52" i="27"/>
  <c r="C51" i="27"/>
  <c r="I19" i="93"/>
  <c r="I17" i="65"/>
  <c r="E48" i="43"/>
  <c r="C47" i="43"/>
  <c r="C50" i="79"/>
  <c r="E51" i="79"/>
  <c r="I22" i="15"/>
  <c r="I17" i="58"/>
  <c r="E47" i="30"/>
  <c r="C46" i="30"/>
  <c r="C50" i="133"/>
  <c r="E51" i="133"/>
  <c r="DH51" i="2"/>
  <c r="E51" i="20"/>
  <c r="C50" i="20"/>
  <c r="E51" i="71"/>
  <c r="C50" i="71"/>
  <c r="E52" i="12"/>
  <c r="C51" i="12"/>
  <c r="M52" i="1"/>
  <c r="X52" i="2"/>
  <c r="I21" i="14"/>
  <c r="I19" i="28"/>
  <c r="E49" i="51"/>
  <c r="C48" i="51"/>
  <c r="I17" i="47"/>
  <c r="E50" i="99"/>
  <c r="C49" i="99"/>
  <c r="I22" i="46"/>
  <c r="HD53" i="2"/>
  <c r="C49" i="64"/>
  <c r="E50" i="64"/>
  <c r="E49" i="84"/>
  <c r="C48" i="84"/>
  <c r="I17" i="147"/>
  <c r="IV52" i="2"/>
  <c r="C50" i="78"/>
  <c r="E51" i="78"/>
  <c r="I19" i="113"/>
  <c r="E49" i="141"/>
  <c r="C48" i="141"/>
  <c r="I17" i="35"/>
  <c r="I19" i="63"/>
  <c r="E51" i="70"/>
  <c r="C50" i="70"/>
  <c r="E52" i="55"/>
  <c r="C51" i="55"/>
  <c r="FK51" i="2" s="1"/>
  <c r="I19" i="99"/>
  <c r="C50" i="23"/>
  <c r="E51" i="23"/>
  <c r="E52" i="58"/>
  <c r="C51" i="58"/>
  <c r="C49" i="103"/>
  <c r="E50" i="103"/>
  <c r="I19" i="115"/>
  <c r="BQ53" i="1"/>
  <c r="C48" i="115"/>
  <c r="E49" i="115"/>
  <c r="HY52" i="2"/>
  <c r="I20" i="142"/>
  <c r="C50" i="13"/>
  <c r="E51" i="13"/>
  <c r="I18" i="108"/>
  <c r="I20" i="127"/>
  <c r="E49" i="163"/>
  <c r="C48" i="163"/>
  <c r="I17" i="109"/>
  <c r="C50" i="151"/>
  <c r="E51" i="151"/>
  <c r="C47" i="34"/>
  <c r="E48" i="34"/>
  <c r="E52" i="8"/>
  <c r="C51" i="8"/>
  <c r="BP52" i="1"/>
  <c r="HC52" i="2"/>
  <c r="C46" i="156"/>
  <c r="E47" i="156"/>
  <c r="I19" i="157"/>
  <c r="C49" i="22"/>
  <c r="E50" i="22"/>
  <c r="I19" i="10"/>
  <c r="C49" i="9"/>
  <c r="E50" i="9"/>
  <c r="BE52" i="2"/>
  <c r="E51" i="169"/>
  <c r="C50" i="169"/>
  <c r="HY51" i="2"/>
  <c r="C49" i="126"/>
  <c r="E50" i="126"/>
  <c r="E52" i="56"/>
  <c r="C51" i="56"/>
  <c r="I17" i="171"/>
  <c r="C46" i="166"/>
  <c r="E47" i="166"/>
  <c r="I18" i="76"/>
  <c r="E51" i="122"/>
  <c r="C50" i="122"/>
  <c r="E52" i="172"/>
  <c r="C51" i="172"/>
  <c r="CA51" i="2" s="1"/>
  <c r="I18" i="31"/>
  <c r="I19" i="129"/>
  <c r="C49" i="83"/>
  <c r="E50" i="83"/>
  <c r="M52" i="2"/>
  <c r="I17" i="8"/>
  <c r="AJ53" i="2"/>
  <c r="C49" i="94"/>
  <c r="E50" i="94"/>
  <c r="E49" i="72"/>
  <c r="C48" i="72"/>
  <c r="I18" i="53"/>
  <c r="E50" i="167"/>
  <c r="C49" i="167"/>
  <c r="C50" i="162"/>
  <c r="E51" i="162"/>
  <c r="I20" i="26"/>
  <c r="I20" i="16"/>
  <c r="E48" i="59"/>
  <c r="C47" i="59"/>
  <c r="I22" i="75"/>
  <c r="E48" i="45"/>
  <c r="C47" i="45"/>
  <c r="E51" i="36"/>
  <c r="C50" i="36"/>
  <c r="I18" i="73"/>
  <c r="CA52" i="2"/>
  <c r="E51" i="33"/>
  <c r="C50" i="33"/>
  <c r="M51" i="2"/>
  <c r="I19" i="173"/>
  <c r="I20" i="29"/>
  <c r="C50" i="41"/>
  <c r="E51" i="41"/>
  <c r="I19" i="41"/>
  <c r="I19" i="72"/>
  <c r="I19" i="165"/>
  <c r="I18" i="123"/>
  <c r="C48" i="159"/>
  <c r="E49" i="159"/>
  <c r="I19" i="167"/>
  <c r="E50" i="66"/>
  <c r="C49" i="66"/>
  <c r="IK52" i="2"/>
  <c r="I19" i="66"/>
  <c r="C49" i="110"/>
  <c r="E50" i="110"/>
  <c r="E50" i="57"/>
  <c r="C49" i="57"/>
  <c r="I18" i="52"/>
  <c r="E51" i="153"/>
  <c r="C50" i="153"/>
  <c r="E52" i="3"/>
  <c r="C51" i="3"/>
  <c r="AJ53" i="1"/>
  <c r="I21" i="82"/>
  <c r="I18" i="20"/>
  <c r="C51" i="28"/>
  <c r="E52" i="28"/>
  <c r="CW51" i="2"/>
  <c r="I19" i="60"/>
  <c r="I18" i="103"/>
  <c r="I18" i="50"/>
  <c r="I17" i="17"/>
  <c r="E50" i="19"/>
  <c r="C49" i="19"/>
  <c r="E51" i="125"/>
  <c r="C50" i="125"/>
  <c r="E51" i="31"/>
  <c r="C50" i="31"/>
  <c r="I19" i="18"/>
  <c r="I17" i="143"/>
  <c r="I20" i="89"/>
  <c r="I20" i="128"/>
  <c r="C49" i="161"/>
  <c r="E50" i="161"/>
  <c r="C51" i="107"/>
  <c r="E52" i="107"/>
  <c r="I18" i="111"/>
  <c r="E52" i="121"/>
  <c r="C51" i="121"/>
  <c r="E51" i="154"/>
  <c r="C50" i="154"/>
  <c r="IJ51" i="2"/>
  <c r="C46" i="87"/>
  <c r="E47" i="87"/>
  <c r="E51" i="101"/>
  <c r="C50" i="101"/>
  <c r="E52" i="7"/>
  <c r="C51" i="7"/>
  <c r="EO51" i="2" s="1"/>
  <c r="AT52" i="1"/>
  <c r="C50" i="132"/>
  <c r="E51" i="132"/>
  <c r="I18" i="137"/>
  <c r="C49" i="148"/>
  <c r="E50" i="148"/>
  <c r="C49" i="18"/>
  <c r="E50" i="18"/>
  <c r="E50" i="128"/>
  <c r="C49" i="128"/>
  <c r="I17" i="160"/>
  <c r="E51" i="117"/>
  <c r="C50" i="117"/>
  <c r="I20" i="9"/>
  <c r="C46" i="32"/>
  <c r="E47" i="32"/>
  <c r="E49" i="171"/>
  <c r="C48" i="171"/>
  <c r="I22" i="61"/>
  <c r="E51" i="10"/>
  <c r="C50" i="10"/>
  <c r="AI52" i="2"/>
  <c r="I20" i="101"/>
  <c r="GS53" i="2"/>
  <c r="I19" i="25"/>
  <c r="I18" i="80"/>
  <c r="IU51" i="2"/>
  <c r="I21" i="24"/>
  <c r="I17" i="112"/>
  <c r="I17" i="38"/>
  <c r="X52" i="1"/>
  <c r="C49" i="4"/>
  <c r="E50" i="4"/>
  <c r="AI52" i="1"/>
  <c r="C48" i="86"/>
  <c r="E49" i="86"/>
  <c r="I17" i="64"/>
  <c r="I20" i="98"/>
  <c r="E49" i="127"/>
  <c r="C48" i="127"/>
  <c r="C51" i="29"/>
  <c r="BE51" i="2" s="1"/>
  <c r="E52" i="29"/>
  <c r="C48" i="47"/>
  <c r="E49" i="47"/>
  <c r="C51" i="14"/>
  <c r="E52" i="14"/>
  <c r="C49" i="68"/>
  <c r="E50" i="68"/>
  <c r="HN52" i="2"/>
  <c r="AU53" i="1"/>
  <c r="I18" i="21"/>
  <c r="I18" i="97"/>
  <c r="E50" i="5"/>
  <c r="C49" i="5"/>
  <c r="E50" i="112"/>
  <c r="C49" i="112"/>
  <c r="CW50" i="2"/>
  <c r="I17" i="120"/>
  <c r="C49" i="139"/>
  <c r="E50" i="139"/>
  <c r="E50" i="16"/>
  <c r="C49" i="16"/>
  <c r="DT51" i="2"/>
  <c r="I17" i="43"/>
  <c r="E51" i="140"/>
  <c r="C50" i="140"/>
  <c r="I19" i="149"/>
  <c r="I18" i="161"/>
  <c r="I22" i="7"/>
  <c r="E51" i="89"/>
  <c r="C50" i="89"/>
  <c r="HN51" i="2"/>
  <c r="I17" i="148"/>
  <c r="I18" i="5"/>
  <c r="I17" i="105"/>
  <c r="I20" i="48"/>
  <c r="CB51" i="2" l="1"/>
  <c r="EP51" i="2"/>
  <c r="BF51" i="2"/>
  <c r="FL51" i="2"/>
  <c r="E48" i="171"/>
  <c r="C47" i="171"/>
  <c r="I19" i="123"/>
  <c r="I18" i="171"/>
  <c r="I21" i="127"/>
  <c r="C49" i="20"/>
  <c r="E50" i="20"/>
  <c r="I20" i="124"/>
  <c r="E48" i="26"/>
  <c r="C47" i="26"/>
  <c r="E44" i="82"/>
  <c r="C43" i="82"/>
  <c r="I19" i="4"/>
  <c r="I19" i="87"/>
  <c r="I22" i="94"/>
  <c r="E51" i="28"/>
  <c r="C50" i="28"/>
  <c r="I20" i="165"/>
  <c r="E51" i="56"/>
  <c r="C50" i="56"/>
  <c r="I20" i="113"/>
  <c r="I18" i="110"/>
  <c r="I19" i="104"/>
  <c r="E49" i="144"/>
  <c r="C48" i="144"/>
  <c r="E50" i="80"/>
  <c r="C49" i="80"/>
  <c r="FW52" i="2"/>
  <c r="I21" i="152"/>
  <c r="I19" i="144"/>
  <c r="I18" i="81"/>
  <c r="I21" i="62"/>
  <c r="C48" i="65"/>
  <c r="E49" i="65"/>
  <c r="C45" i="146"/>
  <c r="E46" i="146"/>
  <c r="E51" i="42"/>
  <c r="C50" i="42"/>
  <c r="FV51" i="2"/>
  <c r="E47" i="105"/>
  <c r="C46" i="105"/>
  <c r="I19" i="131"/>
  <c r="I18" i="40"/>
  <c r="C47" i="123"/>
  <c r="E48" i="123"/>
  <c r="I21" i="98"/>
  <c r="C49" i="133"/>
  <c r="E50" i="133"/>
  <c r="DH50" i="2"/>
  <c r="I19" i="39"/>
  <c r="I18" i="140"/>
  <c r="I21" i="156"/>
  <c r="I22" i="22"/>
  <c r="E50" i="108"/>
  <c r="C49" i="108"/>
  <c r="I19" i="121"/>
  <c r="E49" i="126"/>
  <c r="C48" i="126"/>
  <c r="E50" i="13"/>
  <c r="C49" i="13"/>
  <c r="I18" i="146"/>
  <c r="E48" i="61"/>
  <c r="C47" i="61"/>
  <c r="E49" i="11"/>
  <c r="C48" i="11"/>
  <c r="I21" i="172"/>
  <c r="I21" i="13"/>
  <c r="E46" i="30"/>
  <c r="C45" i="30"/>
  <c r="FA51" i="2"/>
  <c r="C47" i="86"/>
  <c r="E48" i="86"/>
  <c r="E50" i="117"/>
  <c r="C49" i="117"/>
  <c r="I20" i="41"/>
  <c r="I19" i="53"/>
  <c r="C49" i="169"/>
  <c r="E50" i="169"/>
  <c r="HY50" i="2"/>
  <c r="I21" i="142"/>
  <c r="I18" i="34"/>
  <c r="E50" i="15"/>
  <c r="C49" i="15"/>
  <c r="C49" i="134"/>
  <c r="E50" i="134"/>
  <c r="EZ50" i="2"/>
  <c r="I19" i="86"/>
  <c r="I18" i="166"/>
  <c r="C48" i="16"/>
  <c r="E49" i="16"/>
  <c r="E51" i="107"/>
  <c r="C50" i="107"/>
  <c r="I20" i="72"/>
  <c r="I21" i="9"/>
  <c r="I22" i="82"/>
  <c r="AJ52" i="1"/>
  <c r="C47" i="72"/>
  <c r="E48" i="72"/>
  <c r="I18" i="147"/>
  <c r="E48" i="40"/>
  <c r="C47" i="40"/>
  <c r="C49" i="88"/>
  <c r="E50" i="88"/>
  <c r="I18" i="55"/>
  <c r="HZ51" i="2"/>
  <c r="E49" i="139"/>
  <c r="C48" i="139"/>
  <c r="E49" i="161"/>
  <c r="C48" i="161"/>
  <c r="HZ52" i="2"/>
  <c r="I18" i="120"/>
  <c r="I21" i="128"/>
  <c r="BF52" i="2"/>
  <c r="E48" i="84"/>
  <c r="C47" i="84"/>
  <c r="I18" i="58"/>
  <c r="I19" i="154"/>
  <c r="E48" i="149"/>
  <c r="C47" i="149"/>
  <c r="I37" i="150"/>
  <c r="C45" i="138"/>
  <c r="E46" i="138"/>
  <c r="I23" i="12"/>
  <c r="I20" i="139"/>
  <c r="I20" i="158"/>
  <c r="E51" i="91"/>
  <c r="C50" i="91"/>
  <c r="C48" i="81"/>
  <c r="E49" i="81"/>
  <c r="I18" i="160"/>
  <c r="C50" i="3"/>
  <c r="E51" i="3"/>
  <c r="E50" i="41"/>
  <c r="C49" i="41"/>
  <c r="E48" i="115"/>
  <c r="C47" i="115"/>
  <c r="I23" i="15"/>
  <c r="I19" i="84"/>
  <c r="I19" i="119"/>
  <c r="I22" i="32"/>
  <c r="I20" i="68"/>
  <c r="E47" i="131"/>
  <c r="C46" i="131"/>
  <c r="C48" i="75"/>
  <c r="E49" i="75"/>
  <c r="E44" i="98"/>
  <c r="C43" i="98"/>
  <c r="E51" i="152"/>
  <c r="C50" i="152"/>
  <c r="I18" i="64"/>
  <c r="C49" i="48"/>
  <c r="E50" i="48"/>
  <c r="I20" i="92"/>
  <c r="I19" i="168"/>
  <c r="C46" i="160"/>
  <c r="E47" i="160"/>
  <c r="C45" i="157"/>
  <c r="E46" i="157"/>
  <c r="E49" i="128"/>
  <c r="C48" i="128"/>
  <c r="C48" i="94"/>
  <c r="E49" i="94"/>
  <c r="E49" i="9"/>
  <c r="C48" i="9"/>
  <c r="E49" i="112"/>
  <c r="C48" i="112"/>
  <c r="Y52" i="1"/>
  <c r="I21" i="89"/>
  <c r="I21" i="122"/>
  <c r="I23" i="134"/>
  <c r="E49" i="135"/>
  <c r="C48" i="135"/>
  <c r="CB52" i="1"/>
  <c r="I19" i="67"/>
  <c r="CX50" i="2"/>
  <c r="C48" i="4"/>
  <c r="E49" i="4"/>
  <c r="I21" i="29"/>
  <c r="E49" i="64"/>
  <c r="C48" i="64"/>
  <c r="I21" i="48"/>
  <c r="E50" i="153"/>
  <c r="C49" i="153"/>
  <c r="I20" i="10"/>
  <c r="I20" i="115"/>
  <c r="E50" i="79"/>
  <c r="C49" i="79"/>
  <c r="E49" i="137"/>
  <c r="C48" i="137"/>
  <c r="E49" i="54"/>
  <c r="C48" i="54"/>
  <c r="I20" i="44"/>
  <c r="I19" i="153"/>
  <c r="E48" i="120"/>
  <c r="C47" i="120"/>
  <c r="E51" i="90"/>
  <c r="C50" i="90"/>
  <c r="I18" i="43"/>
  <c r="E49" i="5"/>
  <c r="C48" i="5"/>
  <c r="I18" i="38"/>
  <c r="I18" i="143"/>
  <c r="I20" i="173"/>
  <c r="E47" i="43"/>
  <c r="C46" i="43"/>
  <c r="I18" i="125"/>
  <c r="I19" i="88"/>
  <c r="E51" i="49"/>
  <c r="C50" i="49"/>
  <c r="E51" i="92"/>
  <c r="C50" i="92"/>
  <c r="C50" i="6"/>
  <c r="E51" i="6"/>
  <c r="CA51" i="1"/>
  <c r="I18" i="163"/>
  <c r="N51" i="2"/>
  <c r="I18" i="8"/>
  <c r="C48" i="22"/>
  <c r="E49" i="22"/>
  <c r="I23" i="46"/>
  <c r="C47" i="37"/>
  <c r="E48" i="37"/>
  <c r="I22" i="79"/>
  <c r="I19" i="57"/>
  <c r="C49" i="44"/>
  <c r="E50" i="44"/>
  <c r="C48" i="74"/>
  <c r="E49" i="74"/>
  <c r="E49" i="60"/>
  <c r="C48" i="60"/>
  <c r="I19" i="52"/>
  <c r="C49" i="33"/>
  <c r="E50" i="33"/>
  <c r="M50" i="2"/>
  <c r="N52" i="2"/>
  <c r="C48" i="103"/>
  <c r="E49" i="103"/>
  <c r="C50" i="174"/>
  <c r="E51" i="174"/>
  <c r="E49" i="17"/>
  <c r="C48" i="17"/>
  <c r="E50" i="77"/>
  <c r="C49" i="77"/>
  <c r="E51" i="93"/>
  <c r="C50" i="93"/>
  <c r="E50" i="145"/>
  <c r="C49" i="145"/>
  <c r="CM51" i="2"/>
  <c r="E49" i="167"/>
  <c r="C48" i="167"/>
  <c r="I19" i="5"/>
  <c r="I19" i="97"/>
  <c r="E49" i="148"/>
  <c r="C48" i="148"/>
  <c r="C48" i="57"/>
  <c r="E49" i="57"/>
  <c r="I20" i="157"/>
  <c r="E51" i="58"/>
  <c r="C50" i="58"/>
  <c r="C48" i="99"/>
  <c r="E49" i="99"/>
  <c r="I18" i="65"/>
  <c r="E48" i="39"/>
  <c r="C47" i="39"/>
  <c r="I21" i="117"/>
  <c r="I21" i="107"/>
  <c r="E50" i="63"/>
  <c r="C49" i="63"/>
  <c r="I20" i="159"/>
  <c r="E47" i="111"/>
  <c r="C46" i="111"/>
  <c r="EE52" i="2"/>
  <c r="I20" i="30"/>
  <c r="I19" i="111"/>
  <c r="DI51" i="2"/>
  <c r="E46" i="32"/>
  <c r="C45" i="32"/>
  <c r="CB52" i="2"/>
  <c r="I20" i="93"/>
  <c r="C47" i="85"/>
  <c r="E48" i="85"/>
  <c r="I19" i="116"/>
  <c r="E50" i="38"/>
  <c r="C49" i="38"/>
  <c r="E51" i="109"/>
  <c r="C50" i="109"/>
  <c r="ED51" i="2"/>
  <c r="I19" i="162"/>
  <c r="DT50" i="2"/>
  <c r="C48" i="83"/>
  <c r="E49" i="83"/>
  <c r="E46" i="156"/>
  <c r="C45" i="156"/>
  <c r="I19" i="85"/>
  <c r="I19" i="138"/>
  <c r="I19" i="169"/>
  <c r="E50" i="119"/>
  <c r="C49" i="119"/>
  <c r="E49" i="113"/>
  <c r="C48" i="113"/>
  <c r="E49" i="129"/>
  <c r="C48" i="129"/>
  <c r="DS49" i="2"/>
  <c r="I19" i="21"/>
  <c r="IV51" i="2"/>
  <c r="I19" i="137"/>
  <c r="I18" i="148"/>
  <c r="E50" i="125"/>
  <c r="C49" i="125"/>
  <c r="C48" i="110"/>
  <c r="E49" i="110"/>
  <c r="I20" i="129"/>
  <c r="HD52" i="2"/>
  <c r="E50" i="23"/>
  <c r="C49" i="23"/>
  <c r="I18" i="47"/>
  <c r="C50" i="27"/>
  <c r="E51" i="27"/>
  <c r="C47" i="173"/>
  <c r="E48" i="173"/>
  <c r="I21" i="136"/>
  <c r="I19" i="3"/>
  <c r="C49" i="132"/>
  <c r="E50" i="132"/>
  <c r="I19" i="73"/>
  <c r="BQ52" i="1"/>
  <c r="C47" i="51"/>
  <c r="E48" i="51"/>
  <c r="I20" i="83"/>
  <c r="I19" i="54"/>
  <c r="I19" i="126"/>
  <c r="E50" i="97"/>
  <c r="C49" i="97"/>
  <c r="I19" i="19"/>
  <c r="I18" i="174"/>
  <c r="I20" i="118"/>
  <c r="E48" i="127"/>
  <c r="C47" i="127"/>
  <c r="I20" i="18"/>
  <c r="I18" i="112"/>
  <c r="E50" i="31"/>
  <c r="C49" i="31"/>
  <c r="CA50" i="2"/>
  <c r="E50" i="89"/>
  <c r="C49" i="89"/>
  <c r="HN50" i="2"/>
  <c r="AU52" i="1"/>
  <c r="E49" i="19"/>
  <c r="C48" i="19"/>
  <c r="I20" i="66"/>
  <c r="C49" i="36"/>
  <c r="CW49" i="2" s="1"/>
  <c r="E50" i="36"/>
  <c r="E51" i="8"/>
  <c r="C50" i="8"/>
  <c r="HC51" i="2"/>
  <c r="BP51" i="1"/>
  <c r="I20" i="99"/>
  <c r="I18" i="100"/>
  <c r="E51" i="136"/>
  <c r="C50" i="136"/>
  <c r="E50" i="35"/>
  <c r="C49" i="35"/>
  <c r="E50" i="76"/>
  <c r="C49" i="76"/>
  <c r="I20" i="23"/>
  <c r="C48" i="18"/>
  <c r="E49" i="18"/>
  <c r="E49" i="104"/>
  <c r="C48" i="104"/>
  <c r="C46" i="102"/>
  <c r="E47" i="102"/>
  <c r="I19" i="33"/>
  <c r="I18" i="45"/>
  <c r="E49" i="150"/>
  <c r="C48" i="150"/>
  <c r="I18" i="141"/>
  <c r="I22" i="27"/>
  <c r="I18" i="130"/>
  <c r="I19" i="20"/>
  <c r="C46" i="45"/>
  <c r="E47" i="45"/>
  <c r="C50" i="172"/>
  <c r="E51" i="172"/>
  <c r="I20" i="28"/>
  <c r="C49" i="164"/>
  <c r="E50" i="164"/>
  <c r="E48" i="168"/>
  <c r="C47" i="168"/>
  <c r="C50" i="53"/>
  <c r="E51" i="53"/>
  <c r="I23" i="133"/>
  <c r="E50" i="142"/>
  <c r="C49" i="142"/>
  <c r="I18" i="69"/>
  <c r="I18" i="17"/>
  <c r="C49" i="70"/>
  <c r="E50" i="70"/>
  <c r="I22" i="14"/>
  <c r="I21" i="51"/>
  <c r="C47" i="106"/>
  <c r="E48" i="106"/>
  <c r="I19" i="155"/>
  <c r="I18" i="95"/>
  <c r="I19" i="114"/>
  <c r="BQ52" i="2"/>
  <c r="C48" i="130"/>
  <c r="E49" i="130"/>
  <c r="I18" i="36"/>
  <c r="I18" i="105"/>
  <c r="I22" i="24"/>
  <c r="HO51" i="2"/>
  <c r="I19" i="80"/>
  <c r="HO52" i="2"/>
  <c r="I20" i="25"/>
  <c r="E51" i="7"/>
  <c r="C50" i="7"/>
  <c r="AT51" i="1"/>
  <c r="E49" i="66"/>
  <c r="C48" i="66"/>
  <c r="I19" i="50"/>
  <c r="I23" i="75"/>
  <c r="E50" i="122"/>
  <c r="C49" i="122"/>
  <c r="C46" i="165"/>
  <c r="E47" i="165"/>
  <c r="I22" i="42"/>
  <c r="E50" i="114"/>
  <c r="C49" i="114"/>
  <c r="I19" i="151"/>
  <c r="E51" i="52"/>
  <c r="C50" i="52"/>
  <c r="BP51" i="2"/>
  <c r="C49" i="21"/>
  <c r="E50" i="21"/>
  <c r="E51" i="143"/>
  <c r="C50" i="143"/>
  <c r="E49" i="25"/>
  <c r="C48" i="25"/>
  <c r="E51" i="158"/>
  <c r="C50" i="158"/>
  <c r="GR50" i="2" s="1"/>
  <c r="E50" i="96"/>
  <c r="C49" i="96"/>
  <c r="I19" i="49"/>
  <c r="C49" i="162"/>
  <c r="E50" i="162"/>
  <c r="I19" i="161"/>
  <c r="E51" i="14"/>
  <c r="C50" i="14"/>
  <c r="GR51" i="2"/>
  <c r="E50" i="151"/>
  <c r="C49" i="151"/>
  <c r="Y52" i="2"/>
  <c r="I18" i="91"/>
  <c r="E51" i="155"/>
  <c r="C50" i="155"/>
  <c r="C48" i="118"/>
  <c r="E49" i="118"/>
  <c r="I23" i="7"/>
  <c r="E50" i="101"/>
  <c r="C49" i="101"/>
  <c r="E47" i="34"/>
  <c r="C46" i="34"/>
  <c r="I21" i="101"/>
  <c r="I20" i="149"/>
  <c r="AJ52" i="2"/>
  <c r="E46" i="87"/>
  <c r="C45" i="87"/>
  <c r="I19" i="103"/>
  <c r="I20" i="167"/>
  <c r="E47" i="59"/>
  <c r="C46" i="59"/>
  <c r="I19" i="76"/>
  <c r="I18" i="109"/>
  <c r="I20" i="63"/>
  <c r="N52" i="1"/>
  <c r="E49" i="67"/>
  <c r="C48" i="67"/>
  <c r="I19" i="170"/>
  <c r="I18" i="96"/>
  <c r="C50" i="100"/>
  <c r="E51" i="100"/>
  <c r="I20" i="37"/>
  <c r="E48" i="69"/>
  <c r="C47" i="69"/>
  <c r="C49" i="78"/>
  <c r="E50" i="78"/>
  <c r="I19" i="31"/>
  <c r="E51" i="55"/>
  <c r="C50" i="55"/>
  <c r="FK50" i="2" s="1"/>
  <c r="C48" i="68"/>
  <c r="E49" i="68"/>
  <c r="I18" i="35"/>
  <c r="E51" i="12"/>
  <c r="C50" i="12"/>
  <c r="X51" i="2"/>
  <c r="M51" i="1"/>
  <c r="I21" i="77"/>
  <c r="E51" i="170"/>
  <c r="C50" i="170"/>
  <c r="AI50" i="2" s="1"/>
  <c r="I22" i="71"/>
  <c r="I21" i="78"/>
  <c r="I23" i="74"/>
  <c r="I21" i="132"/>
  <c r="AU52" i="2"/>
  <c r="E48" i="47"/>
  <c r="C47" i="47"/>
  <c r="E50" i="10"/>
  <c r="C49" i="10"/>
  <c r="IK51" i="2"/>
  <c r="AI51" i="2"/>
  <c r="I21" i="16"/>
  <c r="E48" i="163"/>
  <c r="C47" i="163"/>
  <c r="E49" i="116"/>
  <c r="C48" i="116"/>
  <c r="I18" i="102"/>
  <c r="E51" i="50"/>
  <c r="C50" i="50"/>
  <c r="AT51" i="2"/>
  <c r="I19" i="108"/>
  <c r="E50" i="154"/>
  <c r="C49" i="154"/>
  <c r="IJ50" i="2"/>
  <c r="C49" i="140"/>
  <c r="E50" i="140"/>
  <c r="E51" i="29"/>
  <c r="C50" i="29"/>
  <c r="X51" i="1"/>
  <c r="I20" i="60"/>
  <c r="E48" i="159"/>
  <c r="C47" i="159"/>
  <c r="E46" i="166"/>
  <c r="C45" i="166"/>
  <c r="C47" i="141"/>
  <c r="E48" i="141"/>
  <c r="E50" i="71"/>
  <c r="C49" i="71"/>
  <c r="I23" i="145"/>
  <c r="I22" i="59"/>
  <c r="I21" i="164"/>
  <c r="I19" i="70"/>
  <c r="I19" i="106"/>
  <c r="C47" i="62"/>
  <c r="E48" i="62"/>
  <c r="C47" i="124"/>
  <c r="E48" i="124"/>
  <c r="I18" i="11"/>
  <c r="I23" i="61"/>
  <c r="E51" i="121"/>
  <c r="C50" i="121"/>
  <c r="CX51" i="2"/>
  <c r="I21" i="26"/>
  <c r="C47" i="73"/>
  <c r="E48" i="73"/>
  <c r="C49" i="147"/>
  <c r="E50" i="147"/>
  <c r="I18" i="90"/>
  <c r="I19" i="56"/>
  <c r="C49" i="95"/>
  <c r="E50" i="95"/>
  <c r="I21" i="135"/>
  <c r="E51" i="46"/>
  <c r="C50" i="46"/>
  <c r="AI51" i="1"/>
  <c r="GS50" i="2" l="1"/>
  <c r="CX49" i="2"/>
  <c r="FL50" i="2"/>
  <c r="AJ50" i="2"/>
  <c r="GS51" i="2"/>
  <c r="I20" i="155"/>
  <c r="C49" i="8"/>
  <c r="E50" i="8"/>
  <c r="HC50" i="2"/>
  <c r="BP50" i="1"/>
  <c r="I20" i="126"/>
  <c r="C48" i="125"/>
  <c r="E49" i="125"/>
  <c r="C42" i="98"/>
  <c r="E43" i="98"/>
  <c r="E49" i="134"/>
  <c r="C48" i="134"/>
  <c r="EZ49" i="2"/>
  <c r="I23" i="94"/>
  <c r="EE51" i="2"/>
  <c r="I20" i="106"/>
  <c r="C49" i="50"/>
  <c r="E50" i="50"/>
  <c r="AT50" i="2"/>
  <c r="Y51" i="2"/>
  <c r="I20" i="54"/>
  <c r="C49" i="109"/>
  <c r="E50" i="109"/>
  <c r="ED50" i="2"/>
  <c r="I22" i="117"/>
  <c r="I19" i="163"/>
  <c r="I21" i="44"/>
  <c r="I24" i="134"/>
  <c r="I21" i="158"/>
  <c r="E49" i="15"/>
  <c r="C48" i="15"/>
  <c r="C48" i="13"/>
  <c r="E49" i="13"/>
  <c r="IU49" i="2"/>
  <c r="I19" i="130"/>
  <c r="C49" i="14"/>
  <c r="E50" i="14"/>
  <c r="I24" i="75"/>
  <c r="I23" i="27"/>
  <c r="C49" i="12"/>
  <c r="E50" i="12"/>
  <c r="M50" i="1"/>
  <c r="X50" i="2"/>
  <c r="C45" i="59"/>
  <c r="E46" i="59"/>
  <c r="E47" i="106"/>
  <c r="C46" i="106"/>
  <c r="I19" i="148"/>
  <c r="C46" i="39"/>
  <c r="E47" i="39"/>
  <c r="C49" i="174"/>
  <c r="E50" i="174"/>
  <c r="CB51" i="1"/>
  <c r="C47" i="54"/>
  <c r="E48" i="54"/>
  <c r="I22" i="122"/>
  <c r="I19" i="55"/>
  <c r="E45" i="146"/>
  <c r="C44" i="146"/>
  <c r="I20" i="87"/>
  <c r="C48" i="38"/>
  <c r="E49" i="38"/>
  <c r="C47" i="75"/>
  <c r="E48" i="75"/>
  <c r="I21" i="139"/>
  <c r="C47" i="126"/>
  <c r="E48" i="126"/>
  <c r="I20" i="161"/>
  <c r="I21" i="66"/>
  <c r="I21" i="83"/>
  <c r="I20" i="137"/>
  <c r="I19" i="65"/>
  <c r="E48" i="103"/>
  <c r="C47" i="103"/>
  <c r="C49" i="6"/>
  <c r="E50" i="6"/>
  <c r="CA50" i="1"/>
  <c r="IU50" i="2"/>
  <c r="E48" i="137"/>
  <c r="C47" i="137"/>
  <c r="I22" i="89"/>
  <c r="E46" i="131"/>
  <c r="C45" i="131"/>
  <c r="I19" i="34"/>
  <c r="E48" i="65"/>
  <c r="C47" i="65"/>
  <c r="I20" i="4"/>
  <c r="E48" i="66"/>
  <c r="C47" i="66"/>
  <c r="I22" i="51"/>
  <c r="I22" i="164"/>
  <c r="C47" i="116"/>
  <c r="E48" i="116"/>
  <c r="I19" i="35"/>
  <c r="C47" i="150"/>
  <c r="E48" i="150"/>
  <c r="E50" i="92"/>
  <c r="C49" i="92"/>
  <c r="I24" i="12"/>
  <c r="E43" i="82"/>
  <c r="C42" i="82"/>
  <c r="I21" i="167"/>
  <c r="I23" i="59"/>
  <c r="E49" i="162"/>
  <c r="C48" i="162"/>
  <c r="AU51" i="1"/>
  <c r="I23" i="14"/>
  <c r="E48" i="19"/>
  <c r="C47" i="19"/>
  <c r="C46" i="51"/>
  <c r="E47" i="51"/>
  <c r="I20" i="116"/>
  <c r="E49" i="79"/>
  <c r="C48" i="79"/>
  <c r="I21" i="68"/>
  <c r="E49" i="88"/>
  <c r="C48" i="88"/>
  <c r="I22" i="142"/>
  <c r="I20" i="121"/>
  <c r="I22" i="62"/>
  <c r="E50" i="7"/>
  <c r="C49" i="7"/>
  <c r="AT50" i="1"/>
  <c r="C47" i="99"/>
  <c r="E48" i="99"/>
  <c r="N50" i="2"/>
  <c r="C49" i="49"/>
  <c r="E50" i="49"/>
  <c r="HZ50" i="2"/>
  <c r="E49" i="108"/>
  <c r="C48" i="108"/>
  <c r="I19" i="81"/>
  <c r="E47" i="26"/>
  <c r="C46" i="26"/>
  <c r="C49" i="55"/>
  <c r="E50" i="55"/>
  <c r="E45" i="87"/>
  <c r="C44" i="87"/>
  <c r="I20" i="49"/>
  <c r="E49" i="70"/>
  <c r="C48" i="70"/>
  <c r="I19" i="45"/>
  <c r="E47" i="85"/>
  <c r="C46" i="85"/>
  <c r="C49" i="58"/>
  <c r="CA49" i="2" s="1"/>
  <c r="E50" i="58"/>
  <c r="C44" i="138"/>
  <c r="E45" i="138"/>
  <c r="E47" i="40"/>
  <c r="C46" i="40"/>
  <c r="AJ51" i="1"/>
  <c r="I20" i="50"/>
  <c r="I19" i="141"/>
  <c r="E49" i="36"/>
  <c r="C48" i="36"/>
  <c r="E50" i="46"/>
  <c r="C49" i="46"/>
  <c r="C48" i="96"/>
  <c r="E49" i="96"/>
  <c r="I19" i="17"/>
  <c r="I20" i="21"/>
  <c r="C48" i="33"/>
  <c r="E49" i="33"/>
  <c r="I20" i="88"/>
  <c r="I21" i="115"/>
  <c r="C47" i="112"/>
  <c r="E48" i="112"/>
  <c r="I23" i="32"/>
  <c r="E49" i="169"/>
  <c r="C48" i="169"/>
  <c r="HY49" i="2"/>
  <c r="C46" i="163"/>
  <c r="E47" i="163"/>
  <c r="I20" i="73"/>
  <c r="DT49" i="2"/>
  <c r="I21" i="93"/>
  <c r="I20" i="52"/>
  <c r="I20" i="119"/>
  <c r="I38" i="150"/>
  <c r="I23" i="22"/>
  <c r="I20" i="144"/>
  <c r="I21" i="124"/>
  <c r="I21" i="157"/>
  <c r="I21" i="10"/>
  <c r="E48" i="9"/>
  <c r="C47" i="9"/>
  <c r="C46" i="149"/>
  <c r="E47" i="149"/>
  <c r="I19" i="147"/>
  <c r="I20" i="53"/>
  <c r="I22" i="156"/>
  <c r="I20" i="76"/>
  <c r="E46" i="102"/>
  <c r="C45" i="102"/>
  <c r="E48" i="60"/>
  <c r="C47" i="60"/>
  <c r="I19" i="125"/>
  <c r="E49" i="153"/>
  <c r="C48" i="153"/>
  <c r="I22" i="152"/>
  <c r="N51" i="1"/>
  <c r="I19" i="102"/>
  <c r="C47" i="129"/>
  <c r="E48" i="129"/>
  <c r="DS48" i="2"/>
  <c r="I21" i="149"/>
  <c r="I20" i="80"/>
  <c r="E46" i="43"/>
  <c r="C45" i="43"/>
  <c r="I20" i="84"/>
  <c r="E47" i="72"/>
  <c r="C46" i="72"/>
  <c r="I21" i="41"/>
  <c r="AJ51" i="2"/>
  <c r="E49" i="132"/>
  <c r="C48" i="132"/>
  <c r="E49" i="31"/>
  <c r="C48" i="31"/>
  <c r="I20" i="3"/>
  <c r="C47" i="57"/>
  <c r="E48" i="57"/>
  <c r="E48" i="94"/>
  <c r="C47" i="94"/>
  <c r="I20" i="154"/>
  <c r="E49" i="117"/>
  <c r="C48" i="117"/>
  <c r="I19" i="140"/>
  <c r="C48" i="20"/>
  <c r="E49" i="20"/>
  <c r="E48" i="68"/>
  <c r="C47" i="68"/>
  <c r="E48" i="25"/>
  <c r="C47" i="25"/>
  <c r="C44" i="32"/>
  <c r="E45" i="32"/>
  <c r="C46" i="69"/>
  <c r="E47" i="69"/>
  <c r="I22" i="101"/>
  <c r="E49" i="147"/>
  <c r="C48" i="147"/>
  <c r="C49" i="143"/>
  <c r="E50" i="143"/>
  <c r="I24" i="133"/>
  <c r="I22" i="136"/>
  <c r="E49" i="119"/>
  <c r="C48" i="119"/>
  <c r="E48" i="148"/>
  <c r="C47" i="148"/>
  <c r="C47" i="74"/>
  <c r="E48" i="74"/>
  <c r="E48" i="128"/>
  <c r="C47" i="128"/>
  <c r="I24" i="15"/>
  <c r="I19" i="58"/>
  <c r="C48" i="80"/>
  <c r="E49" i="80"/>
  <c r="I22" i="127"/>
  <c r="E49" i="142"/>
  <c r="C48" i="142"/>
  <c r="CB50" i="2"/>
  <c r="C48" i="10"/>
  <c r="E49" i="10"/>
  <c r="C46" i="47"/>
  <c r="E47" i="47"/>
  <c r="C45" i="34"/>
  <c r="E46" i="34"/>
  <c r="I19" i="112"/>
  <c r="I21" i="173"/>
  <c r="I22" i="48"/>
  <c r="E47" i="115"/>
  <c r="C46" i="115"/>
  <c r="I20" i="39"/>
  <c r="I20" i="56"/>
  <c r="E49" i="78"/>
  <c r="C48" i="78"/>
  <c r="E48" i="104"/>
  <c r="C47" i="104"/>
  <c r="E48" i="113"/>
  <c r="C47" i="113"/>
  <c r="C44" i="166"/>
  <c r="E45" i="166"/>
  <c r="C46" i="73"/>
  <c r="E47" i="73"/>
  <c r="C46" i="159"/>
  <c r="E47" i="159"/>
  <c r="I21" i="37"/>
  <c r="I23" i="24"/>
  <c r="C47" i="18"/>
  <c r="E48" i="18"/>
  <c r="I20" i="97"/>
  <c r="C48" i="44"/>
  <c r="E49" i="44"/>
  <c r="E48" i="64"/>
  <c r="C47" i="64"/>
  <c r="E47" i="84"/>
  <c r="C46" i="84"/>
  <c r="I23" i="82"/>
  <c r="E47" i="86"/>
  <c r="C46" i="86"/>
  <c r="DI50" i="2"/>
  <c r="E48" i="144"/>
  <c r="C47" i="144"/>
  <c r="I19" i="171"/>
  <c r="I19" i="90"/>
  <c r="C48" i="21"/>
  <c r="E49" i="21"/>
  <c r="E50" i="53"/>
  <c r="C49" i="53"/>
  <c r="BE49" i="2" s="1"/>
  <c r="I20" i="169"/>
  <c r="I20" i="111"/>
  <c r="I19" i="143"/>
  <c r="C44" i="157"/>
  <c r="E45" i="157"/>
  <c r="BE50" i="2"/>
  <c r="I22" i="9"/>
  <c r="I22" i="135"/>
  <c r="I22" i="16"/>
  <c r="E47" i="141"/>
  <c r="C46" i="141"/>
  <c r="I21" i="23"/>
  <c r="I21" i="18"/>
  <c r="E47" i="173"/>
  <c r="C46" i="173"/>
  <c r="I20" i="138"/>
  <c r="I20" i="5"/>
  <c r="I20" i="57"/>
  <c r="I19" i="38"/>
  <c r="I22" i="29"/>
  <c r="C48" i="41"/>
  <c r="E49" i="41"/>
  <c r="E49" i="133"/>
  <c r="C48" i="133"/>
  <c r="DH49" i="2"/>
  <c r="I20" i="123"/>
  <c r="I21" i="25"/>
  <c r="I24" i="7"/>
  <c r="I19" i="105"/>
  <c r="E49" i="76"/>
  <c r="C48" i="76"/>
  <c r="C46" i="127"/>
  <c r="E47" i="127"/>
  <c r="I21" i="30"/>
  <c r="I21" i="72"/>
  <c r="E45" i="30"/>
  <c r="C44" i="30"/>
  <c r="I20" i="104"/>
  <c r="I19" i="69"/>
  <c r="I21" i="60"/>
  <c r="C49" i="27"/>
  <c r="E50" i="27"/>
  <c r="C47" i="167"/>
  <c r="E48" i="167"/>
  <c r="I23" i="79"/>
  <c r="AI49" i="1"/>
  <c r="C45" i="160"/>
  <c r="E46" i="160"/>
  <c r="I22" i="128"/>
  <c r="I22" i="98"/>
  <c r="I19" i="110"/>
  <c r="C46" i="171"/>
  <c r="E47" i="171"/>
  <c r="C49" i="100"/>
  <c r="E50" i="100"/>
  <c r="Y51" i="1"/>
  <c r="I19" i="96"/>
  <c r="C49" i="29"/>
  <c r="X49" i="1" s="1"/>
  <c r="E50" i="29"/>
  <c r="X50" i="1"/>
  <c r="C48" i="35"/>
  <c r="E49" i="35"/>
  <c r="I20" i="85"/>
  <c r="E48" i="5"/>
  <c r="C47" i="5"/>
  <c r="E50" i="107"/>
  <c r="C49" i="107"/>
  <c r="C49" i="52"/>
  <c r="E50" i="52"/>
  <c r="BP50" i="2"/>
  <c r="E50" i="121"/>
  <c r="C49" i="121"/>
  <c r="E49" i="164"/>
  <c r="C48" i="164"/>
  <c r="I24" i="74"/>
  <c r="I20" i="170"/>
  <c r="C47" i="118"/>
  <c r="E48" i="118"/>
  <c r="I20" i="151"/>
  <c r="I21" i="118"/>
  <c r="I19" i="47"/>
  <c r="E45" i="156"/>
  <c r="C44" i="156"/>
  <c r="C45" i="111"/>
  <c r="E46" i="111"/>
  <c r="C46" i="37"/>
  <c r="E47" i="37"/>
  <c r="E48" i="4"/>
  <c r="C47" i="4"/>
  <c r="I20" i="168"/>
  <c r="I19" i="120"/>
  <c r="I22" i="13"/>
  <c r="E47" i="123"/>
  <c r="C46" i="123"/>
  <c r="E49" i="95"/>
  <c r="C48" i="95"/>
  <c r="HO50" i="2"/>
  <c r="I19" i="36"/>
  <c r="E50" i="155"/>
  <c r="C49" i="155"/>
  <c r="C48" i="114"/>
  <c r="E49" i="114"/>
  <c r="E48" i="130"/>
  <c r="C47" i="130"/>
  <c r="I21" i="28"/>
  <c r="E49" i="23"/>
  <c r="C48" i="23"/>
  <c r="I19" i="43"/>
  <c r="I21" i="92"/>
  <c r="C49" i="3"/>
  <c r="E50" i="3"/>
  <c r="I21" i="113"/>
  <c r="C49" i="158"/>
  <c r="E50" i="158"/>
  <c r="BQ51" i="2"/>
  <c r="C46" i="168"/>
  <c r="E47" i="168"/>
  <c r="I22" i="132"/>
  <c r="E48" i="67"/>
  <c r="C47" i="67"/>
  <c r="C49" i="136"/>
  <c r="E50" i="136"/>
  <c r="I24" i="61"/>
  <c r="I22" i="78"/>
  <c r="I19" i="174"/>
  <c r="I21" i="159"/>
  <c r="E49" i="145"/>
  <c r="C48" i="145"/>
  <c r="CW48" i="2" s="1"/>
  <c r="I24" i="46"/>
  <c r="I19" i="160"/>
  <c r="E48" i="16"/>
  <c r="C47" i="16"/>
  <c r="I22" i="172"/>
  <c r="I19" i="40"/>
  <c r="E50" i="56"/>
  <c r="C49" i="56"/>
  <c r="AI50" i="1"/>
  <c r="I24" i="145"/>
  <c r="I20" i="31"/>
  <c r="C48" i="101"/>
  <c r="E49" i="101"/>
  <c r="I22" i="26"/>
  <c r="I19" i="91"/>
  <c r="C49" i="172"/>
  <c r="E50" i="172"/>
  <c r="E50" i="90"/>
  <c r="C49" i="90"/>
  <c r="CL49" i="2" s="1"/>
  <c r="I20" i="67"/>
  <c r="I19" i="166"/>
  <c r="E48" i="11"/>
  <c r="C47" i="11"/>
  <c r="I20" i="131"/>
  <c r="C48" i="89"/>
  <c r="E49" i="89"/>
  <c r="HN49" i="2"/>
  <c r="E49" i="140"/>
  <c r="C48" i="140"/>
  <c r="AI49" i="2"/>
  <c r="I19" i="11"/>
  <c r="IK50" i="2"/>
  <c r="I23" i="71"/>
  <c r="I23" i="42"/>
  <c r="I20" i="114"/>
  <c r="I19" i="100"/>
  <c r="I20" i="19"/>
  <c r="E48" i="83"/>
  <c r="C47" i="83"/>
  <c r="CL50" i="2"/>
  <c r="C49" i="93"/>
  <c r="E50" i="93"/>
  <c r="C47" i="22"/>
  <c r="E48" i="22"/>
  <c r="E49" i="48"/>
  <c r="C48" i="48"/>
  <c r="C48" i="154"/>
  <c r="E49" i="154"/>
  <c r="E50" i="170"/>
  <c r="C49" i="170"/>
  <c r="I21" i="63"/>
  <c r="E46" i="45"/>
  <c r="C45" i="45"/>
  <c r="I21" i="99"/>
  <c r="EO50" i="2"/>
  <c r="I21" i="129"/>
  <c r="C48" i="63"/>
  <c r="E49" i="63"/>
  <c r="I19" i="8"/>
  <c r="E47" i="120"/>
  <c r="C46" i="120"/>
  <c r="E48" i="81"/>
  <c r="C47" i="81"/>
  <c r="C47" i="161"/>
  <c r="E48" i="161"/>
  <c r="E46" i="105"/>
  <c r="C45" i="105"/>
  <c r="I21" i="165"/>
  <c r="I20" i="103"/>
  <c r="C48" i="71"/>
  <c r="E49" i="71"/>
  <c r="E47" i="124"/>
  <c r="C46" i="124"/>
  <c r="E46" i="165"/>
  <c r="C45" i="165"/>
  <c r="I20" i="20"/>
  <c r="E49" i="97"/>
  <c r="C48" i="97"/>
  <c r="EO49" i="2"/>
  <c r="E49" i="77"/>
  <c r="C48" i="77"/>
  <c r="I19" i="64"/>
  <c r="I20" i="86"/>
  <c r="C46" i="61"/>
  <c r="E47" i="61"/>
  <c r="E50" i="28"/>
  <c r="C49" i="28"/>
  <c r="I20" i="33"/>
  <c r="I20" i="108"/>
  <c r="I22" i="77"/>
  <c r="E49" i="151"/>
  <c r="C48" i="151"/>
  <c r="E49" i="122"/>
  <c r="C48" i="122"/>
  <c r="I19" i="95"/>
  <c r="BQ51" i="1"/>
  <c r="E48" i="135"/>
  <c r="C47" i="135"/>
  <c r="E50" i="152"/>
  <c r="C49" i="152"/>
  <c r="C49" i="91"/>
  <c r="E50" i="91"/>
  <c r="E48" i="139"/>
  <c r="C47" i="139"/>
  <c r="FA50" i="2"/>
  <c r="FW51" i="2"/>
  <c r="AU51" i="2"/>
  <c r="I20" i="70"/>
  <c r="E47" i="62"/>
  <c r="C46" i="62"/>
  <c r="I19" i="109"/>
  <c r="HD51" i="2"/>
  <c r="E48" i="110"/>
  <c r="C47" i="110"/>
  <c r="I20" i="162"/>
  <c r="I22" i="107"/>
  <c r="C47" i="17"/>
  <c r="E48" i="17"/>
  <c r="I20" i="153"/>
  <c r="I19" i="146"/>
  <c r="C49" i="42"/>
  <c r="E50" i="42"/>
  <c r="FV50" i="2"/>
  <c r="CB49" i="2" l="1"/>
  <c r="BF49" i="2"/>
  <c r="CX48" i="2"/>
  <c r="Y49" i="1"/>
  <c r="CM49" i="2"/>
  <c r="E47" i="135"/>
  <c r="C46" i="135"/>
  <c r="I21" i="138"/>
  <c r="C45" i="141"/>
  <c r="E46" i="141"/>
  <c r="I24" i="82"/>
  <c r="E47" i="148"/>
  <c r="C46" i="148"/>
  <c r="C47" i="153"/>
  <c r="E48" i="153"/>
  <c r="I39" i="150"/>
  <c r="I20" i="17"/>
  <c r="E49" i="55"/>
  <c r="C48" i="55"/>
  <c r="I21" i="116"/>
  <c r="I22" i="139"/>
  <c r="I24" i="27"/>
  <c r="I21" i="123"/>
  <c r="I22" i="63"/>
  <c r="C48" i="155"/>
  <c r="E49" i="155"/>
  <c r="E47" i="118"/>
  <c r="C46" i="118"/>
  <c r="I20" i="105"/>
  <c r="C45" i="84"/>
  <c r="E46" i="84"/>
  <c r="I21" i="39"/>
  <c r="E47" i="57"/>
  <c r="C46" i="57"/>
  <c r="C45" i="26"/>
  <c r="E46" i="26"/>
  <c r="I21" i="106"/>
  <c r="C45" i="115"/>
  <c r="E46" i="115"/>
  <c r="C47" i="119"/>
  <c r="E48" i="119"/>
  <c r="E48" i="96"/>
  <c r="C47" i="96"/>
  <c r="C45" i="51"/>
  <c r="E46" i="51"/>
  <c r="I21" i="4"/>
  <c r="E47" i="75"/>
  <c r="C46" i="75"/>
  <c r="I25" i="75"/>
  <c r="I23" i="132"/>
  <c r="I25" i="145"/>
  <c r="I22" i="99"/>
  <c r="C46" i="81"/>
  <c r="E47" i="81"/>
  <c r="E46" i="171"/>
  <c r="C45" i="171"/>
  <c r="E46" i="62"/>
  <c r="C45" i="62"/>
  <c r="E49" i="28"/>
  <c r="C48" i="28"/>
  <c r="E46" i="120"/>
  <c r="C45" i="120"/>
  <c r="I21" i="19"/>
  <c r="I20" i="91"/>
  <c r="I25" i="61"/>
  <c r="I21" i="170"/>
  <c r="I20" i="110"/>
  <c r="I20" i="100"/>
  <c r="I23" i="16"/>
  <c r="E47" i="64"/>
  <c r="C46" i="64"/>
  <c r="I21" i="3"/>
  <c r="I20" i="125"/>
  <c r="I21" i="119"/>
  <c r="E49" i="46"/>
  <c r="C48" i="46"/>
  <c r="E47" i="19"/>
  <c r="C46" i="19"/>
  <c r="E47" i="65"/>
  <c r="C46" i="65"/>
  <c r="E48" i="95"/>
  <c r="C47" i="95"/>
  <c r="I20" i="146"/>
  <c r="E49" i="172"/>
  <c r="C48" i="172"/>
  <c r="I23" i="78"/>
  <c r="C47" i="114"/>
  <c r="E48" i="114"/>
  <c r="I21" i="70"/>
  <c r="I23" i="26"/>
  <c r="E49" i="136"/>
  <c r="C48" i="136"/>
  <c r="I20" i="36"/>
  <c r="I25" i="74"/>
  <c r="I23" i="98"/>
  <c r="I25" i="7"/>
  <c r="I23" i="136"/>
  <c r="C46" i="60"/>
  <c r="E47" i="60"/>
  <c r="I21" i="52"/>
  <c r="I20" i="81"/>
  <c r="E48" i="38"/>
  <c r="C47" i="38"/>
  <c r="E49" i="14"/>
  <c r="C48" i="14"/>
  <c r="EP49" i="2"/>
  <c r="E49" i="152"/>
  <c r="C48" i="152"/>
  <c r="I21" i="20"/>
  <c r="E46" i="61"/>
  <c r="C45" i="61"/>
  <c r="C46" i="67"/>
  <c r="E47" i="67"/>
  <c r="I23" i="135"/>
  <c r="E48" i="31"/>
  <c r="C47" i="31"/>
  <c r="C47" i="36"/>
  <c r="E48" i="36"/>
  <c r="C47" i="108"/>
  <c r="E48" i="108"/>
  <c r="I24" i="14"/>
  <c r="I20" i="34"/>
  <c r="I20" i="130"/>
  <c r="I24" i="94"/>
  <c r="I20" i="64"/>
  <c r="I20" i="8"/>
  <c r="I23" i="48"/>
  <c r="I21" i="86"/>
  <c r="I21" i="114"/>
  <c r="E48" i="101"/>
  <c r="C47" i="101"/>
  <c r="E48" i="164"/>
  <c r="C47" i="164"/>
  <c r="I23" i="128"/>
  <c r="I22" i="25"/>
  <c r="I23" i="9"/>
  <c r="C47" i="44"/>
  <c r="E48" i="44"/>
  <c r="I22" i="173"/>
  <c r="C44" i="102"/>
  <c r="E45" i="102"/>
  <c r="I21" i="87"/>
  <c r="FA49" i="2"/>
  <c r="I21" i="97"/>
  <c r="I25" i="133"/>
  <c r="E48" i="132"/>
  <c r="C47" i="132"/>
  <c r="I22" i="93"/>
  <c r="C44" i="131"/>
  <c r="E45" i="131"/>
  <c r="E44" i="146"/>
  <c r="C43" i="146"/>
  <c r="IV49" i="2"/>
  <c r="C47" i="134"/>
  <c r="E48" i="134"/>
  <c r="EZ48" i="2"/>
  <c r="E49" i="121"/>
  <c r="C48" i="121"/>
  <c r="BF50" i="2"/>
  <c r="I21" i="76"/>
  <c r="I20" i="141"/>
  <c r="I20" i="112"/>
  <c r="C48" i="143"/>
  <c r="E49" i="143"/>
  <c r="I21" i="50"/>
  <c r="E48" i="162"/>
  <c r="C47" i="162"/>
  <c r="I20" i="55"/>
  <c r="E48" i="13"/>
  <c r="C47" i="13"/>
  <c r="I24" i="42"/>
  <c r="E44" i="157"/>
  <c r="C43" i="157"/>
  <c r="C47" i="147"/>
  <c r="E48" i="147"/>
  <c r="C48" i="49"/>
  <c r="E49" i="49"/>
  <c r="I23" i="89"/>
  <c r="C47" i="15"/>
  <c r="E48" i="15"/>
  <c r="E42" i="98"/>
  <c r="C41" i="98"/>
  <c r="AJ49" i="1"/>
  <c r="E48" i="133"/>
  <c r="C47" i="133"/>
  <c r="DH48" i="2"/>
  <c r="E47" i="139"/>
  <c r="C46" i="139"/>
  <c r="EP50" i="2"/>
  <c r="AJ50" i="1"/>
  <c r="I23" i="13"/>
  <c r="I20" i="143"/>
  <c r="E47" i="18"/>
  <c r="C46" i="18"/>
  <c r="C44" i="34"/>
  <c r="E45" i="34"/>
  <c r="I22" i="41"/>
  <c r="I21" i="73"/>
  <c r="E47" i="137"/>
  <c r="C46" i="137"/>
  <c r="E49" i="56"/>
  <c r="C48" i="56"/>
  <c r="C48" i="52"/>
  <c r="E49" i="52"/>
  <c r="BP49" i="2"/>
  <c r="I24" i="79"/>
  <c r="I24" i="59"/>
  <c r="I23" i="122"/>
  <c r="I22" i="158"/>
  <c r="E48" i="125"/>
  <c r="C47" i="125"/>
  <c r="I20" i="11"/>
  <c r="I24" i="24"/>
  <c r="C45" i="47"/>
  <c r="E46" i="47"/>
  <c r="I23" i="101"/>
  <c r="C45" i="72"/>
  <c r="E46" i="72"/>
  <c r="I23" i="156"/>
  <c r="E46" i="163"/>
  <c r="C45" i="163"/>
  <c r="IV50" i="2"/>
  <c r="I21" i="126"/>
  <c r="C48" i="107"/>
  <c r="E49" i="107"/>
  <c r="FW50" i="2"/>
  <c r="C48" i="91"/>
  <c r="E49" i="91"/>
  <c r="E45" i="45"/>
  <c r="C44" i="45"/>
  <c r="C48" i="158"/>
  <c r="E49" i="158"/>
  <c r="I20" i="120"/>
  <c r="C46" i="167"/>
  <c r="E47" i="167"/>
  <c r="E48" i="41"/>
  <c r="C47" i="41"/>
  <c r="I21" i="111"/>
  <c r="HZ49" i="2"/>
  <c r="E46" i="40"/>
  <c r="C45" i="40"/>
  <c r="E47" i="99"/>
  <c r="C46" i="99"/>
  <c r="I22" i="167"/>
  <c r="CB50" i="1"/>
  <c r="C46" i="54"/>
  <c r="E47" i="54"/>
  <c r="AJ49" i="2"/>
  <c r="I20" i="40"/>
  <c r="I21" i="168"/>
  <c r="I23" i="29"/>
  <c r="I21" i="169"/>
  <c r="I22" i="37"/>
  <c r="E48" i="10"/>
  <c r="C47" i="10"/>
  <c r="E46" i="69"/>
  <c r="C45" i="69"/>
  <c r="I21" i="53"/>
  <c r="C47" i="169"/>
  <c r="E48" i="169"/>
  <c r="AU50" i="1"/>
  <c r="E42" i="82"/>
  <c r="C41" i="82"/>
  <c r="I25" i="134"/>
  <c r="BQ50" i="1"/>
  <c r="E48" i="97"/>
  <c r="C47" i="97"/>
  <c r="C48" i="42"/>
  <c r="E49" i="42"/>
  <c r="FV49" i="2"/>
  <c r="I22" i="113"/>
  <c r="C46" i="5"/>
  <c r="E47" i="5"/>
  <c r="E49" i="27"/>
  <c r="C48" i="27"/>
  <c r="I21" i="84"/>
  <c r="C48" i="7"/>
  <c r="EO48" i="2" s="1"/>
  <c r="E49" i="7"/>
  <c r="AT49" i="1"/>
  <c r="E49" i="6"/>
  <c r="CA49" i="1"/>
  <c r="C48" i="6"/>
  <c r="I22" i="44"/>
  <c r="HD50" i="2"/>
  <c r="I22" i="60"/>
  <c r="E49" i="53"/>
  <c r="C48" i="53"/>
  <c r="C43" i="32"/>
  <c r="E44" i="32"/>
  <c r="E45" i="43"/>
  <c r="C44" i="43"/>
  <c r="I20" i="147"/>
  <c r="E47" i="103"/>
  <c r="C46" i="103"/>
  <c r="HO49" i="2"/>
  <c r="C46" i="16"/>
  <c r="E47" i="16"/>
  <c r="C46" i="4"/>
  <c r="E47" i="4"/>
  <c r="I20" i="38"/>
  <c r="E46" i="159"/>
  <c r="C45" i="159"/>
  <c r="C47" i="142"/>
  <c r="E48" i="142"/>
  <c r="E47" i="25"/>
  <c r="C46" i="25"/>
  <c r="I24" i="32"/>
  <c r="C43" i="138"/>
  <c r="E44" i="138"/>
  <c r="I25" i="12"/>
  <c r="E49" i="174"/>
  <c r="C48" i="174"/>
  <c r="I20" i="163"/>
  <c r="C48" i="8"/>
  <c r="E49" i="8"/>
  <c r="HC49" i="2"/>
  <c r="BP49" i="1"/>
  <c r="I21" i="85"/>
  <c r="I21" i="57"/>
  <c r="E46" i="149"/>
  <c r="C45" i="149"/>
  <c r="I23" i="62"/>
  <c r="E49" i="92"/>
  <c r="C48" i="92"/>
  <c r="HN48" i="2" s="1"/>
  <c r="I20" i="65"/>
  <c r="E46" i="168"/>
  <c r="C45" i="168"/>
  <c r="I21" i="153"/>
  <c r="IJ49" i="2"/>
  <c r="E48" i="89"/>
  <c r="C47" i="89"/>
  <c r="E49" i="3"/>
  <c r="C48" i="3"/>
  <c r="I20" i="69"/>
  <c r="E48" i="21"/>
  <c r="C47" i="21"/>
  <c r="E46" i="73"/>
  <c r="C45" i="73"/>
  <c r="I23" i="127"/>
  <c r="E47" i="68"/>
  <c r="C46" i="68"/>
  <c r="I21" i="80"/>
  <c r="E47" i="9"/>
  <c r="C46" i="9"/>
  <c r="C48" i="58"/>
  <c r="E49" i="58"/>
  <c r="E46" i="39"/>
  <c r="C45" i="39"/>
  <c r="I21" i="155"/>
  <c r="C47" i="63"/>
  <c r="E48" i="63"/>
  <c r="DI49" i="2"/>
  <c r="I20" i="160"/>
  <c r="I22" i="92"/>
  <c r="C45" i="37"/>
  <c r="E46" i="37"/>
  <c r="E48" i="35"/>
  <c r="C47" i="35"/>
  <c r="I20" i="90"/>
  <c r="C46" i="112"/>
  <c r="E47" i="112"/>
  <c r="E46" i="85"/>
  <c r="C45" i="85"/>
  <c r="I21" i="121"/>
  <c r="I20" i="148"/>
  <c r="I23" i="117"/>
  <c r="E47" i="17"/>
  <c r="C46" i="17"/>
  <c r="I20" i="95"/>
  <c r="C47" i="71"/>
  <c r="E48" i="71"/>
  <c r="E48" i="154"/>
  <c r="C47" i="154"/>
  <c r="IJ48" i="2"/>
  <c r="I21" i="131"/>
  <c r="Y50" i="1"/>
  <c r="I21" i="104"/>
  <c r="I21" i="5"/>
  <c r="I22" i="149"/>
  <c r="I22" i="10"/>
  <c r="C46" i="150"/>
  <c r="E47" i="150"/>
  <c r="I21" i="137"/>
  <c r="EE50" i="2"/>
  <c r="C48" i="170"/>
  <c r="E49" i="170"/>
  <c r="E46" i="124"/>
  <c r="C45" i="124"/>
  <c r="C47" i="122"/>
  <c r="E48" i="122"/>
  <c r="C47" i="48"/>
  <c r="E48" i="48"/>
  <c r="E47" i="11"/>
  <c r="C46" i="11"/>
  <c r="C44" i="111"/>
  <c r="E45" i="111"/>
  <c r="E44" i="30"/>
  <c r="C43" i="30"/>
  <c r="E44" i="166"/>
  <c r="C43" i="166"/>
  <c r="E48" i="80"/>
  <c r="C47" i="80"/>
  <c r="C47" i="20"/>
  <c r="E48" i="20"/>
  <c r="DT48" i="2"/>
  <c r="I22" i="115"/>
  <c r="I23" i="142"/>
  <c r="C45" i="106"/>
  <c r="E46" i="106"/>
  <c r="C44" i="165"/>
  <c r="E45" i="165"/>
  <c r="I20" i="171"/>
  <c r="C46" i="113"/>
  <c r="E47" i="113"/>
  <c r="I21" i="88"/>
  <c r="I20" i="45"/>
  <c r="FK49" i="2"/>
  <c r="I20" i="35"/>
  <c r="I22" i="83"/>
  <c r="C48" i="109"/>
  <c r="E49" i="109"/>
  <c r="ED49" i="2"/>
  <c r="I24" i="71"/>
  <c r="C45" i="123"/>
  <c r="E46" i="123"/>
  <c r="E45" i="160"/>
  <c r="C44" i="160"/>
  <c r="I20" i="166"/>
  <c r="I20" i="96"/>
  <c r="I22" i="72"/>
  <c r="E47" i="144"/>
  <c r="C46" i="144"/>
  <c r="I20" i="58"/>
  <c r="I20" i="140"/>
  <c r="E47" i="129"/>
  <c r="C46" i="129"/>
  <c r="DS47" i="2"/>
  <c r="I22" i="157"/>
  <c r="C47" i="70"/>
  <c r="E48" i="70"/>
  <c r="E48" i="88"/>
  <c r="C47" i="88"/>
  <c r="FK48" i="2"/>
  <c r="I23" i="172"/>
  <c r="I22" i="165"/>
  <c r="E48" i="117"/>
  <c r="C47" i="117"/>
  <c r="I22" i="124"/>
  <c r="M49" i="2"/>
  <c r="C46" i="116"/>
  <c r="E47" i="116"/>
  <c r="I22" i="66"/>
  <c r="C44" i="59"/>
  <c r="E45" i="59"/>
  <c r="I21" i="54"/>
  <c r="BQ50" i="2"/>
  <c r="E46" i="173"/>
  <c r="C45" i="173"/>
  <c r="C46" i="104"/>
  <c r="E47" i="104"/>
  <c r="C46" i="110"/>
  <c r="E47" i="110"/>
  <c r="I25" i="15"/>
  <c r="I20" i="102"/>
  <c r="I21" i="49"/>
  <c r="I22" i="68"/>
  <c r="Y50" i="2"/>
  <c r="I22" i="129"/>
  <c r="E48" i="140"/>
  <c r="C47" i="140"/>
  <c r="AI48" i="2"/>
  <c r="E48" i="145"/>
  <c r="C47" i="145"/>
  <c r="C47" i="23"/>
  <c r="E48" i="23"/>
  <c r="C44" i="105"/>
  <c r="E45" i="105"/>
  <c r="I22" i="30"/>
  <c r="C47" i="78"/>
  <c r="E48" i="78"/>
  <c r="C46" i="128"/>
  <c r="E47" i="128"/>
  <c r="I21" i="154"/>
  <c r="I21" i="144"/>
  <c r="C47" i="33"/>
  <c r="E48" i="33"/>
  <c r="M48" i="2"/>
  <c r="I23" i="164"/>
  <c r="I21" i="161"/>
  <c r="N50" i="1"/>
  <c r="E48" i="77"/>
  <c r="C47" i="77"/>
  <c r="I25" i="46"/>
  <c r="E47" i="22"/>
  <c r="C46" i="22"/>
  <c r="I21" i="67"/>
  <c r="I20" i="47"/>
  <c r="E49" i="90"/>
  <c r="C48" i="90"/>
  <c r="I22" i="118"/>
  <c r="I22" i="18"/>
  <c r="E46" i="86"/>
  <c r="C45" i="86"/>
  <c r="E44" i="87"/>
  <c r="C43" i="87"/>
  <c r="C47" i="79"/>
  <c r="E48" i="79"/>
  <c r="I23" i="51"/>
  <c r="AU50" i="2"/>
  <c r="I21" i="103"/>
  <c r="I20" i="43"/>
  <c r="E44" i="156"/>
  <c r="C43" i="156"/>
  <c r="E49" i="29"/>
  <c r="C48" i="29"/>
  <c r="X48" i="1" s="1"/>
  <c r="I21" i="162"/>
  <c r="E48" i="151"/>
  <c r="C47" i="151"/>
  <c r="I22" i="159"/>
  <c r="I23" i="77"/>
  <c r="E49" i="93"/>
  <c r="C48" i="93"/>
  <c r="GR49" i="2"/>
  <c r="I22" i="28"/>
  <c r="CM50" i="2"/>
  <c r="I20" i="174"/>
  <c r="E49" i="100"/>
  <c r="C48" i="100"/>
  <c r="C46" i="94"/>
  <c r="E47" i="94"/>
  <c r="I23" i="152"/>
  <c r="I21" i="21"/>
  <c r="E47" i="126"/>
  <c r="C46" i="126"/>
  <c r="C48" i="12"/>
  <c r="E49" i="12"/>
  <c r="M49" i="1"/>
  <c r="X49" i="2"/>
  <c r="I21" i="31"/>
  <c r="I23" i="107"/>
  <c r="E47" i="130"/>
  <c r="C46" i="130"/>
  <c r="I21" i="108"/>
  <c r="GR48" i="2"/>
  <c r="I21" i="151"/>
  <c r="E46" i="127"/>
  <c r="C45" i="127"/>
  <c r="I20" i="109"/>
  <c r="I21" i="33"/>
  <c r="C46" i="161"/>
  <c r="E47" i="161"/>
  <c r="E47" i="83"/>
  <c r="C46" i="83"/>
  <c r="C47" i="76"/>
  <c r="E48" i="76"/>
  <c r="I22" i="23"/>
  <c r="I21" i="56"/>
  <c r="E47" i="74"/>
  <c r="C46" i="74"/>
  <c r="I24" i="22"/>
  <c r="C46" i="66"/>
  <c r="E47" i="66"/>
  <c r="E49" i="50"/>
  <c r="C48" i="50"/>
  <c r="AT49" i="2"/>
  <c r="EP48" i="2" l="1"/>
  <c r="HO48" i="2"/>
  <c r="Y48" i="1"/>
  <c r="I22" i="31"/>
  <c r="C46" i="77"/>
  <c r="E47" i="77"/>
  <c r="I22" i="33"/>
  <c r="I21" i="174"/>
  <c r="E45" i="86"/>
  <c r="C44" i="86"/>
  <c r="E46" i="128"/>
  <c r="C45" i="128"/>
  <c r="I21" i="171"/>
  <c r="E45" i="85"/>
  <c r="C44" i="85"/>
  <c r="BQ49" i="1"/>
  <c r="E48" i="42"/>
  <c r="C47" i="42"/>
  <c r="FV48" i="2"/>
  <c r="E48" i="107"/>
  <c r="C47" i="107"/>
  <c r="C47" i="56"/>
  <c r="E48" i="56"/>
  <c r="FA48" i="2"/>
  <c r="I21" i="100"/>
  <c r="I22" i="4"/>
  <c r="I24" i="89"/>
  <c r="C46" i="164"/>
  <c r="E47" i="164"/>
  <c r="C45" i="67"/>
  <c r="E46" i="67"/>
  <c r="I21" i="110"/>
  <c r="I21" i="58"/>
  <c r="I24" i="127"/>
  <c r="HD49" i="2"/>
  <c r="I23" i="18"/>
  <c r="E47" i="78"/>
  <c r="C46" i="78"/>
  <c r="C45" i="144"/>
  <c r="E46" i="144"/>
  <c r="C43" i="165"/>
  <c r="E44" i="165"/>
  <c r="I22" i="137"/>
  <c r="CW47" i="2"/>
  <c r="C44" i="73"/>
  <c r="E45" i="73"/>
  <c r="I21" i="147"/>
  <c r="C46" i="97"/>
  <c r="E47" i="97"/>
  <c r="E46" i="54"/>
  <c r="C45" i="54"/>
  <c r="I22" i="126"/>
  <c r="E46" i="137"/>
  <c r="C45" i="137"/>
  <c r="E47" i="134"/>
  <c r="C46" i="134"/>
  <c r="EZ47" i="2"/>
  <c r="I24" i="26"/>
  <c r="E45" i="51"/>
  <c r="C44" i="51"/>
  <c r="I22" i="116"/>
  <c r="I21" i="109"/>
  <c r="I23" i="28"/>
  <c r="C47" i="8"/>
  <c r="HC48" i="2"/>
  <c r="E48" i="8"/>
  <c r="BP48" i="1"/>
  <c r="C43" i="43"/>
  <c r="E44" i="43"/>
  <c r="E48" i="49"/>
  <c r="C47" i="49"/>
  <c r="C46" i="101"/>
  <c r="E47" i="101"/>
  <c r="E45" i="61"/>
  <c r="C44" i="61"/>
  <c r="E47" i="96"/>
  <c r="C46" i="96"/>
  <c r="C47" i="55"/>
  <c r="E48" i="55"/>
  <c r="I22" i="54"/>
  <c r="C46" i="21"/>
  <c r="E47" i="21"/>
  <c r="I22" i="70"/>
  <c r="I22" i="170"/>
  <c r="C44" i="106"/>
  <c r="E45" i="106"/>
  <c r="C45" i="150"/>
  <c r="E46" i="150"/>
  <c r="C45" i="112"/>
  <c r="E46" i="112"/>
  <c r="GS49" i="2"/>
  <c r="I23" i="118"/>
  <c r="I23" i="72"/>
  <c r="I21" i="90"/>
  <c r="I21" i="163"/>
  <c r="I23" i="167"/>
  <c r="C44" i="163"/>
  <c r="E45" i="163"/>
  <c r="I22" i="73"/>
  <c r="C42" i="146"/>
  <c r="E43" i="146"/>
  <c r="I23" i="41"/>
  <c r="I22" i="114"/>
  <c r="I22" i="20"/>
  <c r="C46" i="114"/>
  <c r="E47" i="114"/>
  <c r="I26" i="61"/>
  <c r="E47" i="119"/>
  <c r="C46" i="119"/>
  <c r="I21" i="17"/>
  <c r="I21" i="96"/>
  <c r="I23" i="149"/>
  <c r="C46" i="147"/>
  <c r="E47" i="147"/>
  <c r="E48" i="152"/>
  <c r="C47" i="152"/>
  <c r="I24" i="78"/>
  <c r="E48" i="174"/>
  <c r="C47" i="174"/>
  <c r="C42" i="32"/>
  <c r="E43" i="32"/>
  <c r="I22" i="151"/>
  <c r="E47" i="35"/>
  <c r="C46" i="35"/>
  <c r="I21" i="69"/>
  <c r="C47" i="53"/>
  <c r="E48" i="53"/>
  <c r="I26" i="134"/>
  <c r="C45" i="99"/>
  <c r="E46" i="99"/>
  <c r="GS48" i="2"/>
  <c r="I21" i="47"/>
  <c r="E47" i="23"/>
  <c r="C46" i="23"/>
  <c r="I23" i="66"/>
  <c r="I23" i="115"/>
  <c r="C47" i="3"/>
  <c r="E48" i="3"/>
  <c r="I26" i="12"/>
  <c r="E41" i="82"/>
  <c r="C40" i="82"/>
  <c r="I24" i="156"/>
  <c r="E43" i="157"/>
  <c r="C42" i="157"/>
  <c r="E44" i="131"/>
  <c r="C43" i="131"/>
  <c r="I22" i="86"/>
  <c r="I21" i="91"/>
  <c r="E45" i="115"/>
  <c r="C44" i="115"/>
  <c r="I40" i="150"/>
  <c r="I23" i="10"/>
  <c r="I24" i="77"/>
  <c r="C46" i="145"/>
  <c r="E47" i="145"/>
  <c r="I21" i="166"/>
  <c r="E44" i="34"/>
  <c r="C43" i="34"/>
  <c r="I24" i="48"/>
  <c r="E48" i="172"/>
  <c r="C47" i="172"/>
  <c r="I22" i="19"/>
  <c r="I22" i="5"/>
  <c r="E45" i="37"/>
  <c r="C44" i="37"/>
  <c r="I23" i="60"/>
  <c r="E45" i="40"/>
  <c r="C44" i="40"/>
  <c r="E45" i="72"/>
  <c r="C44" i="72"/>
  <c r="I23" i="93"/>
  <c r="I22" i="106"/>
  <c r="E47" i="153"/>
  <c r="C46" i="153"/>
  <c r="C45" i="116"/>
  <c r="E46" i="116"/>
  <c r="AU49" i="2"/>
  <c r="E46" i="130"/>
  <c r="C45" i="130"/>
  <c r="I22" i="67"/>
  <c r="AJ48" i="2"/>
  <c r="N49" i="2"/>
  <c r="I25" i="42"/>
  <c r="C46" i="132"/>
  <c r="E47" i="132"/>
  <c r="I21" i="8"/>
  <c r="C47" i="14"/>
  <c r="E48" i="14"/>
  <c r="I21" i="146"/>
  <c r="E45" i="120"/>
  <c r="C44" i="120"/>
  <c r="E46" i="148"/>
  <c r="C45" i="148"/>
  <c r="E48" i="93"/>
  <c r="C47" i="93"/>
  <c r="E48" i="90"/>
  <c r="C47" i="90"/>
  <c r="C43" i="105"/>
  <c r="E44" i="105"/>
  <c r="E44" i="59"/>
  <c r="C43" i="59"/>
  <c r="I24" i="142"/>
  <c r="I22" i="108"/>
  <c r="I23" i="159"/>
  <c r="E44" i="160"/>
  <c r="C43" i="160"/>
  <c r="C45" i="18"/>
  <c r="E46" i="18"/>
  <c r="E48" i="50"/>
  <c r="C47" i="50"/>
  <c r="AT48" i="2"/>
  <c r="C46" i="151"/>
  <c r="E47" i="151"/>
  <c r="C45" i="22"/>
  <c r="E46" i="22"/>
  <c r="E47" i="140"/>
  <c r="C46" i="140"/>
  <c r="I23" i="124"/>
  <c r="E47" i="20"/>
  <c r="C46" i="20"/>
  <c r="I22" i="104"/>
  <c r="I23" i="92"/>
  <c r="E43" i="138"/>
  <c r="C42" i="138"/>
  <c r="HY48" i="2"/>
  <c r="I24" i="101"/>
  <c r="E47" i="13"/>
  <c r="C46" i="13"/>
  <c r="E45" i="26"/>
  <c r="C44" i="26"/>
  <c r="I21" i="160"/>
  <c r="E47" i="89"/>
  <c r="C46" i="89"/>
  <c r="C46" i="38"/>
  <c r="E47" i="38"/>
  <c r="E47" i="95"/>
  <c r="C46" i="95"/>
  <c r="E48" i="28"/>
  <c r="C47" i="28"/>
  <c r="AI47" i="2" s="1"/>
  <c r="E46" i="57"/>
  <c r="C45" i="57"/>
  <c r="I25" i="82"/>
  <c r="C46" i="80"/>
  <c r="E47" i="80"/>
  <c r="I24" i="107"/>
  <c r="I26" i="46"/>
  <c r="E47" i="117"/>
  <c r="C46" i="117"/>
  <c r="E45" i="123"/>
  <c r="C44" i="123"/>
  <c r="I25" i="32"/>
  <c r="I23" i="44"/>
  <c r="C46" i="169"/>
  <c r="E47" i="169"/>
  <c r="I22" i="111"/>
  <c r="C44" i="47"/>
  <c r="E45" i="47"/>
  <c r="I21" i="143"/>
  <c r="I26" i="133"/>
  <c r="I21" i="64"/>
  <c r="C42" i="166"/>
  <c r="E43" i="166"/>
  <c r="IK49" i="2"/>
  <c r="E46" i="25"/>
  <c r="C45" i="25"/>
  <c r="CA48" i="1"/>
  <c r="C47" i="6"/>
  <c r="IU47" i="2" s="1"/>
  <c r="E48" i="6"/>
  <c r="IU48" i="2"/>
  <c r="I22" i="53"/>
  <c r="I24" i="13"/>
  <c r="I21" i="55"/>
  <c r="I25" i="94"/>
  <c r="I21" i="81"/>
  <c r="C45" i="65"/>
  <c r="E46" i="65"/>
  <c r="E45" i="62"/>
  <c r="C44" i="62"/>
  <c r="I22" i="39"/>
  <c r="C44" i="127"/>
  <c r="E45" i="127"/>
  <c r="I25" i="71"/>
  <c r="I22" i="131"/>
  <c r="I22" i="153"/>
  <c r="CB49" i="1"/>
  <c r="BE48" i="2"/>
  <c r="I25" i="24"/>
  <c r="E47" i="162"/>
  <c r="C46" i="162"/>
  <c r="I22" i="97"/>
  <c r="E45" i="141"/>
  <c r="C44" i="141"/>
  <c r="E45" i="69"/>
  <c r="C44" i="69"/>
  <c r="C46" i="41"/>
  <c r="E47" i="41"/>
  <c r="BE47" i="2"/>
  <c r="C45" i="19"/>
  <c r="E46" i="19"/>
  <c r="C44" i="171"/>
  <c r="E45" i="171"/>
  <c r="I22" i="138"/>
  <c r="I25" i="22"/>
  <c r="I23" i="165"/>
  <c r="EE49" i="2"/>
  <c r="E46" i="74"/>
  <c r="C45" i="74"/>
  <c r="N49" i="1"/>
  <c r="C42" i="156"/>
  <c r="E43" i="156"/>
  <c r="E47" i="154"/>
  <c r="C46" i="154"/>
  <c r="C44" i="168"/>
  <c r="E45" i="168"/>
  <c r="C46" i="142"/>
  <c r="E47" i="142"/>
  <c r="AU49" i="1"/>
  <c r="I21" i="11"/>
  <c r="I21" i="130"/>
  <c r="I22" i="52"/>
  <c r="C44" i="84"/>
  <c r="E45" i="84"/>
  <c r="I22" i="162"/>
  <c r="Y49" i="2"/>
  <c r="C42" i="30"/>
  <c r="E43" i="30"/>
  <c r="IK48" i="2"/>
  <c r="CL48" i="2"/>
  <c r="I23" i="68"/>
  <c r="I24" i="172"/>
  <c r="C47" i="109"/>
  <c r="E48" i="109"/>
  <c r="ED48" i="2"/>
  <c r="E47" i="63"/>
  <c r="C46" i="63"/>
  <c r="E47" i="10"/>
  <c r="C46" i="10"/>
  <c r="C46" i="125"/>
  <c r="E47" i="125"/>
  <c r="I22" i="50"/>
  <c r="E48" i="46"/>
  <c r="C47" i="46"/>
  <c r="AI48" i="1"/>
  <c r="C45" i="135"/>
  <c r="E46" i="135"/>
  <c r="C47" i="12"/>
  <c r="E48" i="12"/>
  <c r="X48" i="2"/>
  <c r="M48" i="1"/>
  <c r="E44" i="111"/>
  <c r="C43" i="111"/>
  <c r="I22" i="155"/>
  <c r="I21" i="65"/>
  <c r="E45" i="159"/>
  <c r="C44" i="159"/>
  <c r="E48" i="7"/>
  <c r="C47" i="7"/>
  <c r="AT48" i="1"/>
  <c r="C45" i="167"/>
  <c r="E46" i="167"/>
  <c r="I22" i="87"/>
  <c r="I21" i="34"/>
  <c r="C45" i="60"/>
  <c r="E46" i="60"/>
  <c r="E46" i="81"/>
  <c r="C45" i="81"/>
  <c r="I21" i="105"/>
  <c r="I22" i="56"/>
  <c r="FL48" i="2"/>
  <c r="E47" i="88"/>
  <c r="C46" i="88"/>
  <c r="C45" i="11"/>
  <c r="E46" i="11"/>
  <c r="E47" i="71"/>
  <c r="C46" i="71"/>
  <c r="I22" i="84"/>
  <c r="I23" i="37"/>
  <c r="C45" i="139"/>
  <c r="E46" i="139"/>
  <c r="E48" i="143"/>
  <c r="C47" i="143"/>
  <c r="I24" i="136"/>
  <c r="E46" i="118"/>
  <c r="C45" i="118"/>
  <c r="I21" i="95"/>
  <c r="E45" i="39"/>
  <c r="C44" i="39"/>
  <c r="E48" i="92"/>
  <c r="C47" i="92"/>
  <c r="I21" i="120"/>
  <c r="I23" i="158"/>
  <c r="E44" i="102"/>
  <c r="C43" i="102"/>
  <c r="I25" i="14"/>
  <c r="I22" i="119"/>
  <c r="I23" i="99"/>
  <c r="I22" i="21"/>
  <c r="I22" i="103"/>
  <c r="DI48" i="2"/>
  <c r="I21" i="112"/>
  <c r="I26" i="7"/>
  <c r="E46" i="126"/>
  <c r="C45" i="126"/>
  <c r="I23" i="23"/>
  <c r="I24" i="164"/>
  <c r="I21" i="102"/>
  <c r="I21" i="35"/>
  <c r="I21" i="38"/>
  <c r="C47" i="27"/>
  <c r="E48" i="27"/>
  <c r="N48" i="2"/>
  <c r="C46" i="70"/>
  <c r="E47" i="70"/>
  <c r="FL49" i="2"/>
  <c r="C46" i="48"/>
  <c r="E47" i="48"/>
  <c r="E46" i="17"/>
  <c r="C45" i="17"/>
  <c r="I22" i="169"/>
  <c r="C47" i="158"/>
  <c r="E48" i="158"/>
  <c r="I24" i="122"/>
  <c r="E47" i="133"/>
  <c r="C46" i="133"/>
  <c r="DH47" i="2"/>
  <c r="I21" i="141"/>
  <c r="I23" i="173"/>
  <c r="E47" i="108"/>
  <c r="C46" i="108"/>
  <c r="I21" i="125"/>
  <c r="I26" i="145"/>
  <c r="E48" i="155"/>
  <c r="C47" i="155"/>
  <c r="C45" i="66"/>
  <c r="E46" i="66"/>
  <c r="I23" i="129"/>
  <c r="E48" i="29"/>
  <c r="C47" i="29"/>
  <c r="I21" i="43"/>
  <c r="I26" i="15"/>
  <c r="I23" i="157"/>
  <c r="E48" i="58"/>
  <c r="C47" i="58"/>
  <c r="CA47" i="2" s="1"/>
  <c r="I24" i="62"/>
  <c r="X47" i="1"/>
  <c r="I24" i="29"/>
  <c r="E44" i="45"/>
  <c r="C43" i="45"/>
  <c r="I25" i="59"/>
  <c r="I24" i="98"/>
  <c r="I23" i="63"/>
  <c r="I22" i="49"/>
  <c r="E47" i="33"/>
  <c r="C46" i="33"/>
  <c r="M47" i="2"/>
  <c r="E45" i="149"/>
  <c r="C44" i="149"/>
  <c r="E46" i="4"/>
  <c r="C45" i="4"/>
  <c r="I22" i="76"/>
  <c r="E47" i="44"/>
  <c r="C46" i="44"/>
  <c r="C46" i="36"/>
  <c r="CW46" i="2" s="1"/>
  <c r="E47" i="36"/>
  <c r="I22" i="3"/>
  <c r="I24" i="132"/>
  <c r="I22" i="161"/>
  <c r="I21" i="45"/>
  <c r="I24" i="117"/>
  <c r="E46" i="5"/>
  <c r="C45" i="5"/>
  <c r="I22" i="168"/>
  <c r="I25" i="79"/>
  <c r="CA48" i="2"/>
  <c r="I26" i="74"/>
  <c r="E46" i="64"/>
  <c r="C45" i="64"/>
  <c r="I26" i="75"/>
  <c r="C46" i="76"/>
  <c r="E47" i="76"/>
  <c r="I24" i="152"/>
  <c r="C46" i="122"/>
  <c r="E47" i="122"/>
  <c r="I24" i="51"/>
  <c r="E46" i="110"/>
  <c r="C45" i="110"/>
  <c r="DT47" i="2"/>
  <c r="I22" i="88"/>
  <c r="C44" i="124"/>
  <c r="E45" i="124"/>
  <c r="E46" i="94"/>
  <c r="C45" i="94"/>
  <c r="E46" i="129"/>
  <c r="C45" i="129"/>
  <c r="DS46" i="2"/>
  <c r="E46" i="16"/>
  <c r="C45" i="16"/>
  <c r="I23" i="113"/>
  <c r="E48" i="91"/>
  <c r="C47" i="91"/>
  <c r="E41" i="98"/>
  <c r="C40" i="98"/>
  <c r="I24" i="9"/>
  <c r="C46" i="31"/>
  <c r="E47" i="31"/>
  <c r="I22" i="123"/>
  <c r="I23" i="30"/>
  <c r="C45" i="9"/>
  <c r="E46" i="9"/>
  <c r="E46" i="83"/>
  <c r="C45" i="83"/>
  <c r="I22" i="144"/>
  <c r="E48" i="100"/>
  <c r="C47" i="100"/>
  <c r="E47" i="79"/>
  <c r="C46" i="79"/>
  <c r="I22" i="154"/>
  <c r="C45" i="104"/>
  <c r="E46" i="104"/>
  <c r="I21" i="148"/>
  <c r="I22" i="80"/>
  <c r="I22" i="57"/>
  <c r="BQ49" i="2"/>
  <c r="I21" i="36"/>
  <c r="C45" i="75"/>
  <c r="E46" i="75"/>
  <c r="I25" i="27"/>
  <c r="I23" i="83"/>
  <c r="I21" i="140"/>
  <c r="E46" i="113"/>
  <c r="C45" i="113"/>
  <c r="C47" i="170"/>
  <c r="E48" i="170"/>
  <c r="I22" i="121"/>
  <c r="C45" i="68"/>
  <c r="E46" i="68"/>
  <c r="FW49" i="2"/>
  <c r="I21" i="40"/>
  <c r="E48" i="121"/>
  <c r="C47" i="121"/>
  <c r="I23" i="25"/>
  <c r="I24" i="135"/>
  <c r="I24" i="16"/>
  <c r="E43" i="87"/>
  <c r="C42" i="87"/>
  <c r="E46" i="161"/>
  <c r="C45" i="161"/>
  <c r="C44" i="173"/>
  <c r="E45" i="173"/>
  <c r="I22" i="85"/>
  <c r="E46" i="103"/>
  <c r="C45" i="103"/>
  <c r="E48" i="52"/>
  <c r="C47" i="52"/>
  <c r="BP48" i="2"/>
  <c r="E47" i="15"/>
  <c r="C46" i="15"/>
  <c r="I24" i="128"/>
  <c r="E48" i="136"/>
  <c r="C47" i="136"/>
  <c r="I23" i="139"/>
  <c r="CB47" i="2" l="1"/>
  <c r="IV47" i="2"/>
  <c r="CX46" i="2"/>
  <c r="AJ47" i="2"/>
  <c r="E45" i="16"/>
  <c r="C44" i="16"/>
  <c r="C44" i="103"/>
  <c r="E45" i="103"/>
  <c r="I26" i="27"/>
  <c r="C44" i="4"/>
  <c r="E45" i="4"/>
  <c r="E47" i="12"/>
  <c r="C46" i="12"/>
  <c r="X47" i="2"/>
  <c r="M47" i="1"/>
  <c r="C43" i="171"/>
  <c r="E44" i="171"/>
  <c r="E45" i="65"/>
  <c r="C44" i="65"/>
  <c r="E43" i="160"/>
  <c r="C42" i="160"/>
  <c r="E46" i="147"/>
  <c r="C45" i="147"/>
  <c r="I24" i="72"/>
  <c r="C43" i="73"/>
  <c r="E44" i="73"/>
  <c r="E44" i="84"/>
  <c r="C43" i="84"/>
  <c r="I22" i="81"/>
  <c r="E46" i="169"/>
  <c r="C45" i="169"/>
  <c r="E43" i="34"/>
  <c r="C42" i="34"/>
  <c r="CX47" i="2"/>
  <c r="E47" i="56"/>
  <c r="C46" i="56"/>
  <c r="E45" i="75"/>
  <c r="C44" i="75"/>
  <c r="E46" i="31"/>
  <c r="C45" i="31"/>
  <c r="I24" i="129"/>
  <c r="E43" i="102"/>
  <c r="C42" i="102"/>
  <c r="E45" i="135"/>
  <c r="C44" i="135"/>
  <c r="E45" i="19"/>
  <c r="C44" i="19"/>
  <c r="E46" i="13"/>
  <c r="C45" i="13"/>
  <c r="I24" i="115"/>
  <c r="I24" i="149"/>
  <c r="I24" i="118"/>
  <c r="C42" i="43"/>
  <c r="E43" i="43"/>
  <c r="I23" i="137"/>
  <c r="E47" i="107"/>
  <c r="C46" i="107"/>
  <c r="AJ48" i="1"/>
  <c r="I23" i="52"/>
  <c r="BF47" i="2"/>
  <c r="I24" i="44"/>
  <c r="I24" i="159"/>
  <c r="I23" i="67"/>
  <c r="I24" i="66"/>
  <c r="BQ48" i="1"/>
  <c r="C44" i="66"/>
  <c r="E45" i="66"/>
  <c r="I23" i="56"/>
  <c r="E47" i="46"/>
  <c r="C46" i="46"/>
  <c r="I22" i="130"/>
  <c r="I26" i="94"/>
  <c r="I25" i="101"/>
  <c r="E45" i="130"/>
  <c r="C44" i="130"/>
  <c r="I22" i="166"/>
  <c r="I22" i="96"/>
  <c r="FW48" i="2"/>
  <c r="I27" i="75"/>
  <c r="E44" i="149"/>
  <c r="C43" i="149"/>
  <c r="C44" i="64"/>
  <c r="E45" i="64"/>
  <c r="E42" i="87"/>
  <c r="C41" i="87"/>
  <c r="E40" i="98"/>
  <c r="C39" i="98"/>
  <c r="N47" i="2"/>
  <c r="E47" i="155"/>
  <c r="C46" i="155"/>
  <c r="C46" i="27"/>
  <c r="E47" i="27"/>
  <c r="I24" i="158"/>
  <c r="I22" i="105"/>
  <c r="E46" i="41"/>
  <c r="C45" i="41"/>
  <c r="I26" i="32"/>
  <c r="I23" i="108"/>
  <c r="E46" i="23"/>
  <c r="C45" i="23"/>
  <c r="I22" i="17"/>
  <c r="HD48" i="2"/>
  <c r="C42" i="165"/>
  <c r="E43" i="165"/>
  <c r="E47" i="42"/>
  <c r="C46" i="42"/>
  <c r="FV47" i="2"/>
  <c r="C43" i="69"/>
  <c r="E44" i="69"/>
  <c r="I22" i="55"/>
  <c r="C43" i="123"/>
  <c r="E44" i="123"/>
  <c r="HZ48" i="2"/>
  <c r="C45" i="145"/>
  <c r="E46" i="145"/>
  <c r="HC47" i="2"/>
  <c r="C46" i="8"/>
  <c r="E47" i="8"/>
  <c r="BP47" i="1"/>
  <c r="E46" i="70"/>
  <c r="C45" i="70"/>
  <c r="I25" i="9"/>
  <c r="E45" i="81"/>
  <c r="C44" i="81"/>
  <c r="I23" i="50"/>
  <c r="I22" i="11"/>
  <c r="I25" i="142"/>
  <c r="I25" i="77"/>
  <c r="C45" i="119"/>
  <c r="E46" i="119"/>
  <c r="E45" i="112"/>
  <c r="C44" i="112"/>
  <c r="E45" i="144"/>
  <c r="C44" i="144"/>
  <c r="CB48" i="2"/>
  <c r="I23" i="49"/>
  <c r="I27" i="145"/>
  <c r="C46" i="92"/>
  <c r="E47" i="92"/>
  <c r="C43" i="141"/>
  <c r="E44" i="141"/>
  <c r="I25" i="13"/>
  <c r="E46" i="117"/>
  <c r="C45" i="117"/>
  <c r="C41" i="138"/>
  <c r="E42" i="138"/>
  <c r="E43" i="59"/>
  <c r="C42" i="59"/>
  <c r="I22" i="47"/>
  <c r="I24" i="28"/>
  <c r="E46" i="78"/>
  <c r="C45" i="78"/>
  <c r="I25" i="135"/>
  <c r="C44" i="116"/>
  <c r="E45" i="116"/>
  <c r="C44" i="150"/>
  <c r="E45" i="150"/>
  <c r="E44" i="85"/>
  <c r="C43" i="85"/>
  <c r="I27" i="74"/>
  <c r="I22" i="35"/>
  <c r="E46" i="125"/>
  <c r="C45" i="125"/>
  <c r="I23" i="53"/>
  <c r="I24" i="113"/>
  <c r="I26" i="79"/>
  <c r="I24" i="63"/>
  <c r="E44" i="39"/>
  <c r="C43" i="39"/>
  <c r="E45" i="60"/>
  <c r="C44" i="60"/>
  <c r="E46" i="10"/>
  <c r="C45" i="10"/>
  <c r="I27" i="46"/>
  <c r="I24" i="92"/>
  <c r="C45" i="153"/>
  <c r="E46" i="153"/>
  <c r="I24" i="10"/>
  <c r="I27" i="61"/>
  <c r="I22" i="109"/>
  <c r="I23" i="57"/>
  <c r="I22" i="38"/>
  <c r="C45" i="108"/>
  <c r="E46" i="108"/>
  <c r="I22" i="102"/>
  <c r="C45" i="142"/>
  <c r="E46" i="142"/>
  <c r="I23" i="97"/>
  <c r="IV48" i="2"/>
  <c r="E43" i="105"/>
  <c r="C42" i="105"/>
  <c r="I41" i="150"/>
  <c r="E44" i="106"/>
  <c r="C43" i="106"/>
  <c r="I24" i="18"/>
  <c r="I22" i="171"/>
  <c r="E47" i="91"/>
  <c r="C46" i="91"/>
  <c r="I23" i="168"/>
  <c r="I23" i="104"/>
  <c r="C46" i="90"/>
  <c r="E47" i="90"/>
  <c r="C44" i="99"/>
  <c r="E45" i="99"/>
  <c r="C45" i="114"/>
  <c r="E46" i="114"/>
  <c r="I23" i="116"/>
  <c r="E46" i="162"/>
  <c r="C45" i="162"/>
  <c r="E47" i="121"/>
  <c r="C46" i="121"/>
  <c r="DT46" i="2"/>
  <c r="I25" i="98"/>
  <c r="I24" i="173"/>
  <c r="I25" i="164"/>
  <c r="I23" i="87"/>
  <c r="CL47" i="2"/>
  <c r="E44" i="168"/>
  <c r="C43" i="168"/>
  <c r="CA47" i="1"/>
  <c r="E47" i="6"/>
  <c r="C46" i="6"/>
  <c r="I25" i="107"/>
  <c r="I23" i="106"/>
  <c r="E44" i="115"/>
  <c r="C43" i="115"/>
  <c r="I27" i="134"/>
  <c r="I23" i="20"/>
  <c r="I23" i="170"/>
  <c r="E44" i="51"/>
  <c r="C43" i="51"/>
  <c r="E45" i="128"/>
  <c r="C44" i="128"/>
  <c r="I22" i="125"/>
  <c r="I22" i="148"/>
  <c r="I22" i="95"/>
  <c r="I22" i="34"/>
  <c r="E45" i="129"/>
  <c r="C44" i="129"/>
  <c r="DS45" i="2"/>
  <c r="C45" i="63"/>
  <c r="E46" i="63"/>
  <c r="IJ47" i="2"/>
  <c r="CB48" i="1"/>
  <c r="E46" i="20"/>
  <c r="C45" i="20"/>
  <c r="E47" i="93"/>
  <c r="C46" i="93"/>
  <c r="E46" i="33"/>
  <c r="C45" i="33"/>
  <c r="C44" i="104"/>
  <c r="E45" i="104"/>
  <c r="C44" i="5"/>
  <c r="E45" i="5"/>
  <c r="C44" i="118"/>
  <c r="E45" i="118"/>
  <c r="I26" i="59"/>
  <c r="I22" i="141"/>
  <c r="I24" i="23"/>
  <c r="C45" i="154"/>
  <c r="E46" i="154"/>
  <c r="IJ46" i="2"/>
  <c r="I26" i="24"/>
  <c r="E45" i="25"/>
  <c r="C44" i="25"/>
  <c r="E46" i="80"/>
  <c r="C45" i="80"/>
  <c r="I24" i="93"/>
  <c r="I23" i="114"/>
  <c r="I23" i="70"/>
  <c r="I25" i="127"/>
  <c r="E44" i="86"/>
  <c r="C43" i="86"/>
  <c r="I23" i="154"/>
  <c r="C44" i="94"/>
  <c r="E45" i="94"/>
  <c r="E43" i="45"/>
  <c r="C42" i="45"/>
  <c r="C44" i="126"/>
  <c r="E45" i="126"/>
  <c r="C44" i="167"/>
  <c r="E45" i="167"/>
  <c r="EE48" i="2"/>
  <c r="BF48" i="2"/>
  <c r="I24" i="124"/>
  <c r="E45" i="148"/>
  <c r="C44" i="148"/>
  <c r="E44" i="72"/>
  <c r="C43" i="72"/>
  <c r="I22" i="91"/>
  <c r="E47" i="53"/>
  <c r="C46" i="53"/>
  <c r="I25" i="26"/>
  <c r="I22" i="58"/>
  <c r="E46" i="79"/>
  <c r="C45" i="79"/>
  <c r="I25" i="117"/>
  <c r="DI47" i="2"/>
  <c r="I25" i="136"/>
  <c r="AU48" i="1"/>
  <c r="I26" i="82"/>
  <c r="I23" i="86"/>
  <c r="FA47" i="2"/>
  <c r="I22" i="36"/>
  <c r="I22" i="120"/>
  <c r="I23" i="80"/>
  <c r="C46" i="136"/>
  <c r="E47" i="136"/>
  <c r="I22" i="45"/>
  <c r="C45" i="133"/>
  <c r="E46" i="133"/>
  <c r="DH46" i="2"/>
  <c r="E47" i="143"/>
  <c r="C46" i="143"/>
  <c r="C46" i="7"/>
  <c r="E47" i="7"/>
  <c r="AT47" i="1"/>
  <c r="E47" i="109"/>
  <c r="C46" i="109"/>
  <c r="ED47" i="2"/>
  <c r="E42" i="156"/>
  <c r="C41" i="156"/>
  <c r="C44" i="57"/>
  <c r="E45" i="57"/>
  <c r="C43" i="120"/>
  <c r="E44" i="120"/>
  <c r="I22" i="69"/>
  <c r="I24" i="41"/>
  <c r="E46" i="134"/>
  <c r="C45" i="134"/>
  <c r="EZ46" i="2"/>
  <c r="I22" i="174"/>
  <c r="I24" i="139"/>
  <c r="C46" i="100"/>
  <c r="E47" i="100"/>
  <c r="E44" i="124"/>
  <c r="C43" i="124"/>
  <c r="I25" i="29"/>
  <c r="I27" i="7"/>
  <c r="C45" i="140"/>
  <c r="E46" i="140"/>
  <c r="E44" i="40"/>
  <c r="C43" i="40"/>
  <c r="E43" i="131"/>
  <c r="C42" i="131"/>
  <c r="E46" i="35"/>
  <c r="C45" i="35"/>
  <c r="C45" i="21"/>
  <c r="E46" i="21"/>
  <c r="I22" i="110"/>
  <c r="Y47" i="1"/>
  <c r="I25" i="172"/>
  <c r="I23" i="153"/>
  <c r="E42" i="166"/>
  <c r="C41" i="166"/>
  <c r="C46" i="28"/>
  <c r="E47" i="28"/>
  <c r="C41" i="146"/>
  <c r="E42" i="146"/>
  <c r="E45" i="137"/>
  <c r="C44" i="137"/>
  <c r="I23" i="33"/>
  <c r="I23" i="161"/>
  <c r="I25" i="122"/>
  <c r="I25" i="128"/>
  <c r="I22" i="112"/>
  <c r="C44" i="139"/>
  <c r="E45" i="139"/>
  <c r="C43" i="159"/>
  <c r="E44" i="159"/>
  <c r="E45" i="74"/>
  <c r="C44" i="74"/>
  <c r="I23" i="131"/>
  <c r="I22" i="64"/>
  <c r="I22" i="146"/>
  <c r="C41" i="157"/>
  <c r="E42" i="157"/>
  <c r="I23" i="54"/>
  <c r="C44" i="67"/>
  <c r="E45" i="67"/>
  <c r="I25" i="16"/>
  <c r="I24" i="68"/>
  <c r="E46" i="95"/>
  <c r="C45" i="95"/>
  <c r="E45" i="22"/>
  <c r="C44" i="22"/>
  <c r="I24" i="60"/>
  <c r="I23" i="151"/>
  <c r="I23" i="73"/>
  <c r="I23" i="126"/>
  <c r="C45" i="77"/>
  <c r="E46" i="77"/>
  <c r="E47" i="158"/>
  <c r="C46" i="158"/>
  <c r="I24" i="37"/>
  <c r="CM48" i="2"/>
  <c r="C46" i="14"/>
  <c r="E47" i="14"/>
  <c r="GR47" i="2"/>
  <c r="E44" i="37"/>
  <c r="C43" i="37"/>
  <c r="C46" i="55"/>
  <c r="E47" i="55"/>
  <c r="E46" i="164"/>
  <c r="C45" i="164"/>
  <c r="I23" i="31"/>
  <c r="C45" i="76"/>
  <c r="E46" i="76"/>
  <c r="I26" i="14"/>
  <c r="E45" i="161"/>
  <c r="C44" i="161"/>
  <c r="I23" i="121"/>
  <c r="I25" i="132"/>
  <c r="BQ48" i="2"/>
  <c r="E46" i="151"/>
  <c r="C45" i="151"/>
  <c r="I25" i="156"/>
  <c r="E42" i="32"/>
  <c r="C41" i="32"/>
  <c r="C43" i="163"/>
  <c r="E44" i="163"/>
  <c r="E46" i="96"/>
  <c r="C45" i="96"/>
  <c r="E45" i="54"/>
  <c r="C44" i="54"/>
  <c r="C43" i="173"/>
  <c r="E44" i="173"/>
  <c r="E47" i="52"/>
  <c r="C46" i="52"/>
  <c r="BP47" i="2"/>
  <c r="I23" i="3"/>
  <c r="E46" i="38"/>
  <c r="C45" i="38"/>
  <c r="AU48" i="2"/>
  <c r="I22" i="8"/>
  <c r="C39" i="82"/>
  <c r="E40" i="82"/>
  <c r="E47" i="174"/>
  <c r="C46" i="174"/>
  <c r="I24" i="167"/>
  <c r="I25" i="89"/>
  <c r="I24" i="25"/>
  <c r="I22" i="40"/>
  <c r="E45" i="68"/>
  <c r="C44" i="68"/>
  <c r="I23" i="88"/>
  <c r="I23" i="144"/>
  <c r="E47" i="58"/>
  <c r="C46" i="58"/>
  <c r="CA46" i="2" s="1"/>
  <c r="I25" i="51"/>
  <c r="I24" i="157"/>
  <c r="C44" i="17"/>
  <c r="E45" i="17"/>
  <c r="C45" i="71"/>
  <c r="E46" i="71"/>
  <c r="I23" i="155"/>
  <c r="I24" i="165"/>
  <c r="E44" i="127"/>
  <c r="C43" i="127"/>
  <c r="I22" i="143"/>
  <c r="HN47" i="2"/>
  <c r="C46" i="50"/>
  <c r="E47" i="50"/>
  <c r="AT47" i="2"/>
  <c r="I23" i="5"/>
  <c r="EO47" i="2"/>
  <c r="I23" i="4"/>
  <c r="I26" i="71"/>
  <c r="I23" i="39"/>
  <c r="C45" i="89"/>
  <c r="E46" i="89"/>
  <c r="HN46" i="2"/>
  <c r="C45" i="132"/>
  <c r="E46" i="132"/>
  <c r="I25" i="78"/>
  <c r="I22" i="163"/>
  <c r="E44" i="61"/>
  <c r="C43" i="61"/>
  <c r="AI47" i="1"/>
  <c r="E45" i="113"/>
  <c r="C44" i="113"/>
  <c r="I23" i="169"/>
  <c r="I22" i="140"/>
  <c r="E43" i="111"/>
  <c r="C42" i="111"/>
  <c r="C41" i="30"/>
  <c r="E42" i="30"/>
  <c r="C45" i="44"/>
  <c r="E46" i="44"/>
  <c r="I27" i="15"/>
  <c r="I24" i="99"/>
  <c r="I26" i="22"/>
  <c r="C43" i="47"/>
  <c r="E44" i="47"/>
  <c r="I26" i="42"/>
  <c r="I23" i="19"/>
  <c r="I27" i="12"/>
  <c r="E46" i="97"/>
  <c r="C45" i="97"/>
  <c r="EO46" i="2"/>
  <c r="I22" i="100"/>
  <c r="E46" i="15"/>
  <c r="C45" i="15"/>
  <c r="I25" i="62"/>
  <c r="C46" i="170"/>
  <c r="AI46" i="2" s="1"/>
  <c r="E47" i="170"/>
  <c r="C44" i="83"/>
  <c r="E45" i="83"/>
  <c r="E45" i="110"/>
  <c r="C44" i="110"/>
  <c r="C45" i="122"/>
  <c r="E46" i="122"/>
  <c r="I23" i="138"/>
  <c r="E44" i="62"/>
  <c r="C43" i="62"/>
  <c r="E47" i="172"/>
  <c r="C46" i="172"/>
  <c r="C46" i="152"/>
  <c r="E47" i="152"/>
  <c r="I22" i="147"/>
  <c r="E46" i="48"/>
  <c r="C45" i="48"/>
  <c r="N48" i="1"/>
  <c r="I23" i="85"/>
  <c r="I24" i="83"/>
  <c r="I25" i="152"/>
  <c r="I22" i="43"/>
  <c r="I23" i="119"/>
  <c r="FK47" i="2"/>
  <c r="Y48" i="2"/>
  <c r="I23" i="162"/>
  <c r="I23" i="111"/>
  <c r="I22" i="160"/>
  <c r="E45" i="18"/>
  <c r="C44" i="18"/>
  <c r="I22" i="90"/>
  <c r="E46" i="101"/>
  <c r="C45" i="101"/>
  <c r="I23" i="103"/>
  <c r="I23" i="84"/>
  <c r="I22" i="65"/>
  <c r="I27" i="133"/>
  <c r="E45" i="9"/>
  <c r="C44" i="9"/>
  <c r="C45" i="36"/>
  <c r="CW45" i="2" s="1"/>
  <c r="E46" i="36"/>
  <c r="I23" i="21"/>
  <c r="I24" i="30"/>
  <c r="E45" i="11"/>
  <c r="C44" i="11"/>
  <c r="I23" i="123"/>
  <c r="I23" i="76"/>
  <c r="C46" i="29"/>
  <c r="E47" i="29"/>
  <c r="C45" i="88"/>
  <c r="E46" i="88"/>
  <c r="FK46" i="2"/>
  <c r="HY47" i="2"/>
  <c r="C43" i="26"/>
  <c r="E44" i="26"/>
  <c r="I25" i="48"/>
  <c r="E47" i="3"/>
  <c r="C46" i="3"/>
  <c r="C46" i="49"/>
  <c r="E47" i="49"/>
  <c r="AJ46" i="2" l="1"/>
  <c r="CB46" i="2"/>
  <c r="CX45" i="2"/>
  <c r="I24" i="119"/>
  <c r="E45" i="38"/>
  <c r="C44" i="38"/>
  <c r="I28" i="15"/>
  <c r="I24" i="123"/>
  <c r="E42" i="111"/>
  <c r="C41" i="111"/>
  <c r="E46" i="50"/>
  <c r="C45" i="50"/>
  <c r="AT46" i="2"/>
  <c r="C42" i="159"/>
  <c r="E43" i="159"/>
  <c r="C40" i="156"/>
  <c r="E41" i="156"/>
  <c r="I26" i="136"/>
  <c r="HD47" i="2"/>
  <c r="I26" i="152"/>
  <c r="I25" i="167"/>
  <c r="I24" i="126"/>
  <c r="C41" i="131"/>
  <c r="E42" i="131"/>
  <c r="I24" i="170"/>
  <c r="I24" i="116"/>
  <c r="E45" i="125"/>
  <c r="C44" i="125"/>
  <c r="E46" i="92"/>
  <c r="C45" i="92"/>
  <c r="HN45" i="2" s="1"/>
  <c r="E45" i="13"/>
  <c r="C44" i="13"/>
  <c r="IU45" i="2"/>
  <c r="I25" i="72"/>
  <c r="C45" i="152"/>
  <c r="E46" i="152"/>
  <c r="C44" i="89"/>
  <c r="E45" i="89"/>
  <c r="E44" i="54"/>
  <c r="C43" i="54"/>
  <c r="E44" i="11"/>
  <c r="C43" i="11"/>
  <c r="C43" i="83"/>
  <c r="E44" i="83"/>
  <c r="HO47" i="2"/>
  <c r="FL47" i="2"/>
  <c r="I23" i="140"/>
  <c r="E46" i="174"/>
  <c r="C45" i="174"/>
  <c r="I24" i="73"/>
  <c r="E44" i="139"/>
  <c r="C43" i="139"/>
  <c r="EE47" i="2"/>
  <c r="C43" i="94"/>
  <c r="E44" i="94"/>
  <c r="E44" i="5"/>
  <c r="C43" i="5"/>
  <c r="C44" i="108"/>
  <c r="E45" i="108"/>
  <c r="E45" i="145"/>
  <c r="C44" i="145"/>
  <c r="E46" i="27"/>
  <c r="C45" i="27"/>
  <c r="I24" i="56"/>
  <c r="E45" i="147"/>
  <c r="C44" i="147"/>
  <c r="I26" i="132"/>
  <c r="E46" i="109"/>
  <c r="C45" i="109"/>
  <c r="ED46" i="2"/>
  <c r="I23" i="38"/>
  <c r="I23" i="35"/>
  <c r="I28" i="145"/>
  <c r="E46" i="155"/>
  <c r="C45" i="155"/>
  <c r="E44" i="19"/>
  <c r="C43" i="19"/>
  <c r="I24" i="151"/>
  <c r="I23" i="112"/>
  <c r="C42" i="40"/>
  <c r="E43" i="40"/>
  <c r="I26" i="117"/>
  <c r="I24" i="154"/>
  <c r="C43" i="104"/>
  <c r="E44" i="104"/>
  <c r="I24" i="20"/>
  <c r="E45" i="114"/>
  <c r="C44" i="114"/>
  <c r="I24" i="49"/>
  <c r="E44" i="66"/>
  <c r="C43" i="66"/>
  <c r="I26" i="62"/>
  <c r="E39" i="82"/>
  <c r="C38" i="82"/>
  <c r="I24" i="121"/>
  <c r="AU47" i="1"/>
  <c r="E45" i="79"/>
  <c r="C44" i="79"/>
  <c r="E43" i="86"/>
  <c r="C42" i="86"/>
  <c r="M46" i="2"/>
  <c r="I24" i="57"/>
  <c r="E44" i="135"/>
  <c r="C43" i="135"/>
  <c r="E42" i="160"/>
  <c r="C41" i="160"/>
  <c r="I24" i="21"/>
  <c r="I23" i="43"/>
  <c r="E45" i="15"/>
  <c r="C44" i="15"/>
  <c r="C43" i="113"/>
  <c r="E44" i="113"/>
  <c r="I25" i="165"/>
  <c r="I23" i="8"/>
  <c r="I26" i="128"/>
  <c r="E45" i="33"/>
  <c r="C44" i="33"/>
  <c r="M45" i="2"/>
  <c r="I28" i="134"/>
  <c r="E44" i="99"/>
  <c r="C43" i="99"/>
  <c r="I28" i="74"/>
  <c r="E43" i="123"/>
  <c r="C42" i="123"/>
  <c r="E46" i="7"/>
  <c r="C45" i="7"/>
  <c r="AT46" i="1"/>
  <c r="I23" i="58"/>
  <c r="I26" i="127"/>
  <c r="C42" i="115"/>
  <c r="E43" i="115"/>
  <c r="E43" i="85"/>
  <c r="C42" i="85"/>
  <c r="E39" i="98"/>
  <c r="C38" i="98"/>
  <c r="C41" i="102"/>
  <c r="E42" i="102"/>
  <c r="E44" i="65"/>
  <c r="C43" i="65"/>
  <c r="E45" i="140"/>
  <c r="C44" i="140"/>
  <c r="E46" i="143"/>
  <c r="C45" i="143"/>
  <c r="C45" i="93"/>
  <c r="E46" i="93"/>
  <c r="C45" i="90"/>
  <c r="E46" i="90"/>
  <c r="I23" i="109"/>
  <c r="C43" i="144"/>
  <c r="E44" i="144"/>
  <c r="I23" i="55"/>
  <c r="I25" i="66"/>
  <c r="I26" i="26"/>
  <c r="I24" i="70"/>
  <c r="I24" i="106"/>
  <c r="C40" i="87"/>
  <c r="E41" i="87"/>
  <c r="E45" i="95"/>
  <c r="C44" i="95"/>
  <c r="I24" i="161"/>
  <c r="I28" i="7"/>
  <c r="DI46" i="2"/>
  <c r="C44" i="20"/>
  <c r="E45" i="20"/>
  <c r="I24" i="104"/>
  <c r="I28" i="61"/>
  <c r="E44" i="150"/>
  <c r="C43" i="150"/>
  <c r="E43" i="69"/>
  <c r="C42" i="69"/>
  <c r="I24" i="67"/>
  <c r="I25" i="129"/>
  <c r="C42" i="171"/>
  <c r="E43" i="171"/>
  <c r="E44" i="161"/>
  <c r="C43" i="161"/>
  <c r="C43" i="9"/>
  <c r="E44" i="9"/>
  <c r="C44" i="71"/>
  <c r="E45" i="71"/>
  <c r="I26" i="107"/>
  <c r="I25" i="10"/>
  <c r="E44" i="112"/>
  <c r="C43" i="112"/>
  <c r="FW47" i="2"/>
  <c r="AI46" i="1"/>
  <c r="N47" i="1"/>
  <c r="I23" i="163"/>
  <c r="I24" i="33"/>
  <c r="I26" i="29"/>
  <c r="E45" i="133"/>
  <c r="C44" i="133"/>
  <c r="DH45" i="2"/>
  <c r="I24" i="114"/>
  <c r="I24" i="168"/>
  <c r="E44" i="116"/>
  <c r="C43" i="116"/>
  <c r="C45" i="42"/>
  <c r="E46" i="42"/>
  <c r="FV46" i="2"/>
  <c r="C43" i="64"/>
  <c r="E44" i="64"/>
  <c r="I25" i="159"/>
  <c r="Y47" i="2"/>
  <c r="I25" i="68"/>
  <c r="C43" i="137"/>
  <c r="E44" i="137"/>
  <c r="C42" i="124"/>
  <c r="E43" i="124"/>
  <c r="I25" i="93"/>
  <c r="C45" i="6"/>
  <c r="E46" i="6"/>
  <c r="CA46" i="1"/>
  <c r="IU46" i="2"/>
  <c r="C45" i="91"/>
  <c r="E46" i="91"/>
  <c r="I26" i="135"/>
  <c r="C42" i="149"/>
  <c r="E43" i="149"/>
  <c r="I25" i="44"/>
  <c r="E45" i="31"/>
  <c r="C44" i="31"/>
  <c r="C45" i="12"/>
  <c r="E46" i="12"/>
  <c r="X46" i="2"/>
  <c r="M46" i="1"/>
  <c r="I28" i="133"/>
  <c r="E46" i="53"/>
  <c r="C45" i="53"/>
  <c r="I28" i="12"/>
  <c r="BQ47" i="2"/>
  <c r="I23" i="45"/>
  <c r="IK47" i="2"/>
  <c r="C44" i="153"/>
  <c r="E45" i="153"/>
  <c r="E45" i="119"/>
  <c r="C44" i="119"/>
  <c r="I23" i="143"/>
  <c r="C44" i="97"/>
  <c r="E45" i="97"/>
  <c r="EO45" i="2"/>
  <c r="C44" i="76"/>
  <c r="E45" i="76"/>
  <c r="E46" i="49"/>
  <c r="C45" i="49"/>
  <c r="E44" i="17"/>
  <c r="C43" i="17"/>
  <c r="I24" i="3"/>
  <c r="I24" i="84"/>
  <c r="C44" i="48"/>
  <c r="E45" i="48"/>
  <c r="I26" i="78"/>
  <c r="I25" i="157"/>
  <c r="C45" i="52"/>
  <c r="E46" i="52"/>
  <c r="BP46" i="2"/>
  <c r="E45" i="164"/>
  <c r="C44" i="164"/>
  <c r="I26" i="16"/>
  <c r="I23" i="91"/>
  <c r="CL46" i="2"/>
  <c r="CB47" i="1"/>
  <c r="E45" i="78"/>
  <c r="C44" i="78"/>
  <c r="I26" i="77"/>
  <c r="E42" i="165"/>
  <c r="C41" i="165"/>
  <c r="I28" i="75"/>
  <c r="E44" i="75"/>
  <c r="C43" i="75"/>
  <c r="I24" i="85"/>
  <c r="I24" i="31"/>
  <c r="I23" i="65"/>
  <c r="C44" i="80"/>
  <c r="E45" i="80"/>
  <c r="E46" i="3"/>
  <c r="C45" i="3"/>
  <c r="I24" i="19"/>
  <c r="E41" i="146"/>
  <c r="C40" i="146"/>
  <c r="E46" i="100"/>
  <c r="C45" i="100"/>
  <c r="E46" i="136"/>
  <c r="C45" i="136"/>
  <c r="C42" i="168"/>
  <c r="E43" i="168"/>
  <c r="I23" i="171"/>
  <c r="I25" i="92"/>
  <c r="E45" i="132"/>
  <c r="C44" i="132"/>
  <c r="I26" i="51"/>
  <c r="E44" i="67"/>
  <c r="C43" i="67"/>
  <c r="I24" i="80"/>
  <c r="E43" i="72"/>
  <c r="C42" i="72"/>
  <c r="C43" i="25"/>
  <c r="E44" i="25"/>
  <c r="C44" i="63"/>
  <c r="E45" i="63"/>
  <c r="CL45" i="2"/>
  <c r="I25" i="28"/>
  <c r="C45" i="56"/>
  <c r="E46" i="56"/>
  <c r="E44" i="4"/>
  <c r="C43" i="4"/>
  <c r="I25" i="60"/>
  <c r="E45" i="36"/>
  <c r="C44" i="36"/>
  <c r="CW44" i="2" s="1"/>
  <c r="I24" i="155"/>
  <c r="HO46" i="2"/>
  <c r="E46" i="58"/>
  <c r="C45" i="58"/>
  <c r="CA45" i="2" s="1"/>
  <c r="E46" i="55"/>
  <c r="C45" i="55"/>
  <c r="E46" i="28"/>
  <c r="C45" i="28"/>
  <c r="I25" i="139"/>
  <c r="DT45" i="2"/>
  <c r="CM47" i="2"/>
  <c r="I25" i="18"/>
  <c r="I28" i="46"/>
  <c r="I26" i="142"/>
  <c r="I24" i="52"/>
  <c r="I27" i="27"/>
  <c r="I24" i="169"/>
  <c r="E43" i="127"/>
  <c r="C42" i="127"/>
  <c r="I27" i="42"/>
  <c r="C44" i="101"/>
  <c r="E45" i="101"/>
  <c r="C42" i="173"/>
  <c r="E43" i="173"/>
  <c r="C42" i="37"/>
  <c r="E43" i="37"/>
  <c r="I24" i="54"/>
  <c r="E41" i="166"/>
  <c r="C40" i="166"/>
  <c r="C43" i="148"/>
  <c r="E44" i="148"/>
  <c r="C43" i="129"/>
  <c r="E44" i="129"/>
  <c r="DS44" i="2"/>
  <c r="I24" i="87"/>
  <c r="E43" i="106"/>
  <c r="C42" i="106"/>
  <c r="E45" i="10"/>
  <c r="C44" i="10"/>
  <c r="I23" i="17"/>
  <c r="I23" i="47"/>
  <c r="I23" i="11"/>
  <c r="C44" i="23"/>
  <c r="E45" i="23"/>
  <c r="I23" i="96"/>
  <c r="E44" i="22"/>
  <c r="C43" i="22"/>
  <c r="E46" i="172"/>
  <c r="C45" i="172"/>
  <c r="E43" i="47"/>
  <c r="C42" i="47"/>
  <c r="I24" i="144"/>
  <c r="C40" i="157"/>
  <c r="E41" i="157"/>
  <c r="FA46" i="2"/>
  <c r="I23" i="36"/>
  <c r="I25" i="124"/>
  <c r="IK46" i="2"/>
  <c r="I23" i="34"/>
  <c r="I26" i="164"/>
  <c r="C43" i="60"/>
  <c r="E44" i="60"/>
  <c r="E42" i="59"/>
  <c r="C41" i="59"/>
  <c r="I23" i="166"/>
  <c r="E46" i="107"/>
  <c r="C45" i="107"/>
  <c r="C41" i="34"/>
  <c r="E42" i="34"/>
  <c r="E44" i="103"/>
  <c r="C43" i="103"/>
  <c r="I27" i="14"/>
  <c r="I25" i="83"/>
  <c r="E43" i="61"/>
  <c r="C42" i="61"/>
  <c r="GS47" i="2"/>
  <c r="I24" i="153"/>
  <c r="E43" i="26"/>
  <c r="C42" i="26"/>
  <c r="I23" i="90"/>
  <c r="I24" i="39"/>
  <c r="E45" i="96"/>
  <c r="C44" i="96"/>
  <c r="C44" i="134"/>
  <c r="E45" i="134"/>
  <c r="EZ45" i="2"/>
  <c r="I42" i="150"/>
  <c r="I24" i="50"/>
  <c r="I24" i="108"/>
  <c r="C43" i="16"/>
  <c r="E44" i="16"/>
  <c r="E46" i="170"/>
  <c r="C45" i="170"/>
  <c r="I23" i="174"/>
  <c r="I27" i="24"/>
  <c r="HZ47" i="2"/>
  <c r="I27" i="22"/>
  <c r="I24" i="88"/>
  <c r="C45" i="14"/>
  <c r="E46" i="14"/>
  <c r="GR46" i="2"/>
  <c r="I23" i="146"/>
  <c r="E45" i="154"/>
  <c r="C44" i="154"/>
  <c r="IJ45" i="2"/>
  <c r="C41" i="105"/>
  <c r="E42" i="105"/>
  <c r="E43" i="39"/>
  <c r="C42" i="39"/>
  <c r="E44" i="81"/>
  <c r="C43" i="81"/>
  <c r="C43" i="130"/>
  <c r="E44" i="130"/>
  <c r="HY46" i="2"/>
  <c r="C42" i="62"/>
  <c r="E43" i="62"/>
  <c r="FL46" i="2"/>
  <c r="E44" i="18"/>
  <c r="C43" i="18"/>
  <c r="I25" i="99"/>
  <c r="I27" i="71"/>
  <c r="C43" i="68"/>
  <c r="E44" i="68"/>
  <c r="I26" i="172"/>
  <c r="I23" i="95"/>
  <c r="I25" i="173"/>
  <c r="I27" i="32"/>
  <c r="I24" i="137"/>
  <c r="E45" i="169"/>
  <c r="C44" i="169"/>
  <c r="HY45" i="2"/>
  <c r="I25" i="30"/>
  <c r="EP46" i="2"/>
  <c r="C42" i="163"/>
  <c r="E43" i="163"/>
  <c r="I23" i="64"/>
  <c r="I25" i="41"/>
  <c r="I25" i="23"/>
  <c r="C40" i="138"/>
  <c r="E41" i="138"/>
  <c r="I24" i="103"/>
  <c r="I26" i="48"/>
  <c r="I23" i="147"/>
  <c r="I23" i="69"/>
  <c r="I24" i="86"/>
  <c r="I23" i="148"/>
  <c r="I26" i="98"/>
  <c r="I25" i="63"/>
  <c r="C44" i="117"/>
  <c r="E45" i="117"/>
  <c r="I26" i="9"/>
  <c r="BE46" i="2"/>
  <c r="I26" i="101"/>
  <c r="E42" i="43"/>
  <c r="C41" i="43"/>
  <c r="I23" i="81"/>
  <c r="I26" i="122"/>
  <c r="C40" i="32"/>
  <c r="E41" i="32"/>
  <c r="EP47" i="2"/>
  <c r="I24" i="131"/>
  <c r="I23" i="141"/>
  <c r="C44" i="70"/>
  <c r="E45" i="70"/>
  <c r="C44" i="41"/>
  <c r="E45" i="41"/>
  <c r="I25" i="118"/>
  <c r="I23" i="120"/>
  <c r="I24" i="111"/>
  <c r="C44" i="122"/>
  <c r="E45" i="122"/>
  <c r="E46" i="158"/>
  <c r="C45" i="158"/>
  <c r="C43" i="74"/>
  <c r="E44" i="74"/>
  <c r="I27" i="82"/>
  <c r="E44" i="167"/>
  <c r="C43" i="167"/>
  <c r="I27" i="59"/>
  <c r="I23" i="125"/>
  <c r="I24" i="97"/>
  <c r="I27" i="79"/>
  <c r="I27" i="94"/>
  <c r="E43" i="84"/>
  <c r="C42" i="84"/>
  <c r="AJ47" i="1"/>
  <c r="C44" i="44"/>
  <c r="E45" i="44"/>
  <c r="I24" i="5"/>
  <c r="I25" i="25"/>
  <c r="I26" i="156"/>
  <c r="E43" i="120"/>
  <c r="C42" i="120"/>
  <c r="E44" i="128"/>
  <c r="C43" i="128"/>
  <c r="E46" i="121"/>
  <c r="C45" i="121"/>
  <c r="I25" i="113"/>
  <c r="I26" i="13"/>
  <c r="BQ47" i="1"/>
  <c r="I23" i="105"/>
  <c r="I23" i="130"/>
  <c r="I23" i="100"/>
  <c r="C44" i="88"/>
  <c r="E45" i="88"/>
  <c r="FK45" i="2"/>
  <c r="I24" i="138"/>
  <c r="I23" i="110"/>
  <c r="I26" i="89"/>
  <c r="E45" i="21"/>
  <c r="C44" i="21"/>
  <c r="E44" i="126"/>
  <c r="C43" i="126"/>
  <c r="E45" i="142"/>
  <c r="C44" i="142"/>
  <c r="I25" i="149"/>
  <c r="I24" i="4"/>
  <c r="I23" i="40"/>
  <c r="I23" i="160"/>
  <c r="I25" i="37"/>
  <c r="C45" i="29"/>
  <c r="X45" i="1" s="1"/>
  <c r="E46" i="29"/>
  <c r="X46" i="1"/>
  <c r="I24" i="76"/>
  <c r="E44" i="110"/>
  <c r="C43" i="110"/>
  <c r="I24" i="162"/>
  <c r="AU47" i="2"/>
  <c r="E45" i="151"/>
  <c r="C44" i="151"/>
  <c r="E41" i="30"/>
  <c r="C40" i="30"/>
  <c r="E45" i="77"/>
  <c r="C44" i="77"/>
  <c r="E45" i="35"/>
  <c r="C44" i="35"/>
  <c r="E44" i="57"/>
  <c r="C43" i="57"/>
  <c r="C41" i="45"/>
  <c r="E42" i="45"/>
  <c r="E44" i="118"/>
  <c r="C43" i="118"/>
  <c r="E43" i="51"/>
  <c r="C42" i="51"/>
  <c r="C44" i="162"/>
  <c r="E45" i="162"/>
  <c r="I23" i="102"/>
  <c r="I24" i="53"/>
  <c r="C42" i="141"/>
  <c r="E43" i="141"/>
  <c r="HC46" i="2"/>
  <c r="E46" i="8"/>
  <c r="C45" i="8"/>
  <c r="BP46" i="1"/>
  <c r="I25" i="158"/>
  <c r="E46" i="46"/>
  <c r="C45" i="46"/>
  <c r="I25" i="115"/>
  <c r="E43" i="73"/>
  <c r="C42" i="73"/>
  <c r="CX44" i="2" l="1"/>
  <c r="HO45" i="2"/>
  <c r="Y45" i="1"/>
  <c r="CB45" i="2"/>
  <c r="E45" i="8"/>
  <c r="BP45" i="1"/>
  <c r="C44" i="8"/>
  <c r="HC45" i="2"/>
  <c r="I24" i="130"/>
  <c r="Y46" i="1"/>
  <c r="I26" i="37"/>
  <c r="C42" i="167"/>
  <c r="E43" i="167"/>
  <c r="I24" i="81"/>
  <c r="I26" i="41"/>
  <c r="I26" i="113"/>
  <c r="C42" i="74"/>
  <c r="E43" i="74"/>
  <c r="BF46" i="2"/>
  <c r="C42" i="130"/>
  <c r="E43" i="130"/>
  <c r="I26" i="149"/>
  <c r="I27" i="9"/>
  <c r="I43" i="150"/>
  <c r="I28" i="27"/>
  <c r="I24" i="45"/>
  <c r="C42" i="65"/>
  <c r="E43" i="65"/>
  <c r="I27" i="152"/>
  <c r="I26" i="30"/>
  <c r="E42" i="39"/>
  <c r="C41" i="39"/>
  <c r="FA45" i="2"/>
  <c r="E45" i="56"/>
  <c r="C44" i="56"/>
  <c r="E45" i="3"/>
  <c r="C44" i="3"/>
  <c r="BQ46" i="2"/>
  <c r="E43" i="137"/>
  <c r="C42" i="137"/>
  <c r="I26" i="165"/>
  <c r="I25" i="49"/>
  <c r="I27" i="132"/>
  <c r="E43" i="83"/>
  <c r="C42" i="83"/>
  <c r="C40" i="45"/>
  <c r="E41" i="45"/>
  <c r="E44" i="142"/>
  <c r="C43" i="142"/>
  <c r="C43" i="122"/>
  <c r="E44" i="122"/>
  <c r="C43" i="117"/>
  <c r="E44" i="117"/>
  <c r="HZ45" i="2"/>
  <c r="E43" i="60"/>
  <c r="C42" i="60"/>
  <c r="I24" i="17"/>
  <c r="I25" i="52"/>
  <c r="E43" i="112"/>
  <c r="C42" i="112"/>
  <c r="I29" i="7"/>
  <c r="E44" i="114"/>
  <c r="C43" i="114"/>
  <c r="C43" i="147"/>
  <c r="E44" i="147"/>
  <c r="E43" i="11"/>
  <c r="C42" i="11"/>
  <c r="E44" i="169"/>
  <c r="C43" i="169"/>
  <c r="E44" i="134"/>
  <c r="C43" i="134"/>
  <c r="EZ44" i="2"/>
  <c r="I27" i="164"/>
  <c r="E44" i="10"/>
  <c r="C43" i="10"/>
  <c r="I26" i="28"/>
  <c r="E45" i="52"/>
  <c r="C44" i="52"/>
  <c r="BP45" i="2"/>
  <c r="I26" i="68"/>
  <c r="C40" i="102"/>
  <c r="E41" i="102"/>
  <c r="E43" i="113"/>
  <c r="C42" i="113"/>
  <c r="C42" i="126"/>
  <c r="E43" i="126"/>
  <c r="I25" i="111"/>
  <c r="I26" i="63"/>
  <c r="I27" i="142"/>
  <c r="CM45" i="2"/>
  <c r="I26" i="157"/>
  <c r="I29" i="12"/>
  <c r="I25" i="161"/>
  <c r="E38" i="98"/>
  <c r="C37" i="98"/>
  <c r="E44" i="15"/>
  <c r="C43" i="15"/>
  <c r="E43" i="54"/>
  <c r="C42" i="54"/>
  <c r="I27" i="136"/>
  <c r="C40" i="105"/>
  <c r="E41" i="105"/>
  <c r="E44" i="96"/>
  <c r="C43" i="96"/>
  <c r="C43" i="35"/>
  <c r="E44" i="35"/>
  <c r="I26" i="25"/>
  <c r="I27" i="98"/>
  <c r="IK45" i="2"/>
  <c r="E42" i="106"/>
  <c r="C41" i="106"/>
  <c r="I29" i="46"/>
  <c r="C44" i="53"/>
  <c r="E45" i="53"/>
  <c r="I26" i="10"/>
  <c r="C43" i="95"/>
  <c r="E44" i="95"/>
  <c r="I25" i="20"/>
  <c r="I25" i="56"/>
  <c r="C43" i="154"/>
  <c r="E44" i="154"/>
  <c r="IJ44" i="2"/>
  <c r="I24" i="34"/>
  <c r="E44" i="63"/>
  <c r="C43" i="63"/>
  <c r="C43" i="80"/>
  <c r="E44" i="80"/>
  <c r="I27" i="78"/>
  <c r="I26" i="159"/>
  <c r="I27" i="107"/>
  <c r="C41" i="85"/>
  <c r="E42" i="85"/>
  <c r="C44" i="27"/>
  <c r="E45" i="27"/>
  <c r="I24" i="120"/>
  <c r="I25" i="137"/>
  <c r="C43" i="77"/>
  <c r="E44" i="77"/>
  <c r="I24" i="148"/>
  <c r="I25" i="39"/>
  <c r="I24" i="43"/>
  <c r="C42" i="104"/>
  <c r="E43" i="104"/>
  <c r="E40" i="156"/>
  <c r="C39" i="156"/>
  <c r="E43" i="57"/>
  <c r="C42" i="57"/>
  <c r="I27" i="156"/>
  <c r="E44" i="21"/>
  <c r="C43" i="21"/>
  <c r="I25" i="5"/>
  <c r="I26" i="118"/>
  <c r="I28" i="32"/>
  <c r="I25" i="87"/>
  <c r="I26" i="18"/>
  <c r="E43" i="25"/>
  <c r="C42" i="25"/>
  <c r="I24" i="65"/>
  <c r="I29" i="133"/>
  <c r="C39" i="87"/>
  <c r="E40" i="87"/>
  <c r="I25" i="21"/>
  <c r="I25" i="154"/>
  <c r="E44" i="145"/>
  <c r="C43" i="145"/>
  <c r="C43" i="89"/>
  <c r="E44" i="89"/>
  <c r="I27" i="89"/>
  <c r="BE45" i="2"/>
  <c r="I24" i="146"/>
  <c r="I24" i="90"/>
  <c r="DT44" i="2"/>
  <c r="E42" i="72"/>
  <c r="C41" i="72"/>
  <c r="E44" i="48"/>
  <c r="C43" i="48"/>
  <c r="N46" i="1"/>
  <c r="E43" i="64"/>
  <c r="C42" i="64"/>
  <c r="E44" i="71"/>
  <c r="C43" i="71"/>
  <c r="I25" i="106"/>
  <c r="E42" i="115"/>
  <c r="C41" i="115"/>
  <c r="E42" i="73"/>
  <c r="C41" i="73"/>
  <c r="C43" i="44"/>
  <c r="E44" i="44"/>
  <c r="I25" i="86"/>
  <c r="I26" i="173"/>
  <c r="GS46" i="2"/>
  <c r="E42" i="26"/>
  <c r="C41" i="26"/>
  <c r="I26" i="124"/>
  <c r="I25" i="31"/>
  <c r="Y46" i="2"/>
  <c r="FW46" i="2"/>
  <c r="I27" i="117"/>
  <c r="E45" i="152"/>
  <c r="C44" i="152"/>
  <c r="C41" i="159"/>
  <c r="E42" i="159"/>
  <c r="E42" i="120"/>
  <c r="C41" i="120"/>
  <c r="E43" i="129"/>
  <c r="C42" i="129"/>
  <c r="DS43" i="2"/>
  <c r="I25" i="85"/>
  <c r="I25" i="84"/>
  <c r="E43" i="9"/>
  <c r="C42" i="9"/>
  <c r="I25" i="70"/>
  <c r="I27" i="127"/>
  <c r="E41" i="160"/>
  <c r="C40" i="160"/>
  <c r="E44" i="108"/>
  <c r="C43" i="108"/>
  <c r="AU46" i="2"/>
  <c r="E44" i="151"/>
  <c r="C43" i="151"/>
  <c r="I24" i="110"/>
  <c r="E44" i="41"/>
  <c r="C43" i="41"/>
  <c r="I25" i="138"/>
  <c r="I24" i="36"/>
  <c r="I25" i="80"/>
  <c r="E45" i="12"/>
  <c r="C44" i="12"/>
  <c r="X45" i="2"/>
  <c r="M45" i="1"/>
  <c r="E45" i="42"/>
  <c r="C44" i="42"/>
  <c r="FV45" i="2"/>
  <c r="E45" i="50"/>
  <c r="C44" i="50"/>
  <c r="AT45" i="2"/>
  <c r="E40" i="30"/>
  <c r="C39" i="30"/>
  <c r="I26" i="115"/>
  <c r="I24" i="69"/>
  <c r="I24" i="95"/>
  <c r="C44" i="14"/>
  <c r="E45" i="14"/>
  <c r="GR45" i="2"/>
  <c r="I25" i="153"/>
  <c r="E45" i="46"/>
  <c r="C44" i="46"/>
  <c r="E42" i="84"/>
  <c r="C41" i="84"/>
  <c r="E44" i="70"/>
  <c r="C43" i="70"/>
  <c r="I27" i="172"/>
  <c r="E43" i="148"/>
  <c r="C42" i="148"/>
  <c r="I26" i="139"/>
  <c r="E43" i="67"/>
  <c r="C42" i="67"/>
  <c r="AI45" i="1"/>
  <c r="I25" i="3"/>
  <c r="C42" i="116"/>
  <c r="E43" i="116"/>
  <c r="E43" i="161"/>
  <c r="C42" i="161"/>
  <c r="I24" i="58"/>
  <c r="E43" i="135"/>
  <c r="C42" i="135"/>
  <c r="C42" i="5"/>
  <c r="E43" i="5"/>
  <c r="I26" i="72"/>
  <c r="I25" i="88"/>
  <c r="E40" i="166"/>
  <c r="C39" i="166"/>
  <c r="C42" i="75"/>
  <c r="E43" i="75"/>
  <c r="E43" i="17"/>
  <c r="C42" i="17"/>
  <c r="E44" i="31"/>
  <c r="C43" i="31"/>
  <c r="I27" i="26"/>
  <c r="AU46" i="1"/>
  <c r="E42" i="40"/>
  <c r="C41" i="40"/>
  <c r="E41" i="111"/>
  <c r="C40" i="111"/>
  <c r="I26" i="158"/>
  <c r="I25" i="162"/>
  <c r="I24" i="141"/>
  <c r="I27" i="48"/>
  <c r="I28" i="22"/>
  <c r="E45" i="28"/>
  <c r="C44" i="28"/>
  <c r="I26" i="66"/>
  <c r="E45" i="7"/>
  <c r="C44" i="7"/>
  <c r="AT45" i="1"/>
  <c r="IV45" i="2"/>
  <c r="C42" i="68"/>
  <c r="E43" i="68"/>
  <c r="E40" i="157"/>
  <c r="C39" i="157"/>
  <c r="I27" i="51"/>
  <c r="C44" i="49"/>
  <c r="E45" i="49"/>
  <c r="I25" i="168"/>
  <c r="E42" i="171"/>
  <c r="C41" i="171"/>
  <c r="I25" i="57"/>
  <c r="I24" i="112"/>
  <c r="C42" i="94"/>
  <c r="E43" i="94"/>
  <c r="E44" i="13"/>
  <c r="C43" i="13"/>
  <c r="FL45" i="2"/>
  <c r="E42" i="61"/>
  <c r="C41" i="61"/>
  <c r="I25" i="54"/>
  <c r="C44" i="55"/>
  <c r="E45" i="55"/>
  <c r="E44" i="132"/>
  <c r="C43" i="132"/>
  <c r="I29" i="75"/>
  <c r="I26" i="44"/>
  <c r="I24" i="55"/>
  <c r="C41" i="123"/>
  <c r="E42" i="123"/>
  <c r="N46" i="2"/>
  <c r="I25" i="123"/>
  <c r="E44" i="88"/>
  <c r="C43" i="88"/>
  <c r="FK44" i="2"/>
  <c r="I25" i="131"/>
  <c r="I28" i="79"/>
  <c r="I28" i="71"/>
  <c r="I25" i="144"/>
  <c r="C40" i="165"/>
  <c r="E41" i="165"/>
  <c r="I25" i="114"/>
  <c r="I26" i="129"/>
  <c r="E42" i="86"/>
  <c r="C41" i="86"/>
  <c r="I25" i="151"/>
  <c r="E45" i="92"/>
  <c r="C44" i="92"/>
  <c r="HN44" i="2" s="1"/>
  <c r="E42" i="47"/>
  <c r="C41" i="47"/>
  <c r="E42" i="37"/>
  <c r="C41" i="37"/>
  <c r="E45" i="58"/>
  <c r="C44" i="58"/>
  <c r="I26" i="92"/>
  <c r="E44" i="76"/>
  <c r="C43" i="76"/>
  <c r="E42" i="149"/>
  <c r="C41" i="149"/>
  <c r="DI45" i="2"/>
  <c r="I25" i="67"/>
  <c r="C42" i="19"/>
  <c r="E43" i="19"/>
  <c r="E43" i="139"/>
  <c r="C42" i="139"/>
  <c r="I29" i="15"/>
  <c r="I25" i="76"/>
  <c r="I26" i="83"/>
  <c r="EP45" i="2"/>
  <c r="E44" i="133"/>
  <c r="C43" i="133"/>
  <c r="DH44" i="2"/>
  <c r="C42" i="144"/>
  <c r="E43" i="144"/>
  <c r="I29" i="74"/>
  <c r="E44" i="79"/>
  <c r="C43" i="79"/>
  <c r="E44" i="125"/>
  <c r="C43" i="125"/>
  <c r="C43" i="38"/>
  <c r="E44" i="38"/>
  <c r="C44" i="172"/>
  <c r="E45" i="172"/>
  <c r="I24" i="171"/>
  <c r="I27" i="77"/>
  <c r="I27" i="135"/>
  <c r="C41" i="69"/>
  <c r="E42" i="69"/>
  <c r="I24" i="109"/>
  <c r="E43" i="99"/>
  <c r="C42" i="99"/>
  <c r="E45" i="155"/>
  <c r="C44" i="155"/>
  <c r="CL44" i="2" s="1"/>
  <c r="BQ46" i="1"/>
  <c r="I24" i="105"/>
  <c r="I26" i="23"/>
  <c r="E43" i="18"/>
  <c r="C42" i="18"/>
  <c r="I24" i="174"/>
  <c r="E42" i="173"/>
  <c r="C41" i="173"/>
  <c r="C43" i="78"/>
  <c r="E44" i="78"/>
  <c r="E44" i="97"/>
  <c r="C43" i="97"/>
  <c r="EO44" i="2"/>
  <c r="I25" i="73"/>
  <c r="I25" i="116"/>
  <c r="I25" i="119"/>
  <c r="I27" i="122"/>
  <c r="C42" i="103"/>
  <c r="E43" i="103"/>
  <c r="E43" i="22"/>
  <c r="C42" i="22"/>
  <c r="E45" i="91"/>
  <c r="C44" i="91"/>
  <c r="I27" i="29"/>
  <c r="E43" i="150"/>
  <c r="C42" i="150"/>
  <c r="J42" i="150" s="1"/>
  <c r="I29" i="134"/>
  <c r="E45" i="174"/>
  <c r="C44" i="174"/>
  <c r="C44" i="170"/>
  <c r="AI44" i="2" s="1"/>
  <c r="E45" i="170"/>
  <c r="I28" i="59"/>
  <c r="E44" i="101"/>
  <c r="C43" i="101"/>
  <c r="I25" i="155"/>
  <c r="E42" i="168"/>
  <c r="C41" i="168"/>
  <c r="I24" i="143"/>
  <c r="IV46" i="2"/>
  <c r="E45" i="90"/>
  <c r="C44" i="90"/>
  <c r="I29" i="145"/>
  <c r="E40" i="32"/>
  <c r="C39" i="32"/>
  <c r="C43" i="36"/>
  <c r="E44" i="36"/>
  <c r="E45" i="136"/>
  <c r="C44" i="136"/>
  <c r="E44" i="119"/>
  <c r="C43" i="119"/>
  <c r="CB46" i="1"/>
  <c r="I25" i="33"/>
  <c r="I29" i="61"/>
  <c r="N45" i="2"/>
  <c r="I25" i="121"/>
  <c r="I24" i="35"/>
  <c r="I25" i="170"/>
  <c r="E40" i="138"/>
  <c r="C39" i="138"/>
  <c r="I27" i="13"/>
  <c r="E43" i="16"/>
  <c r="C42" i="16"/>
  <c r="C40" i="34"/>
  <c r="E41" i="34"/>
  <c r="I24" i="96"/>
  <c r="I28" i="42"/>
  <c r="CM46" i="2"/>
  <c r="I24" i="163"/>
  <c r="E45" i="93"/>
  <c r="C44" i="93"/>
  <c r="E44" i="33"/>
  <c r="C43" i="33"/>
  <c r="C37" i="82"/>
  <c r="E38" i="82"/>
  <c r="I24" i="140"/>
  <c r="I24" i="102"/>
  <c r="C41" i="62"/>
  <c r="E42" i="62"/>
  <c r="E45" i="107"/>
  <c r="C44" i="107"/>
  <c r="E42" i="127"/>
  <c r="C41" i="127"/>
  <c r="I26" i="60"/>
  <c r="E45" i="100"/>
  <c r="C44" i="100"/>
  <c r="E45" i="6"/>
  <c r="C44" i="6"/>
  <c r="CA45" i="1"/>
  <c r="I25" i="104"/>
  <c r="E45" i="143"/>
  <c r="C44" i="143"/>
  <c r="E41" i="131"/>
  <c r="C40" i="131"/>
  <c r="I24" i="147"/>
  <c r="I26" i="99"/>
  <c r="C43" i="162"/>
  <c r="E44" i="162"/>
  <c r="I28" i="82"/>
  <c r="I27" i="101"/>
  <c r="HZ46" i="2"/>
  <c r="I25" i="108"/>
  <c r="E44" i="23"/>
  <c r="C43" i="23"/>
  <c r="I24" i="91"/>
  <c r="C43" i="153"/>
  <c r="E44" i="153"/>
  <c r="I24" i="38"/>
  <c r="I28" i="94"/>
  <c r="I28" i="14"/>
  <c r="E42" i="141"/>
  <c r="C41" i="141"/>
  <c r="I25" i="53"/>
  <c r="C44" i="29"/>
  <c r="E45" i="29"/>
  <c r="C41" i="51"/>
  <c r="E42" i="51"/>
  <c r="I24" i="40"/>
  <c r="E45" i="121"/>
  <c r="C44" i="121"/>
  <c r="E42" i="163"/>
  <c r="C41" i="163"/>
  <c r="I25" i="50"/>
  <c r="I24" i="11"/>
  <c r="AI44" i="1"/>
  <c r="C39" i="146"/>
  <c r="E40" i="146"/>
  <c r="I27" i="16"/>
  <c r="I26" i="93"/>
  <c r="AI45" i="2"/>
  <c r="I27" i="128"/>
  <c r="I27" i="62"/>
  <c r="EE46" i="2"/>
  <c r="I25" i="126"/>
  <c r="E43" i="110"/>
  <c r="C42" i="110"/>
  <c r="I25" i="103"/>
  <c r="HD46" i="2"/>
  <c r="I25" i="97"/>
  <c r="E41" i="43"/>
  <c r="C40" i="43"/>
  <c r="I25" i="169"/>
  <c r="C42" i="4"/>
  <c r="E43" i="4"/>
  <c r="AJ46" i="1"/>
  <c r="E44" i="20"/>
  <c r="C43" i="20"/>
  <c r="C43" i="140"/>
  <c r="E44" i="140"/>
  <c r="E43" i="66"/>
  <c r="C42" i="66"/>
  <c r="E45" i="109"/>
  <c r="C44" i="109"/>
  <c r="ED45" i="2"/>
  <c r="I26" i="167"/>
  <c r="I24" i="100"/>
  <c r="I28" i="24"/>
  <c r="I24" i="125"/>
  <c r="I24" i="64"/>
  <c r="I24" i="160"/>
  <c r="I24" i="166"/>
  <c r="C42" i="118"/>
  <c r="E43" i="118"/>
  <c r="I25" i="4"/>
  <c r="E43" i="128"/>
  <c r="C42" i="128"/>
  <c r="E45" i="158"/>
  <c r="C44" i="158"/>
  <c r="E43" i="81"/>
  <c r="C42" i="81"/>
  <c r="C40" i="59"/>
  <c r="E41" i="59"/>
  <c r="I24" i="47"/>
  <c r="I25" i="19"/>
  <c r="E44" i="164"/>
  <c r="C43" i="164"/>
  <c r="E42" i="124"/>
  <c r="C41" i="124"/>
  <c r="I24" i="8"/>
  <c r="GR44" i="2"/>
  <c r="HO44" i="2" l="1"/>
  <c r="CM44" i="2"/>
  <c r="AJ44" i="2"/>
  <c r="I30" i="46"/>
  <c r="I28" i="142"/>
  <c r="C42" i="114"/>
  <c r="E43" i="114"/>
  <c r="C41" i="137"/>
  <c r="E42" i="137"/>
  <c r="I29" i="42"/>
  <c r="E43" i="36"/>
  <c r="C42" i="36"/>
  <c r="E42" i="99"/>
  <c r="C41" i="99"/>
  <c r="I26" i="114"/>
  <c r="I26" i="88"/>
  <c r="E41" i="106"/>
  <c r="C40" i="106"/>
  <c r="I27" i="63"/>
  <c r="I27" i="66"/>
  <c r="E39" i="32"/>
  <c r="C38" i="32"/>
  <c r="I30" i="15"/>
  <c r="E41" i="61"/>
  <c r="C40" i="61"/>
  <c r="C43" i="28"/>
  <c r="E44" i="28"/>
  <c r="I27" i="72"/>
  <c r="I26" i="153"/>
  <c r="I25" i="110"/>
  <c r="I27" i="18"/>
  <c r="E44" i="27"/>
  <c r="C43" i="27"/>
  <c r="I30" i="7"/>
  <c r="E42" i="110"/>
  <c r="C41" i="110"/>
  <c r="I26" i="104"/>
  <c r="C41" i="103"/>
  <c r="E42" i="103"/>
  <c r="I25" i="109"/>
  <c r="C39" i="165"/>
  <c r="E40" i="165"/>
  <c r="GS45" i="2"/>
  <c r="E43" i="151"/>
  <c r="C42" i="151"/>
  <c r="I28" i="117"/>
  <c r="E43" i="48"/>
  <c r="C42" i="48"/>
  <c r="I26" i="87"/>
  <c r="I26" i="111"/>
  <c r="E42" i="74"/>
  <c r="C41" i="74"/>
  <c r="I28" i="122"/>
  <c r="E42" i="139"/>
  <c r="C41" i="139"/>
  <c r="E41" i="85"/>
  <c r="C40" i="85"/>
  <c r="CW43" i="2"/>
  <c r="C43" i="3"/>
  <c r="E44" i="3"/>
  <c r="I27" i="113"/>
  <c r="I29" i="24"/>
  <c r="C40" i="141"/>
  <c r="E41" i="141"/>
  <c r="I26" i="144"/>
  <c r="I29" i="22"/>
  <c r="C43" i="14"/>
  <c r="E44" i="14"/>
  <c r="C40" i="72"/>
  <c r="E41" i="72"/>
  <c r="I28" i="107"/>
  <c r="E42" i="112"/>
  <c r="C41" i="112"/>
  <c r="I25" i="96"/>
  <c r="I25" i="8"/>
  <c r="I25" i="100"/>
  <c r="I29" i="14"/>
  <c r="CB45" i="1"/>
  <c r="E41" i="124"/>
  <c r="C40" i="124"/>
  <c r="E44" i="6"/>
  <c r="C43" i="6"/>
  <c r="CA44" i="1"/>
  <c r="C39" i="34"/>
  <c r="E40" i="34"/>
  <c r="C43" i="90"/>
  <c r="E44" i="90"/>
  <c r="E41" i="69"/>
  <c r="C40" i="69"/>
  <c r="IU44" i="2"/>
  <c r="I28" i="48"/>
  <c r="C41" i="5"/>
  <c r="E42" i="5"/>
  <c r="I29" i="32"/>
  <c r="I28" i="98"/>
  <c r="E42" i="126"/>
  <c r="C41" i="126"/>
  <c r="I25" i="125"/>
  <c r="I30" i="145"/>
  <c r="I27" i="167"/>
  <c r="E42" i="19"/>
  <c r="C41" i="19"/>
  <c r="I29" i="71"/>
  <c r="E43" i="13"/>
  <c r="C42" i="13"/>
  <c r="C41" i="135"/>
  <c r="E42" i="135"/>
  <c r="I25" i="95"/>
  <c r="E42" i="113"/>
  <c r="C41" i="113"/>
  <c r="I27" i="41"/>
  <c r="C41" i="16"/>
  <c r="E42" i="16"/>
  <c r="I26" i="119"/>
  <c r="C42" i="164"/>
  <c r="E43" i="164"/>
  <c r="EE45" i="2"/>
  <c r="I28" i="62"/>
  <c r="I29" i="94"/>
  <c r="E44" i="100"/>
  <c r="C43" i="100"/>
  <c r="I26" i="116"/>
  <c r="I28" i="135"/>
  <c r="I26" i="67"/>
  <c r="I27" i="118"/>
  <c r="I27" i="159"/>
  <c r="I27" i="25"/>
  <c r="I26" i="52"/>
  <c r="E44" i="56"/>
  <c r="C43" i="56"/>
  <c r="GS44" i="2"/>
  <c r="I29" i="79"/>
  <c r="I25" i="141"/>
  <c r="I25" i="69"/>
  <c r="C42" i="108"/>
  <c r="E43" i="108"/>
  <c r="I26" i="31"/>
  <c r="I25" i="90"/>
  <c r="I28" i="78"/>
  <c r="I25" i="17"/>
  <c r="I25" i="81"/>
  <c r="I26" i="53"/>
  <c r="I28" i="13"/>
  <c r="I28" i="77"/>
  <c r="C41" i="94"/>
  <c r="E42" i="94"/>
  <c r="I25" i="58"/>
  <c r="I26" i="5"/>
  <c r="C42" i="35"/>
  <c r="E43" i="35"/>
  <c r="C39" i="102"/>
  <c r="E40" i="102"/>
  <c r="E44" i="143"/>
  <c r="C43" i="143"/>
  <c r="I26" i="19"/>
  <c r="E42" i="66"/>
  <c r="C41" i="66"/>
  <c r="AJ45" i="2"/>
  <c r="I27" i="60"/>
  <c r="I25" i="143"/>
  <c r="I26" i="73"/>
  <c r="I25" i="171"/>
  <c r="I26" i="131"/>
  <c r="I25" i="112"/>
  <c r="I26" i="162"/>
  <c r="I27" i="115"/>
  <c r="I25" i="146"/>
  <c r="E43" i="21"/>
  <c r="C42" i="21"/>
  <c r="C42" i="96"/>
  <c r="E43" i="96"/>
  <c r="E42" i="60"/>
  <c r="C41" i="60"/>
  <c r="E42" i="167"/>
  <c r="C41" i="167"/>
  <c r="I26" i="126"/>
  <c r="E44" i="109"/>
  <c r="C43" i="109"/>
  <c r="ED44" i="2"/>
  <c r="I28" i="128"/>
  <c r="I25" i="38"/>
  <c r="E43" i="153"/>
  <c r="C42" i="153"/>
  <c r="C40" i="127"/>
  <c r="E41" i="127"/>
  <c r="E39" i="138"/>
  <c r="C38" i="138"/>
  <c r="FL44" i="2"/>
  <c r="C41" i="161"/>
  <c r="E42" i="161"/>
  <c r="E39" i="30"/>
  <c r="C38" i="30"/>
  <c r="C39" i="160"/>
  <c r="E40" i="160"/>
  <c r="I27" i="124"/>
  <c r="E43" i="80"/>
  <c r="C42" i="80"/>
  <c r="I27" i="68"/>
  <c r="E41" i="39"/>
  <c r="C40" i="39"/>
  <c r="I27" i="37"/>
  <c r="E44" i="29"/>
  <c r="C43" i="29"/>
  <c r="C41" i="22"/>
  <c r="E42" i="22"/>
  <c r="E41" i="168"/>
  <c r="C40" i="168"/>
  <c r="EP44" i="2"/>
  <c r="C40" i="149"/>
  <c r="E41" i="149"/>
  <c r="I25" i="47"/>
  <c r="I27" i="93"/>
  <c r="I25" i="91"/>
  <c r="E43" i="97"/>
  <c r="C42" i="97"/>
  <c r="EO43" i="2"/>
  <c r="E43" i="88"/>
  <c r="C42" i="88"/>
  <c r="I27" i="158"/>
  <c r="E41" i="26"/>
  <c r="C40" i="26"/>
  <c r="BF45" i="2"/>
  <c r="BQ45" i="2"/>
  <c r="E44" i="107"/>
  <c r="C43" i="107"/>
  <c r="I26" i="170"/>
  <c r="E44" i="172"/>
  <c r="C43" i="172"/>
  <c r="C42" i="76"/>
  <c r="E43" i="76"/>
  <c r="I26" i="57"/>
  <c r="C39" i="111"/>
  <c r="E40" i="111"/>
  <c r="AU45" i="2"/>
  <c r="I28" i="89"/>
  <c r="I28" i="156"/>
  <c r="C42" i="63"/>
  <c r="E43" i="63"/>
  <c r="E40" i="105"/>
  <c r="C39" i="105"/>
  <c r="C43" i="52"/>
  <c r="E44" i="52"/>
  <c r="BP44" i="2"/>
  <c r="I26" i="155"/>
  <c r="C40" i="171"/>
  <c r="E41" i="171"/>
  <c r="E42" i="116"/>
  <c r="C41" i="116"/>
  <c r="C43" i="50"/>
  <c r="E44" i="50"/>
  <c r="AT44" i="2"/>
  <c r="I28" i="127"/>
  <c r="C41" i="57"/>
  <c r="E42" i="57"/>
  <c r="I27" i="30"/>
  <c r="I26" i="123"/>
  <c r="I25" i="34"/>
  <c r="I28" i="136"/>
  <c r="C42" i="117"/>
  <c r="E43" i="117"/>
  <c r="C40" i="62"/>
  <c r="E41" i="62"/>
  <c r="C42" i="125"/>
  <c r="E43" i="125"/>
  <c r="I27" i="92"/>
  <c r="E41" i="40"/>
  <c r="C40" i="40"/>
  <c r="I26" i="3"/>
  <c r="FW45" i="2"/>
  <c r="I26" i="70"/>
  <c r="C38" i="156"/>
  <c r="E39" i="156"/>
  <c r="E42" i="54"/>
  <c r="C41" i="54"/>
  <c r="I27" i="28"/>
  <c r="I28" i="152"/>
  <c r="I25" i="130"/>
  <c r="E43" i="78"/>
  <c r="C42" i="78"/>
  <c r="C43" i="58"/>
  <c r="E44" i="58"/>
  <c r="I26" i="168"/>
  <c r="AJ45" i="1"/>
  <c r="C43" i="42"/>
  <c r="E44" i="42"/>
  <c r="FV44" i="2"/>
  <c r="C41" i="9"/>
  <c r="E42" i="9"/>
  <c r="I27" i="173"/>
  <c r="E43" i="89"/>
  <c r="C42" i="89"/>
  <c r="IK44" i="2"/>
  <c r="C42" i="10"/>
  <c r="E43" i="10"/>
  <c r="E43" i="122"/>
  <c r="C42" i="122"/>
  <c r="HD45" i="2"/>
  <c r="E42" i="67"/>
  <c r="C41" i="67"/>
  <c r="E43" i="145"/>
  <c r="C42" i="145"/>
  <c r="E43" i="15"/>
  <c r="C42" i="15"/>
  <c r="E43" i="142"/>
  <c r="C42" i="142"/>
  <c r="E42" i="65"/>
  <c r="C41" i="65"/>
  <c r="BP44" i="1"/>
  <c r="E44" i="8"/>
  <c r="C43" i="8"/>
  <c r="HC44" i="2"/>
  <c r="E44" i="158"/>
  <c r="C43" i="158"/>
  <c r="E41" i="37"/>
  <c r="C40" i="37"/>
  <c r="E41" i="123"/>
  <c r="C40" i="123"/>
  <c r="E44" i="49"/>
  <c r="C43" i="49"/>
  <c r="N45" i="1"/>
  <c r="I26" i="86"/>
  <c r="E42" i="104"/>
  <c r="C41" i="104"/>
  <c r="E43" i="154"/>
  <c r="C42" i="154"/>
  <c r="IJ43" i="2"/>
  <c r="BQ45" i="1"/>
  <c r="E43" i="20"/>
  <c r="C42" i="20"/>
  <c r="I25" i="35"/>
  <c r="E44" i="170"/>
  <c r="C43" i="170"/>
  <c r="I25" i="174"/>
  <c r="I25" i="55"/>
  <c r="Y45" i="2"/>
  <c r="I26" i="84"/>
  <c r="I25" i="43"/>
  <c r="I26" i="56"/>
  <c r="C36" i="98"/>
  <c r="E37" i="98"/>
  <c r="I28" i="164"/>
  <c r="I25" i="45"/>
  <c r="I28" i="101"/>
  <c r="C43" i="174"/>
  <c r="E44" i="174"/>
  <c r="I30" i="74"/>
  <c r="C40" i="47"/>
  <c r="E41" i="47"/>
  <c r="I28" i="51"/>
  <c r="I28" i="26"/>
  <c r="I27" i="139"/>
  <c r="E44" i="12"/>
  <c r="X44" i="2"/>
  <c r="C43" i="12"/>
  <c r="M44" i="1"/>
  <c r="I26" i="85"/>
  <c r="C42" i="44"/>
  <c r="E43" i="44"/>
  <c r="I26" i="154"/>
  <c r="FA44" i="2"/>
  <c r="E40" i="45"/>
  <c r="C39" i="45"/>
  <c r="I29" i="27"/>
  <c r="IU43" i="2"/>
  <c r="I26" i="76"/>
  <c r="I26" i="54"/>
  <c r="E40" i="59"/>
  <c r="C39" i="59"/>
  <c r="AJ44" i="1"/>
  <c r="I26" i="108"/>
  <c r="I25" i="102"/>
  <c r="I29" i="59"/>
  <c r="C40" i="173"/>
  <c r="E41" i="173"/>
  <c r="I25" i="11"/>
  <c r="I26" i="4"/>
  <c r="I26" i="169"/>
  <c r="E41" i="163"/>
  <c r="C40" i="163"/>
  <c r="E37" i="82"/>
  <c r="C36" i="82"/>
  <c r="I30" i="61"/>
  <c r="E42" i="18"/>
  <c r="C41" i="18"/>
  <c r="I27" i="44"/>
  <c r="C38" i="157"/>
  <c r="E39" i="157"/>
  <c r="CA44" i="2"/>
  <c r="C41" i="148"/>
  <c r="E42" i="148"/>
  <c r="C40" i="73"/>
  <c r="E41" i="73"/>
  <c r="I26" i="39"/>
  <c r="I26" i="20"/>
  <c r="C42" i="134"/>
  <c r="E43" i="134"/>
  <c r="EZ43" i="2"/>
  <c r="GR43" i="2"/>
  <c r="X44" i="1"/>
  <c r="I28" i="16"/>
  <c r="E43" i="23"/>
  <c r="C42" i="23"/>
  <c r="E42" i="144"/>
  <c r="C41" i="144"/>
  <c r="E44" i="92"/>
  <c r="C43" i="92"/>
  <c r="E43" i="31"/>
  <c r="C42" i="31"/>
  <c r="DT43" i="2"/>
  <c r="I26" i="21"/>
  <c r="I26" i="161"/>
  <c r="E42" i="83"/>
  <c r="C41" i="83"/>
  <c r="I26" i="103"/>
  <c r="DI44" i="2"/>
  <c r="I28" i="172"/>
  <c r="I26" i="80"/>
  <c r="C41" i="129"/>
  <c r="E42" i="129"/>
  <c r="DS42" i="2"/>
  <c r="C40" i="115"/>
  <c r="E41" i="115"/>
  <c r="HY44" i="2"/>
  <c r="I44" i="150"/>
  <c r="J43" i="150"/>
  <c r="C42" i="101"/>
  <c r="E43" i="101"/>
  <c r="C41" i="150"/>
  <c r="E42" i="150"/>
  <c r="I27" i="23"/>
  <c r="E43" i="133"/>
  <c r="C42" i="133"/>
  <c r="DH43" i="2"/>
  <c r="I30" i="75"/>
  <c r="E42" i="68"/>
  <c r="C41" i="68"/>
  <c r="E42" i="17"/>
  <c r="C41" i="17"/>
  <c r="I25" i="36"/>
  <c r="E39" i="87"/>
  <c r="C38" i="87"/>
  <c r="I25" i="148"/>
  <c r="E43" i="95"/>
  <c r="C42" i="95"/>
  <c r="I30" i="12"/>
  <c r="C42" i="169"/>
  <c r="E43" i="169"/>
  <c r="HY43" i="2"/>
  <c r="C42" i="38"/>
  <c r="E43" i="38"/>
  <c r="E43" i="79"/>
  <c r="C42" i="79"/>
  <c r="I26" i="151"/>
  <c r="E43" i="132"/>
  <c r="C42" i="132"/>
  <c r="C42" i="70"/>
  <c r="E43" i="70"/>
  <c r="E41" i="120"/>
  <c r="C40" i="120"/>
  <c r="I26" i="106"/>
  <c r="I27" i="10"/>
  <c r="I28" i="132"/>
  <c r="I28" i="9"/>
  <c r="C41" i="81"/>
  <c r="E42" i="81"/>
  <c r="I26" i="121"/>
  <c r="I25" i="140"/>
  <c r="E42" i="4"/>
  <c r="C41" i="4"/>
  <c r="I25" i="40"/>
  <c r="E43" i="119"/>
  <c r="C42" i="119"/>
  <c r="I25" i="105"/>
  <c r="C40" i="86"/>
  <c r="E41" i="86"/>
  <c r="I26" i="138"/>
  <c r="I30" i="133"/>
  <c r="E43" i="77"/>
  <c r="C42" i="77"/>
  <c r="I27" i="157"/>
  <c r="E42" i="11"/>
  <c r="C41" i="11"/>
  <c r="E39" i="146"/>
  <c r="C38" i="146"/>
  <c r="I26" i="50"/>
  <c r="I27" i="99"/>
  <c r="I25" i="147"/>
  <c r="I28" i="29"/>
  <c r="AU45" i="1"/>
  <c r="C42" i="71"/>
  <c r="E43" i="71"/>
  <c r="I26" i="49"/>
  <c r="I27" i="149"/>
  <c r="C43" i="152"/>
  <c r="E44" i="152"/>
  <c r="C41" i="128"/>
  <c r="E42" i="128"/>
  <c r="M44" i="2"/>
  <c r="I30" i="134"/>
  <c r="E40" i="43"/>
  <c r="C39" i="43"/>
  <c r="E44" i="121"/>
  <c r="C43" i="121"/>
  <c r="C42" i="33"/>
  <c r="E43" i="33"/>
  <c r="I25" i="166"/>
  <c r="E43" i="162"/>
  <c r="C42" i="162"/>
  <c r="I26" i="97"/>
  <c r="C43" i="93"/>
  <c r="E44" i="93"/>
  <c r="I25" i="160"/>
  <c r="E42" i="75"/>
  <c r="C41" i="75"/>
  <c r="E41" i="84"/>
  <c r="C40" i="84"/>
  <c r="C40" i="51"/>
  <c r="E41" i="51"/>
  <c r="I25" i="163"/>
  <c r="C43" i="136"/>
  <c r="E44" i="136"/>
  <c r="C43" i="91"/>
  <c r="E44" i="91"/>
  <c r="I27" i="129"/>
  <c r="E44" i="55"/>
  <c r="C43" i="55"/>
  <c r="FK43" i="2" s="1"/>
  <c r="E44" i="7"/>
  <c r="C43" i="7"/>
  <c r="AT44" i="1"/>
  <c r="C38" i="166"/>
  <c r="E39" i="166"/>
  <c r="BE44" i="2"/>
  <c r="I25" i="65"/>
  <c r="I26" i="137"/>
  <c r="E44" i="53"/>
  <c r="C43" i="53"/>
  <c r="E43" i="140"/>
  <c r="C42" i="140"/>
  <c r="AI43" i="2"/>
  <c r="I29" i="82"/>
  <c r="I26" i="33"/>
  <c r="E42" i="118"/>
  <c r="C41" i="118"/>
  <c r="I25" i="64"/>
  <c r="C39" i="131"/>
  <c r="E40" i="131"/>
  <c r="E44" i="155"/>
  <c r="C43" i="155"/>
  <c r="CL43" i="2" s="1"/>
  <c r="I27" i="83"/>
  <c r="E44" i="46"/>
  <c r="C43" i="46"/>
  <c r="C42" i="41"/>
  <c r="E43" i="41"/>
  <c r="E41" i="159"/>
  <c r="C40" i="159"/>
  <c r="C41" i="64"/>
  <c r="E42" i="64"/>
  <c r="C41" i="25"/>
  <c r="E42" i="25"/>
  <c r="I25" i="120"/>
  <c r="C42" i="147"/>
  <c r="E43" i="147"/>
  <c r="I27" i="165"/>
  <c r="E42" i="130"/>
  <c r="C41" i="130"/>
  <c r="FL43" i="2" l="1"/>
  <c r="CM43" i="2"/>
  <c r="E42" i="70"/>
  <c r="C41" i="70"/>
  <c r="C35" i="98"/>
  <c r="E36" i="98"/>
  <c r="E40" i="123"/>
  <c r="C39" i="123"/>
  <c r="I28" i="173"/>
  <c r="E43" i="52"/>
  <c r="C42" i="52"/>
  <c r="BP43" i="2"/>
  <c r="E42" i="21"/>
  <c r="C41" i="21"/>
  <c r="C42" i="56"/>
  <c r="E43" i="56"/>
  <c r="E40" i="69"/>
  <c r="C39" i="69"/>
  <c r="I27" i="144"/>
  <c r="I28" i="66"/>
  <c r="E43" i="136"/>
  <c r="C42" i="136"/>
  <c r="E43" i="152"/>
  <c r="C42" i="152"/>
  <c r="I26" i="105"/>
  <c r="I31" i="134"/>
  <c r="E42" i="132"/>
  <c r="C41" i="132"/>
  <c r="E43" i="92"/>
  <c r="C42" i="92"/>
  <c r="I28" i="92"/>
  <c r="C38" i="105"/>
  <c r="E39" i="105"/>
  <c r="E42" i="88"/>
  <c r="C41" i="88"/>
  <c r="I27" i="5"/>
  <c r="I28" i="41"/>
  <c r="I28" i="23"/>
  <c r="E36" i="82"/>
  <c r="C35" i="82"/>
  <c r="I28" i="129"/>
  <c r="N44" i="2"/>
  <c r="E41" i="150"/>
  <c r="C40" i="150"/>
  <c r="J41" i="150"/>
  <c r="K41" i="150" s="1"/>
  <c r="C39" i="163"/>
  <c r="E40" i="163"/>
  <c r="I27" i="56"/>
  <c r="E40" i="37"/>
  <c r="C39" i="37"/>
  <c r="C40" i="9"/>
  <c r="E41" i="9"/>
  <c r="E39" i="160"/>
  <c r="C38" i="160"/>
  <c r="C40" i="113"/>
  <c r="E41" i="113"/>
  <c r="C38" i="165"/>
  <c r="E39" i="165"/>
  <c r="E43" i="46"/>
  <c r="C42" i="46"/>
  <c r="AI43" i="1"/>
  <c r="I31" i="133"/>
  <c r="I28" i="83"/>
  <c r="I27" i="138"/>
  <c r="I27" i="151"/>
  <c r="C40" i="144"/>
  <c r="E41" i="144"/>
  <c r="FW44" i="2"/>
  <c r="EP43" i="2"/>
  <c r="C37" i="30"/>
  <c r="E38" i="30"/>
  <c r="I26" i="146"/>
  <c r="I26" i="58"/>
  <c r="I27" i="52"/>
  <c r="E43" i="90"/>
  <c r="C42" i="90"/>
  <c r="E40" i="141"/>
  <c r="C39" i="141"/>
  <c r="I28" i="63"/>
  <c r="E43" i="155"/>
  <c r="C42" i="155"/>
  <c r="E43" i="91"/>
  <c r="C42" i="91"/>
  <c r="E41" i="128"/>
  <c r="C40" i="128"/>
  <c r="E42" i="101"/>
  <c r="C41" i="101"/>
  <c r="I27" i="154"/>
  <c r="I26" i="43"/>
  <c r="E43" i="158"/>
  <c r="C42" i="158"/>
  <c r="E42" i="125"/>
  <c r="C41" i="125"/>
  <c r="E42" i="97"/>
  <c r="C41" i="97"/>
  <c r="I26" i="109"/>
  <c r="C39" i="106"/>
  <c r="E40" i="106"/>
  <c r="C39" i="86"/>
  <c r="E40" i="86"/>
  <c r="C41" i="79"/>
  <c r="E42" i="79"/>
  <c r="E42" i="23"/>
  <c r="C41" i="23"/>
  <c r="I27" i="169"/>
  <c r="C42" i="42"/>
  <c r="E43" i="42"/>
  <c r="FV43" i="2"/>
  <c r="C41" i="63"/>
  <c r="E42" i="63"/>
  <c r="CL42" i="2"/>
  <c r="I28" i="115"/>
  <c r="C40" i="94"/>
  <c r="E41" i="94"/>
  <c r="I28" i="25"/>
  <c r="I26" i="95"/>
  <c r="E39" i="34"/>
  <c r="C38" i="34"/>
  <c r="I30" i="24"/>
  <c r="J44" i="150"/>
  <c r="I45" i="150"/>
  <c r="E42" i="44"/>
  <c r="C41" i="44"/>
  <c r="I27" i="84"/>
  <c r="HD44" i="2"/>
  <c r="E40" i="62"/>
  <c r="C39" i="62"/>
  <c r="I29" i="156"/>
  <c r="I27" i="162"/>
  <c r="CB44" i="1"/>
  <c r="E41" i="103"/>
  <c r="C40" i="103"/>
  <c r="I27" i="88"/>
  <c r="I27" i="4"/>
  <c r="BP43" i="1"/>
  <c r="C42" i="8"/>
  <c r="HC43" i="2"/>
  <c r="E43" i="8"/>
  <c r="I26" i="91"/>
  <c r="C40" i="161"/>
  <c r="E41" i="161"/>
  <c r="I29" i="77"/>
  <c r="I28" i="159"/>
  <c r="C40" i="135"/>
  <c r="E41" i="135"/>
  <c r="E43" i="6"/>
  <c r="C42" i="6"/>
  <c r="CA43" i="1"/>
  <c r="I28" i="113"/>
  <c r="I26" i="64"/>
  <c r="C41" i="119"/>
  <c r="E42" i="119"/>
  <c r="C41" i="38"/>
  <c r="E42" i="38"/>
  <c r="I29" i="16"/>
  <c r="I27" i="85"/>
  <c r="E42" i="117"/>
  <c r="C41" i="117"/>
  <c r="I29" i="13"/>
  <c r="E42" i="13"/>
  <c r="C41" i="13"/>
  <c r="I27" i="104"/>
  <c r="N44" i="1"/>
  <c r="BQ44" i="1"/>
  <c r="I27" i="168"/>
  <c r="I29" i="136"/>
  <c r="I29" i="89"/>
  <c r="I28" i="93"/>
  <c r="I26" i="112"/>
  <c r="I28" i="118"/>
  <c r="E40" i="124"/>
  <c r="C39" i="124"/>
  <c r="C40" i="110"/>
  <c r="E41" i="110"/>
  <c r="I27" i="114"/>
  <c r="Y44" i="1"/>
  <c r="E41" i="118"/>
  <c r="C40" i="118"/>
  <c r="E40" i="51"/>
  <c r="C39" i="51"/>
  <c r="I27" i="49"/>
  <c r="DT42" i="2"/>
  <c r="GS43" i="2"/>
  <c r="C42" i="12"/>
  <c r="E43" i="12"/>
  <c r="X43" i="2"/>
  <c r="M43" i="1"/>
  <c r="I26" i="55"/>
  <c r="E41" i="65"/>
  <c r="C40" i="65"/>
  <c r="I26" i="47"/>
  <c r="I27" i="131"/>
  <c r="I30" i="71"/>
  <c r="E41" i="99"/>
  <c r="C40" i="99"/>
  <c r="I26" i="40"/>
  <c r="E42" i="169"/>
  <c r="C41" i="169"/>
  <c r="FA43" i="2"/>
  <c r="E43" i="58"/>
  <c r="C42" i="58"/>
  <c r="C37" i="138"/>
  <c r="E38" i="138"/>
  <c r="I27" i="53"/>
  <c r="E43" i="3"/>
  <c r="C42" i="3"/>
  <c r="E40" i="115"/>
  <c r="C39" i="115"/>
  <c r="I26" i="11"/>
  <c r="I27" i="33"/>
  <c r="C40" i="129"/>
  <c r="E41" i="129"/>
  <c r="DS41" i="2"/>
  <c r="I26" i="174"/>
  <c r="E42" i="142"/>
  <c r="C41" i="142"/>
  <c r="C41" i="78"/>
  <c r="E42" i="78"/>
  <c r="I26" i="34"/>
  <c r="E41" i="19"/>
  <c r="C40" i="19"/>
  <c r="CX43" i="2"/>
  <c r="I31" i="7"/>
  <c r="C41" i="36"/>
  <c r="E42" i="36"/>
  <c r="Y44" i="2"/>
  <c r="E42" i="71"/>
  <c r="C41" i="71"/>
  <c r="E41" i="4"/>
  <c r="C40" i="4"/>
  <c r="C40" i="75"/>
  <c r="E41" i="75"/>
  <c r="I31" i="12"/>
  <c r="E42" i="134"/>
  <c r="C41" i="134"/>
  <c r="EZ42" i="2"/>
  <c r="E40" i="173"/>
  <c r="C39" i="173"/>
  <c r="C42" i="170"/>
  <c r="E43" i="170"/>
  <c r="E39" i="111"/>
  <c r="C38" i="111"/>
  <c r="C39" i="149"/>
  <c r="E40" i="149"/>
  <c r="I26" i="171"/>
  <c r="I26" i="81"/>
  <c r="I27" i="67"/>
  <c r="I30" i="14"/>
  <c r="E40" i="85"/>
  <c r="C39" i="85"/>
  <c r="E43" i="27"/>
  <c r="C42" i="27"/>
  <c r="HZ43" i="2"/>
  <c r="E41" i="130"/>
  <c r="C40" i="130"/>
  <c r="I30" i="82"/>
  <c r="C41" i="95"/>
  <c r="E42" i="95"/>
  <c r="I27" i="80"/>
  <c r="I28" i="139"/>
  <c r="C41" i="15"/>
  <c r="E42" i="15"/>
  <c r="I26" i="130"/>
  <c r="I27" i="123"/>
  <c r="E40" i="127"/>
  <c r="C39" i="127"/>
  <c r="I30" i="42"/>
  <c r="C39" i="84"/>
  <c r="E40" i="84"/>
  <c r="I26" i="160"/>
  <c r="I29" i="172"/>
  <c r="I27" i="20"/>
  <c r="I30" i="59"/>
  <c r="I26" i="35"/>
  <c r="I28" i="30"/>
  <c r="I27" i="57"/>
  <c r="C41" i="153"/>
  <c r="E42" i="153"/>
  <c r="I27" i="73"/>
  <c r="I26" i="17"/>
  <c r="I29" i="135"/>
  <c r="I28" i="167"/>
  <c r="E41" i="139"/>
  <c r="C40" i="139"/>
  <c r="C39" i="168"/>
  <c r="E40" i="168"/>
  <c r="I26" i="143"/>
  <c r="I27" i="116"/>
  <c r="I31" i="145"/>
  <c r="I26" i="100"/>
  <c r="I28" i="18"/>
  <c r="I26" i="102"/>
  <c r="I29" i="51"/>
  <c r="C41" i="20"/>
  <c r="E42" i="20"/>
  <c r="I29" i="152"/>
  <c r="E42" i="76"/>
  <c r="C41" i="76"/>
  <c r="I26" i="38"/>
  <c r="I29" i="78"/>
  <c r="I29" i="122"/>
  <c r="E41" i="137"/>
  <c r="C40" i="137"/>
  <c r="E42" i="145"/>
  <c r="C41" i="145"/>
  <c r="CW41" i="2" s="1"/>
  <c r="I28" i="165"/>
  <c r="E42" i="140"/>
  <c r="C41" i="140"/>
  <c r="C42" i="93"/>
  <c r="E43" i="93"/>
  <c r="E38" i="87"/>
  <c r="C37" i="87"/>
  <c r="C40" i="67"/>
  <c r="E41" i="67"/>
  <c r="E41" i="57"/>
  <c r="C40" i="57"/>
  <c r="C42" i="172"/>
  <c r="E43" i="172"/>
  <c r="I28" i="60"/>
  <c r="C42" i="100"/>
  <c r="E43" i="100"/>
  <c r="I26" i="8"/>
  <c r="I26" i="110"/>
  <c r="I29" i="29"/>
  <c r="I28" i="28"/>
  <c r="E41" i="22"/>
  <c r="C40" i="22"/>
  <c r="I26" i="90"/>
  <c r="I26" i="125"/>
  <c r="I26" i="96"/>
  <c r="E41" i="74"/>
  <c r="C40" i="74"/>
  <c r="C41" i="114"/>
  <c r="E42" i="114"/>
  <c r="I29" i="26"/>
  <c r="E40" i="47"/>
  <c r="C39" i="47"/>
  <c r="C40" i="54"/>
  <c r="E41" i="54"/>
  <c r="E43" i="29"/>
  <c r="C42" i="29"/>
  <c r="I29" i="128"/>
  <c r="I30" i="94"/>
  <c r="C40" i="126"/>
  <c r="E41" i="126"/>
  <c r="I27" i="153"/>
  <c r="E42" i="162"/>
  <c r="C41" i="162"/>
  <c r="I28" i="99"/>
  <c r="I31" i="74"/>
  <c r="IK43" i="2"/>
  <c r="AU44" i="2"/>
  <c r="I27" i="170"/>
  <c r="EE44" i="2"/>
  <c r="I27" i="31"/>
  <c r="CW42" i="2"/>
  <c r="I27" i="111"/>
  <c r="I29" i="142"/>
  <c r="I27" i="137"/>
  <c r="I29" i="9"/>
  <c r="I26" i="36"/>
  <c r="C40" i="148"/>
  <c r="E41" i="148"/>
  <c r="E41" i="17"/>
  <c r="C40" i="17"/>
  <c r="E41" i="83"/>
  <c r="C40" i="83"/>
  <c r="CB44" i="2"/>
  <c r="E39" i="59"/>
  <c r="C38" i="59"/>
  <c r="E42" i="154"/>
  <c r="C41" i="154"/>
  <c r="IJ42" i="2"/>
  <c r="C41" i="122"/>
  <c r="E42" i="122"/>
  <c r="C42" i="107"/>
  <c r="E43" i="107"/>
  <c r="I28" i="37"/>
  <c r="C42" i="109"/>
  <c r="E43" i="109"/>
  <c r="ED43" i="2"/>
  <c r="E41" i="66"/>
  <c r="C40" i="66"/>
  <c r="C40" i="112"/>
  <c r="E41" i="112"/>
  <c r="I28" i="72"/>
  <c r="I31" i="46"/>
  <c r="I29" i="127"/>
  <c r="C37" i="156"/>
  <c r="E38" i="156"/>
  <c r="E43" i="50"/>
  <c r="C42" i="50"/>
  <c r="AT43" i="2"/>
  <c r="E42" i="108"/>
  <c r="C41" i="108"/>
  <c r="I29" i="62"/>
  <c r="I29" i="98"/>
  <c r="I27" i="87"/>
  <c r="I27" i="108"/>
  <c r="E38" i="146"/>
  <c r="C37" i="146"/>
  <c r="E38" i="157"/>
  <c r="C37" i="157"/>
  <c r="I27" i="54"/>
  <c r="E43" i="174"/>
  <c r="C42" i="174"/>
  <c r="E41" i="104"/>
  <c r="C40" i="104"/>
  <c r="I27" i="70"/>
  <c r="C40" i="116"/>
  <c r="E41" i="116"/>
  <c r="C39" i="39"/>
  <c r="E40" i="39"/>
  <c r="I26" i="69"/>
  <c r="E43" i="28"/>
  <c r="C42" i="28"/>
  <c r="AI42" i="2" s="1"/>
  <c r="C40" i="64"/>
  <c r="E41" i="64"/>
  <c r="M43" i="2"/>
  <c r="I27" i="161"/>
  <c r="I28" i="44"/>
  <c r="I29" i="101"/>
  <c r="E42" i="10"/>
  <c r="C41" i="10"/>
  <c r="I27" i="126"/>
  <c r="I27" i="19"/>
  <c r="I30" i="32"/>
  <c r="I29" i="107"/>
  <c r="C41" i="48"/>
  <c r="E42" i="48"/>
  <c r="I26" i="163"/>
  <c r="HZ44" i="2"/>
  <c r="I26" i="120"/>
  <c r="C40" i="25"/>
  <c r="E41" i="25"/>
  <c r="I27" i="50"/>
  <c r="BF44" i="2"/>
  <c r="C40" i="11"/>
  <c r="E41" i="11"/>
  <c r="I28" i="10"/>
  <c r="C40" i="167"/>
  <c r="E41" i="167"/>
  <c r="C42" i="143"/>
  <c r="E43" i="143"/>
  <c r="I26" i="141"/>
  <c r="C39" i="61"/>
  <c r="E40" i="61"/>
  <c r="X43" i="1"/>
  <c r="I27" i="121"/>
  <c r="I26" i="148"/>
  <c r="C41" i="147"/>
  <c r="E42" i="147"/>
  <c r="C42" i="53"/>
  <c r="E43" i="53"/>
  <c r="I27" i="97"/>
  <c r="I26" i="147"/>
  <c r="E40" i="73"/>
  <c r="C39" i="73"/>
  <c r="I27" i="103"/>
  <c r="E42" i="33"/>
  <c r="C41" i="33"/>
  <c r="M42" i="2"/>
  <c r="I27" i="21"/>
  <c r="I26" i="45"/>
  <c r="I27" i="86"/>
  <c r="I28" i="68"/>
  <c r="E42" i="164"/>
  <c r="C41" i="164"/>
  <c r="E40" i="72"/>
  <c r="C39" i="72"/>
  <c r="I29" i="117"/>
  <c r="I26" i="140"/>
  <c r="E41" i="81"/>
  <c r="C40" i="81"/>
  <c r="E40" i="171"/>
  <c r="C39" i="171"/>
  <c r="AU44" i="1"/>
  <c r="E43" i="121"/>
  <c r="C42" i="121"/>
  <c r="I27" i="106"/>
  <c r="DI43" i="2"/>
  <c r="C40" i="18"/>
  <c r="E41" i="18"/>
  <c r="IV43" i="2"/>
  <c r="HN43" i="2"/>
  <c r="I27" i="3"/>
  <c r="C39" i="26"/>
  <c r="E40" i="26"/>
  <c r="E42" i="80"/>
  <c r="C41" i="80"/>
  <c r="E41" i="60"/>
  <c r="C40" i="60"/>
  <c r="I30" i="79"/>
  <c r="I27" i="119"/>
  <c r="C40" i="5"/>
  <c r="E41" i="5"/>
  <c r="E39" i="131"/>
  <c r="C38" i="131"/>
  <c r="I28" i="149"/>
  <c r="AJ43" i="2"/>
  <c r="I27" i="39"/>
  <c r="I29" i="132"/>
  <c r="E40" i="159"/>
  <c r="C39" i="159"/>
  <c r="E38" i="166"/>
  <c r="C37" i="166"/>
  <c r="BE43" i="2"/>
  <c r="C42" i="7"/>
  <c r="EO42" i="2" s="1"/>
  <c r="E43" i="7"/>
  <c r="AT43" i="1"/>
  <c r="I28" i="157"/>
  <c r="E40" i="120"/>
  <c r="C39" i="120"/>
  <c r="E42" i="133"/>
  <c r="C41" i="133"/>
  <c r="DH42" i="2"/>
  <c r="C41" i="89"/>
  <c r="E42" i="89"/>
  <c r="HN42" i="2"/>
  <c r="I27" i="155"/>
  <c r="C38" i="102"/>
  <c r="E39" i="102"/>
  <c r="E43" i="14"/>
  <c r="C42" i="14"/>
  <c r="C41" i="151"/>
  <c r="E42" i="151"/>
  <c r="I31" i="15"/>
  <c r="I26" i="65"/>
  <c r="I26" i="166"/>
  <c r="E41" i="68"/>
  <c r="C40" i="68"/>
  <c r="I31" i="75"/>
  <c r="I27" i="76"/>
  <c r="C38" i="43"/>
  <c r="E39" i="43"/>
  <c r="C41" i="77"/>
  <c r="E42" i="77"/>
  <c r="CA43" i="2"/>
  <c r="I30" i="27"/>
  <c r="I29" i="164"/>
  <c r="E43" i="49"/>
  <c r="C42" i="49"/>
  <c r="BQ44" i="2"/>
  <c r="I29" i="48"/>
  <c r="C37" i="32"/>
  <c r="E38" i="32"/>
  <c r="C41" i="41"/>
  <c r="E42" i="41"/>
  <c r="BE42" i="2"/>
  <c r="E43" i="55"/>
  <c r="C42" i="55"/>
  <c r="C41" i="31"/>
  <c r="E42" i="31"/>
  <c r="CA42" i="2"/>
  <c r="I31" i="61"/>
  <c r="E39" i="45"/>
  <c r="C38" i="45"/>
  <c r="E40" i="40"/>
  <c r="C39" i="40"/>
  <c r="I28" i="158"/>
  <c r="I28" i="124"/>
  <c r="C41" i="96"/>
  <c r="E42" i="96"/>
  <c r="E42" i="35"/>
  <c r="C41" i="35"/>
  <c r="C40" i="16"/>
  <c r="E41" i="16"/>
  <c r="IV44" i="2"/>
  <c r="I30" i="22"/>
  <c r="K42" i="150"/>
  <c r="EP42" i="2" l="1"/>
  <c r="CX41" i="2"/>
  <c r="AJ42" i="2"/>
  <c r="I30" i="127"/>
  <c r="E40" i="126"/>
  <c r="C39" i="126"/>
  <c r="I27" i="8"/>
  <c r="I28" i="57"/>
  <c r="I31" i="82"/>
  <c r="E39" i="115"/>
  <c r="C38" i="115"/>
  <c r="E40" i="135"/>
  <c r="C39" i="135"/>
  <c r="E41" i="44"/>
  <c r="C40" i="44"/>
  <c r="E39" i="106"/>
  <c r="C38" i="106"/>
  <c r="I27" i="146"/>
  <c r="I28" i="56"/>
  <c r="E37" i="156"/>
  <c r="C36" i="156"/>
  <c r="I27" i="65"/>
  <c r="E40" i="75"/>
  <c r="C39" i="75"/>
  <c r="I27" i="55"/>
  <c r="I30" i="136"/>
  <c r="I27" i="105"/>
  <c r="E42" i="121"/>
  <c r="C41" i="121"/>
  <c r="I27" i="147"/>
  <c r="E39" i="39"/>
  <c r="C38" i="39"/>
  <c r="I27" i="36"/>
  <c r="I31" i="94"/>
  <c r="E42" i="100"/>
  <c r="C41" i="100"/>
  <c r="E40" i="130"/>
  <c r="C39" i="130"/>
  <c r="N43" i="1"/>
  <c r="I29" i="159"/>
  <c r="I46" i="150"/>
  <c r="J45" i="150"/>
  <c r="I27" i="109"/>
  <c r="E42" i="152"/>
  <c r="C41" i="152"/>
  <c r="C38" i="73"/>
  <c r="E39" i="73"/>
  <c r="I28" i="97"/>
  <c r="I27" i="120"/>
  <c r="I32" i="46"/>
  <c r="E41" i="20"/>
  <c r="C40" i="20"/>
  <c r="I29" i="30"/>
  <c r="E40" i="4"/>
  <c r="C39" i="4"/>
  <c r="Y43" i="2"/>
  <c r="I28" i="168"/>
  <c r="I30" i="77"/>
  <c r="K44" i="150"/>
  <c r="E37" i="30"/>
  <c r="C36" i="30"/>
  <c r="C38" i="163"/>
  <c r="E39" i="163"/>
  <c r="E40" i="25"/>
  <c r="C39" i="25"/>
  <c r="E40" i="148"/>
  <c r="C39" i="148"/>
  <c r="E41" i="151"/>
  <c r="C40" i="151"/>
  <c r="I30" i="51"/>
  <c r="E42" i="3"/>
  <c r="C41" i="3"/>
  <c r="E41" i="97"/>
  <c r="C40" i="97"/>
  <c r="E42" i="136"/>
  <c r="C41" i="136"/>
  <c r="I32" i="15"/>
  <c r="I30" i="152"/>
  <c r="BF42" i="2"/>
  <c r="I29" i="60"/>
  <c r="E41" i="41"/>
  <c r="C40" i="41"/>
  <c r="E42" i="14"/>
  <c r="C41" i="14"/>
  <c r="GR42" i="2"/>
  <c r="I29" i="149"/>
  <c r="C38" i="171"/>
  <c r="E39" i="171"/>
  <c r="E42" i="29"/>
  <c r="C41" i="29"/>
  <c r="I27" i="35"/>
  <c r="E41" i="71"/>
  <c r="C40" i="71"/>
  <c r="E42" i="12"/>
  <c r="X42" i="2"/>
  <c r="C41" i="12"/>
  <c r="M42" i="1"/>
  <c r="I31" i="24"/>
  <c r="C39" i="150"/>
  <c r="E40" i="150"/>
  <c r="J40" i="150"/>
  <c r="K40" i="150" s="1"/>
  <c r="E41" i="31"/>
  <c r="C40" i="31"/>
  <c r="I28" i="39"/>
  <c r="I28" i="106"/>
  <c r="C41" i="55"/>
  <c r="E42" i="55"/>
  <c r="C39" i="116"/>
  <c r="E40" i="116"/>
  <c r="I29" i="72"/>
  <c r="I30" i="9"/>
  <c r="I30" i="128"/>
  <c r="C37" i="131"/>
  <c r="E38" i="131"/>
  <c r="E42" i="53"/>
  <c r="C41" i="53"/>
  <c r="I27" i="163"/>
  <c r="I28" i="70"/>
  <c r="I28" i="137"/>
  <c r="E42" i="172"/>
  <c r="C41" i="172"/>
  <c r="I27" i="102"/>
  <c r="E42" i="27"/>
  <c r="C41" i="27"/>
  <c r="E38" i="34"/>
  <c r="C37" i="34"/>
  <c r="E41" i="125"/>
  <c r="C40" i="125"/>
  <c r="I30" i="132"/>
  <c r="E40" i="81"/>
  <c r="C39" i="81"/>
  <c r="E40" i="57"/>
  <c r="C39" i="57"/>
  <c r="I31" i="59"/>
  <c r="I28" i="53"/>
  <c r="C39" i="161"/>
  <c r="E40" i="161"/>
  <c r="I29" i="66"/>
  <c r="I29" i="157"/>
  <c r="E40" i="104"/>
  <c r="C39" i="104"/>
  <c r="E38" i="102"/>
  <c r="C37" i="102"/>
  <c r="E41" i="147"/>
  <c r="C40" i="147"/>
  <c r="C39" i="112"/>
  <c r="E40" i="112"/>
  <c r="E40" i="54"/>
  <c r="C39" i="54"/>
  <c r="I28" i="20"/>
  <c r="C38" i="85"/>
  <c r="E39" i="85"/>
  <c r="I27" i="95"/>
  <c r="C41" i="158"/>
  <c r="E42" i="158"/>
  <c r="I28" i="50"/>
  <c r="E37" i="32"/>
  <c r="C36" i="32"/>
  <c r="I31" i="22"/>
  <c r="I30" i="48"/>
  <c r="I28" i="155"/>
  <c r="C40" i="48"/>
  <c r="E41" i="48"/>
  <c r="C41" i="174"/>
  <c r="E42" i="174"/>
  <c r="C39" i="66"/>
  <c r="E40" i="66"/>
  <c r="I30" i="142"/>
  <c r="E39" i="47"/>
  <c r="C38" i="47"/>
  <c r="I29" i="18"/>
  <c r="I28" i="104"/>
  <c r="I27" i="91"/>
  <c r="E40" i="144"/>
  <c r="C39" i="144"/>
  <c r="I28" i="144"/>
  <c r="E40" i="5"/>
  <c r="C39" i="5"/>
  <c r="I27" i="140"/>
  <c r="I30" i="107"/>
  <c r="E40" i="67"/>
  <c r="C39" i="67"/>
  <c r="I31" i="14"/>
  <c r="E41" i="36"/>
  <c r="C40" i="36"/>
  <c r="C36" i="138"/>
  <c r="E37" i="138"/>
  <c r="I28" i="49"/>
  <c r="E41" i="13"/>
  <c r="C40" i="13"/>
  <c r="I29" i="129"/>
  <c r="C38" i="69"/>
  <c r="E39" i="69"/>
  <c r="I27" i="148"/>
  <c r="HO42" i="2"/>
  <c r="I28" i="121"/>
  <c r="EE43" i="2"/>
  <c r="I28" i="111"/>
  <c r="E37" i="87"/>
  <c r="C36" i="87"/>
  <c r="I27" i="100"/>
  <c r="I30" i="172"/>
  <c r="E42" i="58"/>
  <c r="C41" i="58"/>
  <c r="HD43" i="2"/>
  <c r="I29" i="25"/>
  <c r="I27" i="43"/>
  <c r="I28" i="151"/>
  <c r="C34" i="82"/>
  <c r="E35" i="82"/>
  <c r="CX42" i="2"/>
  <c r="I30" i="26"/>
  <c r="I32" i="7"/>
  <c r="E39" i="51"/>
  <c r="C38" i="51"/>
  <c r="I30" i="13"/>
  <c r="E42" i="8"/>
  <c r="C41" i="8"/>
  <c r="HC42" i="2"/>
  <c r="BP42" i="1"/>
  <c r="I31" i="32"/>
  <c r="I28" i="54"/>
  <c r="C38" i="72"/>
  <c r="E39" i="72"/>
  <c r="Y43" i="1"/>
  <c r="E37" i="157"/>
  <c r="C36" i="157"/>
  <c r="E42" i="109"/>
  <c r="C41" i="109"/>
  <c r="ED42" i="2"/>
  <c r="I28" i="31"/>
  <c r="I32" i="145"/>
  <c r="I27" i="160"/>
  <c r="I28" i="67"/>
  <c r="BQ43" i="1"/>
  <c r="E40" i="94"/>
  <c r="C39" i="94"/>
  <c r="I28" i="154"/>
  <c r="I28" i="138"/>
  <c r="I29" i="23"/>
  <c r="E42" i="56"/>
  <c r="C41" i="56"/>
  <c r="I30" i="117"/>
  <c r="DI42" i="2"/>
  <c r="I28" i="19"/>
  <c r="I29" i="37"/>
  <c r="E41" i="114"/>
  <c r="C40" i="114"/>
  <c r="C41" i="93"/>
  <c r="E42" i="93"/>
  <c r="I27" i="81"/>
  <c r="E40" i="118"/>
  <c r="C39" i="118"/>
  <c r="E41" i="117"/>
  <c r="C40" i="117"/>
  <c r="I28" i="4"/>
  <c r="C40" i="101"/>
  <c r="E41" i="101"/>
  <c r="I29" i="83"/>
  <c r="E41" i="21"/>
  <c r="C40" i="21"/>
  <c r="E37" i="146"/>
  <c r="C36" i="146"/>
  <c r="E40" i="74"/>
  <c r="C39" i="74"/>
  <c r="I28" i="116"/>
  <c r="C38" i="84"/>
  <c r="E39" i="84"/>
  <c r="E40" i="19"/>
  <c r="C39" i="19"/>
  <c r="HY42" i="2"/>
  <c r="I29" i="115"/>
  <c r="I29" i="41"/>
  <c r="E40" i="16"/>
  <c r="C39" i="16"/>
  <c r="C40" i="133"/>
  <c r="E41" i="133"/>
  <c r="DH41" i="2"/>
  <c r="C39" i="60"/>
  <c r="E40" i="60"/>
  <c r="C40" i="164"/>
  <c r="E41" i="164"/>
  <c r="I28" i="126"/>
  <c r="C40" i="140"/>
  <c r="E41" i="140"/>
  <c r="I27" i="171"/>
  <c r="C40" i="169"/>
  <c r="E41" i="169"/>
  <c r="HY41" i="2"/>
  <c r="I28" i="85"/>
  <c r="I28" i="88"/>
  <c r="CM42" i="2"/>
  <c r="C39" i="128"/>
  <c r="E40" i="128"/>
  <c r="I32" i="133"/>
  <c r="BQ43" i="2"/>
  <c r="E41" i="89"/>
  <c r="C40" i="89"/>
  <c r="C40" i="35"/>
  <c r="E41" i="35"/>
  <c r="I31" i="27"/>
  <c r="C38" i="120"/>
  <c r="E39" i="120"/>
  <c r="E41" i="80"/>
  <c r="C40" i="80"/>
  <c r="I29" i="68"/>
  <c r="X42" i="1"/>
  <c r="E42" i="107"/>
  <c r="C41" i="107"/>
  <c r="BE41" i="2" s="1"/>
  <c r="I28" i="170"/>
  <c r="I27" i="143"/>
  <c r="I31" i="42"/>
  <c r="E42" i="52"/>
  <c r="C41" i="52"/>
  <c r="BP42" i="2"/>
  <c r="I28" i="119"/>
  <c r="I31" i="79"/>
  <c r="I30" i="164"/>
  <c r="E39" i="61"/>
  <c r="C38" i="61"/>
  <c r="E41" i="96"/>
  <c r="C40" i="96"/>
  <c r="CB43" i="2"/>
  <c r="C40" i="10"/>
  <c r="E41" i="10"/>
  <c r="I28" i="108"/>
  <c r="I27" i="96"/>
  <c r="I29" i="165"/>
  <c r="C38" i="127"/>
  <c r="E39" i="127"/>
  <c r="I27" i="34"/>
  <c r="I27" i="40"/>
  <c r="E40" i="103"/>
  <c r="C39" i="103"/>
  <c r="E41" i="63"/>
  <c r="C40" i="63"/>
  <c r="C41" i="91"/>
  <c r="E42" i="91"/>
  <c r="AJ43" i="1"/>
  <c r="I28" i="5"/>
  <c r="C40" i="122"/>
  <c r="E41" i="122"/>
  <c r="E39" i="168"/>
  <c r="C38" i="168"/>
  <c r="C38" i="149"/>
  <c r="E39" i="149"/>
  <c r="I28" i="114"/>
  <c r="I30" i="16"/>
  <c r="FW43" i="2"/>
  <c r="E42" i="46"/>
  <c r="C41" i="46"/>
  <c r="FK42" i="2"/>
  <c r="I27" i="141"/>
  <c r="I29" i="124"/>
  <c r="C40" i="77"/>
  <c r="E41" i="77"/>
  <c r="C38" i="26"/>
  <c r="E39" i="26"/>
  <c r="I28" i="86"/>
  <c r="I28" i="87"/>
  <c r="IK42" i="2"/>
  <c r="I27" i="125"/>
  <c r="C40" i="145"/>
  <c r="E41" i="145"/>
  <c r="C39" i="139"/>
  <c r="E40" i="139"/>
  <c r="I28" i="123"/>
  <c r="E38" i="111"/>
  <c r="C37" i="111"/>
  <c r="E41" i="78"/>
  <c r="C40" i="78"/>
  <c r="E40" i="99"/>
  <c r="C39" i="99"/>
  <c r="E42" i="155"/>
  <c r="C41" i="155"/>
  <c r="CL41" i="2" s="1"/>
  <c r="E41" i="88"/>
  <c r="C40" i="88"/>
  <c r="FK41" i="2"/>
  <c r="I29" i="173"/>
  <c r="C40" i="142"/>
  <c r="E41" i="142"/>
  <c r="E40" i="110"/>
  <c r="C39" i="110"/>
  <c r="E41" i="38"/>
  <c r="C40" i="38"/>
  <c r="E42" i="42"/>
  <c r="C41" i="42"/>
  <c r="FV42" i="2"/>
  <c r="C38" i="123"/>
  <c r="E39" i="123"/>
  <c r="E42" i="143"/>
  <c r="C41" i="143"/>
  <c r="C40" i="154"/>
  <c r="E41" i="154"/>
  <c r="IJ41" i="2"/>
  <c r="I29" i="158"/>
  <c r="E38" i="43"/>
  <c r="C37" i="43"/>
  <c r="I27" i="45"/>
  <c r="I29" i="44"/>
  <c r="I30" i="98"/>
  <c r="I27" i="90"/>
  <c r="E40" i="137"/>
  <c r="C39" i="137"/>
  <c r="I29" i="167"/>
  <c r="C38" i="124"/>
  <c r="E39" i="124"/>
  <c r="I28" i="162"/>
  <c r="I28" i="169"/>
  <c r="I29" i="63"/>
  <c r="E38" i="165"/>
  <c r="C37" i="165"/>
  <c r="I30" i="101"/>
  <c r="I28" i="76"/>
  <c r="E42" i="7"/>
  <c r="C41" i="7"/>
  <c r="EO41" i="2" s="1"/>
  <c r="AT42" i="1"/>
  <c r="HO43" i="2"/>
  <c r="C39" i="167"/>
  <c r="E40" i="167"/>
  <c r="I30" i="62"/>
  <c r="E38" i="59"/>
  <c r="C37" i="59"/>
  <c r="E40" i="22"/>
  <c r="C39" i="22"/>
  <c r="I27" i="130"/>
  <c r="C41" i="170"/>
  <c r="E42" i="170"/>
  <c r="I31" i="71"/>
  <c r="E41" i="119"/>
  <c r="C40" i="119"/>
  <c r="E38" i="105"/>
  <c r="C37" i="105"/>
  <c r="E39" i="40"/>
  <c r="C38" i="40"/>
  <c r="I28" i="161"/>
  <c r="I32" i="74"/>
  <c r="I30" i="135"/>
  <c r="I27" i="174"/>
  <c r="E41" i="23"/>
  <c r="C40" i="23"/>
  <c r="E39" i="141"/>
  <c r="C38" i="141"/>
  <c r="E40" i="113"/>
  <c r="C39" i="113"/>
  <c r="E35" i="98"/>
  <c r="C34" i="98"/>
  <c r="I28" i="21"/>
  <c r="I29" i="10"/>
  <c r="E37" i="166"/>
  <c r="C36" i="166"/>
  <c r="C40" i="108"/>
  <c r="E41" i="108"/>
  <c r="I30" i="122"/>
  <c r="E41" i="15"/>
  <c r="C40" i="15"/>
  <c r="C38" i="173"/>
  <c r="E39" i="173"/>
  <c r="DT41" i="2"/>
  <c r="I29" i="118"/>
  <c r="I27" i="64"/>
  <c r="I30" i="156"/>
  <c r="I29" i="92"/>
  <c r="C40" i="70"/>
  <c r="E41" i="70"/>
  <c r="I28" i="3"/>
  <c r="I32" i="75"/>
  <c r="N43" i="2"/>
  <c r="I29" i="99"/>
  <c r="I29" i="28"/>
  <c r="I27" i="17"/>
  <c r="I27" i="112"/>
  <c r="E39" i="62"/>
  <c r="C38" i="62"/>
  <c r="K43" i="150"/>
  <c r="E42" i="90"/>
  <c r="C41" i="90"/>
  <c r="E38" i="160"/>
  <c r="C37" i="160"/>
  <c r="C41" i="92"/>
  <c r="E42" i="92"/>
  <c r="E41" i="33"/>
  <c r="C40" i="33"/>
  <c r="M41" i="2"/>
  <c r="FA42" i="2"/>
  <c r="I28" i="131"/>
  <c r="I29" i="113"/>
  <c r="E42" i="49"/>
  <c r="C41" i="49"/>
  <c r="AU43" i="1"/>
  <c r="BF43" i="2"/>
  <c r="E38" i="45"/>
  <c r="C37" i="45"/>
  <c r="N42" i="2"/>
  <c r="C39" i="68"/>
  <c r="E40" i="68"/>
  <c r="E40" i="11"/>
  <c r="C39" i="11"/>
  <c r="AU43" i="2"/>
  <c r="C40" i="162"/>
  <c r="E41" i="162"/>
  <c r="I30" i="78"/>
  <c r="I29" i="139"/>
  <c r="E40" i="129"/>
  <c r="C39" i="129"/>
  <c r="DS40" i="2"/>
  <c r="I32" i="61"/>
  <c r="E39" i="159"/>
  <c r="C38" i="159"/>
  <c r="E40" i="18"/>
  <c r="C39" i="18"/>
  <c r="C39" i="64"/>
  <c r="E40" i="64"/>
  <c r="C41" i="50"/>
  <c r="E42" i="50"/>
  <c r="AT42" i="2"/>
  <c r="E40" i="83"/>
  <c r="C39" i="83"/>
  <c r="I30" i="29"/>
  <c r="E41" i="134"/>
  <c r="C40" i="134"/>
  <c r="EZ41" i="2"/>
  <c r="I28" i="33"/>
  <c r="I27" i="47"/>
  <c r="I29" i="93"/>
  <c r="CB43" i="1"/>
  <c r="E41" i="79"/>
  <c r="C40" i="79"/>
  <c r="E41" i="132"/>
  <c r="C40" i="132"/>
  <c r="I27" i="166"/>
  <c r="E42" i="28"/>
  <c r="C41" i="28"/>
  <c r="AI41" i="2" s="1"/>
  <c r="I27" i="38"/>
  <c r="I28" i="73"/>
  <c r="I28" i="80"/>
  <c r="E42" i="6"/>
  <c r="C41" i="6"/>
  <c r="CA42" i="1"/>
  <c r="IU42" i="2"/>
  <c r="I28" i="52"/>
  <c r="E40" i="9"/>
  <c r="C39" i="9"/>
  <c r="AI42" i="1"/>
  <c r="CB42" i="2"/>
  <c r="I28" i="103"/>
  <c r="E40" i="17"/>
  <c r="C39" i="17"/>
  <c r="I28" i="153"/>
  <c r="I27" i="110"/>
  <c r="E41" i="76"/>
  <c r="C40" i="76"/>
  <c r="I32" i="12"/>
  <c r="C39" i="65"/>
  <c r="E40" i="65"/>
  <c r="I30" i="89"/>
  <c r="I28" i="84"/>
  <c r="C38" i="86"/>
  <c r="E39" i="86"/>
  <c r="I27" i="58"/>
  <c r="C38" i="37"/>
  <c r="E39" i="37"/>
  <c r="I32" i="134"/>
  <c r="I27" i="69"/>
  <c r="C40" i="153"/>
  <c r="E41" i="153"/>
  <c r="E41" i="95"/>
  <c r="C40" i="95"/>
  <c r="I27" i="11"/>
  <c r="EP41" i="2" l="1"/>
  <c r="CM41" i="2"/>
  <c r="BF41" i="2"/>
  <c r="AJ41" i="2"/>
  <c r="C39" i="76"/>
  <c r="E40" i="76"/>
  <c r="DT40" i="2"/>
  <c r="I28" i="64"/>
  <c r="I28" i="174"/>
  <c r="E40" i="122"/>
  <c r="C39" i="122"/>
  <c r="I30" i="41"/>
  <c r="C40" i="29"/>
  <c r="E41" i="29"/>
  <c r="X41" i="1"/>
  <c r="I28" i="65"/>
  <c r="FA41" i="2"/>
  <c r="C38" i="18"/>
  <c r="E39" i="18"/>
  <c r="C39" i="79"/>
  <c r="E40" i="79"/>
  <c r="C38" i="129"/>
  <c r="E39" i="129"/>
  <c r="DS39" i="2"/>
  <c r="I28" i="110"/>
  <c r="C39" i="154"/>
  <c r="E40" i="154"/>
  <c r="C39" i="145"/>
  <c r="E40" i="145"/>
  <c r="I31" i="164"/>
  <c r="I30" i="37"/>
  <c r="C40" i="58"/>
  <c r="E41" i="58"/>
  <c r="I29" i="155"/>
  <c r="E37" i="131"/>
  <c r="C36" i="131"/>
  <c r="E39" i="148"/>
  <c r="C38" i="148"/>
  <c r="I28" i="109"/>
  <c r="E36" i="156"/>
  <c r="C35" i="156"/>
  <c r="I32" i="14"/>
  <c r="I31" i="48"/>
  <c r="I33" i="133"/>
  <c r="I30" i="118"/>
  <c r="I33" i="74"/>
  <c r="I31" i="101"/>
  <c r="HZ42" i="2"/>
  <c r="I29" i="19"/>
  <c r="C38" i="67"/>
  <c r="E39" i="67"/>
  <c r="C38" i="161"/>
  <c r="E39" i="161"/>
  <c r="I31" i="128"/>
  <c r="E38" i="171"/>
  <c r="C37" i="171"/>
  <c r="E39" i="25"/>
  <c r="C38" i="25"/>
  <c r="K45" i="150"/>
  <c r="I29" i="56"/>
  <c r="I32" i="79"/>
  <c r="E39" i="19"/>
  <c r="C38" i="19"/>
  <c r="E38" i="72"/>
  <c r="C37" i="72"/>
  <c r="I31" i="172"/>
  <c r="I29" i="53"/>
  <c r="J46" i="150"/>
  <c r="I47" i="150"/>
  <c r="E37" i="165"/>
  <c r="C36" i="165"/>
  <c r="E38" i="123"/>
  <c r="C37" i="123"/>
  <c r="E39" i="128"/>
  <c r="C38" i="128"/>
  <c r="I29" i="54"/>
  <c r="I28" i="100"/>
  <c r="I32" i="22"/>
  <c r="I31" i="9"/>
  <c r="I30" i="149"/>
  <c r="I29" i="103"/>
  <c r="I28" i="47"/>
  <c r="C39" i="162"/>
  <c r="E40" i="162"/>
  <c r="I29" i="161"/>
  <c r="FW42" i="2"/>
  <c r="E41" i="91"/>
  <c r="C40" i="91"/>
  <c r="I29" i="119"/>
  <c r="I31" i="107"/>
  <c r="C35" i="32"/>
  <c r="E36" i="32"/>
  <c r="GS42" i="2"/>
  <c r="C37" i="163"/>
  <c r="E38" i="163"/>
  <c r="I30" i="159"/>
  <c r="I28" i="146"/>
  <c r="I28" i="11"/>
  <c r="C40" i="42"/>
  <c r="E41" i="42"/>
  <c r="FV41" i="2"/>
  <c r="I29" i="87"/>
  <c r="BQ42" i="2"/>
  <c r="C37" i="84"/>
  <c r="E38" i="84"/>
  <c r="I31" i="117"/>
  <c r="E36" i="87"/>
  <c r="C35" i="87"/>
  <c r="I28" i="140"/>
  <c r="I32" i="59"/>
  <c r="I30" i="72"/>
  <c r="C40" i="14"/>
  <c r="E41" i="14"/>
  <c r="GR41" i="2"/>
  <c r="C35" i="30"/>
  <c r="E36" i="30"/>
  <c r="C37" i="106"/>
  <c r="E38" i="106"/>
  <c r="E41" i="90"/>
  <c r="C40" i="90"/>
  <c r="E40" i="95"/>
  <c r="C39" i="95"/>
  <c r="I29" i="33"/>
  <c r="C37" i="40"/>
  <c r="E38" i="40"/>
  <c r="I30" i="63"/>
  <c r="I29" i="86"/>
  <c r="E40" i="63"/>
  <c r="C39" i="63"/>
  <c r="E41" i="52"/>
  <c r="C40" i="52"/>
  <c r="BP41" i="2"/>
  <c r="E41" i="56"/>
  <c r="C40" i="56"/>
  <c r="I32" i="32"/>
  <c r="I29" i="50"/>
  <c r="E39" i="57"/>
  <c r="C38" i="57"/>
  <c r="E40" i="38"/>
  <c r="C39" i="38"/>
  <c r="I29" i="88"/>
  <c r="I29" i="116"/>
  <c r="BQ42" i="1"/>
  <c r="E39" i="116"/>
  <c r="C38" i="116"/>
  <c r="C38" i="130"/>
  <c r="E39" i="130"/>
  <c r="E40" i="44"/>
  <c r="C39" i="44"/>
  <c r="C38" i="103"/>
  <c r="E39" i="103"/>
  <c r="I32" i="42"/>
  <c r="E39" i="74"/>
  <c r="C38" i="74"/>
  <c r="HD42" i="2"/>
  <c r="I29" i="111"/>
  <c r="E39" i="5"/>
  <c r="C38" i="5"/>
  <c r="E39" i="81"/>
  <c r="C38" i="81"/>
  <c r="C39" i="41"/>
  <c r="E40" i="41"/>
  <c r="I31" i="77"/>
  <c r="I28" i="112"/>
  <c r="E40" i="15"/>
  <c r="C39" i="15"/>
  <c r="C38" i="110"/>
  <c r="E39" i="110"/>
  <c r="E38" i="26"/>
  <c r="C37" i="26"/>
  <c r="I29" i="85"/>
  <c r="I30" i="23"/>
  <c r="C40" i="8"/>
  <c r="E41" i="8"/>
  <c r="BP41" i="1"/>
  <c r="HC41" i="2"/>
  <c r="E41" i="158"/>
  <c r="C40" i="158"/>
  <c r="C40" i="55"/>
  <c r="E41" i="55"/>
  <c r="C40" i="100"/>
  <c r="E41" i="100"/>
  <c r="E39" i="135"/>
  <c r="C38" i="135"/>
  <c r="E38" i="62"/>
  <c r="C37" i="62"/>
  <c r="E40" i="119"/>
  <c r="C39" i="119"/>
  <c r="I29" i="162"/>
  <c r="I28" i="40"/>
  <c r="HZ41" i="2"/>
  <c r="C35" i="146"/>
  <c r="E36" i="146"/>
  <c r="I29" i="138"/>
  <c r="I31" i="132"/>
  <c r="I29" i="106"/>
  <c r="I28" i="125"/>
  <c r="E39" i="11"/>
  <c r="C38" i="11"/>
  <c r="I28" i="69"/>
  <c r="I29" i="52"/>
  <c r="I31" i="29"/>
  <c r="I31" i="122"/>
  <c r="E40" i="77"/>
  <c r="C39" i="77"/>
  <c r="I28" i="143"/>
  <c r="I31" i="13"/>
  <c r="I29" i="144"/>
  <c r="I28" i="95"/>
  <c r="I30" i="60"/>
  <c r="I29" i="168"/>
  <c r="I32" i="94"/>
  <c r="C37" i="115"/>
  <c r="E38" i="115"/>
  <c r="I29" i="5"/>
  <c r="I29" i="153"/>
  <c r="E39" i="68"/>
  <c r="C38" i="68"/>
  <c r="I28" i="17"/>
  <c r="C37" i="124"/>
  <c r="E38" i="124"/>
  <c r="E40" i="142"/>
  <c r="C39" i="142"/>
  <c r="I30" i="124"/>
  <c r="E40" i="169"/>
  <c r="C39" i="169"/>
  <c r="E40" i="21"/>
  <c r="C39" i="21"/>
  <c r="I29" i="154"/>
  <c r="I29" i="121"/>
  <c r="E39" i="144"/>
  <c r="C38" i="144"/>
  <c r="C39" i="125"/>
  <c r="E40" i="125"/>
  <c r="I30" i="139"/>
  <c r="I33" i="134"/>
  <c r="I32" i="71"/>
  <c r="I28" i="34"/>
  <c r="I29" i="170"/>
  <c r="E38" i="51"/>
  <c r="C37" i="51"/>
  <c r="E38" i="85"/>
  <c r="C37" i="85"/>
  <c r="I29" i="39"/>
  <c r="I32" i="82"/>
  <c r="C40" i="143"/>
  <c r="E41" i="143"/>
  <c r="I30" i="93"/>
  <c r="I30" i="167"/>
  <c r="I30" i="173"/>
  <c r="C40" i="107"/>
  <c r="E41" i="107"/>
  <c r="I28" i="171"/>
  <c r="I30" i="83"/>
  <c r="E39" i="94"/>
  <c r="C38" i="94"/>
  <c r="I28" i="91"/>
  <c r="E37" i="34"/>
  <c r="C36" i="34"/>
  <c r="CA41" i="2"/>
  <c r="E39" i="4"/>
  <c r="C38" i="4"/>
  <c r="I28" i="36"/>
  <c r="I31" i="135"/>
  <c r="C38" i="17"/>
  <c r="E39" i="17"/>
  <c r="AJ42" i="1"/>
  <c r="E37" i="105"/>
  <c r="C36" i="105"/>
  <c r="C40" i="170"/>
  <c r="E41" i="170"/>
  <c r="E39" i="137"/>
  <c r="C38" i="137"/>
  <c r="FL41" i="2"/>
  <c r="I28" i="141"/>
  <c r="E38" i="127"/>
  <c r="C37" i="127"/>
  <c r="I28" i="148"/>
  <c r="I29" i="20"/>
  <c r="E40" i="31"/>
  <c r="C39" i="31"/>
  <c r="CA40" i="2"/>
  <c r="I31" i="152"/>
  <c r="E38" i="39"/>
  <c r="C37" i="39"/>
  <c r="C37" i="37"/>
  <c r="E38" i="37"/>
  <c r="C35" i="166"/>
  <c r="E36" i="166"/>
  <c r="I30" i="99"/>
  <c r="FL42" i="2"/>
  <c r="Y42" i="1"/>
  <c r="I33" i="7"/>
  <c r="I29" i="104"/>
  <c r="C38" i="54"/>
  <c r="E39" i="54"/>
  <c r="E41" i="27"/>
  <c r="C40" i="27"/>
  <c r="I33" i="15"/>
  <c r="I29" i="57"/>
  <c r="E40" i="134"/>
  <c r="C39" i="134"/>
  <c r="EZ40" i="2"/>
  <c r="E37" i="45"/>
  <c r="C36" i="45"/>
  <c r="I30" i="28"/>
  <c r="C39" i="88"/>
  <c r="E40" i="88"/>
  <c r="I30" i="165"/>
  <c r="I28" i="58"/>
  <c r="I29" i="80"/>
  <c r="E41" i="50"/>
  <c r="C40" i="50"/>
  <c r="AT41" i="2"/>
  <c r="I28" i="130"/>
  <c r="I28" i="90"/>
  <c r="C40" i="46"/>
  <c r="AI40" i="1" s="1"/>
  <c r="E41" i="46"/>
  <c r="I30" i="68"/>
  <c r="E40" i="140"/>
  <c r="C39" i="140"/>
  <c r="C39" i="101"/>
  <c r="E40" i="101"/>
  <c r="I28" i="147"/>
  <c r="I28" i="8"/>
  <c r="C39" i="108"/>
  <c r="E40" i="108"/>
  <c r="I30" i="10"/>
  <c r="E39" i="22"/>
  <c r="C38" i="22"/>
  <c r="E41" i="155"/>
  <c r="C40" i="155"/>
  <c r="CL40" i="2" s="1"/>
  <c r="I29" i="126"/>
  <c r="I29" i="4"/>
  <c r="I31" i="26"/>
  <c r="C37" i="69"/>
  <c r="E38" i="69"/>
  <c r="CW40" i="2"/>
  <c r="I28" i="102"/>
  <c r="E41" i="136"/>
  <c r="C40" i="136"/>
  <c r="I30" i="30"/>
  <c r="C37" i="173"/>
  <c r="E38" i="173"/>
  <c r="C40" i="6"/>
  <c r="E41" i="6"/>
  <c r="CA41" i="1"/>
  <c r="AU42" i="2"/>
  <c r="E38" i="86"/>
  <c r="C37" i="86"/>
  <c r="I29" i="73"/>
  <c r="E39" i="64"/>
  <c r="C38" i="64"/>
  <c r="I31" i="98"/>
  <c r="I28" i="96"/>
  <c r="E40" i="80"/>
  <c r="C39" i="80"/>
  <c r="I29" i="67"/>
  <c r="I30" i="18"/>
  <c r="C38" i="150"/>
  <c r="E39" i="150"/>
  <c r="J39" i="150"/>
  <c r="K39" i="150" s="1"/>
  <c r="C39" i="20"/>
  <c r="E40" i="20"/>
  <c r="C40" i="121"/>
  <c r="AI40" i="2" s="1"/>
  <c r="E41" i="121"/>
  <c r="C38" i="126"/>
  <c r="E39" i="126"/>
  <c r="E41" i="92"/>
  <c r="C40" i="92"/>
  <c r="I33" i="75"/>
  <c r="I29" i="21"/>
  <c r="E37" i="59"/>
  <c r="C36" i="59"/>
  <c r="C38" i="99"/>
  <c r="E39" i="99"/>
  <c r="E40" i="117"/>
  <c r="C39" i="117"/>
  <c r="I28" i="160"/>
  <c r="I30" i="129"/>
  <c r="C37" i="47"/>
  <c r="E38" i="47"/>
  <c r="E39" i="112"/>
  <c r="C38" i="112"/>
  <c r="C40" i="172"/>
  <c r="E41" i="172"/>
  <c r="I29" i="108"/>
  <c r="E40" i="164"/>
  <c r="C39" i="164"/>
  <c r="IU41" i="2"/>
  <c r="E40" i="147"/>
  <c r="C39" i="147"/>
  <c r="I32" i="24"/>
  <c r="E40" i="97"/>
  <c r="C39" i="97"/>
  <c r="EO40" i="2"/>
  <c r="I30" i="115"/>
  <c r="E39" i="83"/>
  <c r="C38" i="83"/>
  <c r="I28" i="38"/>
  <c r="I30" i="113"/>
  <c r="I29" i="3"/>
  <c r="I31" i="62"/>
  <c r="I30" i="44"/>
  <c r="E40" i="78"/>
  <c r="C39" i="78"/>
  <c r="I31" i="16"/>
  <c r="E38" i="120"/>
  <c r="C37" i="120"/>
  <c r="C38" i="118"/>
  <c r="E39" i="118"/>
  <c r="E34" i="82"/>
  <c r="C33" i="82"/>
  <c r="E40" i="13"/>
  <c r="C39" i="13"/>
  <c r="I31" i="142"/>
  <c r="N42" i="1"/>
  <c r="I33" i="46"/>
  <c r="I28" i="105"/>
  <c r="I31" i="127"/>
  <c r="I29" i="114"/>
  <c r="E40" i="10"/>
  <c r="C39" i="10"/>
  <c r="E39" i="60"/>
  <c r="C38" i="60"/>
  <c r="I33" i="145"/>
  <c r="E37" i="102"/>
  <c r="C36" i="102"/>
  <c r="I29" i="137"/>
  <c r="C40" i="12"/>
  <c r="E41" i="12"/>
  <c r="M41" i="1"/>
  <c r="X41" i="2"/>
  <c r="I31" i="89"/>
  <c r="C40" i="28"/>
  <c r="E41" i="28"/>
  <c r="E39" i="113"/>
  <c r="C38" i="113"/>
  <c r="C37" i="159"/>
  <c r="E38" i="159"/>
  <c r="E40" i="70"/>
  <c r="C39" i="70"/>
  <c r="I28" i="45"/>
  <c r="C36" i="111"/>
  <c r="E37" i="111"/>
  <c r="I32" i="27"/>
  <c r="DI41" i="2"/>
  <c r="I28" i="81"/>
  <c r="I29" i="151"/>
  <c r="Y42" i="2"/>
  <c r="I28" i="120"/>
  <c r="I31" i="136"/>
  <c r="C36" i="160"/>
  <c r="E37" i="160"/>
  <c r="C39" i="153"/>
  <c r="E40" i="153"/>
  <c r="E39" i="9"/>
  <c r="C38" i="9"/>
  <c r="IV42" i="2"/>
  <c r="C40" i="49"/>
  <c r="E41" i="49"/>
  <c r="I29" i="131"/>
  <c r="C37" i="141"/>
  <c r="E38" i="141"/>
  <c r="C38" i="167"/>
  <c r="E39" i="167"/>
  <c r="C36" i="43"/>
  <c r="E37" i="43"/>
  <c r="I29" i="31"/>
  <c r="I29" i="49"/>
  <c r="E39" i="66"/>
  <c r="C38" i="66"/>
  <c r="C38" i="104"/>
  <c r="E39" i="104"/>
  <c r="I29" i="70"/>
  <c r="E41" i="3"/>
  <c r="C40" i="3"/>
  <c r="I29" i="97"/>
  <c r="AI41" i="1"/>
  <c r="I29" i="84"/>
  <c r="I28" i="166"/>
  <c r="I30" i="92"/>
  <c r="I29" i="123"/>
  <c r="E38" i="149"/>
  <c r="C37" i="149"/>
  <c r="C39" i="96"/>
  <c r="E40" i="96"/>
  <c r="E40" i="35"/>
  <c r="C39" i="35"/>
  <c r="E40" i="133"/>
  <c r="C39" i="133"/>
  <c r="DH40" i="2"/>
  <c r="EE42" i="2"/>
  <c r="I28" i="43"/>
  <c r="I28" i="163"/>
  <c r="E40" i="71"/>
  <c r="C39" i="71"/>
  <c r="I28" i="55"/>
  <c r="C39" i="23"/>
  <c r="E40" i="23"/>
  <c r="C37" i="168"/>
  <c r="E38" i="168"/>
  <c r="HN41" i="2"/>
  <c r="E39" i="16"/>
  <c r="C38" i="16"/>
  <c r="C40" i="93"/>
  <c r="E41" i="93"/>
  <c r="E41" i="109"/>
  <c r="C40" i="109"/>
  <c r="ED41" i="2"/>
  <c r="E41" i="174"/>
  <c r="C40" i="174"/>
  <c r="E39" i="75"/>
  <c r="C38" i="75"/>
  <c r="CB42" i="1"/>
  <c r="E39" i="65"/>
  <c r="C38" i="65"/>
  <c r="I33" i="61"/>
  <c r="I33" i="12"/>
  <c r="E40" i="132"/>
  <c r="C39" i="132"/>
  <c r="N41" i="2"/>
  <c r="AU42" i="1"/>
  <c r="I30" i="158"/>
  <c r="C39" i="89"/>
  <c r="E40" i="89"/>
  <c r="C39" i="114"/>
  <c r="E40" i="114"/>
  <c r="I30" i="25"/>
  <c r="C35" i="138"/>
  <c r="E36" i="138"/>
  <c r="I30" i="157"/>
  <c r="C40" i="53"/>
  <c r="E41" i="53"/>
  <c r="I28" i="35"/>
  <c r="I31" i="51"/>
  <c r="E38" i="73"/>
  <c r="C37" i="73"/>
  <c r="I29" i="76"/>
  <c r="I31" i="78"/>
  <c r="I29" i="169"/>
  <c r="E34" i="98"/>
  <c r="C33" i="98"/>
  <c r="E40" i="33"/>
  <c r="C39" i="33"/>
  <c r="I31" i="156"/>
  <c r="C40" i="7"/>
  <c r="E41" i="7"/>
  <c r="AT41" i="1"/>
  <c r="IK41" i="2"/>
  <c r="C38" i="139"/>
  <c r="E39" i="139"/>
  <c r="E38" i="61"/>
  <c r="C37" i="61"/>
  <c r="E36" i="157"/>
  <c r="C35" i="157"/>
  <c r="E40" i="36"/>
  <c r="C39" i="36"/>
  <c r="CW39" i="2" s="1"/>
  <c r="E40" i="48"/>
  <c r="C39" i="48"/>
  <c r="I30" i="66"/>
  <c r="C39" i="151"/>
  <c r="E40" i="151"/>
  <c r="C40" i="152"/>
  <c r="M40" i="2" s="1"/>
  <c r="E41" i="152"/>
  <c r="AJ40" i="1" l="1"/>
  <c r="CX39" i="2"/>
  <c r="N40" i="2"/>
  <c r="AJ40" i="2"/>
  <c r="CM40" i="2"/>
  <c r="C39" i="7"/>
  <c r="E40" i="7"/>
  <c r="AT40" i="1"/>
  <c r="E36" i="160"/>
  <c r="C35" i="160"/>
  <c r="I32" i="16"/>
  <c r="E40" i="172"/>
  <c r="C39" i="172"/>
  <c r="I32" i="26"/>
  <c r="E40" i="50"/>
  <c r="C39" i="50"/>
  <c r="AT40" i="2"/>
  <c r="I33" i="82"/>
  <c r="I32" i="122"/>
  <c r="E40" i="100"/>
  <c r="C39" i="100"/>
  <c r="C39" i="52"/>
  <c r="E40" i="52"/>
  <c r="BP40" i="2"/>
  <c r="I30" i="161"/>
  <c r="E37" i="72"/>
  <c r="C36" i="72"/>
  <c r="C35" i="43"/>
  <c r="E36" i="43"/>
  <c r="C38" i="23"/>
  <c r="E39" i="23"/>
  <c r="C39" i="3"/>
  <c r="E40" i="3"/>
  <c r="E40" i="12"/>
  <c r="C39" i="12"/>
  <c r="X40" i="2"/>
  <c r="M40" i="1"/>
  <c r="I30" i="67"/>
  <c r="E39" i="142"/>
  <c r="C38" i="142"/>
  <c r="I32" i="29"/>
  <c r="I32" i="117"/>
  <c r="I32" i="48"/>
  <c r="I32" i="156"/>
  <c r="I29" i="55"/>
  <c r="I32" i="136"/>
  <c r="I30" i="137"/>
  <c r="C38" i="78"/>
  <c r="E39" i="78"/>
  <c r="C37" i="112"/>
  <c r="E38" i="112"/>
  <c r="I30" i="39"/>
  <c r="C39" i="55"/>
  <c r="E40" i="55"/>
  <c r="E38" i="19"/>
  <c r="C37" i="19"/>
  <c r="C37" i="18"/>
  <c r="E38" i="18"/>
  <c r="E39" i="89"/>
  <c r="C38" i="89"/>
  <c r="C38" i="80"/>
  <c r="E39" i="80"/>
  <c r="I30" i="4"/>
  <c r="I30" i="80"/>
  <c r="I31" i="99"/>
  <c r="E38" i="17"/>
  <c r="C37" i="17"/>
  <c r="E40" i="158"/>
  <c r="C39" i="158"/>
  <c r="C37" i="74"/>
  <c r="E38" i="74"/>
  <c r="E39" i="63"/>
  <c r="C38" i="63"/>
  <c r="E39" i="162"/>
  <c r="C38" i="162"/>
  <c r="I33" i="14"/>
  <c r="I29" i="58"/>
  <c r="I32" i="135"/>
  <c r="E37" i="85"/>
  <c r="C36" i="85"/>
  <c r="E37" i="124"/>
  <c r="C36" i="124"/>
  <c r="I30" i="52"/>
  <c r="E37" i="84"/>
  <c r="C36" i="84"/>
  <c r="I29" i="47"/>
  <c r="C34" i="156"/>
  <c r="E35" i="156"/>
  <c r="I30" i="70"/>
  <c r="E37" i="47"/>
  <c r="C36" i="47"/>
  <c r="I30" i="126"/>
  <c r="E35" i="166"/>
  <c r="C34" i="166"/>
  <c r="I29" i="17"/>
  <c r="HD41" i="2"/>
  <c r="I33" i="42"/>
  <c r="I30" i="86"/>
  <c r="I33" i="79"/>
  <c r="I31" i="44"/>
  <c r="E37" i="51"/>
  <c r="C36" i="51"/>
  <c r="I29" i="69"/>
  <c r="BQ41" i="1"/>
  <c r="I30" i="103"/>
  <c r="I29" i="65"/>
  <c r="I29" i="96"/>
  <c r="C37" i="68"/>
  <c r="E38" i="68"/>
  <c r="C37" i="11"/>
  <c r="E38" i="11"/>
  <c r="I30" i="56"/>
  <c r="I29" i="109"/>
  <c r="Y41" i="1"/>
  <c r="C38" i="36"/>
  <c r="CW38" i="2" s="1"/>
  <c r="E39" i="36"/>
  <c r="I31" i="158"/>
  <c r="E36" i="102"/>
  <c r="C35" i="102"/>
  <c r="E33" i="98"/>
  <c r="C32" i="98"/>
  <c r="I34" i="145"/>
  <c r="I32" i="62"/>
  <c r="I31" i="129"/>
  <c r="E37" i="37"/>
  <c r="C36" i="37"/>
  <c r="I29" i="36"/>
  <c r="I30" i="169"/>
  <c r="C38" i="132"/>
  <c r="E39" i="132"/>
  <c r="I29" i="43"/>
  <c r="C37" i="66"/>
  <c r="E38" i="66"/>
  <c r="C37" i="60"/>
  <c r="E38" i="60"/>
  <c r="I32" i="98"/>
  <c r="E38" i="22"/>
  <c r="C37" i="22"/>
  <c r="FK40" i="2"/>
  <c r="E37" i="39"/>
  <c r="C36" i="39"/>
  <c r="I30" i="170"/>
  <c r="C39" i="8"/>
  <c r="E40" i="8"/>
  <c r="HC40" i="2"/>
  <c r="BP40" i="1"/>
  <c r="C37" i="103"/>
  <c r="E38" i="103"/>
  <c r="I31" i="63"/>
  <c r="I30" i="87"/>
  <c r="C37" i="148"/>
  <c r="E38" i="148"/>
  <c r="E39" i="71"/>
  <c r="C38" i="71"/>
  <c r="I29" i="120"/>
  <c r="C39" i="155"/>
  <c r="E40" i="155"/>
  <c r="I31" i="165"/>
  <c r="E38" i="104"/>
  <c r="C37" i="104"/>
  <c r="I30" i="151"/>
  <c r="I30" i="3"/>
  <c r="C37" i="4"/>
  <c r="E38" i="4"/>
  <c r="I29" i="125"/>
  <c r="E39" i="44"/>
  <c r="C38" i="44"/>
  <c r="FW41" i="2"/>
  <c r="C37" i="25"/>
  <c r="E38" i="25"/>
  <c r="C39" i="29"/>
  <c r="E40" i="29"/>
  <c r="E39" i="33"/>
  <c r="C38" i="33"/>
  <c r="M39" i="2"/>
  <c r="I29" i="163"/>
  <c r="I29" i="160"/>
  <c r="C37" i="64"/>
  <c r="E38" i="64"/>
  <c r="I32" i="78"/>
  <c r="I30" i="49"/>
  <c r="I29" i="81"/>
  <c r="E39" i="10"/>
  <c r="C38" i="10"/>
  <c r="E39" i="117"/>
  <c r="C38" i="117"/>
  <c r="C38" i="88"/>
  <c r="E39" i="88"/>
  <c r="FK39" i="2"/>
  <c r="I30" i="153"/>
  <c r="I31" i="23"/>
  <c r="E36" i="131"/>
  <c r="C35" i="131"/>
  <c r="I31" i="41"/>
  <c r="I34" i="12"/>
  <c r="I31" i="113"/>
  <c r="I31" i="10"/>
  <c r="I31" i="28"/>
  <c r="CB41" i="2"/>
  <c r="I29" i="34"/>
  <c r="I30" i="106"/>
  <c r="E37" i="40"/>
  <c r="C36" i="40"/>
  <c r="E40" i="42"/>
  <c r="C39" i="42"/>
  <c r="FV40" i="2"/>
  <c r="I31" i="149"/>
  <c r="C36" i="171"/>
  <c r="E37" i="171"/>
  <c r="C38" i="48"/>
  <c r="E39" i="48"/>
  <c r="E40" i="152"/>
  <c r="C39" i="152"/>
  <c r="I30" i="76"/>
  <c r="DI40" i="2"/>
  <c r="I29" i="38"/>
  <c r="I30" i="73"/>
  <c r="I32" i="152"/>
  <c r="E36" i="34"/>
  <c r="C35" i="34"/>
  <c r="I33" i="71"/>
  <c r="I30" i="5"/>
  <c r="I30" i="85"/>
  <c r="E38" i="130"/>
  <c r="C37" i="130"/>
  <c r="I29" i="11"/>
  <c r="C38" i="122"/>
  <c r="E39" i="122"/>
  <c r="I34" i="61"/>
  <c r="C38" i="133"/>
  <c r="E39" i="133"/>
  <c r="DH39" i="2"/>
  <c r="I30" i="31"/>
  <c r="I33" i="27"/>
  <c r="I30" i="114"/>
  <c r="C37" i="99"/>
  <c r="E38" i="99"/>
  <c r="C36" i="86"/>
  <c r="E37" i="86"/>
  <c r="E39" i="108"/>
  <c r="C38" i="108"/>
  <c r="C35" i="45"/>
  <c r="E36" i="45"/>
  <c r="CB40" i="2"/>
  <c r="C36" i="26"/>
  <c r="E37" i="26"/>
  <c r="E38" i="116"/>
  <c r="C37" i="116"/>
  <c r="I30" i="33"/>
  <c r="I32" i="9"/>
  <c r="I30" i="155"/>
  <c r="I29" i="35"/>
  <c r="E39" i="151"/>
  <c r="C38" i="151"/>
  <c r="C36" i="73"/>
  <c r="E37" i="73"/>
  <c r="C37" i="65"/>
  <c r="E38" i="65"/>
  <c r="C35" i="59"/>
  <c r="E36" i="59"/>
  <c r="E39" i="31"/>
  <c r="C38" i="31"/>
  <c r="CA39" i="2"/>
  <c r="I29" i="91"/>
  <c r="I34" i="134"/>
  <c r="C36" i="115"/>
  <c r="E37" i="115"/>
  <c r="I32" i="132"/>
  <c r="C38" i="95"/>
  <c r="E39" i="95"/>
  <c r="I29" i="146"/>
  <c r="I32" i="128"/>
  <c r="I29" i="174"/>
  <c r="I32" i="127"/>
  <c r="C37" i="83"/>
  <c r="E38" i="83"/>
  <c r="I29" i="8"/>
  <c r="FA40" i="2"/>
  <c r="I33" i="22"/>
  <c r="E40" i="58"/>
  <c r="C39" i="58"/>
  <c r="E36" i="111"/>
  <c r="C35" i="111"/>
  <c r="I29" i="105"/>
  <c r="I30" i="21"/>
  <c r="I29" i="147"/>
  <c r="C38" i="134"/>
  <c r="E39" i="134"/>
  <c r="EZ39" i="2"/>
  <c r="I30" i="20"/>
  <c r="C37" i="94"/>
  <c r="E38" i="94"/>
  <c r="I33" i="94"/>
  <c r="I30" i="138"/>
  <c r="E38" i="110"/>
  <c r="C37" i="110"/>
  <c r="C39" i="90"/>
  <c r="E40" i="90"/>
  <c r="I31" i="159"/>
  <c r="I29" i="64"/>
  <c r="I32" i="51"/>
  <c r="C37" i="167"/>
  <c r="E38" i="167"/>
  <c r="I29" i="45"/>
  <c r="I31" i="115"/>
  <c r="CB41" i="1"/>
  <c r="I31" i="139"/>
  <c r="I30" i="168"/>
  <c r="E39" i="15"/>
  <c r="C38" i="15"/>
  <c r="I29" i="100"/>
  <c r="C37" i="161"/>
  <c r="E38" i="161"/>
  <c r="I31" i="37"/>
  <c r="C37" i="75"/>
  <c r="E38" i="75"/>
  <c r="E39" i="96"/>
  <c r="C38" i="96"/>
  <c r="I34" i="46"/>
  <c r="C34" i="146"/>
  <c r="E35" i="146"/>
  <c r="I30" i="116"/>
  <c r="I30" i="54"/>
  <c r="I32" i="164"/>
  <c r="E39" i="70"/>
  <c r="C38" i="70"/>
  <c r="EP40" i="2"/>
  <c r="I34" i="75"/>
  <c r="E40" i="6"/>
  <c r="C39" i="6"/>
  <c r="CA40" i="1"/>
  <c r="IU40" i="2"/>
  <c r="E39" i="101"/>
  <c r="C38" i="101"/>
  <c r="I30" i="57"/>
  <c r="I29" i="148"/>
  <c r="I31" i="83"/>
  <c r="E39" i="125"/>
  <c r="C38" i="125"/>
  <c r="E37" i="106"/>
  <c r="C36" i="106"/>
  <c r="E37" i="163"/>
  <c r="C36" i="163"/>
  <c r="C37" i="67"/>
  <c r="E38" i="67"/>
  <c r="E40" i="174"/>
  <c r="C39" i="174"/>
  <c r="C36" i="127"/>
  <c r="E37" i="127"/>
  <c r="C37" i="144"/>
  <c r="E38" i="144"/>
  <c r="I31" i="60"/>
  <c r="I29" i="112"/>
  <c r="I30" i="88"/>
  <c r="E38" i="128"/>
  <c r="C37" i="128"/>
  <c r="I30" i="19"/>
  <c r="E40" i="53"/>
  <c r="C39" i="53"/>
  <c r="I29" i="171"/>
  <c r="E39" i="38"/>
  <c r="C38" i="38"/>
  <c r="E35" i="30"/>
  <c r="C34" i="30"/>
  <c r="E39" i="145"/>
  <c r="C38" i="145"/>
  <c r="E39" i="76"/>
  <c r="C38" i="76"/>
  <c r="C34" i="157"/>
  <c r="E35" i="157"/>
  <c r="I30" i="131"/>
  <c r="C38" i="140"/>
  <c r="E39" i="140"/>
  <c r="I34" i="15"/>
  <c r="I31" i="157"/>
  <c r="EE41" i="2"/>
  <c r="I30" i="123"/>
  <c r="C36" i="173"/>
  <c r="E37" i="173"/>
  <c r="C39" i="27"/>
  <c r="E40" i="27"/>
  <c r="I29" i="141"/>
  <c r="I29" i="95"/>
  <c r="I29" i="40"/>
  <c r="I32" i="77"/>
  <c r="GS41" i="2"/>
  <c r="E37" i="123"/>
  <c r="C36" i="123"/>
  <c r="IJ40" i="2"/>
  <c r="C38" i="97"/>
  <c r="E39" i="97"/>
  <c r="EO39" i="2"/>
  <c r="C39" i="92"/>
  <c r="HN39" i="2" s="1"/>
  <c r="E40" i="92"/>
  <c r="C39" i="109"/>
  <c r="E40" i="109"/>
  <c r="ED40" i="2"/>
  <c r="E40" i="49"/>
  <c r="C39" i="49"/>
  <c r="C36" i="159"/>
  <c r="E37" i="159"/>
  <c r="I32" i="142"/>
  <c r="I33" i="24"/>
  <c r="E38" i="126"/>
  <c r="C37" i="126"/>
  <c r="I31" i="30"/>
  <c r="C39" i="107"/>
  <c r="BE39" i="2" s="1"/>
  <c r="E40" i="107"/>
  <c r="I30" i="121"/>
  <c r="I30" i="144"/>
  <c r="I30" i="162"/>
  <c r="BE40" i="2"/>
  <c r="C37" i="57"/>
  <c r="E38" i="57"/>
  <c r="E35" i="32"/>
  <c r="C34" i="32"/>
  <c r="I31" i="68"/>
  <c r="I31" i="173"/>
  <c r="I30" i="154"/>
  <c r="E40" i="14"/>
  <c r="C39" i="14"/>
  <c r="I32" i="107"/>
  <c r="E36" i="165"/>
  <c r="C35" i="165"/>
  <c r="I32" i="101"/>
  <c r="E39" i="154"/>
  <c r="C38" i="154"/>
  <c r="IJ39" i="2"/>
  <c r="GR40" i="2"/>
  <c r="E39" i="119"/>
  <c r="C38" i="119"/>
  <c r="E39" i="41"/>
  <c r="C38" i="41"/>
  <c r="I31" i="72"/>
  <c r="C36" i="61"/>
  <c r="E37" i="61"/>
  <c r="IV41" i="2"/>
  <c r="C39" i="46"/>
  <c r="E40" i="46"/>
  <c r="C37" i="137"/>
  <c r="E38" i="137"/>
  <c r="I31" i="167"/>
  <c r="E39" i="21"/>
  <c r="C38" i="21"/>
  <c r="I32" i="13"/>
  <c r="E38" i="81"/>
  <c r="C37" i="81"/>
  <c r="I30" i="50"/>
  <c r="I30" i="119"/>
  <c r="I48" i="150"/>
  <c r="J47" i="150"/>
  <c r="I29" i="110"/>
  <c r="C36" i="149"/>
  <c r="E37" i="149"/>
  <c r="E40" i="93"/>
  <c r="C39" i="93"/>
  <c r="E39" i="164"/>
  <c r="C38" i="164"/>
  <c r="E39" i="20"/>
  <c r="C38" i="20"/>
  <c r="I29" i="90"/>
  <c r="I30" i="104"/>
  <c r="C36" i="62"/>
  <c r="E37" i="62"/>
  <c r="I33" i="59"/>
  <c r="K46" i="150"/>
  <c r="I34" i="74"/>
  <c r="DT39" i="2"/>
  <c r="E39" i="13"/>
  <c r="C38" i="13"/>
  <c r="IU39" i="2"/>
  <c r="I29" i="166"/>
  <c r="E40" i="28"/>
  <c r="C39" i="28"/>
  <c r="I29" i="102"/>
  <c r="I34" i="7"/>
  <c r="I31" i="93"/>
  <c r="HY40" i="2"/>
  <c r="I29" i="143"/>
  <c r="C37" i="5"/>
  <c r="E38" i="5"/>
  <c r="I33" i="32"/>
  <c r="C39" i="91"/>
  <c r="E40" i="91"/>
  <c r="I30" i="53"/>
  <c r="I31" i="118"/>
  <c r="I31" i="92"/>
  <c r="C38" i="147"/>
  <c r="E39" i="147"/>
  <c r="E40" i="121"/>
  <c r="C39" i="121"/>
  <c r="E38" i="16"/>
  <c r="C37" i="16"/>
  <c r="I31" i="25"/>
  <c r="CX40" i="2"/>
  <c r="E40" i="170"/>
  <c r="C39" i="170"/>
  <c r="C38" i="169"/>
  <c r="E39" i="169"/>
  <c r="HY39" i="2"/>
  <c r="E39" i="77"/>
  <c r="C38" i="77"/>
  <c r="C37" i="135"/>
  <c r="E38" i="135"/>
  <c r="C39" i="56"/>
  <c r="E40" i="56"/>
  <c r="C37" i="129"/>
  <c r="E38" i="129"/>
  <c r="DS38" i="2"/>
  <c r="X40" i="1"/>
  <c r="I31" i="66"/>
  <c r="E39" i="35"/>
  <c r="C38" i="35"/>
  <c r="E38" i="113"/>
  <c r="C37" i="113"/>
  <c r="E35" i="138"/>
  <c r="C34" i="138"/>
  <c r="I30" i="84"/>
  <c r="HO41" i="2"/>
  <c r="AJ41" i="1"/>
  <c r="C38" i="153"/>
  <c r="E39" i="153"/>
  <c r="I32" i="89"/>
  <c r="E38" i="118"/>
  <c r="C37" i="118"/>
  <c r="I30" i="108"/>
  <c r="I29" i="130"/>
  <c r="E39" i="114"/>
  <c r="C38" i="114"/>
  <c r="Y41" i="2"/>
  <c r="C36" i="120"/>
  <c r="E37" i="120"/>
  <c r="E38" i="150"/>
  <c r="C37" i="150"/>
  <c r="J38" i="150"/>
  <c r="K38" i="150" s="1"/>
  <c r="E36" i="105"/>
  <c r="C35" i="105"/>
  <c r="I29" i="140"/>
  <c r="I34" i="133"/>
  <c r="E37" i="141"/>
  <c r="C36" i="141"/>
  <c r="E40" i="136"/>
  <c r="C39" i="136"/>
  <c r="C37" i="54"/>
  <c r="E38" i="54"/>
  <c r="E38" i="9"/>
  <c r="C37" i="9"/>
  <c r="E33" i="82"/>
  <c r="C32" i="82"/>
  <c r="J32" i="82" s="1"/>
  <c r="C37" i="139"/>
  <c r="E38" i="139"/>
  <c r="AU41" i="1"/>
  <c r="HN40" i="2"/>
  <c r="E37" i="168"/>
  <c r="C36" i="168"/>
  <c r="I30" i="97"/>
  <c r="N41" i="1"/>
  <c r="I31" i="18"/>
  <c r="C36" i="69"/>
  <c r="E37" i="69"/>
  <c r="AU41" i="2"/>
  <c r="E40" i="143"/>
  <c r="C39" i="143"/>
  <c r="I31" i="124"/>
  <c r="I30" i="111"/>
  <c r="BQ41" i="2"/>
  <c r="C34" i="87"/>
  <c r="E35" i="87"/>
  <c r="I32" i="172"/>
  <c r="E39" i="79"/>
  <c r="C38" i="79"/>
  <c r="CX38" i="2" l="1"/>
  <c r="BF39" i="2"/>
  <c r="HO39" i="2"/>
  <c r="E38" i="38"/>
  <c r="C37" i="38"/>
  <c r="I30" i="148"/>
  <c r="I34" i="94"/>
  <c r="I33" i="128"/>
  <c r="E37" i="116"/>
  <c r="C36" i="116"/>
  <c r="I33" i="78"/>
  <c r="E37" i="66"/>
  <c r="C36" i="66"/>
  <c r="E37" i="11"/>
  <c r="C36" i="11"/>
  <c r="I32" i="99"/>
  <c r="I30" i="146"/>
  <c r="I30" i="34"/>
  <c r="E39" i="155"/>
  <c r="C38" i="155"/>
  <c r="I33" i="122"/>
  <c r="C36" i="161"/>
  <c r="E37" i="161"/>
  <c r="E37" i="94"/>
  <c r="C36" i="94"/>
  <c r="I31" i="5"/>
  <c r="I30" i="43"/>
  <c r="E37" i="68"/>
  <c r="C36" i="68"/>
  <c r="I31" i="70"/>
  <c r="I31" i="80"/>
  <c r="I33" i="48"/>
  <c r="C37" i="119"/>
  <c r="E38" i="119"/>
  <c r="E39" i="107"/>
  <c r="C38" i="107"/>
  <c r="I30" i="95"/>
  <c r="I30" i="171"/>
  <c r="I31" i="57"/>
  <c r="E36" i="26"/>
  <c r="C35" i="26"/>
  <c r="E37" i="64"/>
  <c r="C36" i="64"/>
  <c r="I30" i="120"/>
  <c r="I33" i="117"/>
  <c r="I34" i="82"/>
  <c r="J33" i="82"/>
  <c r="K32" i="82" s="1"/>
  <c r="HZ40" i="2"/>
  <c r="C36" i="118"/>
  <c r="E37" i="118"/>
  <c r="HZ39" i="2"/>
  <c r="I32" i="93"/>
  <c r="E36" i="149"/>
  <c r="C35" i="149"/>
  <c r="E39" i="53"/>
  <c r="C38" i="53"/>
  <c r="C37" i="101"/>
  <c r="E38" i="101"/>
  <c r="I30" i="100"/>
  <c r="I31" i="20"/>
  <c r="E38" i="95"/>
  <c r="C37" i="95"/>
  <c r="I34" i="71"/>
  <c r="C37" i="71"/>
  <c r="E38" i="71"/>
  <c r="E38" i="132"/>
  <c r="C37" i="132"/>
  <c r="I30" i="96"/>
  <c r="E34" i="156"/>
  <c r="C33" i="156"/>
  <c r="AU40" i="2"/>
  <c r="C35" i="168"/>
  <c r="E36" i="168"/>
  <c r="E37" i="135"/>
  <c r="C36" i="135"/>
  <c r="I35" i="7"/>
  <c r="GS40" i="2"/>
  <c r="I32" i="30"/>
  <c r="I30" i="141"/>
  <c r="C37" i="15"/>
  <c r="E38" i="15"/>
  <c r="FA39" i="2"/>
  <c r="C34" i="34"/>
  <c r="E35" i="34"/>
  <c r="I30" i="160"/>
  <c r="I30" i="65"/>
  <c r="I31" i="4"/>
  <c r="E39" i="50"/>
  <c r="C38" i="50"/>
  <c r="AT39" i="2"/>
  <c r="C37" i="169"/>
  <c r="E38" i="169"/>
  <c r="I30" i="110"/>
  <c r="IK39" i="2"/>
  <c r="E37" i="126"/>
  <c r="C36" i="126"/>
  <c r="IV40" i="2"/>
  <c r="I33" i="132"/>
  <c r="I32" i="28"/>
  <c r="I31" i="169"/>
  <c r="I30" i="47"/>
  <c r="I33" i="29"/>
  <c r="E32" i="82"/>
  <c r="C31" i="82"/>
  <c r="C38" i="170"/>
  <c r="E39" i="170"/>
  <c r="I30" i="102"/>
  <c r="C37" i="154"/>
  <c r="E38" i="154"/>
  <c r="IJ38" i="2"/>
  <c r="E39" i="27"/>
  <c r="C38" i="27"/>
  <c r="I31" i="19"/>
  <c r="CB40" i="1"/>
  <c r="E38" i="134"/>
  <c r="C37" i="134"/>
  <c r="EZ38" i="2"/>
  <c r="E35" i="45"/>
  <c r="C34" i="45"/>
  <c r="I33" i="152"/>
  <c r="I30" i="163"/>
  <c r="E37" i="148"/>
  <c r="C36" i="148"/>
  <c r="I31" i="103"/>
  <c r="E36" i="84"/>
  <c r="C35" i="84"/>
  <c r="C37" i="80"/>
  <c r="E38" i="80"/>
  <c r="E38" i="142"/>
  <c r="C37" i="142"/>
  <c r="E37" i="128"/>
  <c r="C36" i="128"/>
  <c r="C38" i="6"/>
  <c r="E39" i="6"/>
  <c r="CA39" i="1"/>
  <c r="I31" i="168"/>
  <c r="E36" i="115"/>
  <c r="C35" i="115"/>
  <c r="E38" i="108"/>
  <c r="C37" i="108"/>
  <c r="I32" i="10"/>
  <c r="N39" i="2"/>
  <c r="I30" i="36"/>
  <c r="I33" i="26"/>
  <c r="C36" i="9"/>
  <c r="E37" i="9"/>
  <c r="E39" i="28"/>
  <c r="C38" i="28"/>
  <c r="I31" i="119"/>
  <c r="I33" i="101"/>
  <c r="I34" i="24"/>
  <c r="I32" i="139"/>
  <c r="I30" i="147"/>
  <c r="I35" i="134"/>
  <c r="E38" i="33"/>
  <c r="C37" i="33"/>
  <c r="E36" i="37"/>
  <c r="C35" i="37"/>
  <c r="C37" i="89"/>
  <c r="E38" i="89"/>
  <c r="I31" i="67"/>
  <c r="E39" i="172"/>
  <c r="C38" i="172"/>
  <c r="C35" i="173"/>
  <c r="E36" i="173"/>
  <c r="I31" i="21"/>
  <c r="I31" i="73"/>
  <c r="I32" i="113"/>
  <c r="I31" i="87"/>
  <c r="I31" i="52"/>
  <c r="I30" i="143"/>
  <c r="J48" i="150"/>
  <c r="K47" i="150" s="1"/>
  <c r="I49" i="150"/>
  <c r="C34" i="165"/>
  <c r="E35" i="165"/>
  <c r="I31" i="123"/>
  <c r="I31" i="88"/>
  <c r="I35" i="75"/>
  <c r="E36" i="86"/>
  <c r="C35" i="86"/>
  <c r="C35" i="124"/>
  <c r="E36" i="124"/>
  <c r="N40" i="1"/>
  <c r="I32" i="25"/>
  <c r="C36" i="54"/>
  <c r="E37" i="54"/>
  <c r="I30" i="166"/>
  <c r="I31" i="50"/>
  <c r="I30" i="112"/>
  <c r="I30" i="91"/>
  <c r="I30" i="38"/>
  <c r="I35" i="12"/>
  <c r="C38" i="29"/>
  <c r="E39" i="29"/>
  <c r="I32" i="63"/>
  <c r="I32" i="129"/>
  <c r="I30" i="69"/>
  <c r="Y40" i="2"/>
  <c r="I33" i="16"/>
  <c r="E39" i="136"/>
  <c r="C38" i="136"/>
  <c r="IV39" i="2"/>
  <c r="C36" i="81"/>
  <c r="E37" i="81"/>
  <c r="I30" i="105"/>
  <c r="CB39" i="2"/>
  <c r="C36" i="99"/>
  <c r="E37" i="99"/>
  <c r="E36" i="51"/>
  <c r="C35" i="51"/>
  <c r="E36" i="85"/>
  <c r="C35" i="85"/>
  <c r="E37" i="18"/>
  <c r="C36" i="18"/>
  <c r="C38" i="12"/>
  <c r="E39" i="12"/>
  <c r="X39" i="2"/>
  <c r="M39" i="1"/>
  <c r="I33" i="89"/>
  <c r="I33" i="107"/>
  <c r="C35" i="159"/>
  <c r="E36" i="159"/>
  <c r="I32" i="60"/>
  <c r="C37" i="70"/>
  <c r="E38" i="70"/>
  <c r="I32" i="115"/>
  <c r="C34" i="111"/>
  <c r="E35" i="111"/>
  <c r="E38" i="31"/>
  <c r="C37" i="31"/>
  <c r="I32" i="41"/>
  <c r="C36" i="25"/>
  <c r="E37" i="25"/>
  <c r="I33" i="62"/>
  <c r="C36" i="19"/>
  <c r="E37" i="19"/>
  <c r="E35" i="160"/>
  <c r="C34" i="160"/>
  <c r="C36" i="16"/>
  <c r="E37" i="16"/>
  <c r="E39" i="121"/>
  <c r="C38" i="121"/>
  <c r="I33" i="13"/>
  <c r="E39" i="14"/>
  <c r="C38" i="14"/>
  <c r="E39" i="49"/>
  <c r="C38" i="49"/>
  <c r="I32" i="157"/>
  <c r="I31" i="114"/>
  <c r="E35" i="131"/>
  <c r="C34" i="131"/>
  <c r="E37" i="103"/>
  <c r="C36" i="103"/>
  <c r="I33" i="135"/>
  <c r="I30" i="45"/>
  <c r="E39" i="58"/>
  <c r="C38" i="58"/>
  <c r="I34" i="27"/>
  <c r="I31" i="76"/>
  <c r="BQ40" i="1"/>
  <c r="I35" i="145"/>
  <c r="I32" i="44"/>
  <c r="AU40" i="1"/>
  <c r="I30" i="130"/>
  <c r="E39" i="93"/>
  <c r="C38" i="93"/>
  <c r="I31" i="121"/>
  <c r="I31" i="111"/>
  <c r="I35" i="133"/>
  <c r="E34" i="138"/>
  <c r="C33" i="138"/>
  <c r="E38" i="21"/>
  <c r="C37" i="21"/>
  <c r="EE40" i="2"/>
  <c r="I35" i="15"/>
  <c r="C36" i="144"/>
  <c r="E37" i="144"/>
  <c r="I33" i="164"/>
  <c r="E35" i="59"/>
  <c r="C34" i="59"/>
  <c r="C38" i="152"/>
  <c r="M38" i="2" s="1"/>
  <c r="E39" i="152"/>
  <c r="I32" i="23"/>
  <c r="E38" i="44"/>
  <c r="C37" i="44"/>
  <c r="HD40" i="2"/>
  <c r="E32" i="98"/>
  <c r="C31" i="98"/>
  <c r="E39" i="55"/>
  <c r="C38" i="55"/>
  <c r="I31" i="154"/>
  <c r="I31" i="54"/>
  <c r="E37" i="167"/>
  <c r="C36" i="167"/>
  <c r="I34" i="22"/>
  <c r="I34" i="79"/>
  <c r="I30" i="58"/>
  <c r="E39" i="3"/>
  <c r="C38" i="3"/>
  <c r="E39" i="7"/>
  <c r="C38" i="7"/>
  <c r="AT39" i="1"/>
  <c r="I33" i="142"/>
  <c r="E34" i="87"/>
  <c r="C33" i="87"/>
  <c r="I31" i="84"/>
  <c r="C36" i="65"/>
  <c r="E37" i="65"/>
  <c r="I31" i="31"/>
  <c r="I31" i="153"/>
  <c r="C38" i="8"/>
  <c r="E39" i="8"/>
  <c r="HC39" i="2"/>
  <c r="BP39" i="1"/>
  <c r="E35" i="102"/>
  <c r="C34" i="102"/>
  <c r="I31" i="39"/>
  <c r="I31" i="108"/>
  <c r="I33" i="172"/>
  <c r="I33" i="51"/>
  <c r="DI39" i="2"/>
  <c r="E38" i="48"/>
  <c r="C37" i="48"/>
  <c r="I30" i="125"/>
  <c r="I31" i="86"/>
  <c r="I34" i="14"/>
  <c r="E38" i="23"/>
  <c r="C37" i="23"/>
  <c r="E38" i="79"/>
  <c r="C37" i="79"/>
  <c r="I30" i="140"/>
  <c r="AI39" i="2"/>
  <c r="C34" i="105"/>
  <c r="E35" i="105"/>
  <c r="C37" i="35"/>
  <c r="E38" i="35"/>
  <c r="I34" i="59"/>
  <c r="E36" i="73"/>
  <c r="C35" i="73"/>
  <c r="FL39" i="2"/>
  <c r="I31" i="170"/>
  <c r="I32" i="158"/>
  <c r="I34" i="42"/>
  <c r="C37" i="162"/>
  <c r="E38" i="162"/>
  <c r="GR39" i="2"/>
  <c r="C37" i="13"/>
  <c r="E38" i="13"/>
  <c r="IU38" i="2"/>
  <c r="E39" i="92"/>
  <c r="C38" i="92"/>
  <c r="C37" i="140"/>
  <c r="E38" i="140"/>
  <c r="AI38" i="2"/>
  <c r="I31" i="116"/>
  <c r="I31" i="131"/>
  <c r="I30" i="64"/>
  <c r="E38" i="151"/>
  <c r="C37" i="151"/>
  <c r="E38" i="133"/>
  <c r="C37" i="133"/>
  <c r="DH38" i="2"/>
  <c r="E36" i="171"/>
  <c r="C35" i="171"/>
  <c r="C35" i="39"/>
  <c r="E36" i="39"/>
  <c r="C36" i="112"/>
  <c r="E37" i="112"/>
  <c r="E35" i="43"/>
  <c r="C34" i="43"/>
  <c r="C37" i="77"/>
  <c r="E38" i="77"/>
  <c r="E38" i="153"/>
  <c r="C37" i="153"/>
  <c r="I32" i="124"/>
  <c r="E36" i="127"/>
  <c r="C35" i="127"/>
  <c r="E39" i="143"/>
  <c r="C38" i="143"/>
  <c r="I32" i="118"/>
  <c r="C36" i="137"/>
  <c r="E37" i="137"/>
  <c r="I32" i="68"/>
  <c r="EP39" i="2"/>
  <c r="C33" i="32"/>
  <c r="E34" i="32"/>
  <c r="C36" i="67"/>
  <c r="E37" i="67"/>
  <c r="E34" i="146"/>
  <c r="C33" i="146"/>
  <c r="I30" i="8"/>
  <c r="I35" i="61"/>
  <c r="I32" i="149"/>
  <c r="E38" i="88"/>
  <c r="C37" i="88"/>
  <c r="FK38" i="2"/>
  <c r="E37" i="4"/>
  <c r="C36" i="4"/>
  <c r="CL39" i="2"/>
  <c r="C35" i="72"/>
  <c r="E36" i="72"/>
  <c r="E37" i="150"/>
  <c r="C36" i="150"/>
  <c r="J37" i="150"/>
  <c r="K37" i="150" s="1"/>
  <c r="I32" i="66"/>
  <c r="E36" i="163"/>
  <c r="C35" i="163"/>
  <c r="I32" i="159"/>
  <c r="I30" i="35"/>
  <c r="E38" i="117"/>
  <c r="C37" i="117"/>
  <c r="FL40" i="2"/>
  <c r="E38" i="36"/>
  <c r="C37" i="36"/>
  <c r="E38" i="63"/>
  <c r="C37" i="63"/>
  <c r="C37" i="78"/>
  <c r="E38" i="78"/>
  <c r="C36" i="139"/>
  <c r="E37" i="139"/>
  <c r="C35" i="141"/>
  <c r="E36" i="141"/>
  <c r="E36" i="62"/>
  <c r="C35" i="62"/>
  <c r="FW40" i="2"/>
  <c r="I31" i="3"/>
  <c r="E37" i="22"/>
  <c r="C36" i="22"/>
  <c r="I31" i="161"/>
  <c r="I31" i="53"/>
  <c r="C35" i="69"/>
  <c r="E36" i="69"/>
  <c r="I31" i="104"/>
  <c r="DT38" i="2"/>
  <c r="E39" i="91"/>
  <c r="C38" i="91"/>
  <c r="C36" i="57"/>
  <c r="E37" i="57"/>
  <c r="E36" i="123"/>
  <c r="C35" i="123"/>
  <c r="E38" i="76"/>
  <c r="C37" i="76"/>
  <c r="E36" i="106"/>
  <c r="C35" i="106"/>
  <c r="E38" i="96"/>
  <c r="C37" i="96"/>
  <c r="E39" i="90"/>
  <c r="C38" i="90"/>
  <c r="E37" i="83"/>
  <c r="C36" i="83"/>
  <c r="I31" i="155"/>
  <c r="E38" i="122"/>
  <c r="C37" i="122"/>
  <c r="E39" i="42"/>
  <c r="C38" i="42"/>
  <c r="FV39" i="2"/>
  <c r="E38" i="10"/>
  <c r="C37" i="10"/>
  <c r="I31" i="151"/>
  <c r="I30" i="17"/>
  <c r="I31" i="137"/>
  <c r="I32" i="167"/>
  <c r="E39" i="46"/>
  <c r="C38" i="46"/>
  <c r="IK40" i="2"/>
  <c r="E36" i="120"/>
  <c r="C35" i="120"/>
  <c r="I30" i="90"/>
  <c r="BF40" i="2"/>
  <c r="E37" i="110"/>
  <c r="C36" i="110"/>
  <c r="I33" i="98"/>
  <c r="J32" i="98"/>
  <c r="E34" i="166"/>
  <c r="C33" i="166"/>
  <c r="E37" i="74"/>
  <c r="C36" i="74"/>
  <c r="BQ40" i="2"/>
  <c r="I32" i="92"/>
  <c r="I35" i="46"/>
  <c r="I32" i="18"/>
  <c r="I30" i="11"/>
  <c r="C36" i="104"/>
  <c r="E37" i="104"/>
  <c r="I30" i="109"/>
  <c r="C38" i="158"/>
  <c r="E39" i="158"/>
  <c r="I33" i="136"/>
  <c r="E38" i="147"/>
  <c r="C37" i="147"/>
  <c r="C33" i="157"/>
  <c r="E34" i="157"/>
  <c r="E37" i="129"/>
  <c r="C36" i="129"/>
  <c r="DS37" i="2"/>
  <c r="I34" i="32"/>
  <c r="J33" i="32"/>
  <c r="C37" i="145"/>
  <c r="CW37" i="2" s="1"/>
  <c r="E38" i="145"/>
  <c r="C37" i="125"/>
  <c r="E38" i="125"/>
  <c r="I33" i="127"/>
  <c r="I33" i="9"/>
  <c r="E38" i="20"/>
  <c r="C37" i="20"/>
  <c r="C35" i="61"/>
  <c r="E36" i="61"/>
  <c r="I31" i="162"/>
  <c r="E37" i="75"/>
  <c r="C36" i="75"/>
  <c r="I31" i="138"/>
  <c r="E37" i="130"/>
  <c r="C36" i="130"/>
  <c r="E36" i="40"/>
  <c r="C35" i="40"/>
  <c r="I30" i="81"/>
  <c r="I31" i="126"/>
  <c r="C38" i="52"/>
  <c r="E39" i="52"/>
  <c r="BP39" i="2"/>
  <c r="AI39" i="1"/>
  <c r="I32" i="173"/>
  <c r="E39" i="174"/>
  <c r="C38" i="174"/>
  <c r="E38" i="97"/>
  <c r="C37" i="97"/>
  <c r="EO38" i="2"/>
  <c r="Y40" i="1"/>
  <c r="C37" i="114"/>
  <c r="E38" i="114"/>
  <c r="C38" i="56"/>
  <c r="E39" i="56"/>
  <c r="E34" i="30"/>
  <c r="C33" i="30"/>
  <c r="I30" i="174"/>
  <c r="I31" i="33"/>
  <c r="E37" i="60"/>
  <c r="C36" i="60"/>
  <c r="I31" i="56"/>
  <c r="C36" i="17"/>
  <c r="E37" i="17"/>
  <c r="I30" i="55"/>
  <c r="C38" i="100"/>
  <c r="E39" i="100"/>
  <c r="E38" i="41"/>
  <c r="C37" i="41"/>
  <c r="BE38" i="2"/>
  <c r="I30" i="40"/>
  <c r="HO40" i="2"/>
  <c r="E37" i="113"/>
  <c r="C36" i="113"/>
  <c r="I35" i="74"/>
  <c r="E39" i="109"/>
  <c r="C38" i="109"/>
  <c r="ED39" i="2"/>
  <c r="I31" i="97"/>
  <c r="X39" i="1"/>
  <c r="C36" i="5"/>
  <c r="E37" i="5"/>
  <c r="C37" i="164"/>
  <c r="E38" i="164"/>
  <c r="I32" i="72"/>
  <c r="I31" i="144"/>
  <c r="I33" i="77"/>
  <c r="I32" i="83"/>
  <c r="I32" i="37"/>
  <c r="I31" i="85"/>
  <c r="I31" i="106"/>
  <c r="I31" i="49"/>
  <c r="I32" i="165"/>
  <c r="C35" i="47"/>
  <c r="E36" i="47"/>
  <c r="I33" i="156"/>
  <c r="N38" i="2" l="1"/>
  <c r="CX37" i="2"/>
  <c r="J33" i="156"/>
  <c r="I34" i="156"/>
  <c r="I32" i="97"/>
  <c r="C37" i="56"/>
  <c r="E38" i="56"/>
  <c r="E35" i="69"/>
  <c r="C34" i="69"/>
  <c r="I33" i="159"/>
  <c r="I31" i="130"/>
  <c r="I34" i="13"/>
  <c r="I33" i="129"/>
  <c r="I32" i="88"/>
  <c r="I32" i="168"/>
  <c r="IK38" i="2"/>
  <c r="C37" i="50"/>
  <c r="E38" i="50"/>
  <c r="AT38" i="2"/>
  <c r="C36" i="132"/>
  <c r="E37" i="132"/>
  <c r="C35" i="64"/>
  <c r="E36" i="64"/>
  <c r="I34" i="122"/>
  <c r="I32" i="3"/>
  <c r="IV38" i="2"/>
  <c r="I34" i="142"/>
  <c r="E34" i="59"/>
  <c r="C33" i="59"/>
  <c r="EE39" i="2"/>
  <c r="E35" i="61"/>
  <c r="C34" i="61"/>
  <c r="C36" i="10"/>
  <c r="E37" i="10"/>
  <c r="C34" i="163"/>
  <c r="E35" i="163"/>
  <c r="E37" i="79"/>
  <c r="C36" i="79"/>
  <c r="E38" i="121"/>
  <c r="C37" i="121"/>
  <c r="I34" i="89"/>
  <c r="I32" i="123"/>
  <c r="C37" i="155"/>
  <c r="E38" i="155"/>
  <c r="C36" i="114"/>
  <c r="E37" i="114"/>
  <c r="I36" i="46"/>
  <c r="I32" i="53"/>
  <c r="C35" i="137"/>
  <c r="E36" i="137"/>
  <c r="I32" i="116"/>
  <c r="E36" i="65"/>
  <c r="C35" i="65"/>
  <c r="E37" i="44"/>
  <c r="C36" i="44"/>
  <c r="C36" i="33"/>
  <c r="E37" i="33"/>
  <c r="CB39" i="1"/>
  <c r="E37" i="154"/>
  <c r="C36" i="154"/>
  <c r="E35" i="26"/>
  <c r="C34" i="26"/>
  <c r="C36" i="20"/>
  <c r="E37" i="20"/>
  <c r="FW39" i="2"/>
  <c r="I33" i="66"/>
  <c r="AJ38" i="2"/>
  <c r="E37" i="23"/>
  <c r="C36" i="23"/>
  <c r="I33" i="44"/>
  <c r="N39" i="1"/>
  <c r="I33" i="63"/>
  <c r="I32" i="4"/>
  <c r="C36" i="71"/>
  <c r="E37" i="71"/>
  <c r="I31" i="34"/>
  <c r="E38" i="42"/>
  <c r="C37" i="42"/>
  <c r="FV38" i="2"/>
  <c r="I32" i="161"/>
  <c r="I33" i="118"/>
  <c r="I32" i="84"/>
  <c r="C35" i="16"/>
  <c r="E36" i="16"/>
  <c r="Y39" i="2"/>
  <c r="C33" i="165"/>
  <c r="E34" i="165"/>
  <c r="I36" i="134"/>
  <c r="E38" i="6"/>
  <c r="C37" i="6"/>
  <c r="CA38" i="1"/>
  <c r="I32" i="57"/>
  <c r="EP38" i="2"/>
  <c r="I34" i="9"/>
  <c r="C35" i="22"/>
  <c r="E36" i="22"/>
  <c r="C37" i="143"/>
  <c r="E38" i="143"/>
  <c r="C36" i="140"/>
  <c r="E37" i="140"/>
  <c r="I35" i="14"/>
  <c r="E33" i="87"/>
  <c r="C32" i="87"/>
  <c r="I33" i="23"/>
  <c r="E38" i="29"/>
  <c r="C37" i="29"/>
  <c r="X38" i="1"/>
  <c r="I50" i="150"/>
  <c r="J49" i="150"/>
  <c r="E36" i="128"/>
  <c r="C35" i="128"/>
  <c r="I31" i="102"/>
  <c r="I31" i="65"/>
  <c r="I35" i="71"/>
  <c r="C35" i="113"/>
  <c r="E36" i="113"/>
  <c r="E37" i="122"/>
  <c r="C36" i="122"/>
  <c r="E36" i="150"/>
  <c r="C35" i="150"/>
  <c r="J36" i="150"/>
  <c r="K36" i="150" s="1"/>
  <c r="E38" i="92"/>
  <c r="C37" i="92"/>
  <c r="I36" i="145"/>
  <c r="C33" i="160"/>
  <c r="E34" i="160"/>
  <c r="E38" i="12"/>
  <c r="C37" i="12"/>
  <c r="M38" i="1"/>
  <c r="X38" i="2"/>
  <c r="I36" i="12"/>
  <c r="K48" i="150"/>
  <c r="C36" i="95"/>
  <c r="E37" i="95"/>
  <c r="I31" i="171"/>
  <c r="I31" i="146"/>
  <c r="E35" i="47"/>
  <c r="C34" i="47"/>
  <c r="E37" i="97"/>
  <c r="C36" i="97"/>
  <c r="I34" i="127"/>
  <c r="E36" i="74"/>
  <c r="C35" i="74"/>
  <c r="C34" i="127"/>
  <c r="E35" i="127"/>
  <c r="I32" i="86"/>
  <c r="E38" i="152"/>
  <c r="C37" i="152"/>
  <c r="M37" i="2" s="1"/>
  <c r="I31" i="147"/>
  <c r="E37" i="142"/>
  <c r="C36" i="142"/>
  <c r="C37" i="170"/>
  <c r="E38" i="170"/>
  <c r="I31" i="160"/>
  <c r="I33" i="99"/>
  <c r="C35" i="18"/>
  <c r="E36" i="18"/>
  <c r="I31" i="38"/>
  <c r="I31" i="143"/>
  <c r="C30" i="82"/>
  <c r="E31" i="82"/>
  <c r="J31" i="82"/>
  <c r="K31" i="82" s="1"/>
  <c r="I31" i="95"/>
  <c r="E35" i="72"/>
  <c r="C34" i="72"/>
  <c r="I33" i="124"/>
  <c r="E36" i="19"/>
  <c r="C35" i="19"/>
  <c r="I33" i="139"/>
  <c r="C33" i="34"/>
  <c r="E34" i="34"/>
  <c r="I32" i="20"/>
  <c r="C35" i="11"/>
  <c r="E36" i="11"/>
  <c r="I31" i="125"/>
  <c r="AU39" i="1"/>
  <c r="I32" i="49"/>
  <c r="CM39" i="2"/>
  <c r="E37" i="13"/>
  <c r="C36" i="13"/>
  <c r="E38" i="7"/>
  <c r="C37" i="7"/>
  <c r="AT38" i="1"/>
  <c r="I34" i="164"/>
  <c r="I32" i="76"/>
  <c r="E35" i="85"/>
  <c r="C34" i="85"/>
  <c r="I31" i="91"/>
  <c r="I32" i="52"/>
  <c r="E37" i="80"/>
  <c r="C36" i="80"/>
  <c r="I31" i="100"/>
  <c r="E38" i="107"/>
  <c r="C37" i="107"/>
  <c r="I32" i="155"/>
  <c r="E36" i="83"/>
  <c r="C35" i="83"/>
  <c r="E35" i="62"/>
  <c r="C34" i="62"/>
  <c r="C36" i="153"/>
  <c r="E37" i="153"/>
  <c r="GS39" i="2"/>
  <c r="C36" i="48"/>
  <c r="E37" i="48"/>
  <c r="I34" i="62"/>
  <c r="I35" i="24"/>
  <c r="E35" i="84"/>
  <c r="C34" i="84"/>
  <c r="I34" i="29"/>
  <c r="E36" i="66"/>
  <c r="C35" i="66"/>
  <c r="I33" i="173"/>
  <c r="I34" i="98"/>
  <c r="J33" i="98"/>
  <c r="E36" i="4"/>
  <c r="C35" i="4"/>
  <c r="I35" i="27"/>
  <c r="C34" i="51"/>
  <c r="E35" i="51"/>
  <c r="I32" i="87"/>
  <c r="I35" i="32"/>
  <c r="J34" i="32"/>
  <c r="C35" i="110"/>
  <c r="E36" i="110"/>
  <c r="E38" i="90"/>
  <c r="C37" i="90"/>
  <c r="E37" i="162"/>
  <c r="C36" i="162"/>
  <c r="E38" i="3"/>
  <c r="C37" i="3"/>
  <c r="C35" i="144"/>
  <c r="E36" i="144"/>
  <c r="C37" i="58"/>
  <c r="E38" i="58"/>
  <c r="E36" i="25"/>
  <c r="C35" i="25"/>
  <c r="I31" i="112"/>
  <c r="I33" i="113"/>
  <c r="I34" i="101"/>
  <c r="I32" i="103"/>
  <c r="I31" i="47"/>
  <c r="E37" i="15"/>
  <c r="C36" i="15"/>
  <c r="E37" i="101"/>
  <c r="C36" i="101"/>
  <c r="E37" i="119"/>
  <c r="C36" i="119"/>
  <c r="I34" i="78"/>
  <c r="FL38" i="2"/>
  <c r="I33" i="41"/>
  <c r="E38" i="53"/>
  <c r="C37" i="53"/>
  <c r="I32" i="106"/>
  <c r="I32" i="85"/>
  <c r="E38" i="52"/>
  <c r="C37" i="52"/>
  <c r="BP38" i="2"/>
  <c r="C35" i="129"/>
  <c r="E36" i="129"/>
  <c r="DS36" i="2"/>
  <c r="C36" i="96"/>
  <c r="E37" i="96"/>
  <c r="E37" i="88"/>
  <c r="C36" i="88"/>
  <c r="C33" i="43"/>
  <c r="E34" i="43"/>
  <c r="I35" i="42"/>
  <c r="I36" i="15"/>
  <c r="E36" i="99"/>
  <c r="C35" i="99"/>
  <c r="I32" i="50"/>
  <c r="I32" i="73"/>
  <c r="I32" i="119"/>
  <c r="E36" i="148"/>
  <c r="C35" i="148"/>
  <c r="I32" i="169"/>
  <c r="I31" i="141"/>
  <c r="I34" i="48"/>
  <c r="E36" i="116"/>
  <c r="C35" i="116"/>
  <c r="C36" i="41"/>
  <c r="E37" i="41"/>
  <c r="DT37" i="2"/>
  <c r="C37" i="100"/>
  <c r="E38" i="100"/>
  <c r="E36" i="139"/>
  <c r="C35" i="139"/>
  <c r="I33" i="158"/>
  <c r="I34" i="51"/>
  <c r="I31" i="58"/>
  <c r="I31" i="45"/>
  <c r="CA38" i="2"/>
  <c r="E38" i="28"/>
  <c r="C37" i="28"/>
  <c r="I33" i="28"/>
  <c r="C34" i="149"/>
  <c r="E35" i="149"/>
  <c r="I33" i="165"/>
  <c r="I33" i="37"/>
  <c r="C34" i="106"/>
  <c r="E35" i="106"/>
  <c r="I34" i="135"/>
  <c r="C36" i="31"/>
  <c r="E37" i="31"/>
  <c r="CA37" i="2"/>
  <c r="I32" i="21"/>
  <c r="I33" i="30"/>
  <c r="I32" i="80"/>
  <c r="I32" i="126"/>
  <c r="C36" i="78"/>
  <c r="E37" i="78"/>
  <c r="I33" i="149"/>
  <c r="I34" i="172"/>
  <c r="I35" i="79"/>
  <c r="E37" i="21"/>
  <c r="C36" i="21"/>
  <c r="I31" i="166"/>
  <c r="I31" i="163"/>
  <c r="I34" i="132"/>
  <c r="I33" i="93"/>
  <c r="I32" i="70"/>
  <c r="I34" i="128"/>
  <c r="I31" i="90"/>
  <c r="I34" i="77"/>
  <c r="I31" i="81"/>
  <c r="C36" i="147"/>
  <c r="E37" i="147"/>
  <c r="E35" i="120"/>
  <c r="C34" i="120"/>
  <c r="E37" i="76"/>
  <c r="C36" i="76"/>
  <c r="CL38" i="2"/>
  <c r="E36" i="112"/>
  <c r="C35" i="112"/>
  <c r="I32" i="170"/>
  <c r="C35" i="103"/>
  <c r="E36" i="103"/>
  <c r="I31" i="105"/>
  <c r="E36" i="9"/>
  <c r="C35" i="9"/>
  <c r="I34" i="152"/>
  <c r="I32" i="108"/>
  <c r="E34" i="111"/>
  <c r="C33" i="111"/>
  <c r="C35" i="54"/>
  <c r="E36" i="54"/>
  <c r="I34" i="26"/>
  <c r="I36" i="7"/>
  <c r="E36" i="68"/>
  <c r="C35" i="68"/>
  <c r="I35" i="94"/>
  <c r="I33" i="92"/>
  <c r="E36" i="17"/>
  <c r="C35" i="17"/>
  <c r="E36" i="81"/>
  <c r="C35" i="81"/>
  <c r="E35" i="173"/>
  <c r="C34" i="173"/>
  <c r="E34" i="45"/>
  <c r="C33" i="45"/>
  <c r="I31" i="148"/>
  <c r="I36" i="74"/>
  <c r="J35" i="74"/>
  <c r="I34" i="136"/>
  <c r="E35" i="73"/>
  <c r="C34" i="73"/>
  <c r="I32" i="39"/>
  <c r="E36" i="167"/>
  <c r="C35" i="167"/>
  <c r="I33" i="115"/>
  <c r="I33" i="25"/>
  <c r="C37" i="172"/>
  <c r="E38" i="172"/>
  <c r="E36" i="126"/>
  <c r="C35" i="126"/>
  <c r="E36" i="135"/>
  <c r="C35" i="135"/>
  <c r="I31" i="43"/>
  <c r="E38" i="109"/>
  <c r="C37" i="109"/>
  <c r="ED38" i="2"/>
  <c r="E35" i="141"/>
  <c r="C34" i="141"/>
  <c r="E37" i="63"/>
  <c r="C36" i="63"/>
  <c r="J35" i="61"/>
  <c r="I36" i="61"/>
  <c r="I35" i="22"/>
  <c r="E34" i="131"/>
  <c r="C33" i="131"/>
  <c r="E36" i="60"/>
  <c r="C35" i="60"/>
  <c r="E36" i="130"/>
  <c r="C35" i="130"/>
  <c r="E38" i="46"/>
  <c r="C37" i="46"/>
  <c r="AI38" i="1"/>
  <c r="C32" i="146"/>
  <c r="E33" i="146"/>
  <c r="E34" i="102"/>
  <c r="C33" i="102"/>
  <c r="I32" i="114"/>
  <c r="I31" i="36"/>
  <c r="FA38" i="2"/>
  <c r="C35" i="118"/>
  <c r="E36" i="118"/>
  <c r="C36" i="38"/>
  <c r="E37" i="38"/>
  <c r="C36" i="77"/>
  <c r="E37" i="77"/>
  <c r="I31" i="8"/>
  <c r="E38" i="158"/>
  <c r="C37" i="158"/>
  <c r="C36" i="134"/>
  <c r="E37" i="134"/>
  <c r="EZ37" i="2"/>
  <c r="I31" i="40"/>
  <c r="I31" i="55"/>
  <c r="I33" i="83"/>
  <c r="E35" i="171"/>
  <c r="C34" i="171"/>
  <c r="C37" i="136"/>
  <c r="E38" i="136"/>
  <c r="I31" i="109"/>
  <c r="C37" i="91"/>
  <c r="E38" i="91"/>
  <c r="C36" i="133"/>
  <c r="E37" i="133"/>
  <c r="DH37" i="2"/>
  <c r="J34" i="59"/>
  <c r="I35" i="59"/>
  <c r="BQ39" i="1"/>
  <c r="I32" i="111"/>
  <c r="I32" i="67"/>
  <c r="C34" i="168"/>
  <c r="E35" i="168"/>
  <c r="I32" i="5"/>
  <c r="E37" i="125"/>
  <c r="C36" i="125"/>
  <c r="AJ39" i="1"/>
  <c r="C32" i="157"/>
  <c r="E33" i="157"/>
  <c r="I32" i="144"/>
  <c r="I32" i="56"/>
  <c r="I36" i="133"/>
  <c r="E37" i="70"/>
  <c r="C36" i="70"/>
  <c r="I32" i="33"/>
  <c r="I32" i="138"/>
  <c r="I31" i="110"/>
  <c r="E36" i="94"/>
  <c r="C35" i="94"/>
  <c r="E38" i="174"/>
  <c r="C37" i="174"/>
  <c r="BF38" i="2"/>
  <c r="C34" i="40"/>
  <c r="E35" i="40"/>
  <c r="E35" i="123"/>
  <c r="C34" i="123"/>
  <c r="C34" i="39"/>
  <c r="E35" i="39"/>
  <c r="E33" i="138"/>
  <c r="C32" i="138"/>
  <c r="I33" i="157"/>
  <c r="E35" i="124"/>
  <c r="C34" i="124"/>
  <c r="C34" i="86"/>
  <c r="E35" i="86"/>
  <c r="I33" i="10"/>
  <c r="C32" i="166"/>
  <c r="E33" i="166"/>
  <c r="BQ39" i="2"/>
  <c r="I33" i="72"/>
  <c r="E37" i="35"/>
  <c r="C36" i="35"/>
  <c r="I35" i="82"/>
  <c r="J34" i="82"/>
  <c r="E36" i="104"/>
  <c r="C35" i="104"/>
  <c r="E33" i="32"/>
  <c r="C32" i="32"/>
  <c r="BP38" i="1"/>
  <c r="E38" i="8"/>
  <c r="C37" i="8"/>
  <c r="HC38" i="2"/>
  <c r="E38" i="55"/>
  <c r="C37" i="55"/>
  <c r="I32" i="121"/>
  <c r="E37" i="89"/>
  <c r="C36" i="89"/>
  <c r="HN37" i="2"/>
  <c r="E37" i="108"/>
  <c r="C36" i="108"/>
  <c r="HY38" i="2"/>
  <c r="C32" i="156"/>
  <c r="E33" i="156"/>
  <c r="I34" i="117"/>
  <c r="DI38" i="2"/>
  <c r="I33" i="60"/>
  <c r="HN38" i="2"/>
  <c r="C35" i="75"/>
  <c r="E36" i="75"/>
  <c r="I32" i="137"/>
  <c r="E37" i="151"/>
  <c r="C36" i="151"/>
  <c r="C37" i="49"/>
  <c r="E38" i="49"/>
  <c r="I31" i="174"/>
  <c r="I31" i="11"/>
  <c r="I32" i="104"/>
  <c r="I31" i="64"/>
  <c r="E34" i="105"/>
  <c r="C33" i="105"/>
  <c r="C37" i="93"/>
  <c r="E38" i="93"/>
  <c r="E38" i="14"/>
  <c r="C37" i="14"/>
  <c r="E35" i="159"/>
  <c r="C34" i="159"/>
  <c r="I36" i="75"/>
  <c r="J35" i="75"/>
  <c r="E35" i="37"/>
  <c r="C34" i="37"/>
  <c r="I32" i="19"/>
  <c r="C36" i="145"/>
  <c r="E37" i="145"/>
  <c r="C36" i="36"/>
  <c r="E37" i="36"/>
  <c r="I32" i="54"/>
  <c r="I33" i="167"/>
  <c r="C36" i="164"/>
  <c r="E37" i="164"/>
  <c r="I32" i="154"/>
  <c r="I31" i="35"/>
  <c r="E36" i="5"/>
  <c r="C35" i="5"/>
  <c r="C32" i="30"/>
  <c r="E33" i="30"/>
  <c r="I32" i="162"/>
  <c r="I31" i="17"/>
  <c r="GR38" i="2"/>
  <c r="AJ39" i="2"/>
  <c r="I32" i="153"/>
  <c r="C30" i="98"/>
  <c r="E31" i="98"/>
  <c r="J31" i="98"/>
  <c r="K31" i="98" s="1"/>
  <c r="E35" i="115"/>
  <c r="C34" i="115"/>
  <c r="E38" i="27"/>
  <c r="C37" i="27"/>
  <c r="IJ37" i="2" s="1"/>
  <c r="E37" i="169"/>
  <c r="C36" i="169"/>
  <c r="HY37" i="2"/>
  <c r="C35" i="161"/>
  <c r="E36" i="161"/>
  <c r="E36" i="57"/>
  <c r="C35" i="57"/>
  <c r="C36" i="117"/>
  <c r="E37" i="117"/>
  <c r="E36" i="67"/>
  <c r="C35" i="67"/>
  <c r="HD39" i="2"/>
  <c r="I34" i="16"/>
  <c r="Y39" i="1"/>
  <c r="I33" i="18"/>
  <c r="I32" i="151"/>
  <c r="I33" i="68"/>
  <c r="I32" i="131"/>
  <c r="I31" i="140"/>
  <c r="I32" i="31"/>
  <c r="I34" i="107"/>
  <c r="I31" i="69"/>
  <c r="AU39" i="2"/>
  <c r="I31" i="96"/>
  <c r="I31" i="120"/>
  <c r="N37" i="2" l="1"/>
  <c r="IK37" i="2"/>
  <c r="E36" i="169"/>
  <c r="C35" i="169"/>
  <c r="E36" i="36"/>
  <c r="C35" i="36"/>
  <c r="HO38" i="2"/>
  <c r="E36" i="70"/>
  <c r="C35" i="70"/>
  <c r="I34" i="68"/>
  <c r="I33" i="162"/>
  <c r="E37" i="93"/>
  <c r="C36" i="93"/>
  <c r="E36" i="89"/>
  <c r="C35" i="89"/>
  <c r="E32" i="157"/>
  <c r="C31" i="157"/>
  <c r="E33" i="131"/>
  <c r="C32" i="131"/>
  <c r="I35" i="152"/>
  <c r="I35" i="132"/>
  <c r="I33" i="169"/>
  <c r="I33" i="106"/>
  <c r="I35" i="164"/>
  <c r="C29" i="82"/>
  <c r="E30" i="82"/>
  <c r="J30" i="82"/>
  <c r="K30" i="82" s="1"/>
  <c r="E34" i="47"/>
  <c r="C33" i="47"/>
  <c r="I37" i="134"/>
  <c r="J36" i="134"/>
  <c r="E37" i="155"/>
  <c r="C36" i="155"/>
  <c r="AU38" i="2"/>
  <c r="E32" i="32"/>
  <c r="C31" i="32"/>
  <c r="J32" i="32"/>
  <c r="K32" i="32" s="1"/>
  <c r="C31" i="138"/>
  <c r="E32" i="138"/>
  <c r="I32" i="40"/>
  <c r="I35" i="136"/>
  <c r="C34" i="9"/>
  <c r="E35" i="9"/>
  <c r="J33" i="165"/>
  <c r="I34" i="165"/>
  <c r="E37" i="3"/>
  <c r="C36" i="3"/>
  <c r="I36" i="24"/>
  <c r="AU38" i="1"/>
  <c r="I32" i="143"/>
  <c r="E34" i="37"/>
  <c r="C33" i="37"/>
  <c r="E34" i="171"/>
  <c r="C33" i="171"/>
  <c r="E32" i="30"/>
  <c r="C31" i="30"/>
  <c r="FA37" i="2"/>
  <c r="I36" i="22"/>
  <c r="J35" i="22"/>
  <c r="K35" i="74"/>
  <c r="I32" i="163"/>
  <c r="C34" i="148"/>
  <c r="E35" i="148"/>
  <c r="C36" i="53"/>
  <c r="E37" i="53"/>
  <c r="AT37" i="1"/>
  <c r="C36" i="7"/>
  <c r="E37" i="7"/>
  <c r="I32" i="146"/>
  <c r="I32" i="102"/>
  <c r="I34" i="66"/>
  <c r="I33" i="123"/>
  <c r="C36" i="50"/>
  <c r="E37" i="50"/>
  <c r="AT37" i="2"/>
  <c r="C35" i="164"/>
  <c r="E36" i="164"/>
  <c r="E34" i="115"/>
  <c r="C33" i="115"/>
  <c r="C29" i="98"/>
  <c r="E30" i="98"/>
  <c r="J30" i="98"/>
  <c r="K30" i="98" s="1"/>
  <c r="J36" i="74"/>
  <c r="I37" i="74"/>
  <c r="E34" i="149"/>
  <c r="C33" i="149"/>
  <c r="I35" i="62"/>
  <c r="J34" i="62"/>
  <c r="I32" i="38"/>
  <c r="E35" i="128"/>
  <c r="C34" i="128"/>
  <c r="E33" i="165"/>
  <c r="C32" i="165"/>
  <c r="J36" i="7"/>
  <c r="I37" i="7"/>
  <c r="I33" i="121"/>
  <c r="C35" i="125"/>
  <c r="E36" i="125"/>
  <c r="C34" i="5"/>
  <c r="E35" i="5"/>
  <c r="I32" i="64"/>
  <c r="E37" i="55"/>
  <c r="C36" i="55"/>
  <c r="C33" i="39"/>
  <c r="E34" i="39"/>
  <c r="E36" i="134"/>
  <c r="C35" i="134"/>
  <c r="EZ36" i="2"/>
  <c r="J36" i="61"/>
  <c r="I37" i="61"/>
  <c r="I32" i="105"/>
  <c r="I32" i="166"/>
  <c r="I33" i="119"/>
  <c r="C35" i="162"/>
  <c r="E36" i="162"/>
  <c r="E36" i="13"/>
  <c r="C35" i="13"/>
  <c r="I35" i="89"/>
  <c r="E37" i="46"/>
  <c r="C36" i="46"/>
  <c r="AI37" i="1"/>
  <c r="C33" i="159"/>
  <c r="E34" i="159"/>
  <c r="E33" i="105"/>
  <c r="C32" i="105"/>
  <c r="I35" i="16"/>
  <c r="C34" i="67"/>
  <c r="E35" i="67"/>
  <c r="C33" i="123"/>
  <c r="E34" i="123"/>
  <c r="E37" i="158"/>
  <c r="C36" i="158"/>
  <c r="K35" i="61"/>
  <c r="I32" i="148"/>
  <c r="E36" i="21"/>
  <c r="C35" i="21"/>
  <c r="I34" i="28"/>
  <c r="I34" i="41"/>
  <c r="C35" i="48"/>
  <c r="E36" i="48"/>
  <c r="I32" i="171"/>
  <c r="C36" i="121"/>
  <c r="E37" i="121"/>
  <c r="I33" i="168"/>
  <c r="I32" i="35"/>
  <c r="I33" i="104"/>
  <c r="HD38" i="2"/>
  <c r="I33" i="5"/>
  <c r="CL37" i="2"/>
  <c r="E33" i="45"/>
  <c r="C32" i="45"/>
  <c r="E35" i="103"/>
  <c r="C34" i="103"/>
  <c r="E37" i="28"/>
  <c r="C36" i="28"/>
  <c r="C36" i="90"/>
  <c r="E37" i="90"/>
  <c r="J50" i="150"/>
  <c r="K49" i="150" s="1"/>
  <c r="I51" i="150"/>
  <c r="C35" i="20"/>
  <c r="E36" i="20"/>
  <c r="J35" i="79"/>
  <c r="I36" i="79"/>
  <c r="I33" i="73"/>
  <c r="E35" i="18"/>
  <c r="C34" i="18"/>
  <c r="E36" i="95"/>
  <c r="C35" i="95"/>
  <c r="Y38" i="1"/>
  <c r="E35" i="16"/>
  <c r="C34" i="16"/>
  <c r="E34" i="26"/>
  <c r="C33" i="26"/>
  <c r="C35" i="79"/>
  <c r="E36" i="79"/>
  <c r="CB38" i="2"/>
  <c r="I34" i="99"/>
  <c r="E37" i="29"/>
  <c r="C36" i="29"/>
  <c r="X37" i="1"/>
  <c r="I33" i="170"/>
  <c r="I32" i="120"/>
  <c r="E35" i="57"/>
  <c r="C34" i="57"/>
  <c r="I33" i="154"/>
  <c r="I32" i="174"/>
  <c r="BQ38" i="1"/>
  <c r="E34" i="40"/>
  <c r="C33" i="40"/>
  <c r="I33" i="67"/>
  <c r="E34" i="141"/>
  <c r="C33" i="141"/>
  <c r="E34" i="173"/>
  <c r="C33" i="173"/>
  <c r="CW36" i="2"/>
  <c r="I35" i="172"/>
  <c r="I32" i="45"/>
  <c r="I33" i="50"/>
  <c r="I35" i="78"/>
  <c r="C34" i="110"/>
  <c r="E35" i="110"/>
  <c r="C35" i="153"/>
  <c r="E36" i="153"/>
  <c r="I33" i="49"/>
  <c r="I33" i="84"/>
  <c r="C34" i="112"/>
  <c r="E35" i="112"/>
  <c r="CW35" i="2"/>
  <c r="E35" i="99"/>
  <c r="C34" i="99"/>
  <c r="C35" i="119"/>
  <c r="E36" i="119"/>
  <c r="C33" i="62"/>
  <c r="E34" i="62"/>
  <c r="I32" i="160"/>
  <c r="I37" i="12"/>
  <c r="I34" i="118"/>
  <c r="E36" i="154"/>
  <c r="C35" i="154"/>
  <c r="E34" i="163"/>
  <c r="C33" i="163"/>
  <c r="I33" i="88"/>
  <c r="C36" i="8"/>
  <c r="E37" i="8"/>
  <c r="BP37" i="1"/>
  <c r="HC37" i="2"/>
  <c r="EE38" i="2"/>
  <c r="E35" i="81"/>
  <c r="C34" i="81"/>
  <c r="J33" i="149"/>
  <c r="I34" i="149"/>
  <c r="I36" i="32"/>
  <c r="J35" i="32"/>
  <c r="K34" i="32" s="1"/>
  <c r="Y38" i="2"/>
  <c r="I34" i="23"/>
  <c r="E36" i="63"/>
  <c r="C35" i="63"/>
  <c r="CL36" i="2"/>
  <c r="I33" i="111"/>
  <c r="C35" i="38"/>
  <c r="E36" i="38"/>
  <c r="E37" i="109"/>
  <c r="C36" i="109"/>
  <c r="ED37" i="2"/>
  <c r="C35" i="101"/>
  <c r="E36" i="101"/>
  <c r="N38" i="1"/>
  <c r="E32" i="87"/>
  <c r="C31" i="87"/>
  <c r="C35" i="10"/>
  <c r="E36" i="10"/>
  <c r="I34" i="129"/>
  <c r="E37" i="49"/>
  <c r="C36" i="49"/>
  <c r="E35" i="104"/>
  <c r="C34" i="104"/>
  <c r="C36" i="174"/>
  <c r="E37" i="174"/>
  <c r="CM38" i="2"/>
  <c r="I32" i="58"/>
  <c r="C34" i="161"/>
  <c r="E35" i="161"/>
  <c r="I34" i="167"/>
  <c r="E36" i="151"/>
  <c r="C35" i="151"/>
  <c r="C34" i="17"/>
  <c r="E35" i="17"/>
  <c r="C35" i="76"/>
  <c r="E36" i="76"/>
  <c r="I37" i="15"/>
  <c r="J36" i="15"/>
  <c r="I33" i="87"/>
  <c r="J32" i="87"/>
  <c r="E35" i="83"/>
  <c r="C34" i="83"/>
  <c r="I32" i="125"/>
  <c r="E37" i="170"/>
  <c r="C36" i="170"/>
  <c r="C36" i="12"/>
  <c r="J36" i="12" s="1"/>
  <c r="E37" i="12"/>
  <c r="X37" i="2"/>
  <c r="M37" i="1"/>
  <c r="I33" i="161"/>
  <c r="I35" i="13"/>
  <c r="HZ37" i="2"/>
  <c r="E35" i="94"/>
  <c r="C34" i="94"/>
  <c r="E35" i="118"/>
  <c r="C34" i="118"/>
  <c r="E36" i="78"/>
  <c r="C35" i="78"/>
  <c r="J34" i="51"/>
  <c r="I35" i="51"/>
  <c r="I36" i="42"/>
  <c r="E36" i="15"/>
  <c r="C35" i="15"/>
  <c r="C35" i="142"/>
  <c r="E36" i="142"/>
  <c r="FW38" i="2"/>
  <c r="C33" i="61"/>
  <c r="E34" i="61"/>
  <c r="J34" i="61"/>
  <c r="K34" i="61" s="1"/>
  <c r="I33" i="137"/>
  <c r="I36" i="82"/>
  <c r="J35" i="82"/>
  <c r="K34" i="82" s="1"/>
  <c r="I36" i="59"/>
  <c r="J35" i="59"/>
  <c r="I32" i="43"/>
  <c r="I34" i="92"/>
  <c r="C33" i="120"/>
  <c r="E34" i="120"/>
  <c r="E34" i="51"/>
  <c r="C33" i="51"/>
  <c r="I33" i="155"/>
  <c r="E35" i="11"/>
  <c r="C34" i="11"/>
  <c r="I36" i="14"/>
  <c r="C36" i="42"/>
  <c r="E37" i="42"/>
  <c r="FV37" i="2"/>
  <c r="I32" i="130"/>
  <c r="I32" i="96"/>
  <c r="I32" i="69"/>
  <c r="E36" i="35"/>
  <c r="C35" i="35"/>
  <c r="K33" i="82"/>
  <c r="C34" i="135"/>
  <c r="J34" i="135" s="1"/>
  <c r="E35" i="135"/>
  <c r="I33" i="126"/>
  <c r="I34" i="158"/>
  <c r="AI37" i="2"/>
  <c r="E36" i="33"/>
  <c r="C35" i="33"/>
  <c r="M36" i="2"/>
  <c r="I32" i="11"/>
  <c r="DI37" i="2"/>
  <c r="J35" i="94"/>
  <c r="I36" i="94"/>
  <c r="E33" i="43"/>
  <c r="C32" i="43"/>
  <c r="I36" i="27"/>
  <c r="C36" i="107"/>
  <c r="E37" i="107"/>
  <c r="I33" i="20"/>
  <c r="I32" i="147"/>
  <c r="E33" i="160"/>
  <c r="C32" i="160"/>
  <c r="E36" i="44"/>
  <c r="C35" i="44"/>
  <c r="I32" i="36"/>
  <c r="C34" i="139"/>
  <c r="E35" i="139"/>
  <c r="I32" i="47"/>
  <c r="I35" i="107"/>
  <c r="C34" i="75"/>
  <c r="E35" i="75"/>
  <c r="I34" i="72"/>
  <c r="I32" i="110"/>
  <c r="E35" i="126"/>
  <c r="C34" i="126"/>
  <c r="C35" i="147"/>
  <c r="E36" i="147"/>
  <c r="I33" i="80"/>
  <c r="FK37" i="2"/>
  <c r="I33" i="103"/>
  <c r="C35" i="140"/>
  <c r="E36" i="140"/>
  <c r="AI36" i="2"/>
  <c r="I32" i="34"/>
  <c r="E33" i="59"/>
  <c r="C32" i="59"/>
  <c r="J33" i="59"/>
  <c r="K33" i="59" s="1"/>
  <c r="I34" i="159"/>
  <c r="J33" i="159"/>
  <c r="E36" i="145"/>
  <c r="C35" i="145"/>
  <c r="E36" i="133"/>
  <c r="C35" i="133"/>
  <c r="DH36" i="2"/>
  <c r="C34" i="68"/>
  <c r="E35" i="68"/>
  <c r="I32" i="81"/>
  <c r="J32" i="30"/>
  <c r="E36" i="88"/>
  <c r="C35" i="88"/>
  <c r="FK36" i="2"/>
  <c r="C34" i="4"/>
  <c r="E35" i="4"/>
  <c r="I32" i="100"/>
  <c r="E33" i="34"/>
  <c r="C32" i="34"/>
  <c r="E37" i="152"/>
  <c r="C36" i="152"/>
  <c r="J36" i="145"/>
  <c r="I37" i="145"/>
  <c r="C34" i="65"/>
  <c r="E35" i="65"/>
  <c r="E34" i="69"/>
  <c r="C33" i="69"/>
  <c r="E36" i="77"/>
  <c r="C35" i="77"/>
  <c r="I34" i="60"/>
  <c r="I33" i="138"/>
  <c r="J32" i="138"/>
  <c r="I33" i="114"/>
  <c r="I34" i="30"/>
  <c r="J33" i="30"/>
  <c r="E37" i="100"/>
  <c r="C36" i="100"/>
  <c r="E37" i="92"/>
  <c r="C36" i="92"/>
  <c r="C36" i="143"/>
  <c r="E37" i="143"/>
  <c r="C35" i="71"/>
  <c r="E36" i="71"/>
  <c r="I33" i="19"/>
  <c r="E37" i="91"/>
  <c r="C36" i="91"/>
  <c r="E33" i="102"/>
  <c r="C32" i="102"/>
  <c r="E37" i="172"/>
  <c r="C36" i="172"/>
  <c r="I35" i="101"/>
  <c r="E36" i="80"/>
  <c r="C35" i="80"/>
  <c r="I34" i="139"/>
  <c r="I33" i="4"/>
  <c r="I35" i="142"/>
  <c r="E36" i="117"/>
  <c r="C35" i="117"/>
  <c r="I33" i="21"/>
  <c r="E36" i="96"/>
  <c r="C35" i="96"/>
  <c r="I34" i="113"/>
  <c r="I35" i="98"/>
  <c r="J34" i="98"/>
  <c r="C34" i="19"/>
  <c r="E35" i="19"/>
  <c r="I33" i="86"/>
  <c r="E35" i="22"/>
  <c r="C34" i="22"/>
  <c r="I33" i="116"/>
  <c r="E37" i="56"/>
  <c r="C36" i="56"/>
  <c r="I32" i="8"/>
  <c r="CB37" i="2"/>
  <c r="BE37" i="2"/>
  <c r="DT36" i="2"/>
  <c r="K33" i="32"/>
  <c r="C34" i="150"/>
  <c r="E35" i="150"/>
  <c r="J35" i="150"/>
  <c r="K35" i="150" s="1"/>
  <c r="I33" i="97"/>
  <c r="I35" i="77"/>
  <c r="I35" i="117"/>
  <c r="E32" i="146"/>
  <c r="C31" i="146"/>
  <c r="J31" i="146" s="1"/>
  <c r="J34" i="26"/>
  <c r="I35" i="26"/>
  <c r="I32" i="90"/>
  <c r="I34" i="173"/>
  <c r="J33" i="173"/>
  <c r="I33" i="52"/>
  <c r="E34" i="127"/>
  <c r="C33" i="127"/>
  <c r="J34" i="9"/>
  <c r="I35" i="9"/>
  <c r="I34" i="63"/>
  <c r="C34" i="137"/>
  <c r="E35" i="137"/>
  <c r="I33" i="54"/>
  <c r="I33" i="31"/>
  <c r="I32" i="140"/>
  <c r="I34" i="25"/>
  <c r="I33" i="131"/>
  <c r="J32" i="131"/>
  <c r="I33" i="153"/>
  <c r="I37" i="75"/>
  <c r="J36" i="75"/>
  <c r="K35" i="75" s="1"/>
  <c r="I34" i="10"/>
  <c r="E37" i="136"/>
  <c r="C36" i="136"/>
  <c r="AJ38" i="1"/>
  <c r="I34" i="115"/>
  <c r="J33" i="115"/>
  <c r="C35" i="31"/>
  <c r="E36" i="31"/>
  <c r="C35" i="41"/>
  <c r="E36" i="41"/>
  <c r="BE36" i="2"/>
  <c r="E35" i="129"/>
  <c r="C34" i="129"/>
  <c r="DS35" i="2"/>
  <c r="I32" i="112"/>
  <c r="I32" i="91"/>
  <c r="I34" i="124"/>
  <c r="E35" i="74"/>
  <c r="C34" i="74"/>
  <c r="E36" i="122"/>
  <c r="C35" i="122"/>
  <c r="I33" i="53"/>
  <c r="I33" i="3"/>
  <c r="J34" i="156"/>
  <c r="K33" i="156" s="1"/>
  <c r="I35" i="156"/>
  <c r="E37" i="27"/>
  <c r="C36" i="27"/>
  <c r="IJ36" i="2" s="1"/>
  <c r="I33" i="33"/>
  <c r="E35" i="167"/>
  <c r="C34" i="167"/>
  <c r="E35" i="54"/>
  <c r="C34" i="54"/>
  <c r="I35" i="128"/>
  <c r="J34" i="128"/>
  <c r="C34" i="116"/>
  <c r="E35" i="116"/>
  <c r="BQ38" i="2"/>
  <c r="C34" i="25"/>
  <c r="E35" i="25"/>
  <c r="E35" i="66"/>
  <c r="C34" i="66"/>
  <c r="E34" i="72"/>
  <c r="C33" i="72"/>
  <c r="J33" i="72" s="1"/>
  <c r="I32" i="109"/>
  <c r="E33" i="111"/>
  <c r="C32" i="111"/>
  <c r="J32" i="111" s="1"/>
  <c r="I35" i="135"/>
  <c r="C36" i="52"/>
  <c r="E37" i="52"/>
  <c r="BP37" i="2"/>
  <c r="E34" i="85"/>
  <c r="C33" i="85"/>
  <c r="I33" i="57"/>
  <c r="I35" i="122"/>
  <c r="E32" i="166"/>
  <c r="C31" i="166"/>
  <c r="GS38" i="2"/>
  <c r="C34" i="130"/>
  <c r="E35" i="130"/>
  <c r="I33" i="70"/>
  <c r="I35" i="48"/>
  <c r="I35" i="29"/>
  <c r="I32" i="95"/>
  <c r="J34" i="127"/>
  <c r="I35" i="127"/>
  <c r="C34" i="113"/>
  <c r="E35" i="113"/>
  <c r="I34" i="44"/>
  <c r="J36" i="46"/>
  <c r="I37" i="46"/>
  <c r="E34" i="168"/>
  <c r="C33" i="168"/>
  <c r="C33" i="86"/>
  <c r="E34" i="86"/>
  <c r="I33" i="56"/>
  <c r="I34" i="83"/>
  <c r="I34" i="18"/>
  <c r="I32" i="17"/>
  <c r="I33" i="39"/>
  <c r="I33" i="108"/>
  <c r="C33" i="106"/>
  <c r="E34" i="106"/>
  <c r="C36" i="58"/>
  <c r="E37" i="58"/>
  <c r="EO37" i="2"/>
  <c r="CB38" i="1"/>
  <c r="E36" i="23"/>
  <c r="C35" i="23"/>
  <c r="E35" i="64"/>
  <c r="C34" i="64"/>
  <c r="J36" i="133"/>
  <c r="I37" i="133"/>
  <c r="C31" i="156"/>
  <c r="E32" i="156"/>
  <c r="J32" i="156"/>
  <c r="K32" i="156" s="1"/>
  <c r="E34" i="124"/>
  <c r="C33" i="124"/>
  <c r="E37" i="14"/>
  <c r="C36" i="14"/>
  <c r="I33" i="144"/>
  <c r="J33" i="157"/>
  <c r="I34" i="157"/>
  <c r="E35" i="60"/>
  <c r="C34" i="60"/>
  <c r="C33" i="73"/>
  <c r="E34" i="73"/>
  <c r="I34" i="93"/>
  <c r="I32" i="141"/>
  <c r="I33" i="85"/>
  <c r="E34" i="84"/>
  <c r="C33" i="84"/>
  <c r="I33" i="76"/>
  <c r="C35" i="97"/>
  <c r="E36" i="97"/>
  <c r="EO36" i="2"/>
  <c r="I36" i="71"/>
  <c r="C36" i="6"/>
  <c r="E37" i="6"/>
  <c r="CA37" i="1"/>
  <c r="IU37" i="2"/>
  <c r="E36" i="114"/>
  <c r="C35" i="114"/>
  <c r="I33" i="151"/>
  <c r="HZ38" i="2"/>
  <c r="C35" i="108"/>
  <c r="E36" i="108"/>
  <c r="HO37" i="2"/>
  <c r="J32" i="157"/>
  <c r="K32" i="157" s="1"/>
  <c r="I32" i="55"/>
  <c r="I34" i="37"/>
  <c r="J33" i="37"/>
  <c r="K32" i="98"/>
  <c r="C34" i="144"/>
  <c r="E35" i="144"/>
  <c r="I32" i="65"/>
  <c r="C35" i="132"/>
  <c r="E36" i="132"/>
  <c r="GR37" i="2"/>
  <c r="IK36" i="2" l="1"/>
  <c r="I38" i="133"/>
  <c r="J37" i="133"/>
  <c r="I33" i="109"/>
  <c r="E34" i="144"/>
  <c r="C33" i="144"/>
  <c r="I33" i="141"/>
  <c r="I34" i="108"/>
  <c r="E34" i="130"/>
  <c r="C33" i="130"/>
  <c r="J35" i="128"/>
  <c r="I36" i="128"/>
  <c r="I34" i="52"/>
  <c r="E34" i="22"/>
  <c r="C33" i="22"/>
  <c r="J34" i="22"/>
  <c r="K34" i="22" s="1"/>
  <c r="I33" i="100"/>
  <c r="E32" i="43"/>
  <c r="C31" i="43"/>
  <c r="I37" i="14"/>
  <c r="J36" i="14"/>
  <c r="I36" i="51"/>
  <c r="J35" i="51"/>
  <c r="I38" i="12"/>
  <c r="J37" i="12"/>
  <c r="K36" i="12" s="1"/>
  <c r="E33" i="173"/>
  <c r="C32" i="173"/>
  <c r="E33" i="26"/>
  <c r="C32" i="26"/>
  <c r="J33" i="26"/>
  <c r="K33" i="26" s="1"/>
  <c r="I34" i="104"/>
  <c r="C33" i="5"/>
  <c r="E34" i="5"/>
  <c r="C35" i="3"/>
  <c r="E36" i="3"/>
  <c r="I33" i="17"/>
  <c r="E33" i="86"/>
  <c r="C32" i="86"/>
  <c r="E32" i="59"/>
  <c r="C31" i="59"/>
  <c r="J32" i="59"/>
  <c r="K32" i="59" s="1"/>
  <c r="C34" i="35"/>
  <c r="E35" i="35"/>
  <c r="E35" i="97"/>
  <c r="C34" i="97"/>
  <c r="I34" i="39"/>
  <c r="J33" i="39"/>
  <c r="E34" i="17"/>
  <c r="C33" i="17"/>
  <c r="E35" i="38"/>
  <c r="C34" i="38"/>
  <c r="I34" i="169"/>
  <c r="E34" i="54"/>
  <c r="C33" i="54"/>
  <c r="E35" i="31"/>
  <c r="C34" i="31"/>
  <c r="K34" i="51"/>
  <c r="I35" i="37"/>
  <c r="J34" i="37"/>
  <c r="I35" i="93"/>
  <c r="J33" i="86"/>
  <c r="I34" i="86"/>
  <c r="J33" i="19"/>
  <c r="I34" i="19"/>
  <c r="E35" i="147"/>
  <c r="C34" i="147"/>
  <c r="I37" i="94"/>
  <c r="J36" i="94"/>
  <c r="C33" i="11"/>
  <c r="E34" i="11"/>
  <c r="E35" i="78"/>
  <c r="C34" i="78"/>
  <c r="E35" i="151"/>
  <c r="C34" i="151"/>
  <c r="C32" i="141"/>
  <c r="J32" i="141" s="1"/>
  <c r="E33" i="141"/>
  <c r="E34" i="16"/>
  <c r="C33" i="16"/>
  <c r="E33" i="159"/>
  <c r="C32" i="159"/>
  <c r="E35" i="125"/>
  <c r="C34" i="125"/>
  <c r="J32" i="102"/>
  <c r="I33" i="102"/>
  <c r="J35" i="132"/>
  <c r="I36" i="132"/>
  <c r="I33" i="43"/>
  <c r="J32" i="43"/>
  <c r="C35" i="6"/>
  <c r="E36" i="6"/>
  <c r="CA36" i="1"/>
  <c r="E31" i="166"/>
  <c r="C30" i="166"/>
  <c r="C33" i="167"/>
  <c r="E34" i="167"/>
  <c r="J34" i="115"/>
  <c r="I35" i="115"/>
  <c r="I35" i="173"/>
  <c r="J34" i="173"/>
  <c r="C33" i="4"/>
  <c r="E34" i="4"/>
  <c r="E34" i="126"/>
  <c r="C33" i="126"/>
  <c r="J33" i="111"/>
  <c r="K32" i="111" s="1"/>
  <c r="I34" i="111"/>
  <c r="J32" i="160"/>
  <c r="I33" i="160"/>
  <c r="I33" i="35"/>
  <c r="AJ37" i="1"/>
  <c r="I34" i="121"/>
  <c r="J34" i="165"/>
  <c r="I35" i="165"/>
  <c r="I33" i="90"/>
  <c r="E35" i="71"/>
  <c r="C34" i="71"/>
  <c r="FL36" i="2"/>
  <c r="E34" i="118"/>
  <c r="C33" i="118"/>
  <c r="I35" i="167"/>
  <c r="J34" i="167"/>
  <c r="CM36" i="2"/>
  <c r="E36" i="46"/>
  <c r="C35" i="46"/>
  <c r="I33" i="146"/>
  <c r="J32" i="146"/>
  <c r="K31" i="146" s="1"/>
  <c r="I36" i="152"/>
  <c r="I33" i="55"/>
  <c r="E34" i="60"/>
  <c r="C33" i="60"/>
  <c r="I34" i="33"/>
  <c r="E34" i="19"/>
  <c r="C33" i="19"/>
  <c r="E35" i="88"/>
  <c r="C34" i="88"/>
  <c r="I34" i="155"/>
  <c r="E35" i="63"/>
  <c r="C34" i="63"/>
  <c r="E33" i="62"/>
  <c r="C32" i="62"/>
  <c r="J33" i="62"/>
  <c r="K33" i="62" s="1"/>
  <c r="I34" i="67"/>
  <c r="J33" i="168"/>
  <c r="I34" i="168"/>
  <c r="I38" i="7"/>
  <c r="J37" i="7"/>
  <c r="I33" i="110"/>
  <c r="E33" i="51"/>
  <c r="C32" i="51"/>
  <c r="J33" i="51"/>
  <c r="K33" i="51" s="1"/>
  <c r="E34" i="94"/>
  <c r="C33" i="94"/>
  <c r="J34" i="94"/>
  <c r="K34" i="94" s="1"/>
  <c r="E35" i="95"/>
  <c r="C34" i="95"/>
  <c r="AT36" i="1"/>
  <c r="E36" i="7"/>
  <c r="C35" i="7"/>
  <c r="C33" i="9"/>
  <c r="E34" i="9"/>
  <c r="C31" i="131"/>
  <c r="E32" i="131"/>
  <c r="I36" i="98"/>
  <c r="J35" i="98"/>
  <c r="C35" i="92"/>
  <c r="E36" i="92"/>
  <c r="K32" i="30"/>
  <c r="J34" i="72"/>
  <c r="I35" i="72"/>
  <c r="I33" i="11"/>
  <c r="C32" i="40"/>
  <c r="E33" i="40"/>
  <c r="E36" i="121"/>
  <c r="C35" i="121"/>
  <c r="J35" i="89"/>
  <c r="I36" i="89"/>
  <c r="C31" i="165"/>
  <c r="E32" i="165"/>
  <c r="J32" i="165"/>
  <c r="K32" i="165" s="1"/>
  <c r="AU37" i="1"/>
  <c r="I36" i="136"/>
  <c r="I35" i="10"/>
  <c r="N36" i="2"/>
  <c r="E34" i="161"/>
  <c r="C33" i="161"/>
  <c r="I35" i="23"/>
  <c r="C34" i="119"/>
  <c r="E35" i="119"/>
  <c r="IU36" i="2"/>
  <c r="E31" i="157"/>
  <c r="C30" i="157"/>
  <c r="J31" i="157"/>
  <c r="K31" i="157" s="1"/>
  <c r="E31" i="146"/>
  <c r="C30" i="146"/>
  <c r="C34" i="108"/>
  <c r="E35" i="108"/>
  <c r="C32" i="85"/>
  <c r="E33" i="85"/>
  <c r="I36" i="156"/>
  <c r="J35" i="156"/>
  <c r="I35" i="113"/>
  <c r="J34" i="113"/>
  <c r="C35" i="100"/>
  <c r="E36" i="100"/>
  <c r="I33" i="81"/>
  <c r="E35" i="33"/>
  <c r="C34" i="33"/>
  <c r="E33" i="120"/>
  <c r="C32" i="120"/>
  <c r="I33" i="58"/>
  <c r="E34" i="99"/>
  <c r="C33" i="99"/>
  <c r="E34" i="18"/>
  <c r="C33" i="18"/>
  <c r="E35" i="13"/>
  <c r="C34" i="13"/>
  <c r="IU35" i="2"/>
  <c r="C33" i="128"/>
  <c r="E34" i="128"/>
  <c r="E36" i="53"/>
  <c r="C35" i="53"/>
  <c r="I33" i="40"/>
  <c r="J32" i="40"/>
  <c r="I35" i="92"/>
  <c r="I33" i="171"/>
  <c r="HN36" i="2"/>
  <c r="I36" i="117"/>
  <c r="J35" i="117"/>
  <c r="CX35" i="2"/>
  <c r="E34" i="148"/>
  <c r="C33" i="148"/>
  <c r="E35" i="89"/>
  <c r="C34" i="89"/>
  <c r="HN35" i="2"/>
  <c r="I34" i="57"/>
  <c r="J33" i="57"/>
  <c r="I34" i="3"/>
  <c r="I34" i="153"/>
  <c r="I35" i="30"/>
  <c r="J34" i="30"/>
  <c r="DI36" i="2"/>
  <c r="I36" i="107"/>
  <c r="I36" i="13"/>
  <c r="J35" i="13"/>
  <c r="I37" i="32"/>
  <c r="J36" i="32"/>
  <c r="I33" i="174"/>
  <c r="J33" i="73"/>
  <c r="I34" i="73"/>
  <c r="E35" i="48"/>
  <c r="C34" i="48"/>
  <c r="E35" i="162"/>
  <c r="C34" i="162"/>
  <c r="I33" i="38"/>
  <c r="I33" i="163"/>
  <c r="E36" i="136"/>
  <c r="C35" i="136"/>
  <c r="I34" i="161"/>
  <c r="J33" i="161"/>
  <c r="I35" i="149"/>
  <c r="J34" i="149"/>
  <c r="E34" i="112"/>
  <c r="C33" i="112"/>
  <c r="I37" i="79"/>
  <c r="J36" i="79"/>
  <c r="I35" i="41"/>
  <c r="K34" i="62"/>
  <c r="E31" i="138"/>
  <c r="C30" i="138"/>
  <c r="J31" i="138"/>
  <c r="K31" i="138" s="1"/>
  <c r="E36" i="93"/>
  <c r="C35" i="93"/>
  <c r="E33" i="73"/>
  <c r="C32" i="73"/>
  <c r="J34" i="18"/>
  <c r="I35" i="18"/>
  <c r="I36" i="122"/>
  <c r="J35" i="122"/>
  <c r="I38" i="75"/>
  <c r="J37" i="75"/>
  <c r="J33" i="126"/>
  <c r="I34" i="126"/>
  <c r="K35" i="59"/>
  <c r="C35" i="174"/>
  <c r="E36" i="174"/>
  <c r="K35" i="79"/>
  <c r="I34" i="119"/>
  <c r="I36" i="62"/>
  <c r="J35" i="62"/>
  <c r="J34" i="157"/>
  <c r="I35" i="157"/>
  <c r="E35" i="96"/>
  <c r="C34" i="96"/>
  <c r="I34" i="114"/>
  <c r="I34" i="154"/>
  <c r="I38" i="46"/>
  <c r="J37" i="46"/>
  <c r="E35" i="122"/>
  <c r="C34" i="122"/>
  <c r="I34" i="131"/>
  <c r="J33" i="131"/>
  <c r="I34" i="97"/>
  <c r="K32" i="138"/>
  <c r="C34" i="145"/>
  <c r="E35" i="145"/>
  <c r="J35" i="145"/>
  <c r="K35" i="145" s="1"/>
  <c r="I37" i="59"/>
  <c r="J36" i="59"/>
  <c r="N37" i="1"/>
  <c r="C33" i="104"/>
  <c r="J33" i="104" s="1"/>
  <c r="E34" i="104"/>
  <c r="C33" i="81"/>
  <c r="E34" i="81"/>
  <c r="J33" i="84"/>
  <c r="I34" i="84"/>
  <c r="E34" i="57"/>
  <c r="C33" i="57"/>
  <c r="J32" i="166"/>
  <c r="I33" i="166"/>
  <c r="E33" i="149"/>
  <c r="C32" i="149"/>
  <c r="K35" i="22"/>
  <c r="C30" i="32"/>
  <c r="E31" i="32"/>
  <c r="J31" i="32"/>
  <c r="K31" i="32" s="1"/>
  <c r="J33" i="138"/>
  <c r="I34" i="138"/>
  <c r="C33" i="139"/>
  <c r="E34" i="139"/>
  <c r="K35" i="82"/>
  <c r="Y37" i="2"/>
  <c r="E35" i="20"/>
  <c r="C34" i="20"/>
  <c r="I35" i="28"/>
  <c r="J31" i="166"/>
  <c r="I37" i="22"/>
  <c r="J36" i="22"/>
  <c r="I34" i="162"/>
  <c r="CB37" i="1"/>
  <c r="E31" i="156"/>
  <c r="C30" i="156"/>
  <c r="J31" i="156"/>
  <c r="K31" i="156" s="1"/>
  <c r="E34" i="74"/>
  <c r="C33" i="74"/>
  <c r="J34" i="74"/>
  <c r="K34" i="74" s="1"/>
  <c r="J35" i="142"/>
  <c r="I36" i="142"/>
  <c r="E34" i="135"/>
  <c r="C33" i="135"/>
  <c r="I37" i="82"/>
  <c r="J36" i="82"/>
  <c r="E36" i="49"/>
  <c r="C35" i="49"/>
  <c r="I34" i="49"/>
  <c r="I52" i="150"/>
  <c r="J51" i="150"/>
  <c r="C34" i="21"/>
  <c r="E35" i="21"/>
  <c r="I33" i="105"/>
  <c r="J32" i="105"/>
  <c r="I38" i="74"/>
  <c r="J37" i="74"/>
  <c r="I34" i="56"/>
  <c r="I33" i="140"/>
  <c r="I35" i="60"/>
  <c r="J34" i="60"/>
  <c r="I35" i="159"/>
  <c r="J34" i="159"/>
  <c r="K33" i="159" s="1"/>
  <c r="I33" i="36"/>
  <c r="K34" i="59"/>
  <c r="E36" i="12"/>
  <c r="C35" i="12"/>
  <c r="M36" i="1"/>
  <c r="X36" i="2"/>
  <c r="J32" i="120"/>
  <c r="I33" i="120"/>
  <c r="J34" i="68"/>
  <c r="I35" i="68"/>
  <c r="I35" i="83"/>
  <c r="J34" i="83"/>
  <c r="E34" i="75"/>
  <c r="C33" i="75"/>
  <c r="J34" i="75"/>
  <c r="K34" i="75" s="1"/>
  <c r="C34" i="114"/>
  <c r="E35" i="114"/>
  <c r="C34" i="77"/>
  <c r="E35" i="77"/>
  <c r="E35" i="44"/>
  <c r="C34" i="44"/>
  <c r="I34" i="137"/>
  <c r="C35" i="170"/>
  <c r="E36" i="170"/>
  <c r="HD37" i="2"/>
  <c r="E35" i="153"/>
  <c r="C34" i="153"/>
  <c r="I34" i="170"/>
  <c r="I38" i="61"/>
  <c r="J37" i="61"/>
  <c r="E31" i="30"/>
  <c r="C30" i="30"/>
  <c r="J31" i="30"/>
  <c r="K31" i="30" s="1"/>
  <c r="C35" i="155"/>
  <c r="CL35" i="2" s="1"/>
  <c r="E36" i="155"/>
  <c r="C34" i="70"/>
  <c r="E35" i="70"/>
  <c r="I36" i="26"/>
  <c r="J35" i="26"/>
  <c r="K34" i="98"/>
  <c r="K36" i="75"/>
  <c r="C33" i="150"/>
  <c r="E34" i="150"/>
  <c r="J34" i="150"/>
  <c r="K34" i="150" s="1"/>
  <c r="E34" i="64"/>
  <c r="C33" i="64"/>
  <c r="BQ37" i="1"/>
  <c r="E36" i="90"/>
  <c r="C35" i="90"/>
  <c r="I33" i="148"/>
  <c r="BQ37" i="2"/>
  <c r="I35" i="124"/>
  <c r="J34" i="124"/>
  <c r="I36" i="127"/>
  <c r="J35" i="127"/>
  <c r="C33" i="110"/>
  <c r="E34" i="110"/>
  <c r="Y37" i="1"/>
  <c r="C35" i="28"/>
  <c r="E36" i="28"/>
  <c r="FA36" i="2"/>
  <c r="E29" i="98"/>
  <c r="C28" i="98"/>
  <c r="J29" i="98"/>
  <c r="K29" i="98" s="1"/>
  <c r="E33" i="171"/>
  <c r="C32" i="171"/>
  <c r="J32" i="171" s="1"/>
  <c r="E35" i="117"/>
  <c r="C34" i="117"/>
  <c r="E32" i="111"/>
  <c r="C31" i="111"/>
  <c r="I35" i="25"/>
  <c r="J34" i="25"/>
  <c r="I34" i="31"/>
  <c r="I35" i="139"/>
  <c r="J34" i="139"/>
  <c r="E33" i="69"/>
  <c r="C32" i="69"/>
  <c r="I33" i="125"/>
  <c r="EP36" i="2"/>
  <c r="E35" i="23"/>
  <c r="C34" i="23"/>
  <c r="K34" i="127"/>
  <c r="I33" i="91"/>
  <c r="I34" i="54"/>
  <c r="J33" i="54"/>
  <c r="E35" i="80"/>
  <c r="C34" i="80"/>
  <c r="I33" i="34"/>
  <c r="J32" i="34"/>
  <c r="E32" i="160"/>
  <c r="C31" i="160"/>
  <c r="I33" i="69"/>
  <c r="J32" i="69"/>
  <c r="E35" i="10"/>
  <c r="C34" i="10"/>
  <c r="C35" i="8"/>
  <c r="E36" i="8"/>
  <c r="HC36" i="2"/>
  <c r="BP36" i="1"/>
  <c r="E36" i="29"/>
  <c r="C35" i="29"/>
  <c r="X36" i="1"/>
  <c r="C35" i="158"/>
  <c r="E36" i="158"/>
  <c r="C34" i="134"/>
  <c r="E35" i="134"/>
  <c r="EZ35" i="2"/>
  <c r="J35" i="134"/>
  <c r="K35" i="134" s="1"/>
  <c r="E33" i="115"/>
  <c r="C32" i="115"/>
  <c r="I38" i="134"/>
  <c r="J37" i="134"/>
  <c r="K36" i="134" s="1"/>
  <c r="I34" i="4"/>
  <c r="J33" i="4"/>
  <c r="J36" i="71"/>
  <c r="I37" i="71"/>
  <c r="I33" i="95"/>
  <c r="C33" i="66"/>
  <c r="E34" i="66"/>
  <c r="BF37" i="2"/>
  <c r="E33" i="61"/>
  <c r="C32" i="61"/>
  <c r="J33" i="61"/>
  <c r="K33" i="61" s="1"/>
  <c r="E31" i="87"/>
  <c r="C30" i="87"/>
  <c r="J31" i="87"/>
  <c r="K31" i="87" s="1"/>
  <c r="I36" i="78"/>
  <c r="J35" i="78"/>
  <c r="C33" i="103"/>
  <c r="E34" i="103"/>
  <c r="C32" i="37"/>
  <c r="E33" i="37"/>
  <c r="E33" i="47"/>
  <c r="C32" i="47"/>
  <c r="C34" i="36"/>
  <c r="CW34" i="2" s="1"/>
  <c r="E35" i="36"/>
  <c r="E34" i="68"/>
  <c r="C33" i="68"/>
  <c r="I36" i="135"/>
  <c r="J35" i="135"/>
  <c r="IV37" i="2"/>
  <c r="I33" i="112"/>
  <c r="K33" i="98"/>
  <c r="C33" i="65"/>
  <c r="E34" i="65"/>
  <c r="AJ36" i="2"/>
  <c r="C33" i="83"/>
  <c r="E34" i="83"/>
  <c r="I34" i="88"/>
  <c r="I35" i="99"/>
  <c r="J34" i="99"/>
  <c r="E36" i="143"/>
  <c r="C35" i="143"/>
  <c r="K34" i="156"/>
  <c r="C35" i="14"/>
  <c r="E36" i="14"/>
  <c r="GR36" i="2"/>
  <c r="I35" i="158"/>
  <c r="J34" i="129"/>
  <c r="I35" i="129"/>
  <c r="I38" i="145"/>
  <c r="J37" i="145"/>
  <c r="I33" i="147"/>
  <c r="I33" i="96"/>
  <c r="C32" i="163"/>
  <c r="E33" i="163"/>
  <c r="I34" i="50"/>
  <c r="E32" i="45"/>
  <c r="C31" i="45"/>
  <c r="E33" i="123"/>
  <c r="C32" i="123"/>
  <c r="E33" i="39"/>
  <c r="C32" i="39"/>
  <c r="C34" i="164"/>
  <c r="E35" i="164"/>
  <c r="HY36" i="2"/>
  <c r="K33" i="30"/>
  <c r="I34" i="53"/>
  <c r="I35" i="44"/>
  <c r="J34" i="44"/>
  <c r="J35" i="71"/>
  <c r="K35" i="71" s="1"/>
  <c r="I33" i="130"/>
  <c r="K32" i="87"/>
  <c r="I33" i="45"/>
  <c r="J32" i="45"/>
  <c r="C35" i="55"/>
  <c r="FK35" i="2" s="1"/>
  <c r="E36" i="55"/>
  <c r="AU37" i="2"/>
  <c r="I33" i="143"/>
  <c r="C34" i="169"/>
  <c r="E35" i="169"/>
  <c r="HY35" i="2"/>
  <c r="C32" i="168"/>
  <c r="E33" i="168"/>
  <c r="J35" i="77"/>
  <c r="I36" i="77"/>
  <c r="E35" i="132"/>
  <c r="C34" i="132"/>
  <c r="C32" i="84"/>
  <c r="E33" i="84"/>
  <c r="I35" i="63"/>
  <c r="J34" i="63"/>
  <c r="E36" i="152"/>
  <c r="C35" i="152"/>
  <c r="AI36" i="1"/>
  <c r="I34" i="20"/>
  <c r="E35" i="142"/>
  <c r="C34" i="142"/>
  <c r="J33" i="87"/>
  <c r="I34" i="87"/>
  <c r="CM37" i="2"/>
  <c r="E34" i="67"/>
  <c r="C33" i="67"/>
  <c r="C28" i="82"/>
  <c r="E29" i="82"/>
  <c r="J29" i="82"/>
  <c r="K29" i="82" s="1"/>
  <c r="E36" i="172"/>
  <c r="C35" i="172"/>
  <c r="I33" i="65"/>
  <c r="E36" i="58"/>
  <c r="C35" i="58"/>
  <c r="CA35" i="2" s="1"/>
  <c r="I36" i="48"/>
  <c r="J35" i="48"/>
  <c r="BF36" i="2"/>
  <c r="I36" i="9"/>
  <c r="J35" i="9"/>
  <c r="K34" i="9" s="1"/>
  <c r="E36" i="56"/>
  <c r="C35" i="56"/>
  <c r="FW37" i="2"/>
  <c r="E35" i="15"/>
  <c r="C34" i="15"/>
  <c r="J35" i="15"/>
  <c r="K35" i="15" s="1"/>
  <c r="C34" i="101"/>
  <c r="E35" i="101"/>
  <c r="E35" i="154"/>
  <c r="C34" i="154"/>
  <c r="IJ35" i="2"/>
  <c r="J35" i="16"/>
  <c r="I36" i="16"/>
  <c r="E36" i="50"/>
  <c r="C35" i="50"/>
  <c r="AT36" i="2"/>
  <c r="J35" i="164"/>
  <c r="I36" i="164"/>
  <c r="E36" i="27"/>
  <c r="C35" i="27"/>
  <c r="I34" i="144"/>
  <c r="J33" i="144"/>
  <c r="I34" i="151"/>
  <c r="C32" i="124"/>
  <c r="E33" i="124"/>
  <c r="C34" i="133"/>
  <c r="E35" i="133"/>
  <c r="DH35" i="2"/>
  <c r="J35" i="133"/>
  <c r="K35" i="133" s="1"/>
  <c r="J33" i="124"/>
  <c r="K33" i="124" s="1"/>
  <c r="C32" i="72"/>
  <c r="E33" i="72"/>
  <c r="E32" i="102"/>
  <c r="C31" i="102"/>
  <c r="E32" i="34"/>
  <c r="C31" i="34"/>
  <c r="I34" i="103"/>
  <c r="J33" i="103"/>
  <c r="C35" i="107"/>
  <c r="E36" i="107"/>
  <c r="J37" i="15"/>
  <c r="I38" i="15"/>
  <c r="EE37" i="2"/>
  <c r="I36" i="172"/>
  <c r="J35" i="172"/>
  <c r="I34" i="5"/>
  <c r="J33" i="5"/>
  <c r="J34" i="16"/>
  <c r="I33" i="64"/>
  <c r="I34" i="123"/>
  <c r="J33" i="123"/>
  <c r="I33" i="47"/>
  <c r="J32" i="47"/>
  <c r="K32" i="131"/>
  <c r="K36" i="46"/>
  <c r="E34" i="113"/>
  <c r="C33" i="113"/>
  <c r="GS37" i="2"/>
  <c r="E34" i="137"/>
  <c r="C33" i="137"/>
  <c r="J33" i="137" s="1"/>
  <c r="I34" i="76"/>
  <c r="EP37" i="2"/>
  <c r="I36" i="29"/>
  <c r="J35" i="29"/>
  <c r="E34" i="25"/>
  <c r="C33" i="25"/>
  <c r="C33" i="129"/>
  <c r="E34" i="129"/>
  <c r="DS34" i="2"/>
  <c r="I33" i="8"/>
  <c r="J35" i="101"/>
  <c r="I36" i="101"/>
  <c r="K36" i="145"/>
  <c r="C34" i="140"/>
  <c r="E35" i="140"/>
  <c r="I34" i="85"/>
  <c r="J33" i="85"/>
  <c r="C32" i="106"/>
  <c r="E33" i="106"/>
  <c r="I34" i="70"/>
  <c r="C33" i="116"/>
  <c r="J33" i="116" s="1"/>
  <c r="E34" i="116"/>
  <c r="E35" i="41"/>
  <c r="C34" i="41"/>
  <c r="J34" i="41" s="1"/>
  <c r="E33" i="127"/>
  <c r="C32" i="127"/>
  <c r="J33" i="127"/>
  <c r="K33" i="127" s="1"/>
  <c r="FL37" i="2"/>
  <c r="E36" i="42"/>
  <c r="C35" i="42"/>
  <c r="FV36" i="2"/>
  <c r="C35" i="109"/>
  <c r="E36" i="109"/>
  <c r="ED36" i="2"/>
  <c r="CX36" i="2"/>
  <c r="E32" i="105"/>
  <c r="C31" i="105"/>
  <c r="I37" i="24"/>
  <c r="AJ37" i="2"/>
  <c r="E36" i="52"/>
  <c r="C35" i="52"/>
  <c r="BP36" i="2"/>
  <c r="I34" i="21"/>
  <c r="K36" i="133"/>
  <c r="DT35" i="2"/>
  <c r="K34" i="128"/>
  <c r="CA36" i="2"/>
  <c r="I34" i="116"/>
  <c r="C35" i="91"/>
  <c r="E36" i="91"/>
  <c r="I34" i="80"/>
  <c r="I37" i="27"/>
  <c r="J36" i="27"/>
  <c r="J36" i="42"/>
  <c r="I37" i="42"/>
  <c r="C34" i="76"/>
  <c r="E35" i="76"/>
  <c r="I35" i="118"/>
  <c r="J34" i="118"/>
  <c r="C34" i="79"/>
  <c r="E35" i="79"/>
  <c r="X35" i="1"/>
  <c r="I35" i="66"/>
  <c r="J34" i="66"/>
  <c r="J33" i="106"/>
  <c r="I34" i="106"/>
  <c r="CX34" i="2" l="1"/>
  <c r="K32" i="171"/>
  <c r="CB35" i="2"/>
  <c r="FL35" i="2"/>
  <c r="CM35" i="2"/>
  <c r="Y35" i="1"/>
  <c r="I37" i="172"/>
  <c r="J36" i="172"/>
  <c r="E35" i="50"/>
  <c r="C34" i="50"/>
  <c r="AT35" i="2"/>
  <c r="E33" i="67"/>
  <c r="C32" i="67"/>
  <c r="E35" i="158"/>
  <c r="C34" i="158"/>
  <c r="I35" i="56"/>
  <c r="K31" i="166"/>
  <c r="I39" i="75"/>
  <c r="J38" i="75"/>
  <c r="J36" i="117"/>
  <c r="I37" i="117"/>
  <c r="I36" i="113"/>
  <c r="J35" i="113"/>
  <c r="J36" i="89"/>
  <c r="I37" i="89"/>
  <c r="I34" i="146"/>
  <c r="J33" i="146"/>
  <c r="E33" i="4"/>
  <c r="C32" i="4"/>
  <c r="E33" i="11"/>
  <c r="C32" i="11"/>
  <c r="E34" i="97"/>
  <c r="C33" i="97"/>
  <c r="C30" i="43"/>
  <c r="E31" i="43"/>
  <c r="J31" i="43"/>
  <c r="K31" i="43" s="1"/>
  <c r="DT34" i="2"/>
  <c r="J33" i="45"/>
  <c r="K32" i="45" s="1"/>
  <c r="I34" i="45"/>
  <c r="J35" i="158"/>
  <c r="I36" i="158"/>
  <c r="C31" i="37"/>
  <c r="E32" i="37"/>
  <c r="J32" i="37"/>
  <c r="K32" i="37" s="1"/>
  <c r="Y36" i="1"/>
  <c r="J35" i="139"/>
  <c r="I36" i="139"/>
  <c r="E35" i="90"/>
  <c r="C34" i="90"/>
  <c r="E34" i="44"/>
  <c r="C33" i="44"/>
  <c r="J35" i="28"/>
  <c r="I36" i="28"/>
  <c r="E34" i="48"/>
  <c r="C33" i="48"/>
  <c r="J34" i="48"/>
  <c r="K34" i="48" s="1"/>
  <c r="HO36" i="2"/>
  <c r="K35" i="89"/>
  <c r="C34" i="46"/>
  <c r="E35" i="46"/>
  <c r="J35" i="46"/>
  <c r="K35" i="46" s="1"/>
  <c r="K34" i="173"/>
  <c r="K36" i="94"/>
  <c r="C34" i="29"/>
  <c r="E35" i="29"/>
  <c r="J38" i="74"/>
  <c r="I39" i="74"/>
  <c r="E34" i="145"/>
  <c r="C33" i="145"/>
  <c r="J34" i="145"/>
  <c r="K34" i="145" s="1"/>
  <c r="I37" i="122"/>
  <c r="J36" i="122"/>
  <c r="J36" i="156"/>
  <c r="I37" i="156"/>
  <c r="E35" i="121"/>
  <c r="C34" i="121"/>
  <c r="J33" i="110"/>
  <c r="I34" i="110"/>
  <c r="J35" i="173"/>
  <c r="I36" i="173"/>
  <c r="I38" i="94"/>
  <c r="J37" i="94"/>
  <c r="I34" i="100"/>
  <c r="I37" i="16"/>
  <c r="J36" i="16"/>
  <c r="K35" i="16" s="1"/>
  <c r="EE36" i="2"/>
  <c r="E33" i="129"/>
  <c r="C32" i="129"/>
  <c r="DS33" i="2"/>
  <c r="J33" i="129"/>
  <c r="K33" i="129" s="1"/>
  <c r="I39" i="15"/>
  <c r="J38" i="15"/>
  <c r="I34" i="130"/>
  <c r="J33" i="130"/>
  <c r="C32" i="103"/>
  <c r="E33" i="103"/>
  <c r="J34" i="31"/>
  <c r="I35" i="31"/>
  <c r="K32" i="105"/>
  <c r="E34" i="20"/>
  <c r="C33" i="20"/>
  <c r="I36" i="18"/>
  <c r="J35" i="18"/>
  <c r="I35" i="73"/>
  <c r="J34" i="73"/>
  <c r="J33" i="171"/>
  <c r="I34" i="171"/>
  <c r="K37" i="7"/>
  <c r="J35" i="115"/>
  <c r="I36" i="115"/>
  <c r="E34" i="147"/>
  <c r="C33" i="147"/>
  <c r="E34" i="35"/>
  <c r="C33" i="35"/>
  <c r="GS36" i="2"/>
  <c r="K34" i="118"/>
  <c r="I36" i="118"/>
  <c r="J35" i="118"/>
  <c r="E33" i="25"/>
  <c r="C32" i="25"/>
  <c r="J33" i="25"/>
  <c r="K33" i="25" s="1"/>
  <c r="K37" i="15"/>
  <c r="IK35" i="2"/>
  <c r="I35" i="87"/>
  <c r="J34" i="87"/>
  <c r="C34" i="14"/>
  <c r="E35" i="14"/>
  <c r="J35" i="14"/>
  <c r="K35" i="14" s="1"/>
  <c r="GR35" i="2"/>
  <c r="BQ36" i="1"/>
  <c r="K34" i="25"/>
  <c r="E34" i="77"/>
  <c r="C33" i="77"/>
  <c r="J34" i="77"/>
  <c r="K34" i="77" s="1"/>
  <c r="I34" i="105"/>
  <c r="J33" i="105"/>
  <c r="I35" i="97"/>
  <c r="J34" i="97"/>
  <c r="K33" i="73"/>
  <c r="E32" i="85"/>
  <c r="C31" i="85"/>
  <c r="J32" i="85"/>
  <c r="K32" i="85" s="1"/>
  <c r="I39" i="7"/>
  <c r="J38" i="7"/>
  <c r="K34" i="115"/>
  <c r="I37" i="78"/>
  <c r="J36" i="78"/>
  <c r="K35" i="78" s="1"/>
  <c r="HD36" i="2"/>
  <c r="J35" i="25"/>
  <c r="I36" i="25"/>
  <c r="C32" i="64"/>
  <c r="E33" i="64"/>
  <c r="E32" i="73"/>
  <c r="C31" i="73"/>
  <c r="J32" i="73"/>
  <c r="K32" i="73" s="1"/>
  <c r="J35" i="92"/>
  <c r="I36" i="92"/>
  <c r="I35" i="168"/>
  <c r="J34" i="168"/>
  <c r="K34" i="167"/>
  <c r="J34" i="19"/>
  <c r="I35" i="19"/>
  <c r="E31" i="59"/>
  <c r="C30" i="59"/>
  <c r="J31" i="59"/>
  <c r="K31" i="59" s="1"/>
  <c r="C32" i="22"/>
  <c r="E33" i="22"/>
  <c r="J33" i="22"/>
  <c r="K33" i="22" s="1"/>
  <c r="E35" i="107"/>
  <c r="C34" i="107"/>
  <c r="C30" i="111"/>
  <c r="E31" i="111"/>
  <c r="J31" i="111"/>
  <c r="K31" i="111" s="1"/>
  <c r="C33" i="114"/>
  <c r="E34" i="114"/>
  <c r="E34" i="21"/>
  <c r="C33" i="21"/>
  <c r="K33" i="131"/>
  <c r="I34" i="174"/>
  <c r="K32" i="40"/>
  <c r="E34" i="108"/>
  <c r="C33" i="108"/>
  <c r="E32" i="40"/>
  <c r="C31" i="40"/>
  <c r="K33" i="168"/>
  <c r="I36" i="167"/>
  <c r="J35" i="167"/>
  <c r="E33" i="167"/>
  <c r="C32" i="167"/>
  <c r="J33" i="167"/>
  <c r="K33" i="167" s="1"/>
  <c r="K33" i="19"/>
  <c r="I34" i="40"/>
  <c r="J33" i="40"/>
  <c r="C29" i="146"/>
  <c r="E30" i="146"/>
  <c r="J30" i="146"/>
  <c r="K30" i="146" s="1"/>
  <c r="J34" i="67"/>
  <c r="I35" i="67"/>
  <c r="C32" i="118"/>
  <c r="E33" i="118"/>
  <c r="J33" i="118"/>
  <c r="K33" i="118" s="1"/>
  <c r="C29" i="166"/>
  <c r="E30" i="166"/>
  <c r="J30" i="166"/>
  <c r="K30" i="166" s="1"/>
  <c r="J34" i="86"/>
  <c r="K33" i="86" s="1"/>
  <c r="I35" i="86"/>
  <c r="E32" i="86"/>
  <c r="C31" i="86"/>
  <c r="J32" i="86"/>
  <c r="K32" i="86" s="1"/>
  <c r="E30" i="87"/>
  <c r="C29" i="87"/>
  <c r="J30" i="87"/>
  <c r="K30" i="87" s="1"/>
  <c r="I35" i="103"/>
  <c r="J34" i="103"/>
  <c r="C33" i="101"/>
  <c r="E34" i="101"/>
  <c r="J34" i="101"/>
  <c r="K34" i="101" s="1"/>
  <c r="I35" i="20"/>
  <c r="J34" i="20"/>
  <c r="E34" i="10"/>
  <c r="C33" i="10"/>
  <c r="C33" i="117"/>
  <c r="E34" i="117"/>
  <c r="J34" i="117"/>
  <c r="K34" i="117" s="1"/>
  <c r="C32" i="75"/>
  <c r="E33" i="75"/>
  <c r="J33" i="75"/>
  <c r="K33" i="75" s="1"/>
  <c r="J52" i="150"/>
  <c r="I53" i="150"/>
  <c r="E34" i="122"/>
  <c r="C33" i="122"/>
  <c r="J34" i="122"/>
  <c r="K34" i="122" s="1"/>
  <c r="I38" i="32"/>
  <c r="J37" i="32"/>
  <c r="E35" i="53"/>
  <c r="C34" i="53"/>
  <c r="J34" i="53" s="1"/>
  <c r="I34" i="11"/>
  <c r="J33" i="11"/>
  <c r="J33" i="67"/>
  <c r="K33" i="67" s="1"/>
  <c r="I35" i="52"/>
  <c r="K33" i="103"/>
  <c r="I35" i="53"/>
  <c r="I36" i="99"/>
  <c r="J35" i="99"/>
  <c r="K34" i="99" s="1"/>
  <c r="E33" i="150"/>
  <c r="C32" i="150"/>
  <c r="J33" i="150"/>
  <c r="K33" i="150" s="1"/>
  <c r="C32" i="139"/>
  <c r="E33" i="139"/>
  <c r="J33" i="139"/>
  <c r="K33" i="139" s="1"/>
  <c r="I36" i="72"/>
  <c r="J35" i="72"/>
  <c r="CB36" i="1"/>
  <c r="K33" i="173"/>
  <c r="I37" i="128"/>
  <c r="J36" i="128"/>
  <c r="E35" i="93"/>
  <c r="C34" i="93"/>
  <c r="K36" i="27"/>
  <c r="I38" i="27"/>
  <c r="J37" i="27"/>
  <c r="I35" i="76"/>
  <c r="J34" i="76"/>
  <c r="AJ36" i="1"/>
  <c r="K32" i="69"/>
  <c r="I35" i="49"/>
  <c r="I35" i="138"/>
  <c r="J34" i="138"/>
  <c r="I37" i="13"/>
  <c r="J36" i="13"/>
  <c r="E30" i="157"/>
  <c r="C29" i="157"/>
  <c r="J30" i="157"/>
  <c r="K30" i="157" s="1"/>
  <c r="K34" i="72"/>
  <c r="C31" i="62"/>
  <c r="E32" i="62"/>
  <c r="J32" i="62"/>
  <c r="K32" i="62" s="1"/>
  <c r="K33" i="115"/>
  <c r="J33" i="17"/>
  <c r="I34" i="17"/>
  <c r="K35" i="128"/>
  <c r="E31" i="102"/>
  <c r="C30" i="102"/>
  <c r="J31" i="102"/>
  <c r="K31" i="102" s="1"/>
  <c r="E35" i="152"/>
  <c r="C34" i="152"/>
  <c r="HZ36" i="2"/>
  <c r="J34" i="88"/>
  <c r="I35" i="88"/>
  <c r="E32" i="61"/>
  <c r="C31" i="61"/>
  <c r="J32" i="61"/>
  <c r="K32" i="61" s="1"/>
  <c r="I34" i="69"/>
  <c r="J33" i="69"/>
  <c r="C31" i="171"/>
  <c r="E32" i="171"/>
  <c r="I36" i="83"/>
  <c r="J35" i="83"/>
  <c r="C34" i="49"/>
  <c r="E35" i="49"/>
  <c r="K33" i="138"/>
  <c r="I39" i="46"/>
  <c r="J38" i="46"/>
  <c r="C29" i="138"/>
  <c r="E30" i="138"/>
  <c r="J30" i="138"/>
  <c r="K30" i="138" s="1"/>
  <c r="J36" i="107"/>
  <c r="I37" i="107"/>
  <c r="E33" i="128"/>
  <c r="C32" i="128"/>
  <c r="J33" i="128"/>
  <c r="K33" i="128" s="1"/>
  <c r="E34" i="71"/>
  <c r="C33" i="71"/>
  <c r="J34" i="71"/>
  <c r="K34" i="71" s="1"/>
  <c r="C34" i="6"/>
  <c r="E35" i="6"/>
  <c r="CA35" i="1"/>
  <c r="I36" i="93"/>
  <c r="J35" i="93"/>
  <c r="E33" i="130"/>
  <c r="C32" i="130"/>
  <c r="I36" i="66"/>
  <c r="J35" i="66"/>
  <c r="I35" i="131"/>
  <c r="J34" i="131"/>
  <c r="E33" i="137"/>
  <c r="C32" i="137"/>
  <c r="I35" i="154"/>
  <c r="J34" i="154"/>
  <c r="J35" i="107"/>
  <c r="K35" i="107" s="1"/>
  <c r="IV35" i="2"/>
  <c r="IV36" i="2"/>
  <c r="K51" i="150"/>
  <c r="I36" i="68"/>
  <c r="J35" i="68"/>
  <c r="K34" i="68" s="1"/>
  <c r="E34" i="164"/>
  <c r="C33" i="164"/>
  <c r="J34" i="164"/>
  <c r="K34" i="164" s="1"/>
  <c r="C30" i="160"/>
  <c r="E31" i="160"/>
  <c r="J31" i="160"/>
  <c r="K31" i="160" s="1"/>
  <c r="J36" i="26"/>
  <c r="K35" i="26" s="1"/>
  <c r="I37" i="26"/>
  <c r="C33" i="13"/>
  <c r="E34" i="13"/>
  <c r="J34" i="13"/>
  <c r="K34" i="13" s="1"/>
  <c r="E35" i="92"/>
  <c r="C34" i="92"/>
  <c r="C33" i="63"/>
  <c r="E34" i="63"/>
  <c r="CL34" i="2"/>
  <c r="I34" i="90"/>
  <c r="J33" i="43"/>
  <c r="K32" i="43" s="1"/>
  <c r="I34" i="43"/>
  <c r="E35" i="3"/>
  <c r="C34" i="3"/>
  <c r="J35" i="44"/>
  <c r="I36" i="44"/>
  <c r="E35" i="91"/>
  <c r="C34" i="91"/>
  <c r="BE35" i="2"/>
  <c r="I36" i="63"/>
  <c r="J35" i="63"/>
  <c r="E32" i="39"/>
  <c r="C31" i="39"/>
  <c r="J32" i="39"/>
  <c r="K32" i="39" s="1"/>
  <c r="C32" i="83"/>
  <c r="E33" i="83"/>
  <c r="J33" i="83"/>
  <c r="K33" i="83" s="1"/>
  <c r="C27" i="98"/>
  <c r="E28" i="98"/>
  <c r="J28" i="98"/>
  <c r="K28" i="98" s="1"/>
  <c r="K36" i="74"/>
  <c r="I38" i="82"/>
  <c r="J37" i="82"/>
  <c r="C29" i="32"/>
  <c r="E30" i="32"/>
  <c r="J30" i="32"/>
  <c r="K30" i="32" s="1"/>
  <c r="I35" i="114"/>
  <c r="J34" i="114"/>
  <c r="E34" i="119"/>
  <c r="C33" i="119"/>
  <c r="K35" i="98"/>
  <c r="I37" i="132"/>
  <c r="J36" i="132"/>
  <c r="I36" i="37"/>
  <c r="J35" i="37"/>
  <c r="I35" i="108"/>
  <c r="J34" i="108"/>
  <c r="E34" i="142"/>
  <c r="C33" i="142"/>
  <c r="J34" i="142"/>
  <c r="K34" i="142" s="1"/>
  <c r="E35" i="143"/>
  <c r="C34" i="143"/>
  <c r="I38" i="42"/>
  <c r="J37" i="42"/>
  <c r="E35" i="42"/>
  <c r="C34" i="42"/>
  <c r="J35" i="42"/>
  <c r="K35" i="42" s="1"/>
  <c r="FV35" i="2"/>
  <c r="I37" i="29"/>
  <c r="J36" i="29"/>
  <c r="K36" i="42"/>
  <c r="E31" i="34"/>
  <c r="C30" i="34"/>
  <c r="J31" i="34"/>
  <c r="K31" i="34" s="1"/>
  <c r="K36" i="15"/>
  <c r="C33" i="15"/>
  <c r="E34" i="15"/>
  <c r="J34" i="15"/>
  <c r="K34" i="15" s="1"/>
  <c r="I35" i="80"/>
  <c r="J34" i="80"/>
  <c r="C31" i="127"/>
  <c r="E32" i="127"/>
  <c r="J32" i="127"/>
  <c r="K32" i="127" s="1"/>
  <c r="J34" i="116"/>
  <c r="I35" i="116"/>
  <c r="C33" i="41"/>
  <c r="E34" i="41"/>
  <c r="BE34" i="2"/>
  <c r="E32" i="72"/>
  <c r="C31" i="72"/>
  <c r="J32" i="72"/>
  <c r="K32" i="72" s="1"/>
  <c r="E35" i="56"/>
  <c r="C34" i="56"/>
  <c r="J34" i="56" s="1"/>
  <c r="C33" i="70"/>
  <c r="E34" i="70"/>
  <c r="K50" i="150"/>
  <c r="E33" i="135"/>
  <c r="C32" i="135"/>
  <c r="J33" i="135"/>
  <c r="K33" i="135" s="1"/>
  <c r="I36" i="41"/>
  <c r="J35" i="41"/>
  <c r="K34" i="30"/>
  <c r="J34" i="23"/>
  <c r="K34" i="23" s="1"/>
  <c r="I37" i="98"/>
  <c r="J36" i="98"/>
  <c r="I35" i="155"/>
  <c r="J34" i="155"/>
  <c r="I36" i="165"/>
  <c r="J35" i="165"/>
  <c r="C34" i="8"/>
  <c r="HC35" i="2"/>
  <c r="E35" i="8"/>
  <c r="BP35" i="1"/>
  <c r="E32" i="84"/>
  <c r="C31" i="84"/>
  <c r="J32" i="84"/>
  <c r="K32" i="84" s="1"/>
  <c r="C31" i="123"/>
  <c r="E32" i="123"/>
  <c r="J32" i="123"/>
  <c r="K32" i="123" s="1"/>
  <c r="E33" i="66"/>
  <c r="C32" i="66"/>
  <c r="J33" i="66"/>
  <c r="K33" i="66" s="1"/>
  <c r="J33" i="34"/>
  <c r="I34" i="34"/>
  <c r="I34" i="120"/>
  <c r="J33" i="120"/>
  <c r="E32" i="149"/>
  <c r="C31" i="149"/>
  <c r="J32" i="149"/>
  <c r="K32" i="149" s="1"/>
  <c r="E34" i="96"/>
  <c r="C33" i="96"/>
  <c r="K36" i="79"/>
  <c r="J35" i="30"/>
  <c r="I36" i="30"/>
  <c r="C32" i="18"/>
  <c r="E33" i="18"/>
  <c r="J33" i="18"/>
  <c r="K33" i="18" s="1"/>
  <c r="I36" i="23"/>
  <c r="J35" i="23"/>
  <c r="K34" i="26"/>
  <c r="K34" i="165"/>
  <c r="J33" i="102"/>
  <c r="I34" i="102"/>
  <c r="AI35" i="1"/>
  <c r="I34" i="141"/>
  <c r="J33" i="141"/>
  <c r="E33" i="113"/>
  <c r="C32" i="113"/>
  <c r="J33" i="113"/>
  <c r="K33" i="113" s="1"/>
  <c r="CB36" i="2"/>
  <c r="E34" i="132"/>
  <c r="C33" i="132"/>
  <c r="J34" i="132"/>
  <c r="K34" i="132" s="1"/>
  <c r="E34" i="80"/>
  <c r="C33" i="80"/>
  <c r="E35" i="155"/>
  <c r="C34" i="155"/>
  <c r="K32" i="120"/>
  <c r="J37" i="79"/>
  <c r="I38" i="79"/>
  <c r="C32" i="5"/>
  <c r="E33" i="5"/>
  <c r="E33" i="144"/>
  <c r="C32" i="144"/>
  <c r="K35" i="29"/>
  <c r="K34" i="44"/>
  <c r="E33" i="116"/>
  <c r="C32" i="116"/>
  <c r="DI35" i="2"/>
  <c r="J36" i="9"/>
  <c r="I37" i="9"/>
  <c r="C30" i="45"/>
  <c r="E31" i="45"/>
  <c r="J31" i="45"/>
  <c r="K31" i="45" s="1"/>
  <c r="E33" i="65"/>
  <c r="C32" i="65"/>
  <c r="I34" i="95"/>
  <c r="Y36" i="2"/>
  <c r="I37" i="142"/>
  <c r="J36" i="142"/>
  <c r="K35" i="142" s="1"/>
  <c r="I34" i="166"/>
  <c r="J33" i="166"/>
  <c r="K32" i="166" s="1"/>
  <c r="I36" i="157"/>
  <c r="J35" i="157"/>
  <c r="I35" i="153"/>
  <c r="J34" i="153"/>
  <c r="E33" i="99"/>
  <c r="C32" i="99"/>
  <c r="J33" i="99"/>
  <c r="K33" i="99" s="1"/>
  <c r="C32" i="161"/>
  <c r="E33" i="161"/>
  <c r="C30" i="131"/>
  <c r="E31" i="131"/>
  <c r="J31" i="131"/>
  <c r="K31" i="131" s="1"/>
  <c r="C33" i="88"/>
  <c r="E34" i="88"/>
  <c r="J34" i="121"/>
  <c r="I35" i="121"/>
  <c r="C33" i="125"/>
  <c r="E34" i="125"/>
  <c r="E34" i="31"/>
  <c r="C33" i="31"/>
  <c r="J34" i="104"/>
  <c r="I35" i="104"/>
  <c r="I35" i="70"/>
  <c r="J34" i="70"/>
  <c r="J37" i="71"/>
  <c r="I38" i="71"/>
  <c r="K33" i="54"/>
  <c r="C34" i="28"/>
  <c r="E35" i="28"/>
  <c r="C29" i="30"/>
  <c r="E30" i="30"/>
  <c r="J30" i="30"/>
  <c r="K30" i="30" s="1"/>
  <c r="N36" i="1"/>
  <c r="K34" i="157"/>
  <c r="E33" i="112"/>
  <c r="C32" i="112"/>
  <c r="E34" i="76"/>
  <c r="C33" i="76"/>
  <c r="FW36" i="2"/>
  <c r="K32" i="47"/>
  <c r="E34" i="133"/>
  <c r="C33" i="133"/>
  <c r="J34" i="133"/>
  <c r="K34" i="133" s="1"/>
  <c r="DH34" i="2"/>
  <c r="K36" i="71"/>
  <c r="J34" i="54"/>
  <c r="I35" i="54"/>
  <c r="E35" i="12"/>
  <c r="C34" i="12"/>
  <c r="M35" i="1"/>
  <c r="X35" i="2"/>
  <c r="J35" i="12"/>
  <c r="K35" i="12" s="1"/>
  <c r="C32" i="57"/>
  <c r="E33" i="57"/>
  <c r="J34" i="3"/>
  <c r="I35" i="3"/>
  <c r="I34" i="58"/>
  <c r="E33" i="9"/>
  <c r="C32" i="9"/>
  <c r="J33" i="9"/>
  <c r="K33" i="9" s="1"/>
  <c r="C32" i="19"/>
  <c r="E33" i="19"/>
  <c r="C32" i="54"/>
  <c r="E33" i="54"/>
  <c r="I34" i="109"/>
  <c r="I37" i="77"/>
  <c r="J36" i="77"/>
  <c r="K35" i="77" s="1"/>
  <c r="K37" i="61"/>
  <c r="E33" i="74"/>
  <c r="C32" i="74"/>
  <c r="J33" i="74"/>
  <c r="K33" i="74" s="1"/>
  <c r="I37" i="62"/>
  <c r="J36" i="62"/>
  <c r="E35" i="7"/>
  <c r="AT35" i="1"/>
  <c r="C34" i="7"/>
  <c r="EO34" i="2" s="1"/>
  <c r="J35" i="7"/>
  <c r="K35" i="7" s="1"/>
  <c r="E32" i="159"/>
  <c r="C31" i="159"/>
  <c r="J32" i="159"/>
  <c r="K32" i="159" s="1"/>
  <c r="C31" i="26"/>
  <c r="E32" i="26"/>
  <c r="J32" i="26"/>
  <c r="K32" i="26" s="1"/>
  <c r="C30" i="105"/>
  <c r="E31" i="105"/>
  <c r="J31" i="105"/>
  <c r="K31" i="105" s="1"/>
  <c r="I35" i="21"/>
  <c r="J34" i="21"/>
  <c r="E32" i="106"/>
  <c r="C31" i="106"/>
  <c r="J32" i="106"/>
  <c r="K32" i="106" s="1"/>
  <c r="K33" i="123"/>
  <c r="E32" i="124"/>
  <c r="C31" i="124"/>
  <c r="J32" i="124"/>
  <c r="K32" i="124" s="1"/>
  <c r="I37" i="48"/>
  <c r="J36" i="48"/>
  <c r="C31" i="168"/>
  <c r="E32" i="168"/>
  <c r="J32" i="168"/>
  <c r="K32" i="168" s="1"/>
  <c r="J34" i="4"/>
  <c r="I35" i="4"/>
  <c r="I34" i="91"/>
  <c r="I39" i="61"/>
  <c r="J38" i="61"/>
  <c r="I35" i="84"/>
  <c r="J34" i="84"/>
  <c r="J34" i="119"/>
  <c r="I35" i="119"/>
  <c r="I36" i="149"/>
  <c r="J35" i="149"/>
  <c r="K34" i="149" s="1"/>
  <c r="I35" i="57"/>
  <c r="J34" i="57"/>
  <c r="E32" i="120"/>
  <c r="C31" i="120"/>
  <c r="J35" i="10"/>
  <c r="I36" i="10"/>
  <c r="I34" i="35"/>
  <c r="J33" i="35"/>
  <c r="J38" i="133"/>
  <c r="I39" i="133"/>
  <c r="I35" i="151"/>
  <c r="J34" i="151"/>
  <c r="K33" i="84"/>
  <c r="HO35" i="2"/>
  <c r="J34" i="10"/>
  <c r="AU36" i="1"/>
  <c r="J34" i="33"/>
  <c r="I35" i="33"/>
  <c r="J33" i="160"/>
  <c r="I34" i="160"/>
  <c r="C32" i="16"/>
  <c r="E33" i="16"/>
  <c r="J33" i="16"/>
  <c r="K33" i="16" s="1"/>
  <c r="J34" i="169"/>
  <c r="I35" i="169"/>
  <c r="IU34" i="2"/>
  <c r="E35" i="58"/>
  <c r="C34" i="58"/>
  <c r="CA34" i="2" s="1"/>
  <c r="HZ35" i="2"/>
  <c r="E32" i="163"/>
  <c r="C31" i="163"/>
  <c r="E33" i="110"/>
  <c r="C32" i="110"/>
  <c r="I34" i="36"/>
  <c r="K33" i="161"/>
  <c r="BQ36" i="2"/>
  <c r="I35" i="85"/>
  <c r="J34" i="85"/>
  <c r="I34" i="64"/>
  <c r="J33" i="64"/>
  <c r="J33" i="96"/>
  <c r="I34" i="96"/>
  <c r="J38" i="134"/>
  <c r="I39" i="134"/>
  <c r="C33" i="23"/>
  <c r="E34" i="23"/>
  <c r="K35" i="127"/>
  <c r="I35" i="170"/>
  <c r="E30" i="156"/>
  <c r="C29" i="156"/>
  <c r="J30" i="156"/>
  <c r="K30" i="156" s="1"/>
  <c r="I35" i="161"/>
  <c r="J34" i="161"/>
  <c r="E34" i="89"/>
  <c r="C33" i="89"/>
  <c r="HN34" i="2"/>
  <c r="J34" i="89"/>
  <c r="K34" i="89" s="1"/>
  <c r="M35" i="2"/>
  <c r="K33" i="157"/>
  <c r="K36" i="7"/>
  <c r="E33" i="60"/>
  <c r="C32" i="60"/>
  <c r="J33" i="60"/>
  <c r="K33" i="60" s="1"/>
  <c r="K32" i="160"/>
  <c r="E34" i="38"/>
  <c r="C33" i="38"/>
  <c r="E32" i="173"/>
  <c r="C31" i="173"/>
  <c r="J32" i="173"/>
  <c r="K32" i="173" s="1"/>
  <c r="E34" i="79"/>
  <c r="C33" i="79"/>
  <c r="J34" i="79"/>
  <c r="K34" i="79" s="1"/>
  <c r="K33" i="87"/>
  <c r="K35" i="48"/>
  <c r="J33" i="112"/>
  <c r="I34" i="112"/>
  <c r="E35" i="52"/>
  <c r="C34" i="52"/>
  <c r="J34" i="52" s="1"/>
  <c r="BP35" i="2"/>
  <c r="I37" i="127"/>
  <c r="J36" i="127"/>
  <c r="E33" i="81"/>
  <c r="C32" i="81"/>
  <c r="C34" i="136"/>
  <c r="E35" i="136"/>
  <c r="C33" i="33"/>
  <c r="E34" i="33"/>
  <c r="M34" i="2"/>
  <c r="J35" i="136"/>
  <c r="C33" i="95"/>
  <c r="E34" i="95"/>
  <c r="I35" i="111"/>
  <c r="J34" i="111"/>
  <c r="E32" i="115"/>
  <c r="C31" i="115"/>
  <c r="J32" i="115"/>
  <c r="K32" i="115" s="1"/>
  <c r="E34" i="153"/>
  <c r="C33" i="153"/>
  <c r="K33" i="149"/>
  <c r="K34" i="16"/>
  <c r="J34" i="144"/>
  <c r="I35" i="144"/>
  <c r="C32" i="68"/>
  <c r="E33" i="68"/>
  <c r="J33" i="68"/>
  <c r="K33" i="68" s="1"/>
  <c r="K34" i="124"/>
  <c r="J35" i="159"/>
  <c r="I36" i="159"/>
  <c r="C32" i="148"/>
  <c r="E33" i="148"/>
  <c r="I37" i="136"/>
  <c r="J36" i="136"/>
  <c r="E32" i="141"/>
  <c r="C31" i="141"/>
  <c r="E33" i="17"/>
  <c r="C32" i="17"/>
  <c r="K37" i="12"/>
  <c r="E35" i="109"/>
  <c r="C34" i="109"/>
  <c r="ED35" i="2"/>
  <c r="C33" i="154"/>
  <c r="E34" i="154"/>
  <c r="K33" i="4"/>
  <c r="AI35" i="2"/>
  <c r="E34" i="140"/>
  <c r="C33" i="140"/>
  <c r="AI34" i="2"/>
  <c r="I34" i="147"/>
  <c r="J33" i="147"/>
  <c r="I36" i="124"/>
  <c r="J35" i="124"/>
  <c r="K34" i="60"/>
  <c r="C32" i="104"/>
  <c r="E33" i="104"/>
  <c r="E35" i="174"/>
  <c r="C34" i="174"/>
  <c r="I34" i="163"/>
  <c r="J33" i="163"/>
  <c r="I34" i="55"/>
  <c r="K35" i="94"/>
  <c r="E34" i="151"/>
  <c r="C33" i="151"/>
  <c r="I39" i="12"/>
  <c r="J38" i="12"/>
  <c r="K34" i="135"/>
  <c r="I37" i="135"/>
  <c r="J36" i="135"/>
  <c r="K35" i="135" s="1"/>
  <c r="FA35" i="2"/>
  <c r="I34" i="125"/>
  <c r="I36" i="60"/>
  <c r="J35" i="60"/>
  <c r="J32" i="163"/>
  <c r="K32" i="163" s="1"/>
  <c r="J33" i="81"/>
  <c r="I34" i="81"/>
  <c r="C32" i="94"/>
  <c r="E33" i="94"/>
  <c r="J33" i="94"/>
  <c r="K33" i="94" s="1"/>
  <c r="J35" i="152"/>
  <c r="C32" i="126"/>
  <c r="E33" i="126"/>
  <c r="K35" i="51"/>
  <c r="I34" i="65"/>
  <c r="J33" i="65"/>
  <c r="K33" i="5"/>
  <c r="E35" i="27"/>
  <c r="C34" i="27"/>
  <c r="J35" i="27"/>
  <c r="K35" i="27" s="1"/>
  <c r="E35" i="172"/>
  <c r="C34" i="172"/>
  <c r="I34" i="143"/>
  <c r="I35" i="106"/>
  <c r="J34" i="106"/>
  <c r="J34" i="5"/>
  <c r="I35" i="5"/>
  <c r="K37" i="145"/>
  <c r="K33" i="106"/>
  <c r="J36" i="101"/>
  <c r="I37" i="101"/>
  <c r="I37" i="164"/>
  <c r="J36" i="164"/>
  <c r="K35" i="164" s="1"/>
  <c r="I34" i="140"/>
  <c r="I35" i="162"/>
  <c r="J34" i="162"/>
  <c r="I35" i="126"/>
  <c r="J34" i="126"/>
  <c r="J36" i="152"/>
  <c r="I37" i="152"/>
  <c r="E34" i="78"/>
  <c r="C33" i="78"/>
  <c r="J34" i="78"/>
  <c r="K34" i="78" s="1"/>
  <c r="I35" i="39"/>
  <c r="J34" i="39"/>
  <c r="K33" i="39" s="1"/>
  <c r="J36" i="51"/>
  <c r="I37" i="51"/>
  <c r="I34" i="47"/>
  <c r="J33" i="47"/>
  <c r="I35" i="50"/>
  <c r="J34" i="50"/>
  <c r="I35" i="123"/>
  <c r="J34" i="123"/>
  <c r="E34" i="169"/>
  <c r="C33" i="169"/>
  <c r="HY34" i="2"/>
  <c r="I39" i="145"/>
  <c r="J38" i="145"/>
  <c r="E34" i="36"/>
  <c r="C33" i="36"/>
  <c r="J33" i="36" s="1"/>
  <c r="K34" i="66"/>
  <c r="I38" i="24"/>
  <c r="K35" i="101"/>
  <c r="J35" i="129"/>
  <c r="K34" i="129" s="1"/>
  <c r="I36" i="129"/>
  <c r="E32" i="47"/>
  <c r="C31" i="47"/>
  <c r="C33" i="134"/>
  <c r="E34" i="134"/>
  <c r="EZ34" i="2"/>
  <c r="J34" i="134"/>
  <c r="K34" i="134" s="1"/>
  <c r="E32" i="69"/>
  <c r="C31" i="69"/>
  <c r="K36" i="61"/>
  <c r="E35" i="170"/>
  <c r="C34" i="170"/>
  <c r="I34" i="38"/>
  <c r="J33" i="38"/>
  <c r="K35" i="32"/>
  <c r="E35" i="100"/>
  <c r="C34" i="100"/>
  <c r="K33" i="165"/>
  <c r="K33" i="37"/>
  <c r="K36" i="14"/>
  <c r="I34" i="8"/>
  <c r="K35" i="172"/>
  <c r="AU36" i="2"/>
  <c r="E28" i="82"/>
  <c r="C27" i="82"/>
  <c r="J28" i="82"/>
  <c r="K28" i="82" s="1"/>
  <c r="C34" i="55"/>
  <c r="FK34" i="2" s="1"/>
  <c r="E35" i="55"/>
  <c r="I34" i="148"/>
  <c r="J33" i="148"/>
  <c r="J34" i="137"/>
  <c r="I35" i="137"/>
  <c r="I38" i="22"/>
  <c r="J37" i="22"/>
  <c r="I38" i="59"/>
  <c r="J37" i="59"/>
  <c r="K37" i="75"/>
  <c r="E34" i="162"/>
  <c r="C33" i="162"/>
  <c r="K35" i="117"/>
  <c r="K34" i="113"/>
  <c r="C30" i="165"/>
  <c r="E31" i="165"/>
  <c r="J31" i="165"/>
  <c r="K31" i="165" s="1"/>
  <c r="E32" i="51"/>
  <c r="C31" i="51"/>
  <c r="J32" i="51"/>
  <c r="K32" i="51" s="1"/>
  <c r="K32" i="146"/>
  <c r="AI34" i="1"/>
  <c r="EO35" i="2"/>
  <c r="I38" i="14"/>
  <c r="J37" i="14"/>
  <c r="K33" i="72"/>
  <c r="CB34" i="2" l="1"/>
  <c r="EP34" i="2"/>
  <c r="FL34" i="2"/>
  <c r="C33" i="27"/>
  <c r="E34" i="27"/>
  <c r="J34" i="27"/>
  <c r="K34" i="27" s="1"/>
  <c r="I35" i="160"/>
  <c r="J34" i="160"/>
  <c r="K33" i="160" s="1"/>
  <c r="J34" i="163"/>
  <c r="I35" i="163"/>
  <c r="I36" i="4"/>
  <c r="J35" i="4"/>
  <c r="E32" i="113"/>
  <c r="C31" i="113"/>
  <c r="J32" i="113"/>
  <c r="K32" i="113" s="1"/>
  <c r="C30" i="123"/>
  <c r="E31" i="123"/>
  <c r="J31" i="123"/>
  <c r="K31" i="123" s="1"/>
  <c r="BF34" i="2"/>
  <c r="J35" i="108"/>
  <c r="I36" i="108"/>
  <c r="E33" i="10"/>
  <c r="C32" i="10"/>
  <c r="J33" i="10"/>
  <c r="K33" i="10" s="1"/>
  <c r="I38" i="156"/>
  <c r="J37" i="156"/>
  <c r="I40" i="75"/>
  <c r="J39" i="75"/>
  <c r="E33" i="31"/>
  <c r="C32" i="31"/>
  <c r="J33" i="31"/>
  <c r="K33" i="31" s="1"/>
  <c r="E31" i="62"/>
  <c r="C30" i="62"/>
  <c r="J31" i="62"/>
  <c r="K31" i="62" s="1"/>
  <c r="I37" i="18"/>
  <c r="J36" i="18"/>
  <c r="K36" i="156"/>
  <c r="C33" i="174"/>
  <c r="E34" i="174"/>
  <c r="J34" i="112"/>
  <c r="I35" i="112"/>
  <c r="I36" i="33"/>
  <c r="J35" i="33"/>
  <c r="K34" i="4"/>
  <c r="J38" i="59"/>
  <c r="I39" i="59"/>
  <c r="E31" i="69"/>
  <c r="C30" i="69"/>
  <c r="J31" i="69"/>
  <c r="K31" i="69" s="1"/>
  <c r="J35" i="39"/>
  <c r="I36" i="39"/>
  <c r="E33" i="23"/>
  <c r="C32" i="23"/>
  <c r="J33" i="23"/>
  <c r="K33" i="23" s="1"/>
  <c r="K34" i="33"/>
  <c r="I38" i="62"/>
  <c r="J37" i="62"/>
  <c r="E31" i="84"/>
  <c r="C30" i="84"/>
  <c r="J31" i="84"/>
  <c r="K31" i="84" s="1"/>
  <c r="E33" i="41"/>
  <c r="C32" i="41"/>
  <c r="J33" i="41"/>
  <c r="K33" i="41" s="1"/>
  <c r="J36" i="37"/>
  <c r="I37" i="37"/>
  <c r="E34" i="3"/>
  <c r="C33" i="3"/>
  <c r="C28" i="138"/>
  <c r="E29" i="138"/>
  <c r="J29" i="138"/>
  <c r="K29" i="138" s="1"/>
  <c r="C31" i="139"/>
  <c r="E32" i="139"/>
  <c r="J32" i="139"/>
  <c r="K32" i="139" s="1"/>
  <c r="C31" i="167"/>
  <c r="E32" i="167"/>
  <c r="J32" i="167"/>
  <c r="K32" i="167" s="1"/>
  <c r="K34" i="168"/>
  <c r="C32" i="20"/>
  <c r="E33" i="20"/>
  <c r="J33" i="20"/>
  <c r="K33" i="20" s="1"/>
  <c r="I35" i="65"/>
  <c r="J34" i="65"/>
  <c r="I40" i="134"/>
  <c r="J39" i="134"/>
  <c r="DI34" i="2"/>
  <c r="E30" i="45"/>
  <c r="C29" i="45"/>
  <c r="J30" i="45"/>
  <c r="K30" i="45" s="1"/>
  <c r="I35" i="141"/>
  <c r="J34" i="141"/>
  <c r="I36" i="116"/>
  <c r="J35" i="116"/>
  <c r="K38" i="46"/>
  <c r="I36" i="168"/>
  <c r="J35" i="168"/>
  <c r="I38" i="122"/>
  <c r="J37" i="122"/>
  <c r="I36" i="56"/>
  <c r="J35" i="56"/>
  <c r="K34" i="56" s="1"/>
  <c r="AJ35" i="1"/>
  <c r="I38" i="132"/>
  <c r="J37" i="132"/>
  <c r="K36" i="132" s="1"/>
  <c r="I40" i="46"/>
  <c r="J39" i="46"/>
  <c r="E29" i="157"/>
  <c r="C28" i="157"/>
  <c r="J29" i="157"/>
  <c r="K29" i="157" s="1"/>
  <c r="E32" i="150"/>
  <c r="C31" i="150"/>
  <c r="J32" i="150"/>
  <c r="K32" i="150" s="1"/>
  <c r="J35" i="20"/>
  <c r="K34" i="20" s="1"/>
  <c r="I36" i="20"/>
  <c r="K35" i="167"/>
  <c r="I37" i="92"/>
  <c r="J36" i="92"/>
  <c r="GS35" i="2"/>
  <c r="K34" i="139"/>
  <c r="J37" i="9"/>
  <c r="I38" i="9"/>
  <c r="K34" i="10"/>
  <c r="K36" i="48"/>
  <c r="E33" i="133"/>
  <c r="C32" i="133"/>
  <c r="J33" i="133"/>
  <c r="K33" i="133" s="1"/>
  <c r="DH33" i="2"/>
  <c r="I36" i="121"/>
  <c r="J35" i="121"/>
  <c r="J34" i="102"/>
  <c r="I35" i="102"/>
  <c r="K34" i="37"/>
  <c r="I37" i="167"/>
  <c r="J36" i="167"/>
  <c r="J35" i="31"/>
  <c r="I36" i="31"/>
  <c r="E33" i="145"/>
  <c r="C32" i="145"/>
  <c r="J33" i="145"/>
  <c r="K33" i="145" s="1"/>
  <c r="E31" i="37"/>
  <c r="C30" i="37"/>
  <c r="J31" i="37"/>
  <c r="K31" i="37" s="1"/>
  <c r="C33" i="158"/>
  <c r="E34" i="158"/>
  <c r="J34" i="158"/>
  <c r="K34" i="158" s="1"/>
  <c r="E31" i="168"/>
  <c r="C30" i="168"/>
  <c r="J31" i="168"/>
  <c r="K31" i="168" s="1"/>
  <c r="C31" i="74"/>
  <c r="E32" i="74"/>
  <c r="J32" i="74"/>
  <c r="K32" i="74" s="1"/>
  <c r="I35" i="96"/>
  <c r="J34" i="96"/>
  <c r="I38" i="48"/>
  <c r="J37" i="48"/>
  <c r="K34" i="121"/>
  <c r="K33" i="102"/>
  <c r="HD35" i="2"/>
  <c r="E33" i="119"/>
  <c r="C32" i="119"/>
  <c r="J33" i="119"/>
  <c r="K33" i="119" s="1"/>
  <c r="I35" i="43"/>
  <c r="J34" i="43"/>
  <c r="K35" i="99"/>
  <c r="K34" i="31"/>
  <c r="I37" i="158"/>
  <c r="J36" i="158"/>
  <c r="K35" i="158" s="1"/>
  <c r="C32" i="125"/>
  <c r="E33" i="125"/>
  <c r="J37" i="152"/>
  <c r="I38" i="152"/>
  <c r="K35" i="124"/>
  <c r="K34" i="144"/>
  <c r="E33" i="79"/>
  <c r="C32" i="79"/>
  <c r="J33" i="79"/>
  <c r="K33" i="79" s="1"/>
  <c r="K36" i="77"/>
  <c r="E34" i="8"/>
  <c r="C33" i="8"/>
  <c r="HC34" i="2"/>
  <c r="BP34" i="1"/>
  <c r="E31" i="127"/>
  <c r="C30" i="127"/>
  <c r="J31" i="127"/>
  <c r="K31" i="127" s="1"/>
  <c r="K33" i="43"/>
  <c r="E34" i="49"/>
  <c r="C33" i="49"/>
  <c r="I38" i="13"/>
  <c r="J37" i="13"/>
  <c r="K36" i="13" s="1"/>
  <c r="I37" i="99"/>
  <c r="J36" i="99"/>
  <c r="E33" i="101"/>
  <c r="C32" i="101"/>
  <c r="J33" i="101"/>
  <c r="K33" i="101" s="1"/>
  <c r="E31" i="73"/>
  <c r="C30" i="73"/>
  <c r="J31" i="73"/>
  <c r="K31" i="73" s="1"/>
  <c r="E34" i="14"/>
  <c r="C33" i="14"/>
  <c r="J34" i="14"/>
  <c r="K34" i="14" s="1"/>
  <c r="GR34" i="2"/>
  <c r="J39" i="74"/>
  <c r="K38" i="74" s="1"/>
  <c r="I40" i="74"/>
  <c r="BQ35" i="1"/>
  <c r="I36" i="137"/>
  <c r="J35" i="137"/>
  <c r="FA34" i="2"/>
  <c r="E33" i="134"/>
  <c r="C32" i="134"/>
  <c r="EZ33" i="2"/>
  <c r="J33" i="134"/>
  <c r="K33" i="134" s="1"/>
  <c r="E32" i="126"/>
  <c r="C31" i="126"/>
  <c r="J32" i="126"/>
  <c r="K32" i="126" s="1"/>
  <c r="I37" i="124"/>
  <c r="J36" i="124"/>
  <c r="K35" i="152"/>
  <c r="E31" i="124"/>
  <c r="C30" i="124"/>
  <c r="J31" i="124"/>
  <c r="K31" i="124" s="1"/>
  <c r="I38" i="77"/>
  <c r="J37" i="77"/>
  <c r="C31" i="116"/>
  <c r="E32" i="116"/>
  <c r="J32" i="116"/>
  <c r="K32" i="116" s="1"/>
  <c r="K35" i="132"/>
  <c r="K34" i="80"/>
  <c r="K34" i="114"/>
  <c r="K34" i="154"/>
  <c r="K35" i="83"/>
  <c r="K37" i="46"/>
  <c r="E31" i="40"/>
  <c r="C30" i="40"/>
  <c r="J31" i="40"/>
  <c r="K31" i="40" s="1"/>
  <c r="C31" i="103"/>
  <c r="E32" i="103"/>
  <c r="J32" i="103"/>
  <c r="K32" i="103" s="1"/>
  <c r="I35" i="45"/>
  <c r="J34" i="45"/>
  <c r="E32" i="67"/>
  <c r="C31" i="67"/>
  <c r="J32" i="67"/>
  <c r="K32" i="67" s="1"/>
  <c r="K38" i="134"/>
  <c r="J35" i="144"/>
  <c r="I36" i="144"/>
  <c r="K36" i="152"/>
  <c r="J34" i="148"/>
  <c r="K33" i="148" s="1"/>
  <c r="I35" i="148"/>
  <c r="E31" i="47"/>
  <c r="C30" i="47"/>
  <c r="J31" i="47"/>
  <c r="K31" i="47" s="1"/>
  <c r="I36" i="126"/>
  <c r="J35" i="126"/>
  <c r="I35" i="147"/>
  <c r="J34" i="147"/>
  <c r="E33" i="153"/>
  <c r="C32" i="153"/>
  <c r="J33" i="153"/>
  <c r="K33" i="153" s="1"/>
  <c r="I35" i="64"/>
  <c r="J34" i="64"/>
  <c r="K37" i="134"/>
  <c r="E33" i="88"/>
  <c r="C32" i="88"/>
  <c r="J33" i="88"/>
  <c r="K33" i="88" s="1"/>
  <c r="K35" i="23"/>
  <c r="K35" i="165"/>
  <c r="I36" i="80"/>
  <c r="J35" i="80"/>
  <c r="I36" i="114"/>
  <c r="J35" i="114"/>
  <c r="I35" i="90"/>
  <c r="J34" i="90"/>
  <c r="I36" i="154"/>
  <c r="J35" i="154"/>
  <c r="I37" i="83"/>
  <c r="J36" i="83"/>
  <c r="I36" i="53"/>
  <c r="J35" i="53"/>
  <c r="J35" i="103"/>
  <c r="K34" i="103" s="1"/>
  <c r="I36" i="103"/>
  <c r="I36" i="87"/>
  <c r="J35" i="87"/>
  <c r="K34" i="87" s="1"/>
  <c r="E33" i="76"/>
  <c r="C32" i="76"/>
  <c r="J33" i="76"/>
  <c r="K33" i="76" s="1"/>
  <c r="I37" i="23"/>
  <c r="J36" i="23"/>
  <c r="I37" i="165"/>
  <c r="J36" i="165"/>
  <c r="CM34" i="2"/>
  <c r="C31" i="137"/>
  <c r="E32" i="137"/>
  <c r="J32" i="137"/>
  <c r="K32" i="137" s="1"/>
  <c r="I36" i="138"/>
  <c r="J35" i="138"/>
  <c r="E33" i="108"/>
  <c r="C32" i="108"/>
  <c r="J33" i="108"/>
  <c r="K33" i="108" s="1"/>
  <c r="E32" i="64"/>
  <c r="C31" i="64"/>
  <c r="J32" i="64"/>
  <c r="K32" i="64" s="1"/>
  <c r="J34" i="130"/>
  <c r="K33" i="130" s="1"/>
  <c r="I35" i="130"/>
  <c r="C33" i="29"/>
  <c r="E34" i="29"/>
  <c r="J34" i="29"/>
  <c r="K34" i="29" s="1"/>
  <c r="AU35" i="2"/>
  <c r="J34" i="109"/>
  <c r="I35" i="109"/>
  <c r="C33" i="55"/>
  <c r="E34" i="55"/>
  <c r="I36" i="162"/>
  <c r="J35" i="162"/>
  <c r="C31" i="94"/>
  <c r="E32" i="94"/>
  <c r="J32" i="94"/>
  <c r="K32" i="94" s="1"/>
  <c r="E33" i="140"/>
  <c r="C32" i="140"/>
  <c r="I36" i="85"/>
  <c r="J35" i="85"/>
  <c r="J35" i="151"/>
  <c r="I36" i="151"/>
  <c r="K34" i="155"/>
  <c r="C30" i="171"/>
  <c r="E31" i="171"/>
  <c r="J31" i="171"/>
  <c r="K31" i="171" s="1"/>
  <c r="I36" i="49"/>
  <c r="J35" i="49"/>
  <c r="I36" i="52"/>
  <c r="J35" i="52"/>
  <c r="E29" i="87"/>
  <c r="C28" i="87"/>
  <c r="J29" i="87"/>
  <c r="K29" i="87" s="1"/>
  <c r="J36" i="25"/>
  <c r="K35" i="25" s="1"/>
  <c r="I37" i="25"/>
  <c r="E34" i="50"/>
  <c r="C33" i="50"/>
  <c r="AT34" i="2"/>
  <c r="K37" i="22"/>
  <c r="J33" i="140"/>
  <c r="I35" i="81"/>
  <c r="J34" i="81"/>
  <c r="C30" i="115"/>
  <c r="E31" i="115"/>
  <c r="J31" i="115"/>
  <c r="K31" i="115" s="1"/>
  <c r="E33" i="38"/>
  <c r="C32" i="38"/>
  <c r="J39" i="133"/>
  <c r="I40" i="133"/>
  <c r="E31" i="106"/>
  <c r="C30" i="106"/>
  <c r="J31" i="106"/>
  <c r="K31" i="106" s="1"/>
  <c r="E32" i="54"/>
  <c r="C31" i="54"/>
  <c r="J32" i="54"/>
  <c r="K32" i="54" s="1"/>
  <c r="CW33" i="2"/>
  <c r="E30" i="131"/>
  <c r="C29" i="131"/>
  <c r="J30" i="131"/>
  <c r="K30" i="131" s="1"/>
  <c r="C31" i="144"/>
  <c r="E32" i="144"/>
  <c r="J32" i="144"/>
  <c r="K32" i="144" s="1"/>
  <c r="I36" i="155"/>
  <c r="J35" i="155"/>
  <c r="E33" i="15"/>
  <c r="C32" i="15"/>
  <c r="J33" i="15"/>
  <c r="K33" i="15" s="1"/>
  <c r="E29" i="32"/>
  <c r="C28" i="32"/>
  <c r="J29" i="32"/>
  <c r="K29" i="32" s="1"/>
  <c r="E33" i="63"/>
  <c r="C32" i="63"/>
  <c r="J33" i="63"/>
  <c r="K33" i="63" s="1"/>
  <c r="K34" i="131"/>
  <c r="K33" i="69"/>
  <c r="J34" i="49"/>
  <c r="K34" i="49" s="1"/>
  <c r="K38" i="15"/>
  <c r="E34" i="170"/>
  <c r="C33" i="170"/>
  <c r="K38" i="133"/>
  <c r="E32" i="112"/>
  <c r="C31" i="112"/>
  <c r="J32" i="112"/>
  <c r="K32" i="112" s="1"/>
  <c r="K36" i="98"/>
  <c r="E34" i="92"/>
  <c r="C33" i="92"/>
  <c r="J34" i="92"/>
  <c r="K34" i="92" s="1"/>
  <c r="I36" i="131"/>
  <c r="J35" i="131"/>
  <c r="I35" i="69"/>
  <c r="J34" i="69"/>
  <c r="K34" i="83"/>
  <c r="I40" i="15"/>
  <c r="J39" i="15"/>
  <c r="K36" i="172"/>
  <c r="I39" i="22"/>
  <c r="J38" i="22"/>
  <c r="C31" i="104"/>
  <c r="E32" i="104"/>
  <c r="J32" i="104"/>
  <c r="K32" i="104" s="1"/>
  <c r="C31" i="18"/>
  <c r="E32" i="18"/>
  <c r="J32" i="18"/>
  <c r="K32" i="18" s="1"/>
  <c r="I38" i="98"/>
  <c r="J37" i="98"/>
  <c r="I39" i="82"/>
  <c r="J38" i="82"/>
  <c r="K37" i="82" s="1"/>
  <c r="E31" i="86"/>
  <c r="C30" i="86"/>
  <c r="J31" i="86"/>
  <c r="K31" i="86" s="1"/>
  <c r="J34" i="174"/>
  <c r="I35" i="174"/>
  <c r="E32" i="25"/>
  <c r="C31" i="25"/>
  <c r="J32" i="25"/>
  <c r="K32" i="25" s="1"/>
  <c r="E30" i="43"/>
  <c r="C29" i="43"/>
  <c r="J30" i="43"/>
  <c r="K30" i="43" s="1"/>
  <c r="I38" i="172"/>
  <c r="J37" i="172"/>
  <c r="E27" i="82"/>
  <c r="C26" i="82"/>
  <c r="J27" i="82"/>
  <c r="K27" i="82" s="1"/>
  <c r="AJ35" i="2"/>
  <c r="I35" i="36"/>
  <c r="J34" i="36"/>
  <c r="I37" i="30"/>
  <c r="J36" i="30"/>
  <c r="C29" i="34"/>
  <c r="E30" i="34"/>
  <c r="J30" i="34"/>
  <c r="K30" i="34" s="1"/>
  <c r="I37" i="66"/>
  <c r="J36" i="66"/>
  <c r="K35" i="66" s="1"/>
  <c r="K33" i="11"/>
  <c r="K36" i="78"/>
  <c r="DT33" i="2"/>
  <c r="E34" i="46"/>
  <c r="C33" i="46"/>
  <c r="AI33" i="1" s="1"/>
  <c r="J34" i="46"/>
  <c r="K34" i="46" s="1"/>
  <c r="C32" i="78"/>
  <c r="E33" i="78"/>
  <c r="J33" i="78"/>
  <c r="K33" i="78" s="1"/>
  <c r="C31" i="68"/>
  <c r="E32" i="68"/>
  <c r="J32" i="68"/>
  <c r="K32" i="68" s="1"/>
  <c r="I39" i="24"/>
  <c r="J34" i="35"/>
  <c r="I35" i="35"/>
  <c r="I37" i="60"/>
  <c r="J36" i="60"/>
  <c r="I36" i="111"/>
  <c r="J35" i="111"/>
  <c r="C31" i="60"/>
  <c r="E32" i="60"/>
  <c r="J32" i="60"/>
  <c r="K32" i="60" s="1"/>
  <c r="J36" i="10"/>
  <c r="I37" i="10"/>
  <c r="E32" i="5"/>
  <c r="C31" i="5"/>
  <c r="J32" i="5"/>
  <c r="K32" i="5" s="1"/>
  <c r="K35" i="30"/>
  <c r="E32" i="130"/>
  <c r="C31" i="130"/>
  <c r="J32" i="130"/>
  <c r="K32" i="130" s="1"/>
  <c r="C30" i="61"/>
  <c r="E31" i="61"/>
  <c r="J31" i="61"/>
  <c r="K31" i="61" s="1"/>
  <c r="J34" i="11"/>
  <c r="I35" i="11"/>
  <c r="J35" i="86"/>
  <c r="I36" i="86"/>
  <c r="C32" i="21"/>
  <c r="E33" i="21"/>
  <c r="J33" i="21"/>
  <c r="K33" i="21" s="1"/>
  <c r="J37" i="78"/>
  <c r="I38" i="78"/>
  <c r="C31" i="129"/>
  <c r="E32" i="129"/>
  <c r="J32" i="129"/>
  <c r="K32" i="129" s="1"/>
  <c r="DS32" i="2"/>
  <c r="C32" i="97"/>
  <c r="E33" i="97"/>
  <c r="J33" i="97"/>
  <c r="K33" i="97" s="1"/>
  <c r="E32" i="110"/>
  <c r="C31" i="110"/>
  <c r="J32" i="110"/>
  <c r="K32" i="110" s="1"/>
  <c r="E32" i="9"/>
  <c r="C31" i="9"/>
  <c r="J32" i="9"/>
  <c r="K32" i="9" s="1"/>
  <c r="E32" i="99"/>
  <c r="C31" i="99"/>
  <c r="J32" i="99"/>
  <c r="K32" i="99" s="1"/>
  <c r="K32" i="102"/>
  <c r="E33" i="13"/>
  <c r="C32" i="13"/>
  <c r="J33" i="13"/>
  <c r="K33" i="13" s="1"/>
  <c r="K34" i="76"/>
  <c r="C33" i="53"/>
  <c r="E34" i="53"/>
  <c r="K34" i="86"/>
  <c r="I37" i="118"/>
  <c r="J36" i="118"/>
  <c r="K35" i="118" s="1"/>
  <c r="K35" i="156"/>
  <c r="K33" i="116"/>
  <c r="K33" i="85"/>
  <c r="J37" i="164"/>
  <c r="K36" i="164" s="1"/>
  <c r="I38" i="164"/>
  <c r="IJ34" i="2"/>
  <c r="I36" i="21"/>
  <c r="J35" i="21"/>
  <c r="C31" i="19"/>
  <c r="E32" i="19"/>
  <c r="J32" i="19"/>
  <c r="K32" i="19" s="1"/>
  <c r="C32" i="36"/>
  <c r="CW32" i="2" s="1"/>
  <c r="E33" i="36"/>
  <c r="K35" i="10"/>
  <c r="J38" i="14"/>
  <c r="I39" i="14"/>
  <c r="I38" i="101"/>
  <c r="J37" i="101"/>
  <c r="J33" i="125"/>
  <c r="C32" i="95"/>
  <c r="E33" i="95"/>
  <c r="I39" i="79"/>
  <c r="J38" i="79"/>
  <c r="E33" i="96"/>
  <c r="C32" i="96"/>
  <c r="E27" i="98"/>
  <c r="C26" i="98"/>
  <c r="J27" i="98"/>
  <c r="K27" i="98" s="1"/>
  <c r="K36" i="82"/>
  <c r="K35" i="93"/>
  <c r="I36" i="88"/>
  <c r="J35" i="88"/>
  <c r="J35" i="76"/>
  <c r="I36" i="76"/>
  <c r="K38" i="7"/>
  <c r="E32" i="11"/>
  <c r="C31" i="11"/>
  <c r="J32" i="11"/>
  <c r="K32" i="11" s="1"/>
  <c r="K34" i="41"/>
  <c r="AJ34" i="2"/>
  <c r="K33" i="35"/>
  <c r="K34" i="111"/>
  <c r="E32" i="161"/>
  <c r="C31" i="161"/>
  <c r="J32" i="161"/>
  <c r="K32" i="161" s="1"/>
  <c r="K37" i="14"/>
  <c r="I35" i="125"/>
  <c r="J34" i="125"/>
  <c r="E33" i="154"/>
  <c r="C32" i="154"/>
  <c r="J33" i="154"/>
  <c r="K33" i="154" s="1"/>
  <c r="IJ33" i="2"/>
  <c r="EE35" i="2"/>
  <c r="C30" i="120"/>
  <c r="E31" i="120"/>
  <c r="J31" i="120"/>
  <c r="K31" i="120" s="1"/>
  <c r="E30" i="105"/>
  <c r="C29" i="105"/>
  <c r="J30" i="105"/>
  <c r="K30" i="105" s="1"/>
  <c r="EP35" i="2"/>
  <c r="I35" i="8"/>
  <c r="J34" i="8"/>
  <c r="K38" i="145"/>
  <c r="K36" i="101"/>
  <c r="E34" i="109"/>
  <c r="C33" i="109"/>
  <c r="ED34" i="2"/>
  <c r="K35" i="136"/>
  <c r="E31" i="163"/>
  <c r="C30" i="163"/>
  <c r="J31" i="163"/>
  <c r="K31" i="163" s="1"/>
  <c r="K37" i="133"/>
  <c r="I35" i="58"/>
  <c r="J34" i="58"/>
  <c r="K37" i="79"/>
  <c r="I37" i="41"/>
  <c r="J36" i="41"/>
  <c r="K35" i="41" s="1"/>
  <c r="I38" i="29"/>
  <c r="J37" i="29"/>
  <c r="K36" i="29" s="1"/>
  <c r="J36" i="93"/>
  <c r="I37" i="93"/>
  <c r="K34" i="88"/>
  <c r="K37" i="27"/>
  <c r="E33" i="114"/>
  <c r="C32" i="114"/>
  <c r="J33" i="114"/>
  <c r="K33" i="114" s="1"/>
  <c r="I40" i="7"/>
  <c r="J39" i="7"/>
  <c r="K34" i="151"/>
  <c r="J39" i="145"/>
  <c r="I40" i="145"/>
  <c r="N35" i="2"/>
  <c r="K34" i="57"/>
  <c r="J35" i="153"/>
  <c r="K34" i="153" s="1"/>
  <c r="I36" i="153"/>
  <c r="FW35" i="2"/>
  <c r="GR33" i="2"/>
  <c r="I38" i="26"/>
  <c r="J37" i="26"/>
  <c r="CB35" i="1"/>
  <c r="J38" i="27"/>
  <c r="I39" i="27"/>
  <c r="I39" i="32"/>
  <c r="J38" i="32"/>
  <c r="K37" i="32" s="1"/>
  <c r="E29" i="166"/>
  <c r="C28" i="166"/>
  <c r="J29" i="166"/>
  <c r="K29" i="166" s="1"/>
  <c r="K36" i="16"/>
  <c r="E32" i="4"/>
  <c r="C31" i="4"/>
  <c r="J32" i="4"/>
  <c r="K32" i="4" s="1"/>
  <c r="HZ34" i="2"/>
  <c r="I36" i="57"/>
  <c r="J35" i="57"/>
  <c r="J35" i="3"/>
  <c r="K34" i="3" s="1"/>
  <c r="I36" i="3"/>
  <c r="K35" i="157"/>
  <c r="C33" i="155"/>
  <c r="CL33" i="2" s="1"/>
  <c r="E34" i="155"/>
  <c r="C30" i="149"/>
  <c r="E31" i="149"/>
  <c r="J31" i="149"/>
  <c r="K31" i="149" s="1"/>
  <c r="C31" i="135"/>
  <c r="E32" i="135"/>
  <c r="J32" i="135"/>
  <c r="K32" i="135" s="1"/>
  <c r="K36" i="26"/>
  <c r="C30" i="85"/>
  <c r="E31" i="85"/>
  <c r="J31" i="85"/>
  <c r="K31" i="85" s="1"/>
  <c r="C32" i="35"/>
  <c r="E33" i="35"/>
  <c r="I38" i="16"/>
  <c r="J37" i="16"/>
  <c r="E33" i="48"/>
  <c r="C32" i="48"/>
  <c r="J33" i="48"/>
  <c r="K33" i="48" s="1"/>
  <c r="E31" i="173"/>
  <c r="C30" i="173"/>
  <c r="J31" i="173"/>
  <c r="K31" i="173" s="1"/>
  <c r="J34" i="140"/>
  <c r="I35" i="140"/>
  <c r="AJ34" i="1"/>
  <c r="N34" i="2"/>
  <c r="I37" i="157"/>
  <c r="J36" i="157"/>
  <c r="C33" i="42"/>
  <c r="E34" i="42"/>
  <c r="J34" i="42"/>
  <c r="K34" i="42" s="1"/>
  <c r="FV34" i="2"/>
  <c r="E32" i="83"/>
  <c r="C31" i="83"/>
  <c r="J32" i="83"/>
  <c r="K32" i="83" s="1"/>
  <c r="E34" i="6"/>
  <c r="C33" i="6"/>
  <c r="CA34" i="1"/>
  <c r="E34" i="152"/>
  <c r="C33" i="152"/>
  <c r="J34" i="152"/>
  <c r="K34" i="152" s="1"/>
  <c r="E34" i="93"/>
  <c r="C33" i="93"/>
  <c r="J34" i="93"/>
  <c r="K34" i="93" s="1"/>
  <c r="C32" i="122"/>
  <c r="E33" i="122"/>
  <c r="J33" i="122"/>
  <c r="K33" i="122" s="1"/>
  <c r="C29" i="111"/>
  <c r="E30" i="111"/>
  <c r="J30" i="111"/>
  <c r="K30" i="111" s="1"/>
  <c r="K37" i="59"/>
  <c r="K33" i="81"/>
  <c r="E34" i="100"/>
  <c r="C33" i="100"/>
  <c r="FK33" i="2" s="1"/>
  <c r="E33" i="89"/>
  <c r="C32" i="89"/>
  <c r="J33" i="89"/>
  <c r="K33" i="89" s="1"/>
  <c r="HN33" i="2"/>
  <c r="C33" i="58"/>
  <c r="CA33" i="2" s="1"/>
  <c r="E34" i="58"/>
  <c r="J36" i="149"/>
  <c r="I37" i="149"/>
  <c r="K33" i="166"/>
  <c r="C32" i="80"/>
  <c r="E33" i="80"/>
  <c r="J33" i="80"/>
  <c r="K33" i="80" s="1"/>
  <c r="K33" i="120"/>
  <c r="C31" i="118"/>
  <c r="E32" i="118"/>
  <c r="J32" i="118"/>
  <c r="K32" i="118" s="1"/>
  <c r="E34" i="107"/>
  <c r="C33" i="107"/>
  <c r="J34" i="107"/>
  <c r="K34" i="107" s="1"/>
  <c r="C32" i="147"/>
  <c r="E33" i="147"/>
  <c r="I35" i="100"/>
  <c r="J34" i="100"/>
  <c r="K35" i="122"/>
  <c r="K33" i="146"/>
  <c r="E29" i="30"/>
  <c r="C28" i="30"/>
  <c r="J29" i="30"/>
  <c r="K29" i="30" s="1"/>
  <c r="C30" i="51"/>
  <c r="E31" i="51"/>
  <c r="J31" i="51"/>
  <c r="K31" i="51" s="1"/>
  <c r="K35" i="62"/>
  <c r="K33" i="144"/>
  <c r="K34" i="106"/>
  <c r="E31" i="141"/>
  <c r="C30" i="141"/>
  <c r="J31" i="141"/>
  <c r="K31" i="141" s="1"/>
  <c r="E34" i="136"/>
  <c r="C33" i="136"/>
  <c r="J34" i="136"/>
  <c r="K34" i="136" s="1"/>
  <c r="J35" i="119"/>
  <c r="I36" i="119"/>
  <c r="E34" i="28"/>
  <c r="C33" i="28"/>
  <c r="AI33" i="2" s="1"/>
  <c r="J34" i="28"/>
  <c r="K34" i="28" s="1"/>
  <c r="J34" i="166"/>
  <c r="I35" i="166"/>
  <c r="I35" i="120"/>
  <c r="J34" i="120"/>
  <c r="E31" i="39"/>
  <c r="C30" i="39"/>
  <c r="J31" i="39"/>
  <c r="K31" i="39" s="1"/>
  <c r="E33" i="71"/>
  <c r="C32" i="71"/>
  <c r="J33" i="71"/>
  <c r="K33" i="71" s="1"/>
  <c r="I54" i="150"/>
  <c r="J53" i="150"/>
  <c r="I36" i="67"/>
  <c r="J35" i="67"/>
  <c r="K34" i="67" s="1"/>
  <c r="K34" i="18"/>
  <c r="I37" i="28"/>
  <c r="J36" i="28"/>
  <c r="I35" i="146"/>
  <c r="J34" i="146"/>
  <c r="C31" i="17"/>
  <c r="E32" i="17"/>
  <c r="J32" i="17"/>
  <c r="K32" i="17" s="1"/>
  <c r="C32" i="33"/>
  <c r="E33" i="33"/>
  <c r="J33" i="33"/>
  <c r="K33" i="33" s="1"/>
  <c r="HO34" i="2"/>
  <c r="K35" i="149"/>
  <c r="C30" i="26"/>
  <c r="E31" i="26"/>
  <c r="J31" i="26"/>
  <c r="K31" i="26" s="1"/>
  <c r="I40" i="12"/>
  <c r="J39" i="12"/>
  <c r="IV34" i="2"/>
  <c r="K34" i="119"/>
  <c r="C30" i="159"/>
  <c r="E31" i="159"/>
  <c r="J31" i="159"/>
  <c r="K31" i="159" s="1"/>
  <c r="E32" i="57"/>
  <c r="C31" i="57"/>
  <c r="J32" i="57"/>
  <c r="K32" i="57" s="1"/>
  <c r="J34" i="34"/>
  <c r="I35" i="34"/>
  <c r="E33" i="70"/>
  <c r="C32" i="70"/>
  <c r="J33" i="70"/>
  <c r="K33" i="70" s="1"/>
  <c r="I39" i="42"/>
  <c r="J38" i="42"/>
  <c r="K37" i="42" s="1"/>
  <c r="E30" i="160"/>
  <c r="C29" i="160"/>
  <c r="J30" i="160"/>
  <c r="K30" i="160" s="1"/>
  <c r="E30" i="102"/>
  <c r="C29" i="102"/>
  <c r="J30" i="102"/>
  <c r="K30" i="102" s="1"/>
  <c r="I38" i="128"/>
  <c r="J37" i="128"/>
  <c r="K36" i="128" s="1"/>
  <c r="K52" i="150"/>
  <c r="I37" i="115"/>
  <c r="J36" i="115"/>
  <c r="J38" i="94"/>
  <c r="I39" i="94"/>
  <c r="K35" i="28"/>
  <c r="J37" i="89"/>
  <c r="I38" i="89"/>
  <c r="K33" i="137"/>
  <c r="E33" i="169"/>
  <c r="C32" i="169"/>
  <c r="HY33" i="2"/>
  <c r="J33" i="169"/>
  <c r="K33" i="169" s="1"/>
  <c r="I36" i="5"/>
  <c r="J35" i="5"/>
  <c r="J37" i="135"/>
  <c r="I38" i="135"/>
  <c r="I36" i="106"/>
  <c r="J35" i="106"/>
  <c r="C32" i="151"/>
  <c r="E33" i="151"/>
  <c r="J33" i="151"/>
  <c r="K33" i="151" s="1"/>
  <c r="J35" i="161"/>
  <c r="I36" i="161"/>
  <c r="J35" i="169"/>
  <c r="I36" i="169"/>
  <c r="I39" i="71"/>
  <c r="J38" i="71"/>
  <c r="I38" i="142"/>
  <c r="J37" i="142"/>
  <c r="C32" i="132"/>
  <c r="E33" i="132"/>
  <c r="J33" i="132"/>
  <c r="K33" i="132" s="1"/>
  <c r="K33" i="34"/>
  <c r="K32" i="34"/>
  <c r="C33" i="143"/>
  <c r="E34" i="143"/>
  <c r="I36" i="97"/>
  <c r="J35" i="97"/>
  <c r="K34" i="97" s="1"/>
  <c r="K35" i="115"/>
  <c r="J36" i="173"/>
  <c r="I37" i="173"/>
  <c r="K37" i="74"/>
  <c r="K36" i="89"/>
  <c r="K34" i="39"/>
  <c r="I37" i="129"/>
  <c r="J36" i="129"/>
  <c r="K35" i="129" s="1"/>
  <c r="K34" i="162"/>
  <c r="E32" i="81"/>
  <c r="C31" i="81"/>
  <c r="J32" i="81"/>
  <c r="K32" i="81" s="1"/>
  <c r="K34" i="161"/>
  <c r="J35" i="123"/>
  <c r="I36" i="123"/>
  <c r="C29" i="165"/>
  <c r="E30" i="165"/>
  <c r="J30" i="165"/>
  <c r="K30" i="165" s="1"/>
  <c r="I35" i="143"/>
  <c r="J34" i="143"/>
  <c r="K34" i="159"/>
  <c r="E34" i="56"/>
  <c r="C33" i="56"/>
  <c r="J36" i="63"/>
  <c r="K35" i="63" s="1"/>
  <c r="I37" i="63"/>
  <c r="C32" i="164"/>
  <c r="E33" i="164"/>
  <c r="J33" i="164"/>
  <c r="K33" i="164" s="1"/>
  <c r="E32" i="128"/>
  <c r="C31" i="128"/>
  <c r="J32" i="128"/>
  <c r="K32" i="128" s="1"/>
  <c r="E32" i="22"/>
  <c r="C31" i="22"/>
  <c r="J32" i="22"/>
  <c r="K32" i="22" s="1"/>
  <c r="K35" i="173"/>
  <c r="C32" i="44"/>
  <c r="E33" i="44"/>
  <c r="J33" i="44"/>
  <c r="K33" i="44" s="1"/>
  <c r="K35" i="113"/>
  <c r="K34" i="123"/>
  <c r="I35" i="38"/>
  <c r="J34" i="38"/>
  <c r="K34" i="70"/>
  <c r="K35" i="9"/>
  <c r="C31" i="66"/>
  <c r="E32" i="66"/>
  <c r="J32" i="66"/>
  <c r="K32" i="66" s="1"/>
  <c r="BF35" i="2"/>
  <c r="I35" i="17"/>
  <c r="J34" i="17"/>
  <c r="E32" i="75"/>
  <c r="C31" i="75"/>
  <c r="J32" i="75"/>
  <c r="K32" i="75" s="1"/>
  <c r="C28" i="146"/>
  <c r="E29" i="146"/>
  <c r="J29" i="146"/>
  <c r="K29" i="146" s="1"/>
  <c r="J34" i="105"/>
  <c r="I35" i="105"/>
  <c r="I35" i="171"/>
  <c r="J34" i="171"/>
  <c r="I35" i="110"/>
  <c r="J34" i="110"/>
  <c r="K33" i="110" s="1"/>
  <c r="I37" i="113"/>
  <c r="J36" i="113"/>
  <c r="K33" i="111"/>
  <c r="I36" i="84"/>
  <c r="J35" i="84"/>
  <c r="K34" i="84" s="1"/>
  <c r="Y35" i="2"/>
  <c r="K33" i="126"/>
  <c r="J35" i="50"/>
  <c r="I36" i="50"/>
  <c r="C33" i="172"/>
  <c r="E34" i="172"/>
  <c r="J34" i="172"/>
  <c r="K34" i="172" s="1"/>
  <c r="J37" i="136"/>
  <c r="K36" i="136" s="1"/>
  <c r="I38" i="136"/>
  <c r="E29" i="156"/>
  <c r="C28" i="156"/>
  <c r="J29" i="156"/>
  <c r="K29" i="156" s="1"/>
  <c r="E34" i="7"/>
  <c r="C33" i="7"/>
  <c r="AT34" i="1"/>
  <c r="J34" i="7"/>
  <c r="K34" i="7" s="1"/>
  <c r="N35" i="1"/>
  <c r="K36" i="59"/>
  <c r="J34" i="55"/>
  <c r="I35" i="55"/>
  <c r="I38" i="127"/>
  <c r="J37" i="127"/>
  <c r="K36" i="127" s="1"/>
  <c r="I40" i="61"/>
  <c r="J39" i="61"/>
  <c r="K38" i="61" s="1"/>
  <c r="AU35" i="1"/>
  <c r="C33" i="12"/>
  <c r="E34" i="12"/>
  <c r="X34" i="2"/>
  <c r="M34" i="1"/>
  <c r="J34" i="12"/>
  <c r="K34" i="12" s="1"/>
  <c r="I36" i="70"/>
  <c r="J35" i="70"/>
  <c r="I35" i="95"/>
  <c r="J34" i="95"/>
  <c r="C32" i="142"/>
  <c r="E33" i="142"/>
  <c r="J33" i="142"/>
  <c r="K33" i="142" s="1"/>
  <c r="E34" i="91"/>
  <c r="C33" i="91"/>
  <c r="K34" i="63"/>
  <c r="I38" i="107"/>
  <c r="J37" i="107"/>
  <c r="K33" i="17"/>
  <c r="K35" i="72"/>
  <c r="K33" i="40"/>
  <c r="C29" i="59"/>
  <c r="E30" i="59"/>
  <c r="J30" i="59"/>
  <c r="K30" i="59" s="1"/>
  <c r="K33" i="171"/>
  <c r="E34" i="90"/>
  <c r="C33" i="90"/>
  <c r="J37" i="117"/>
  <c r="I38" i="117"/>
  <c r="K32" i="141"/>
  <c r="E33" i="162"/>
  <c r="C32" i="162"/>
  <c r="J33" i="162"/>
  <c r="K33" i="162" s="1"/>
  <c r="K36" i="22"/>
  <c r="I35" i="47"/>
  <c r="J34" i="47"/>
  <c r="K33" i="47" s="1"/>
  <c r="E32" i="148"/>
  <c r="C31" i="148"/>
  <c r="J32" i="148"/>
  <c r="K32" i="148" s="1"/>
  <c r="BQ35" i="2"/>
  <c r="J35" i="170"/>
  <c r="I36" i="170"/>
  <c r="E32" i="16"/>
  <c r="C31" i="16"/>
  <c r="J32" i="16"/>
  <c r="K32" i="16" s="1"/>
  <c r="J35" i="104"/>
  <c r="K34" i="104" s="1"/>
  <c r="I36" i="104"/>
  <c r="J33" i="95"/>
  <c r="E31" i="72"/>
  <c r="C30" i="72"/>
  <c r="J31" i="72"/>
  <c r="K31" i="72" s="1"/>
  <c r="K35" i="68"/>
  <c r="K36" i="107"/>
  <c r="J36" i="72"/>
  <c r="I37" i="72"/>
  <c r="J34" i="40"/>
  <c r="I35" i="40"/>
  <c r="E33" i="77"/>
  <c r="C32" i="77"/>
  <c r="J33" i="77"/>
  <c r="K33" i="77" s="1"/>
  <c r="C33" i="121"/>
  <c r="E34" i="121"/>
  <c r="K36" i="117"/>
  <c r="X34" i="1"/>
  <c r="I38" i="51"/>
  <c r="J37" i="51"/>
  <c r="K36" i="51" s="1"/>
  <c r="K33" i="163"/>
  <c r="I37" i="159"/>
  <c r="J36" i="159"/>
  <c r="K35" i="159" s="1"/>
  <c r="C33" i="52"/>
  <c r="X33" i="1" s="1"/>
  <c r="E34" i="52"/>
  <c r="BP34" i="2"/>
  <c r="J34" i="170"/>
  <c r="I35" i="91"/>
  <c r="J34" i="91"/>
  <c r="K33" i="57"/>
  <c r="J35" i="54"/>
  <c r="K34" i="54" s="1"/>
  <c r="I36" i="54"/>
  <c r="E32" i="65"/>
  <c r="C31" i="65"/>
  <c r="J32" i="65"/>
  <c r="K32" i="65" s="1"/>
  <c r="K34" i="108"/>
  <c r="J36" i="44"/>
  <c r="I37" i="44"/>
  <c r="I37" i="68"/>
  <c r="J36" i="68"/>
  <c r="K35" i="13"/>
  <c r="E33" i="117"/>
  <c r="C32" i="117"/>
  <c r="J33" i="117"/>
  <c r="K33" i="117" s="1"/>
  <c r="K36" i="32"/>
  <c r="I36" i="19"/>
  <c r="J35" i="19"/>
  <c r="K34" i="19" s="1"/>
  <c r="I36" i="73"/>
  <c r="J35" i="73"/>
  <c r="K34" i="73" s="1"/>
  <c r="J36" i="139"/>
  <c r="I37" i="139"/>
  <c r="K38" i="75"/>
  <c r="K33" i="104"/>
  <c r="AJ33" i="1" l="1"/>
  <c r="Y33" i="1"/>
  <c r="CM33" i="2"/>
  <c r="CB33" i="2"/>
  <c r="AJ33" i="2"/>
  <c r="CX32" i="2"/>
  <c r="FL33" i="2"/>
  <c r="K34" i="170"/>
  <c r="I36" i="40"/>
  <c r="J35" i="40"/>
  <c r="I36" i="55"/>
  <c r="J35" i="55"/>
  <c r="C31" i="114"/>
  <c r="E32" i="114"/>
  <c r="J32" i="114"/>
  <c r="K32" i="114" s="1"/>
  <c r="E26" i="98"/>
  <c r="C25" i="98"/>
  <c r="J26" i="98"/>
  <c r="K26" i="98" s="1"/>
  <c r="I38" i="118"/>
  <c r="J37" i="118"/>
  <c r="J36" i="86"/>
  <c r="I37" i="86"/>
  <c r="C28" i="43"/>
  <c r="E29" i="43"/>
  <c r="J29" i="43"/>
  <c r="K29" i="43" s="1"/>
  <c r="I37" i="49"/>
  <c r="J36" i="49"/>
  <c r="J36" i="121"/>
  <c r="I37" i="121"/>
  <c r="I36" i="143"/>
  <c r="J35" i="143"/>
  <c r="J36" i="67"/>
  <c r="I37" i="67"/>
  <c r="K36" i="68"/>
  <c r="J35" i="171"/>
  <c r="K34" i="171" s="1"/>
  <c r="I36" i="171"/>
  <c r="I38" i="173"/>
  <c r="J37" i="173"/>
  <c r="HZ33" i="2"/>
  <c r="C30" i="57"/>
  <c r="E31" i="57"/>
  <c r="J31" i="57"/>
  <c r="K31" i="57" s="1"/>
  <c r="K53" i="150"/>
  <c r="C29" i="51"/>
  <c r="E30" i="51"/>
  <c r="J30" i="51"/>
  <c r="K30" i="51" s="1"/>
  <c r="I36" i="140"/>
  <c r="J35" i="140"/>
  <c r="C32" i="92"/>
  <c r="E33" i="92"/>
  <c r="J33" i="92"/>
  <c r="K33" i="92" s="1"/>
  <c r="C28" i="131"/>
  <c r="E29" i="131"/>
  <c r="J29" i="131"/>
  <c r="K29" i="131" s="1"/>
  <c r="C31" i="108"/>
  <c r="E32" i="108"/>
  <c r="J32" i="108"/>
  <c r="K32" i="108" s="1"/>
  <c r="J36" i="114"/>
  <c r="I37" i="114"/>
  <c r="I36" i="45"/>
  <c r="J35" i="45"/>
  <c r="C30" i="126"/>
  <c r="E31" i="126"/>
  <c r="J31" i="126"/>
  <c r="K31" i="126" s="1"/>
  <c r="DI33" i="2"/>
  <c r="I39" i="122"/>
  <c r="J38" i="122"/>
  <c r="I38" i="68"/>
  <c r="J37" i="68"/>
  <c r="I38" i="72"/>
  <c r="J37" i="72"/>
  <c r="I36" i="105"/>
  <c r="J35" i="105"/>
  <c r="E31" i="128"/>
  <c r="C30" i="128"/>
  <c r="J31" i="128"/>
  <c r="K31" i="128" s="1"/>
  <c r="C31" i="169"/>
  <c r="E32" i="169"/>
  <c r="J32" i="169"/>
  <c r="K32" i="169" s="1"/>
  <c r="J54" i="150"/>
  <c r="I55" i="150"/>
  <c r="K34" i="140"/>
  <c r="E30" i="120"/>
  <c r="C29" i="120"/>
  <c r="J30" i="120"/>
  <c r="K30" i="120" s="1"/>
  <c r="I36" i="11"/>
  <c r="J35" i="11"/>
  <c r="E31" i="68"/>
  <c r="C30" i="68"/>
  <c r="J31" i="68"/>
  <c r="K31" i="68" s="1"/>
  <c r="C29" i="127"/>
  <c r="E30" i="127"/>
  <c r="J30" i="127"/>
  <c r="K30" i="127" s="1"/>
  <c r="C27" i="138"/>
  <c r="E28" i="138"/>
  <c r="J28" i="138"/>
  <c r="K28" i="138" s="1"/>
  <c r="J36" i="33"/>
  <c r="I37" i="33"/>
  <c r="J37" i="44"/>
  <c r="I38" i="44"/>
  <c r="K36" i="72"/>
  <c r="K34" i="105"/>
  <c r="E28" i="30"/>
  <c r="C27" i="30"/>
  <c r="J28" i="30"/>
  <c r="K28" i="30" s="1"/>
  <c r="E31" i="4"/>
  <c r="C30" i="4"/>
  <c r="J31" i="4"/>
  <c r="K31" i="4" s="1"/>
  <c r="E33" i="53"/>
  <c r="C32" i="53"/>
  <c r="J33" i="53"/>
  <c r="K33" i="53" s="1"/>
  <c r="K34" i="11"/>
  <c r="C30" i="25"/>
  <c r="E31" i="25"/>
  <c r="J31" i="25"/>
  <c r="K31" i="25" s="1"/>
  <c r="CX33" i="2"/>
  <c r="E30" i="171"/>
  <c r="C29" i="171"/>
  <c r="J30" i="171"/>
  <c r="K30" i="171" s="1"/>
  <c r="K35" i="138"/>
  <c r="I37" i="80"/>
  <c r="J36" i="80"/>
  <c r="K37" i="48"/>
  <c r="C31" i="133"/>
  <c r="E32" i="133"/>
  <c r="J32" i="133"/>
  <c r="K32" i="133" s="1"/>
  <c r="DH32" i="2"/>
  <c r="I37" i="168"/>
  <c r="J36" i="168"/>
  <c r="I36" i="112"/>
  <c r="J35" i="112"/>
  <c r="I37" i="138"/>
  <c r="J36" i="138"/>
  <c r="FA33" i="2"/>
  <c r="BQ34" i="1"/>
  <c r="J38" i="48"/>
  <c r="I39" i="48"/>
  <c r="E30" i="123"/>
  <c r="C29" i="123"/>
  <c r="J30" i="123"/>
  <c r="K30" i="123" s="1"/>
  <c r="E29" i="59"/>
  <c r="C28" i="59"/>
  <c r="J29" i="59"/>
  <c r="K29" i="59" s="1"/>
  <c r="J36" i="97"/>
  <c r="I37" i="97"/>
  <c r="J38" i="89"/>
  <c r="I39" i="89"/>
  <c r="C29" i="173"/>
  <c r="E30" i="173"/>
  <c r="J30" i="173"/>
  <c r="K30" i="173" s="1"/>
  <c r="I38" i="93"/>
  <c r="J37" i="93"/>
  <c r="IK33" i="2"/>
  <c r="C31" i="78"/>
  <c r="E32" i="78"/>
  <c r="J32" i="78"/>
  <c r="K32" i="78" s="1"/>
  <c r="I36" i="174"/>
  <c r="J35" i="174"/>
  <c r="E31" i="54"/>
  <c r="C30" i="54"/>
  <c r="J31" i="54"/>
  <c r="K31" i="54" s="1"/>
  <c r="I37" i="151"/>
  <c r="J36" i="151"/>
  <c r="E31" i="103"/>
  <c r="C30" i="103"/>
  <c r="J31" i="103"/>
  <c r="K31" i="103" s="1"/>
  <c r="E32" i="134"/>
  <c r="C31" i="134"/>
  <c r="EZ32" i="2"/>
  <c r="J32" i="134"/>
  <c r="K32" i="134" s="1"/>
  <c r="HD34" i="2"/>
  <c r="C32" i="3"/>
  <c r="E33" i="3"/>
  <c r="J33" i="3"/>
  <c r="K33" i="3" s="1"/>
  <c r="E28" i="146"/>
  <c r="C27" i="146"/>
  <c r="J28" i="146"/>
  <c r="K28" i="146" s="1"/>
  <c r="E32" i="164"/>
  <c r="C31" i="164"/>
  <c r="J32" i="164"/>
  <c r="K32" i="164" s="1"/>
  <c r="K37" i="89"/>
  <c r="C29" i="159"/>
  <c r="E30" i="159"/>
  <c r="J30" i="159"/>
  <c r="K30" i="159" s="1"/>
  <c r="C28" i="111"/>
  <c r="E29" i="111"/>
  <c r="J29" i="111"/>
  <c r="K29" i="111" s="1"/>
  <c r="C31" i="13"/>
  <c r="E32" i="13"/>
  <c r="J32" i="13"/>
  <c r="K32" i="13" s="1"/>
  <c r="K35" i="151"/>
  <c r="E33" i="8"/>
  <c r="C32" i="8"/>
  <c r="BP33" i="1"/>
  <c r="HC33" i="2"/>
  <c r="J33" i="8"/>
  <c r="K33" i="8" s="1"/>
  <c r="J35" i="96"/>
  <c r="I36" i="96"/>
  <c r="E33" i="174"/>
  <c r="C32" i="174"/>
  <c r="J33" i="174"/>
  <c r="K33" i="174" s="1"/>
  <c r="C30" i="113"/>
  <c r="E31" i="113"/>
  <c r="J31" i="113"/>
  <c r="K31" i="113" s="1"/>
  <c r="E32" i="71"/>
  <c r="C31" i="71"/>
  <c r="J32" i="71"/>
  <c r="K32" i="71" s="1"/>
  <c r="K34" i="100"/>
  <c r="K37" i="29"/>
  <c r="E32" i="154"/>
  <c r="C31" i="154"/>
  <c r="J32" i="154"/>
  <c r="K32" i="154" s="1"/>
  <c r="J39" i="79"/>
  <c r="I40" i="79"/>
  <c r="C29" i="61"/>
  <c r="E30" i="61"/>
  <c r="J30" i="61"/>
  <c r="K30" i="61" s="1"/>
  <c r="C32" i="46"/>
  <c r="E33" i="46"/>
  <c r="J33" i="46"/>
  <c r="K33" i="46" s="1"/>
  <c r="E31" i="112"/>
  <c r="C30" i="112"/>
  <c r="J31" i="112"/>
  <c r="K31" i="112" s="1"/>
  <c r="K35" i="85"/>
  <c r="E31" i="137"/>
  <c r="C30" i="137"/>
  <c r="J31" i="137"/>
  <c r="K31" i="137" s="1"/>
  <c r="J38" i="9"/>
  <c r="I39" i="9"/>
  <c r="I38" i="37"/>
  <c r="J37" i="37"/>
  <c r="K36" i="37" s="1"/>
  <c r="C30" i="65"/>
  <c r="E31" i="65"/>
  <c r="J31" i="65"/>
  <c r="K31" i="65" s="1"/>
  <c r="E33" i="143"/>
  <c r="C32" i="143"/>
  <c r="J33" i="143"/>
  <c r="K33" i="143" s="1"/>
  <c r="E30" i="39"/>
  <c r="C29" i="39"/>
  <c r="J30" i="39"/>
  <c r="K30" i="39" s="1"/>
  <c r="J35" i="100"/>
  <c r="I36" i="100"/>
  <c r="E32" i="48"/>
  <c r="C31" i="48"/>
  <c r="J32" i="48"/>
  <c r="K32" i="48" s="1"/>
  <c r="E28" i="166"/>
  <c r="C27" i="166"/>
  <c r="J28" i="166"/>
  <c r="K28" i="166" s="1"/>
  <c r="J38" i="29"/>
  <c r="I39" i="29"/>
  <c r="E30" i="86"/>
  <c r="C29" i="86"/>
  <c r="J30" i="86"/>
  <c r="K30" i="86" s="1"/>
  <c r="C29" i="106"/>
  <c r="E30" i="106"/>
  <c r="J30" i="106"/>
  <c r="K30" i="106" s="1"/>
  <c r="I37" i="85"/>
  <c r="J36" i="85"/>
  <c r="E32" i="88"/>
  <c r="C31" i="88"/>
  <c r="J32" i="88"/>
  <c r="K32" i="88" s="1"/>
  <c r="K37" i="9"/>
  <c r="J36" i="116"/>
  <c r="I37" i="116"/>
  <c r="E30" i="72"/>
  <c r="C29" i="72"/>
  <c r="J30" i="72"/>
  <c r="K30" i="72" s="1"/>
  <c r="I40" i="94"/>
  <c r="J39" i="94"/>
  <c r="K33" i="95"/>
  <c r="K37" i="107"/>
  <c r="K38" i="94"/>
  <c r="E32" i="122"/>
  <c r="C31" i="122"/>
  <c r="J32" i="122"/>
  <c r="K32" i="122" s="1"/>
  <c r="C31" i="95"/>
  <c r="E32" i="95"/>
  <c r="J32" i="95"/>
  <c r="K32" i="95" s="1"/>
  <c r="C30" i="130"/>
  <c r="E31" i="130"/>
  <c r="J31" i="130"/>
  <c r="K31" i="130" s="1"/>
  <c r="C29" i="40"/>
  <c r="E30" i="40"/>
  <c r="J30" i="40"/>
  <c r="K30" i="40" s="1"/>
  <c r="K33" i="96"/>
  <c r="E31" i="74"/>
  <c r="C30" i="74"/>
  <c r="J31" i="74"/>
  <c r="K31" i="74" s="1"/>
  <c r="J37" i="18"/>
  <c r="K36" i="18" s="1"/>
  <c r="I38" i="18"/>
  <c r="K35" i="4"/>
  <c r="I38" i="63"/>
  <c r="J37" i="63"/>
  <c r="C32" i="56"/>
  <c r="E33" i="56"/>
  <c r="J33" i="56"/>
  <c r="K33" i="56" s="1"/>
  <c r="J36" i="54"/>
  <c r="I37" i="54"/>
  <c r="J36" i="104"/>
  <c r="I37" i="104"/>
  <c r="I39" i="107"/>
  <c r="J38" i="107"/>
  <c r="K34" i="17"/>
  <c r="K36" i="115"/>
  <c r="C31" i="147"/>
  <c r="E32" i="147"/>
  <c r="J32" i="147"/>
  <c r="K32" i="147" s="1"/>
  <c r="I38" i="41"/>
  <c r="J37" i="41"/>
  <c r="I36" i="125"/>
  <c r="J35" i="125"/>
  <c r="K34" i="125" s="1"/>
  <c r="K33" i="125"/>
  <c r="C30" i="99"/>
  <c r="E31" i="99"/>
  <c r="J31" i="99"/>
  <c r="K31" i="99" s="1"/>
  <c r="C32" i="170"/>
  <c r="E33" i="170"/>
  <c r="J33" i="170"/>
  <c r="K33" i="170" s="1"/>
  <c r="I41" i="133"/>
  <c r="J40" i="133"/>
  <c r="E32" i="140"/>
  <c r="C31" i="140"/>
  <c r="J32" i="140"/>
  <c r="K32" i="140" s="1"/>
  <c r="I37" i="137"/>
  <c r="J36" i="137"/>
  <c r="J35" i="141"/>
  <c r="I36" i="141"/>
  <c r="BE33" i="2"/>
  <c r="J36" i="4"/>
  <c r="I37" i="4"/>
  <c r="AU34" i="1"/>
  <c r="E33" i="7"/>
  <c r="C32" i="7"/>
  <c r="AT33" i="1"/>
  <c r="J33" i="7"/>
  <c r="K33" i="7" s="1"/>
  <c r="K36" i="63"/>
  <c r="K35" i="54"/>
  <c r="K37" i="71"/>
  <c r="I38" i="115"/>
  <c r="J37" i="115"/>
  <c r="I41" i="12"/>
  <c r="J40" i="12"/>
  <c r="E33" i="93"/>
  <c r="C32" i="93"/>
  <c r="J33" i="93"/>
  <c r="K33" i="93" s="1"/>
  <c r="I39" i="16"/>
  <c r="J38" i="16"/>
  <c r="I40" i="32"/>
  <c r="J39" i="32"/>
  <c r="K38" i="32" s="1"/>
  <c r="K38" i="82"/>
  <c r="K39" i="133"/>
  <c r="J37" i="165"/>
  <c r="K36" i="165" s="1"/>
  <c r="I38" i="165"/>
  <c r="E30" i="168"/>
  <c r="C29" i="168"/>
  <c r="J30" i="168"/>
  <c r="K30" i="168" s="1"/>
  <c r="C31" i="41"/>
  <c r="E32" i="41"/>
  <c r="J32" i="41"/>
  <c r="K32" i="41" s="1"/>
  <c r="C29" i="62"/>
  <c r="E30" i="62"/>
  <c r="J30" i="62"/>
  <c r="K30" i="62" s="1"/>
  <c r="E31" i="75"/>
  <c r="C30" i="75"/>
  <c r="J31" i="75"/>
  <c r="K31" i="75" s="1"/>
  <c r="C27" i="156"/>
  <c r="E28" i="156"/>
  <c r="J28" i="156"/>
  <c r="K28" i="156" s="1"/>
  <c r="I36" i="17"/>
  <c r="J35" i="17"/>
  <c r="K34" i="120"/>
  <c r="C32" i="91"/>
  <c r="E33" i="91"/>
  <c r="J33" i="91"/>
  <c r="K33" i="91" s="1"/>
  <c r="J38" i="101"/>
  <c r="K37" i="101" s="1"/>
  <c r="I39" i="101"/>
  <c r="J39" i="82"/>
  <c r="I40" i="82"/>
  <c r="E32" i="38"/>
  <c r="C31" i="38"/>
  <c r="J32" i="38"/>
  <c r="K32" i="38" s="1"/>
  <c r="K36" i="23"/>
  <c r="J35" i="64"/>
  <c r="K34" i="64" s="1"/>
  <c r="I36" i="64"/>
  <c r="E32" i="79"/>
  <c r="C31" i="79"/>
  <c r="J32" i="79"/>
  <c r="K32" i="79" s="1"/>
  <c r="E29" i="45"/>
  <c r="C28" i="45"/>
  <c r="J29" i="45"/>
  <c r="K29" i="45" s="1"/>
  <c r="I36" i="120"/>
  <c r="J35" i="120"/>
  <c r="E33" i="107"/>
  <c r="C32" i="107"/>
  <c r="J33" i="107"/>
  <c r="K33" i="107" s="1"/>
  <c r="I40" i="27"/>
  <c r="J39" i="27"/>
  <c r="K38" i="27" s="1"/>
  <c r="E31" i="16"/>
  <c r="C30" i="16"/>
  <c r="J31" i="16"/>
  <c r="K31" i="16" s="1"/>
  <c r="E32" i="132"/>
  <c r="C31" i="132"/>
  <c r="J32" i="132"/>
  <c r="K32" i="132" s="1"/>
  <c r="I36" i="166"/>
  <c r="J35" i="166"/>
  <c r="E32" i="35"/>
  <c r="C31" i="35"/>
  <c r="J32" i="35"/>
  <c r="K32" i="35" s="1"/>
  <c r="K34" i="58"/>
  <c r="I40" i="14"/>
  <c r="J39" i="14"/>
  <c r="E31" i="9"/>
  <c r="C30" i="9"/>
  <c r="J31" i="9"/>
  <c r="K31" i="9" s="1"/>
  <c r="K36" i="66"/>
  <c r="I38" i="23"/>
  <c r="J37" i="23"/>
  <c r="I38" i="92"/>
  <c r="J37" i="92"/>
  <c r="K35" i="37"/>
  <c r="I36" i="163"/>
  <c r="J35" i="163"/>
  <c r="J35" i="91"/>
  <c r="K34" i="91" s="1"/>
  <c r="I36" i="91"/>
  <c r="I39" i="136"/>
  <c r="J38" i="136"/>
  <c r="K34" i="143"/>
  <c r="E30" i="26"/>
  <c r="C29" i="26"/>
  <c r="J30" i="26"/>
  <c r="K30" i="26" s="1"/>
  <c r="C32" i="152"/>
  <c r="E33" i="152"/>
  <c r="J33" i="152"/>
  <c r="K33" i="152" s="1"/>
  <c r="I36" i="58"/>
  <c r="J35" i="58"/>
  <c r="C30" i="161"/>
  <c r="E31" i="161"/>
  <c r="J31" i="161"/>
  <c r="K31" i="161" s="1"/>
  <c r="K38" i="14"/>
  <c r="E31" i="5"/>
  <c r="C30" i="5"/>
  <c r="J31" i="5"/>
  <c r="K31" i="5" s="1"/>
  <c r="J37" i="66"/>
  <c r="I38" i="66"/>
  <c r="I39" i="98"/>
  <c r="J38" i="98"/>
  <c r="E31" i="94"/>
  <c r="C30" i="94"/>
  <c r="J31" i="94"/>
  <c r="K31" i="94" s="1"/>
  <c r="E32" i="153"/>
  <c r="C31" i="153"/>
  <c r="J32" i="153"/>
  <c r="K32" i="153" s="1"/>
  <c r="J40" i="74"/>
  <c r="K39" i="74" s="1"/>
  <c r="I41" i="74"/>
  <c r="E30" i="84"/>
  <c r="C29" i="84"/>
  <c r="J30" i="84"/>
  <c r="K30" i="84" s="1"/>
  <c r="K34" i="163"/>
  <c r="C31" i="76"/>
  <c r="E32" i="76"/>
  <c r="J32" i="76"/>
  <c r="K32" i="76" s="1"/>
  <c r="C32" i="158"/>
  <c r="E33" i="158"/>
  <c r="J33" i="158"/>
  <c r="K33" i="158" s="1"/>
  <c r="I37" i="20"/>
  <c r="J36" i="20"/>
  <c r="K35" i="97"/>
  <c r="I39" i="128"/>
  <c r="J38" i="128"/>
  <c r="C32" i="28"/>
  <c r="E33" i="28"/>
  <c r="J33" i="28"/>
  <c r="K33" i="28" s="1"/>
  <c r="C30" i="118"/>
  <c r="E31" i="118"/>
  <c r="J31" i="118"/>
  <c r="K31" i="118" s="1"/>
  <c r="CB34" i="1"/>
  <c r="C29" i="85"/>
  <c r="E30" i="85"/>
  <c r="J30" i="85"/>
  <c r="K30" i="85" s="1"/>
  <c r="K37" i="26"/>
  <c r="C30" i="110"/>
  <c r="E31" i="110"/>
  <c r="J31" i="110"/>
  <c r="K31" i="110" s="1"/>
  <c r="I38" i="10"/>
  <c r="J37" i="10"/>
  <c r="C29" i="115"/>
  <c r="E30" i="115"/>
  <c r="J30" i="115"/>
  <c r="K30" i="115" s="1"/>
  <c r="I37" i="162"/>
  <c r="J36" i="162"/>
  <c r="K34" i="147"/>
  <c r="GS34" i="2"/>
  <c r="I39" i="152"/>
  <c r="J38" i="152"/>
  <c r="K33" i="141"/>
  <c r="E32" i="31"/>
  <c r="C31" i="31"/>
  <c r="J32" i="31"/>
  <c r="K32" i="31" s="1"/>
  <c r="K34" i="160"/>
  <c r="E33" i="6"/>
  <c r="C32" i="6"/>
  <c r="CA33" i="1"/>
  <c r="IU33" i="2"/>
  <c r="J38" i="26"/>
  <c r="I39" i="26"/>
  <c r="E30" i="163"/>
  <c r="C29" i="163"/>
  <c r="J30" i="163"/>
  <c r="K30" i="163" s="1"/>
  <c r="E32" i="36"/>
  <c r="C31" i="36"/>
  <c r="J32" i="36"/>
  <c r="K32" i="36" s="1"/>
  <c r="C28" i="34"/>
  <c r="E29" i="34"/>
  <c r="J29" i="34"/>
  <c r="K29" i="34" s="1"/>
  <c r="K33" i="45"/>
  <c r="I36" i="147"/>
  <c r="J35" i="147"/>
  <c r="E30" i="37"/>
  <c r="C29" i="37"/>
  <c r="J30" i="37"/>
  <c r="K30" i="37" s="1"/>
  <c r="I41" i="134"/>
  <c r="J40" i="134"/>
  <c r="I36" i="160"/>
  <c r="J35" i="160"/>
  <c r="I40" i="71"/>
  <c r="J39" i="71"/>
  <c r="J35" i="95"/>
  <c r="I36" i="95"/>
  <c r="C28" i="165"/>
  <c r="E29" i="165"/>
  <c r="J29" i="165"/>
  <c r="K29" i="165" s="1"/>
  <c r="E29" i="102"/>
  <c r="C28" i="102"/>
  <c r="J29" i="102"/>
  <c r="K29" i="102" s="1"/>
  <c r="GS33" i="2"/>
  <c r="E31" i="18"/>
  <c r="C30" i="18"/>
  <c r="J31" i="18"/>
  <c r="K31" i="18" s="1"/>
  <c r="J35" i="81"/>
  <c r="K34" i="81" s="1"/>
  <c r="I36" i="81"/>
  <c r="K35" i="126"/>
  <c r="E33" i="14"/>
  <c r="C32" i="14"/>
  <c r="J33" i="14"/>
  <c r="K33" i="14" s="1"/>
  <c r="K34" i="137"/>
  <c r="E31" i="150"/>
  <c r="C30" i="150"/>
  <c r="J31" i="150"/>
  <c r="K31" i="150" s="1"/>
  <c r="J38" i="62"/>
  <c r="K37" i="62" s="1"/>
  <c r="I39" i="62"/>
  <c r="K36" i="62"/>
  <c r="BQ34" i="2"/>
  <c r="K36" i="159"/>
  <c r="K35" i="70"/>
  <c r="J36" i="50"/>
  <c r="I37" i="50"/>
  <c r="I37" i="123"/>
  <c r="J36" i="123"/>
  <c r="I37" i="169"/>
  <c r="J36" i="169"/>
  <c r="M33" i="2"/>
  <c r="I37" i="119"/>
  <c r="J36" i="119"/>
  <c r="EO33" i="2"/>
  <c r="I38" i="30"/>
  <c r="J37" i="30"/>
  <c r="E32" i="63"/>
  <c r="C31" i="63"/>
  <c r="J32" i="63"/>
  <c r="K32" i="63" s="1"/>
  <c r="K33" i="140"/>
  <c r="E33" i="55"/>
  <c r="C32" i="55"/>
  <c r="J33" i="55"/>
  <c r="K33" i="55" s="1"/>
  <c r="K35" i="87"/>
  <c r="J36" i="126"/>
  <c r="I37" i="126"/>
  <c r="I36" i="65"/>
  <c r="J35" i="65"/>
  <c r="C32" i="52"/>
  <c r="E33" i="52"/>
  <c r="BP33" i="2"/>
  <c r="J33" i="52"/>
  <c r="K33" i="52" s="1"/>
  <c r="E33" i="172"/>
  <c r="C32" i="172"/>
  <c r="J33" i="172"/>
  <c r="K33" i="172" s="1"/>
  <c r="J37" i="159"/>
  <c r="I38" i="159"/>
  <c r="E31" i="148"/>
  <c r="C30" i="148"/>
  <c r="J31" i="148"/>
  <c r="K31" i="148" s="1"/>
  <c r="I37" i="70"/>
  <c r="J36" i="70"/>
  <c r="K35" i="50"/>
  <c r="K34" i="50"/>
  <c r="K35" i="123"/>
  <c r="K35" i="169"/>
  <c r="K35" i="119"/>
  <c r="E32" i="80"/>
  <c r="C31" i="80"/>
  <c r="J32" i="80"/>
  <c r="K32" i="80" s="1"/>
  <c r="E31" i="135"/>
  <c r="C30" i="135"/>
  <c r="J31" i="135"/>
  <c r="K31" i="135" s="1"/>
  <c r="EE34" i="2"/>
  <c r="C30" i="60"/>
  <c r="E31" i="60"/>
  <c r="J31" i="60"/>
  <c r="K31" i="60" s="1"/>
  <c r="K34" i="36"/>
  <c r="I36" i="109"/>
  <c r="J35" i="109"/>
  <c r="I37" i="87"/>
  <c r="J36" i="87"/>
  <c r="E31" i="116"/>
  <c r="C30" i="116"/>
  <c r="J31" i="116"/>
  <c r="K31" i="116" s="1"/>
  <c r="C31" i="125"/>
  <c r="E32" i="125"/>
  <c r="J32" i="125"/>
  <c r="K32" i="125" s="1"/>
  <c r="E32" i="145"/>
  <c r="C31" i="145"/>
  <c r="J32" i="145"/>
  <c r="K32" i="145" s="1"/>
  <c r="K36" i="122"/>
  <c r="J40" i="75"/>
  <c r="K39" i="75" s="1"/>
  <c r="I41" i="75"/>
  <c r="E33" i="27"/>
  <c r="C32" i="27"/>
  <c r="J33" i="27"/>
  <c r="K33" i="27" s="1"/>
  <c r="E31" i="66"/>
  <c r="C30" i="66"/>
  <c r="J31" i="66"/>
  <c r="K31" i="66" s="1"/>
  <c r="K33" i="38"/>
  <c r="J36" i="161"/>
  <c r="K35" i="161" s="1"/>
  <c r="I37" i="161"/>
  <c r="C31" i="33"/>
  <c r="E32" i="33"/>
  <c r="M32" i="2"/>
  <c r="J32" i="33"/>
  <c r="K32" i="33" s="1"/>
  <c r="E31" i="83"/>
  <c r="C30" i="83"/>
  <c r="J31" i="83"/>
  <c r="K31" i="83" s="1"/>
  <c r="I37" i="153"/>
  <c r="J36" i="153"/>
  <c r="C32" i="109"/>
  <c r="E33" i="109"/>
  <c r="ED33" i="2"/>
  <c r="J33" i="109"/>
  <c r="K33" i="109" s="1"/>
  <c r="E31" i="19"/>
  <c r="C30" i="19"/>
  <c r="J31" i="19"/>
  <c r="K31" i="19" s="1"/>
  <c r="E32" i="97"/>
  <c r="C31" i="97"/>
  <c r="EO32" i="2"/>
  <c r="J32" i="97"/>
  <c r="K32" i="97" s="1"/>
  <c r="K35" i="111"/>
  <c r="I36" i="36"/>
  <c r="J35" i="36"/>
  <c r="C30" i="104"/>
  <c r="E31" i="104"/>
  <c r="J31" i="104"/>
  <c r="K31" i="104" s="1"/>
  <c r="AU34" i="2"/>
  <c r="K34" i="109"/>
  <c r="J36" i="103"/>
  <c r="K35" i="103" s="1"/>
  <c r="I37" i="103"/>
  <c r="E30" i="47"/>
  <c r="C29" i="47"/>
  <c r="J30" i="47"/>
  <c r="K30" i="47" s="1"/>
  <c r="E30" i="73"/>
  <c r="C29" i="73"/>
  <c r="J30" i="73"/>
  <c r="K30" i="73" s="1"/>
  <c r="C27" i="157"/>
  <c r="E28" i="157"/>
  <c r="J28" i="157"/>
  <c r="K28" i="157" s="1"/>
  <c r="E32" i="23"/>
  <c r="C31" i="23"/>
  <c r="J32" i="23"/>
  <c r="K32" i="23" s="1"/>
  <c r="K35" i="139"/>
  <c r="E29" i="160"/>
  <c r="C28" i="160"/>
  <c r="J29" i="160"/>
  <c r="K29" i="160" s="1"/>
  <c r="E33" i="136"/>
  <c r="C32" i="136"/>
  <c r="J33" i="136"/>
  <c r="K33" i="136" s="1"/>
  <c r="I38" i="149"/>
  <c r="J37" i="149"/>
  <c r="E31" i="11"/>
  <c r="C30" i="11"/>
  <c r="J31" i="11"/>
  <c r="K31" i="11" s="1"/>
  <c r="DT32" i="2"/>
  <c r="I37" i="111"/>
  <c r="J36" i="111"/>
  <c r="K34" i="21"/>
  <c r="E28" i="32"/>
  <c r="C27" i="32"/>
  <c r="J28" i="32"/>
  <c r="K28" i="32" s="1"/>
  <c r="E33" i="50"/>
  <c r="C32" i="50"/>
  <c r="AT33" i="2"/>
  <c r="J33" i="50"/>
  <c r="K33" i="50" s="1"/>
  <c r="I39" i="77"/>
  <c r="J38" i="77"/>
  <c r="K37" i="77" s="1"/>
  <c r="I38" i="158"/>
  <c r="J37" i="158"/>
  <c r="K36" i="158" s="1"/>
  <c r="I37" i="31"/>
  <c r="J36" i="31"/>
  <c r="K37" i="128"/>
  <c r="K36" i="149"/>
  <c r="FW34" i="2"/>
  <c r="E30" i="149"/>
  <c r="C29" i="149"/>
  <c r="J30" i="149"/>
  <c r="K30" i="149" s="1"/>
  <c r="I37" i="21"/>
  <c r="J36" i="21"/>
  <c r="K35" i="21" s="1"/>
  <c r="K36" i="60"/>
  <c r="I40" i="22"/>
  <c r="J39" i="22"/>
  <c r="K38" i="22" s="1"/>
  <c r="K35" i="53"/>
  <c r="I36" i="148"/>
  <c r="J35" i="148"/>
  <c r="K35" i="31"/>
  <c r="E32" i="20"/>
  <c r="C31" i="20"/>
  <c r="J32" i="20"/>
  <c r="K32" i="20" s="1"/>
  <c r="K33" i="112"/>
  <c r="I39" i="156"/>
  <c r="J38" i="156"/>
  <c r="K33" i="36"/>
  <c r="E32" i="142"/>
  <c r="C31" i="142"/>
  <c r="J32" i="142"/>
  <c r="K32" i="142" s="1"/>
  <c r="K35" i="84"/>
  <c r="C30" i="81"/>
  <c r="E31" i="81"/>
  <c r="J31" i="81"/>
  <c r="K31" i="81" s="1"/>
  <c r="K38" i="42"/>
  <c r="E31" i="17"/>
  <c r="C30" i="17"/>
  <c r="J31" i="17"/>
  <c r="K31" i="17" s="1"/>
  <c r="IK34" i="2"/>
  <c r="I38" i="60"/>
  <c r="J37" i="60"/>
  <c r="I38" i="25"/>
  <c r="J37" i="25"/>
  <c r="K36" i="25" s="1"/>
  <c r="J36" i="53"/>
  <c r="I37" i="53"/>
  <c r="K34" i="148"/>
  <c r="C29" i="124"/>
  <c r="E30" i="124"/>
  <c r="J30" i="124"/>
  <c r="K30" i="124" s="1"/>
  <c r="C31" i="101"/>
  <c r="E32" i="101"/>
  <c r="J32" i="101"/>
  <c r="K32" i="101" s="1"/>
  <c r="K35" i="92"/>
  <c r="J40" i="46"/>
  <c r="I41" i="46"/>
  <c r="K33" i="65"/>
  <c r="K35" i="18"/>
  <c r="I36" i="47"/>
  <c r="J35" i="47"/>
  <c r="I40" i="42"/>
  <c r="J39" i="42"/>
  <c r="C29" i="141"/>
  <c r="E30" i="141"/>
  <c r="J30" i="141"/>
  <c r="K30" i="141" s="1"/>
  <c r="E33" i="58"/>
  <c r="C32" i="58"/>
  <c r="CA32" i="2" s="1"/>
  <c r="J33" i="58"/>
  <c r="K33" i="58" s="1"/>
  <c r="E33" i="155"/>
  <c r="C32" i="155"/>
  <c r="J33" i="155"/>
  <c r="K33" i="155" s="1"/>
  <c r="J36" i="76"/>
  <c r="I37" i="76"/>
  <c r="K35" i="60"/>
  <c r="C30" i="129"/>
  <c r="E31" i="129"/>
  <c r="J31" i="129"/>
  <c r="K31" i="129" s="1"/>
  <c r="DS31" i="2"/>
  <c r="C31" i="15"/>
  <c r="E32" i="15"/>
  <c r="J32" i="15"/>
  <c r="K32" i="15" s="1"/>
  <c r="K34" i="138"/>
  <c r="K36" i="167"/>
  <c r="J36" i="39"/>
  <c r="I37" i="39"/>
  <c r="I38" i="139"/>
  <c r="J37" i="139"/>
  <c r="K36" i="139" s="1"/>
  <c r="Y34" i="1"/>
  <c r="E32" i="151"/>
  <c r="C31" i="151"/>
  <c r="J32" i="151"/>
  <c r="K32" i="151" s="1"/>
  <c r="K34" i="146"/>
  <c r="E32" i="162"/>
  <c r="C31" i="162"/>
  <c r="J32" i="162"/>
  <c r="K32" i="162" s="1"/>
  <c r="K34" i="169"/>
  <c r="I36" i="146"/>
  <c r="J35" i="146"/>
  <c r="HO33" i="2"/>
  <c r="E33" i="42"/>
  <c r="C32" i="42"/>
  <c r="J33" i="42"/>
  <c r="K33" i="42" s="1"/>
  <c r="FV33" i="2"/>
  <c r="I41" i="145"/>
  <c r="J40" i="145"/>
  <c r="I36" i="8"/>
  <c r="J35" i="8"/>
  <c r="K35" i="76"/>
  <c r="J38" i="164"/>
  <c r="I39" i="164"/>
  <c r="I41" i="15"/>
  <c r="J40" i="15"/>
  <c r="E33" i="29"/>
  <c r="C32" i="29"/>
  <c r="BE32" i="2" s="1"/>
  <c r="J33" i="29"/>
  <c r="K33" i="29" s="1"/>
  <c r="K36" i="83"/>
  <c r="J36" i="144"/>
  <c r="I37" i="144"/>
  <c r="K33" i="64"/>
  <c r="K34" i="43"/>
  <c r="I38" i="167"/>
  <c r="J37" i="167"/>
  <c r="J38" i="132"/>
  <c r="K37" i="132" s="1"/>
  <c r="I39" i="132"/>
  <c r="E32" i="96"/>
  <c r="C31" i="96"/>
  <c r="J32" i="96"/>
  <c r="K32" i="96" s="1"/>
  <c r="K37" i="51"/>
  <c r="K34" i="47"/>
  <c r="N34" i="1"/>
  <c r="J35" i="38"/>
  <c r="I36" i="38"/>
  <c r="I37" i="73"/>
  <c r="J36" i="73"/>
  <c r="E32" i="44"/>
  <c r="C31" i="44"/>
  <c r="J32" i="44"/>
  <c r="K32" i="44" s="1"/>
  <c r="I37" i="106"/>
  <c r="J36" i="106"/>
  <c r="C31" i="70"/>
  <c r="E32" i="70"/>
  <c r="J32" i="70"/>
  <c r="K32" i="70" s="1"/>
  <c r="K38" i="12"/>
  <c r="K36" i="157"/>
  <c r="J36" i="3"/>
  <c r="I37" i="3"/>
  <c r="K35" i="88"/>
  <c r="K37" i="164"/>
  <c r="I39" i="78"/>
  <c r="J38" i="78"/>
  <c r="K37" i="78" s="1"/>
  <c r="J35" i="35"/>
  <c r="K34" i="35" s="1"/>
  <c r="I36" i="35"/>
  <c r="E26" i="82"/>
  <c r="C25" i="82"/>
  <c r="J26" i="82"/>
  <c r="K26" i="82" s="1"/>
  <c r="K35" i="155"/>
  <c r="C27" i="87"/>
  <c r="E28" i="87"/>
  <c r="J28" i="87"/>
  <c r="K28" i="87" s="1"/>
  <c r="I36" i="130"/>
  <c r="J35" i="130"/>
  <c r="J37" i="83"/>
  <c r="I38" i="83"/>
  <c r="K33" i="147"/>
  <c r="J37" i="99"/>
  <c r="I38" i="99"/>
  <c r="J35" i="43"/>
  <c r="I36" i="43"/>
  <c r="K34" i="116"/>
  <c r="C30" i="167"/>
  <c r="E31" i="167"/>
  <c r="J31" i="167"/>
  <c r="K31" i="167" s="1"/>
  <c r="C31" i="10"/>
  <c r="E32" i="10"/>
  <c r="J32" i="10"/>
  <c r="K32" i="10" s="1"/>
  <c r="I37" i="170"/>
  <c r="J36" i="170"/>
  <c r="K35" i="170" s="1"/>
  <c r="J38" i="142"/>
  <c r="K37" i="142" s="1"/>
  <c r="I39" i="142"/>
  <c r="I37" i="19"/>
  <c r="J36" i="19"/>
  <c r="C32" i="121"/>
  <c r="E33" i="121"/>
  <c r="J33" i="121"/>
  <c r="K33" i="121" s="1"/>
  <c r="I39" i="135"/>
  <c r="J38" i="135"/>
  <c r="I38" i="28"/>
  <c r="J37" i="28"/>
  <c r="K36" i="28" s="1"/>
  <c r="C31" i="89"/>
  <c r="E32" i="89"/>
  <c r="J32" i="89"/>
  <c r="K32" i="89" s="1"/>
  <c r="HN32" i="2"/>
  <c r="J37" i="157"/>
  <c r="I38" i="157"/>
  <c r="K35" i="3"/>
  <c r="I37" i="88"/>
  <c r="J36" i="88"/>
  <c r="K34" i="69"/>
  <c r="J36" i="155"/>
  <c r="I37" i="155"/>
  <c r="K34" i="130"/>
  <c r="K37" i="13"/>
  <c r="I36" i="102"/>
  <c r="J35" i="102"/>
  <c r="C29" i="69"/>
  <c r="E30" i="69"/>
  <c r="J30" i="69"/>
  <c r="K30" i="69" s="1"/>
  <c r="Y34" i="2"/>
  <c r="I37" i="84"/>
  <c r="J36" i="84"/>
  <c r="J38" i="117"/>
  <c r="I39" i="117"/>
  <c r="J37" i="113"/>
  <c r="I38" i="113"/>
  <c r="K33" i="105"/>
  <c r="I38" i="129"/>
  <c r="J37" i="129"/>
  <c r="K37" i="135"/>
  <c r="I36" i="34"/>
  <c r="J35" i="34"/>
  <c r="K37" i="94"/>
  <c r="K35" i="57"/>
  <c r="K37" i="172"/>
  <c r="J35" i="69"/>
  <c r="I36" i="69"/>
  <c r="K35" i="52"/>
  <c r="I37" i="154"/>
  <c r="J36" i="154"/>
  <c r="K35" i="154" s="1"/>
  <c r="K34" i="126"/>
  <c r="J38" i="13"/>
  <c r="I39" i="13"/>
  <c r="E32" i="119"/>
  <c r="C31" i="119"/>
  <c r="J32" i="119"/>
  <c r="K32" i="119" s="1"/>
  <c r="K34" i="102"/>
  <c r="K35" i="44"/>
  <c r="E33" i="12"/>
  <c r="C32" i="12"/>
  <c r="M33" i="1"/>
  <c r="X33" i="2"/>
  <c r="J33" i="12"/>
  <c r="K33" i="12" s="1"/>
  <c r="K37" i="117"/>
  <c r="K37" i="127"/>
  <c r="K35" i="5"/>
  <c r="K34" i="34"/>
  <c r="K34" i="5"/>
  <c r="I37" i="57"/>
  <c r="J36" i="57"/>
  <c r="J40" i="7"/>
  <c r="K39" i="7" s="1"/>
  <c r="I41" i="7"/>
  <c r="C28" i="105"/>
  <c r="E29" i="105"/>
  <c r="J29" i="105"/>
  <c r="K29" i="105" s="1"/>
  <c r="I40" i="24"/>
  <c r="I39" i="172"/>
  <c r="J38" i="172"/>
  <c r="I37" i="52"/>
  <c r="J36" i="52"/>
  <c r="C30" i="64"/>
  <c r="E31" i="64"/>
  <c r="J31" i="64"/>
  <c r="K31" i="64" s="1"/>
  <c r="C30" i="67"/>
  <c r="E31" i="67"/>
  <c r="J31" i="67"/>
  <c r="K31" i="67" s="1"/>
  <c r="K36" i="124"/>
  <c r="C32" i="49"/>
  <c r="E33" i="49"/>
  <c r="J33" i="49"/>
  <c r="K33" i="49" s="1"/>
  <c r="K36" i="9"/>
  <c r="E31" i="139"/>
  <c r="C30" i="139"/>
  <c r="J31" i="139"/>
  <c r="K31" i="139" s="1"/>
  <c r="J39" i="59"/>
  <c r="I40" i="59"/>
  <c r="I37" i="108"/>
  <c r="J36" i="108"/>
  <c r="K34" i="53"/>
  <c r="I39" i="51"/>
  <c r="J38" i="51"/>
  <c r="K35" i="73"/>
  <c r="I41" i="61"/>
  <c r="J40" i="61"/>
  <c r="C31" i="117"/>
  <c r="E32" i="117"/>
  <c r="J32" i="117"/>
  <c r="K32" i="117" s="1"/>
  <c r="E32" i="77"/>
  <c r="C31" i="77"/>
  <c r="J32" i="77"/>
  <c r="K32" i="77" s="1"/>
  <c r="C32" i="90"/>
  <c r="E33" i="90"/>
  <c r="J33" i="90"/>
  <c r="K33" i="90" s="1"/>
  <c r="J38" i="127"/>
  <c r="I39" i="127"/>
  <c r="J35" i="110"/>
  <c r="K34" i="110" s="1"/>
  <c r="I36" i="110"/>
  <c r="E31" i="22"/>
  <c r="C30" i="22"/>
  <c r="J31" i="22"/>
  <c r="K31" i="22" s="1"/>
  <c r="I37" i="5"/>
  <c r="J36" i="5"/>
  <c r="K36" i="142"/>
  <c r="K35" i="67"/>
  <c r="E33" i="100"/>
  <c r="C32" i="100"/>
  <c r="J33" i="100"/>
  <c r="K33" i="100" s="1"/>
  <c r="K36" i="135"/>
  <c r="K36" i="118"/>
  <c r="E32" i="21"/>
  <c r="C31" i="21"/>
  <c r="J32" i="21"/>
  <c r="K32" i="21" s="1"/>
  <c r="K34" i="85"/>
  <c r="I37" i="131"/>
  <c r="J36" i="131"/>
  <c r="E31" i="144"/>
  <c r="C30" i="144"/>
  <c r="J31" i="144"/>
  <c r="K31" i="144" s="1"/>
  <c r="K35" i="49"/>
  <c r="I36" i="90"/>
  <c r="J35" i="90"/>
  <c r="I38" i="124"/>
  <c r="J37" i="124"/>
  <c r="K35" i="121"/>
  <c r="J36" i="56"/>
  <c r="K35" i="56" s="1"/>
  <c r="I37" i="56"/>
  <c r="K35" i="108"/>
  <c r="K34" i="52"/>
  <c r="CB32" i="2" l="1"/>
  <c r="BF32" i="2"/>
  <c r="C29" i="22"/>
  <c r="E30" i="22"/>
  <c r="J30" i="22"/>
  <c r="K30" i="22" s="1"/>
  <c r="I39" i="149"/>
  <c r="J38" i="149"/>
  <c r="I40" i="13"/>
  <c r="J39" i="13"/>
  <c r="I38" i="52"/>
  <c r="J37" i="52"/>
  <c r="J37" i="154"/>
  <c r="I38" i="154"/>
  <c r="E30" i="167"/>
  <c r="C29" i="167"/>
  <c r="J30" i="167"/>
  <c r="K30" i="167" s="1"/>
  <c r="I38" i="39"/>
  <c r="J37" i="39"/>
  <c r="J36" i="47"/>
  <c r="I37" i="47"/>
  <c r="C31" i="109"/>
  <c r="E32" i="109"/>
  <c r="ED32" i="2"/>
  <c r="J32" i="109"/>
  <c r="K32" i="109" s="1"/>
  <c r="C29" i="116"/>
  <c r="E30" i="116"/>
  <c r="J30" i="116"/>
  <c r="K30" i="116" s="1"/>
  <c r="I37" i="141"/>
  <c r="J36" i="141"/>
  <c r="I38" i="104"/>
  <c r="J37" i="104"/>
  <c r="E31" i="48"/>
  <c r="C30" i="48"/>
  <c r="J31" i="48"/>
  <c r="K31" i="48" s="1"/>
  <c r="E29" i="61"/>
  <c r="C28" i="61"/>
  <c r="J29" i="61"/>
  <c r="K29" i="61" s="1"/>
  <c r="C29" i="54"/>
  <c r="E30" i="54"/>
  <c r="J30" i="54"/>
  <c r="K30" i="54" s="1"/>
  <c r="K36" i="138"/>
  <c r="I38" i="86"/>
  <c r="J37" i="86"/>
  <c r="K36" i="153"/>
  <c r="K39" i="71"/>
  <c r="E31" i="79"/>
  <c r="C30" i="79"/>
  <c r="J31" i="79"/>
  <c r="K31" i="79" s="1"/>
  <c r="C28" i="168"/>
  <c r="E29" i="168"/>
  <c r="J29" i="168"/>
  <c r="K29" i="168" s="1"/>
  <c r="K35" i="141"/>
  <c r="K36" i="104"/>
  <c r="I41" i="79"/>
  <c r="J40" i="79"/>
  <c r="I38" i="138"/>
  <c r="J37" i="138"/>
  <c r="E30" i="128"/>
  <c r="C29" i="128"/>
  <c r="J30" i="128"/>
  <c r="K30" i="128" s="1"/>
  <c r="I37" i="140"/>
  <c r="J36" i="140"/>
  <c r="K35" i="140" s="1"/>
  <c r="J37" i="84"/>
  <c r="I38" i="84"/>
  <c r="I37" i="36"/>
  <c r="J36" i="36"/>
  <c r="C31" i="27"/>
  <c r="E32" i="27"/>
  <c r="J32" i="27"/>
  <c r="K32" i="27" s="1"/>
  <c r="C29" i="18"/>
  <c r="E30" i="18"/>
  <c r="J30" i="18"/>
  <c r="K30" i="18" s="1"/>
  <c r="J41" i="74"/>
  <c r="I42" i="74"/>
  <c r="I42" i="15"/>
  <c r="J41" i="15"/>
  <c r="I40" i="156"/>
  <c r="J39" i="156"/>
  <c r="AU33" i="2"/>
  <c r="E27" i="157"/>
  <c r="C26" i="157"/>
  <c r="J27" i="157"/>
  <c r="K27" i="157" s="1"/>
  <c r="I38" i="153"/>
  <c r="J37" i="153"/>
  <c r="BQ33" i="2"/>
  <c r="I41" i="71"/>
  <c r="J40" i="71"/>
  <c r="E32" i="28"/>
  <c r="C31" i="28"/>
  <c r="J32" i="28"/>
  <c r="K32" i="28" s="1"/>
  <c r="C29" i="5"/>
  <c r="E30" i="5"/>
  <c r="J30" i="5"/>
  <c r="K30" i="5" s="1"/>
  <c r="C29" i="9"/>
  <c r="E30" i="9"/>
  <c r="J30" i="9"/>
  <c r="K30" i="9" s="1"/>
  <c r="I38" i="54"/>
  <c r="J37" i="54"/>
  <c r="I37" i="100"/>
  <c r="J36" i="100"/>
  <c r="K39" i="79"/>
  <c r="E28" i="111"/>
  <c r="C27" i="111"/>
  <c r="J28" i="111"/>
  <c r="K28" i="111" s="1"/>
  <c r="K35" i="174"/>
  <c r="K35" i="112"/>
  <c r="K37" i="118"/>
  <c r="I40" i="132"/>
  <c r="J39" i="132"/>
  <c r="J37" i="106"/>
  <c r="I38" i="106"/>
  <c r="I40" i="164"/>
  <c r="J39" i="164"/>
  <c r="K38" i="164" s="1"/>
  <c r="J41" i="46"/>
  <c r="I42" i="46"/>
  <c r="C31" i="50"/>
  <c r="E32" i="50"/>
  <c r="AT32" i="2"/>
  <c r="J32" i="50"/>
  <c r="K32" i="50" s="1"/>
  <c r="I38" i="87"/>
  <c r="J37" i="87"/>
  <c r="K35" i="160"/>
  <c r="E31" i="31"/>
  <c r="C30" i="31"/>
  <c r="J31" i="31"/>
  <c r="K31" i="31" s="1"/>
  <c r="I37" i="64"/>
  <c r="J36" i="64"/>
  <c r="J37" i="137"/>
  <c r="I38" i="137"/>
  <c r="K36" i="54"/>
  <c r="K35" i="100"/>
  <c r="IJ32" i="2"/>
  <c r="J36" i="174"/>
  <c r="I37" i="174"/>
  <c r="J36" i="112"/>
  <c r="I37" i="112"/>
  <c r="I39" i="44"/>
  <c r="J38" i="44"/>
  <c r="I39" i="118"/>
  <c r="J38" i="118"/>
  <c r="J39" i="172"/>
  <c r="K38" i="172" s="1"/>
  <c r="I40" i="172"/>
  <c r="K36" i="106"/>
  <c r="K40" i="46"/>
  <c r="K35" i="109"/>
  <c r="E32" i="52"/>
  <c r="C31" i="52"/>
  <c r="BP32" i="2"/>
  <c r="J32" i="52"/>
  <c r="K32" i="52" s="1"/>
  <c r="I37" i="160"/>
  <c r="J36" i="160"/>
  <c r="J39" i="128"/>
  <c r="K38" i="128" s="1"/>
  <c r="I40" i="128"/>
  <c r="K39" i="14"/>
  <c r="K35" i="64"/>
  <c r="I39" i="165"/>
  <c r="J38" i="165"/>
  <c r="K37" i="165" s="1"/>
  <c r="K39" i="94"/>
  <c r="K36" i="168"/>
  <c r="K37" i="44"/>
  <c r="J36" i="105"/>
  <c r="I37" i="105"/>
  <c r="E29" i="51"/>
  <c r="C28" i="51"/>
  <c r="J29" i="51"/>
  <c r="K29" i="51" s="1"/>
  <c r="I39" i="99"/>
  <c r="J38" i="99"/>
  <c r="J37" i="131"/>
  <c r="I38" i="131"/>
  <c r="K37" i="99"/>
  <c r="E31" i="44"/>
  <c r="C30" i="44"/>
  <c r="J31" i="44"/>
  <c r="K31" i="44" s="1"/>
  <c r="C30" i="20"/>
  <c r="E31" i="20"/>
  <c r="J31" i="20"/>
  <c r="K31" i="20" s="1"/>
  <c r="C28" i="73"/>
  <c r="E29" i="73"/>
  <c r="J29" i="73"/>
  <c r="K29" i="73" s="1"/>
  <c r="E30" i="83"/>
  <c r="C29" i="83"/>
  <c r="J30" i="83"/>
  <c r="K30" i="83" s="1"/>
  <c r="I37" i="109"/>
  <c r="J36" i="109"/>
  <c r="K34" i="95"/>
  <c r="I40" i="62"/>
  <c r="J39" i="62"/>
  <c r="K38" i="62" s="1"/>
  <c r="J40" i="14"/>
  <c r="I41" i="14"/>
  <c r="J40" i="94"/>
  <c r="I41" i="94"/>
  <c r="E29" i="39"/>
  <c r="C28" i="39"/>
  <c r="J29" i="39"/>
  <c r="K29" i="39" s="1"/>
  <c r="C30" i="154"/>
  <c r="E31" i="154"/>
  <c r="J31" i="154"/>
  <c r="K31" i="154" s="1"/>
  <c r="IJ31" i="2"/>
  <c r="I38" i="168"/>
  <c r="J37" i="168"/>
  <c r="I38" i="33"/>
  <c r="J37" i="33"/>
  <c r="C24" i="98"/>
  <c r="E25" i="98"/>
  <c r="J25" i="98"/>
  <c r="K25" i="98" s="1"/>
  <c r="I42" i="61"/>
  <c r="J41" i="61"/>
  <c r="J37" i="88"/>
  <c r="I38" i="88"/>
  <c r="C27" i="105"/>
  <c r="E28" i="105"/>
  <c r="J28" i="105"/>
  <c r="K28" i="105" s="1"/>
  <c r="C26" i="32"/>
  <c r="E27" i="32"/>
  <c r="J27" i="32"/>
  <c r="K27" i="32" s="1"/>
  <c r="K39" i="134"/>
  <c r="K36" i="20"/>
  <c r="AI32" i="2"/>
  <c r="E29" i="159"/>
  <c r="C28" i="159"/>
  <c r="J29" i="159"/>
  <c r="K29" i="159" s="1"/>
  <c r="E31" i="78"/>
  <c r="C30" i="78"/>
  <c r="J31" i="78"/>
  <c r="K31" i="78" s="1"/>
  <c r="DI32" i="2"/>
  <c r="J38" i="72"/>
  <c r="K37" i="72" s="1"/>
  <c r="I39" i="72"/>
  <c r="E31" i="162"/>
  <c r="C30" i="162"/>
  <c r="J31" i="162"/>
  <c r="K31" i="162" s="1"/>
  <c r="J36" i="43"/>
  <c r="I37" i="43"/>
  <c r="J39" i="51"/>
  <c r="K38" i="51" s="1"/>
  <c r="I40" i="51"/>
  <c r="J41" i="7"/>
  <c r="I42" i="7"/>
  <c r="J38" i="157"/>
  <c r="I39" i="157"/>
  <c r="K35" i="144"/>
  <c r="K36" i="73"/>
  <c r="I37" i="8"/>
  <c r="J36" i="8"/>
  <c r="K39" i="46"/>
  <c r="K34" i="65"/>
  <c r="J41" i="134"/>
  <c r="I42" i="134"/>
  <c r="K35" i="20"/>
  <c r="I38" i="20"/>
  <c r="J37" i="20"/>
  <c r="C30" i="38"/>
  <c r="E31" i="38"/>
  <c r="J31" i="38"/>
  <c r="K31" i="38" s="1"/>
  <c r="E31" i="140"/>
  <c r="C30" i="140"/>
  <c r="J31" i="140"/>
  <c r="K31" i="140" s="1"/>
  <c r="E32" i="56"/>
  <c r="C31" i="56"/>
  <c r="J32" i="56"/>
  <c r="K32" i="56" s="1"/>
  <c r="C28" i="72"/>
  <c r="E29" i="72"/>
  <c r="J29" i="72"/>
  <c r="K29" i="72" s="1"/>
  <c r="K37" i="68"/>
  <c r="C31" i="155"/>
  <c r="E32" i="155"/>
  <c r="J32" i="155"/>
  <c r="K32" i="155" s="1"/>
  <c r="E31" i="21"/>
  <c r="C30" i="21"/>
  <c r="J31" i="21"/>
  <c r="K31" i="21" s="1"/>
  <c r="I37" i="65"/>
  <c r="J36" i="65"/>
  <c r="K35" i="65" s="1"/>
  <c r="C29" i="161"/>
  <c r="E30" i="161"/>
  <c r="J30" i="161"/>
  <c r="K30" i="161" s="1"/>
  <c r="K37" i="63"/>
  <c r="C31" i="143"/>
  <c r="E32" i="143"/>
  <c r="J32" i="143"/>
  <c r="K32" i="143" s="1"/>
  <c r="J38" i="68"/>
  <c r="I39" i="68"/>
  <c r="E30" i="57"/>
  <c r="C29" i="57"/>
  <c r="J30" i="57"/>
  <c r="K30" i="57" s="1"/>
  <c r="K38" i="132"/>
  <c r="C30" i="70"/>
  <c r="E31" i="70"/>
  <c r="J31" i="70"/>
  <c r="K31" i="70" s="1"/>
  <c r="K36" i="39"/>
  <c r="C29" i="144"/>
  <c r="E30" i="144"/>
  <c r="J30" i="144"/>
  <c r="K30" i="144" s="1"/>
  <c r="C30" i="117"/>
  <c r="E31" i="117"/>
  <c r="J31" i="117"/>
  <c r="K31" i="117" s="1"/>
  <c r="I41" i="24"/>
  <c r="I37" i="69"/>
  <c r="J36" i="69"/>
  <c r="K40" i="7"/>
  <c r="K35" i="34"/>
  <c r="K37" i="157"/>
  <c r="E31" i="15"/>
  <c r="C30" i="15"/>
  <c r="J31" i="15"/>
  <c r="K31" i="15" s="1"/>
  <c r="N32" i="2"/>
  <c r="I37" i="34"/>
  <c r="J36" i="34"/>
  <c r="HO32" i="2"/>
  <c r="I42" i="145"/>
  <c r="J41" i="145"/>
  <c r="K39" i="15"/>
  <c r="K35" i="148"/>
  <c r="E29" i="47"/>
  <c r="C28" i="47"/>
  <c r="J29" i="47"/>
  <c r="K29" i="47" s="1"/>
  <c r="E30" i="60"/>
  <c r="C29" i="60"/>
  <c r="J30" i="60"/>
  <c r="K30" i="60" s="1"/>
  <c r="I38" i="126"/>
  <c r="J37" i="126"/>
  <c r="E30" i="150"/>
  <c r="C29" i="150"/>
  <c r="J30" i="150"/>
  <c r="K30" i="150" s="1"/>
  <c r="E29" i="37"/>
  <c r="C28" i="37"/>
  <c r="J29" i="37"/>
  <c r="K29" i="37" s="1"/>
  <c r="J39" i="152"/>
  <c r="K38" i="152" s="1"/>
  <c r="I40" i="152"/>
  <c r="K35" i="58"/>
  <c r="C30" i="35"/>
  <c r="E31" i="35"/>
  <c r="J31" i="35"/>
  <c r="K31" i="35" s="1"/>
  <c r="I41" i="82"/>
  <c r="J40" i="82"/>
  <c r="I39" i="63"/>
  <c r="J38" i="63"/>
  <c r="C30" i="164"/>
  <c r="E31" i="164"/>
  <c r="J31" i="164"/>
  <c r="K31" i="164" s="1"/>
  <c r="E31" i="133"/>
  <c r="C30" i="133"/>
  <c r="J31" i="133"/>
  <c r="K31" i="133" s="1"/>
  <c r="DH31" i="2"/>
  <c r="K36" i="44"/>
  <c r="C30" i="114"/>
  <c r="E31" i="114"/>
  <c r="J31" i="114"/>
  <c r="K31" i="114" s="1"/>
  <c r="I39" i="83"/>
  <c r="J38" i="83"/>
  <c r="I38" i="73"/>
  <c r="J37" i="73"/>
  <c r="K40" i="145"/>
  <c r="C30" i="101"/>
  <c r="E31" i="101"/>
  <c r="J31" i="101"/>
  <c r="K31" i="101" s="1"/>
  <c r="I38" i="108"/>
  <c r="J37" i="108"/>
  <c r="K36" i="108" s="1"/>
  <c r="J37" i="57"/>
  <c r="K36" i="57" s="1"/>
  <c r="I38" i="57"/>
  <c r="K35" i="130"/>
  <c r="I37" i="38"/>
  <c r="J36" i="38"/>
  <c r="FW33" i="2"/>
  <c r="I37" i="148"/>
  <c r="J36" i="148"/>
  <c r="C30" i="33"/>
  <c r="E31" i="33"/>
  <c r="M31" i="2"/>
  <c r="J31" i="33"/>
  <c r="K31" i="33" s="1"/>
  <c r="E32" i="158"/>
  <c r="C31" i="158"/>
  <c r="J32" i="158"/>
  <c r="K32" i="158" s="1"/>
  <c r="I37" i="58"/>
  <c r="J36" i="58"/>
  <c r="J40" i="32"/>
  <c r="K39" i="32" s="1"/>
  <c r="I41" i="32"/>
  <c r="J41" i="133"/>
  <c r="I42" i="133"/>
  <c r="E31" i="71"/>
  <c r="C30" i="71"/>
  <c r="J31" i="71"/>
  <c r="K31" i="71" s="1"/>
  <c r="I39" i="93"/>
  <c r="J38" i="93"/>
  <c r="E27" i="138"/>
  <c r="C26" i="138"/>
  <c r="J27" i="138"/>
  <c r="K27" i="138" s="1"/>
  <c r="K35" i="33"/>
  <c r="K37" i="129"/>
  <c r="I37" i="130"/>
  <c r="J36" i="130"/>
  <c r="C28" i="124"/>
  <c r="E29" i="124"/>
  <c r="J29" i="124"/>
  <c r="K29" i="124" s="1"/>
  <c r="J37" i="111"/>
  <c r="I38" i="111"/>
  <c r="I38" i="103"/>
  <c r="J37" i="103"/>
  <c r="I38" i="161"/>
  <c r="J37" i="161"/>
  <c r="K37" i="152"/>
  <c r="I40" i="101"/>
  <c r="J39" i="101"/>
  <c r="J38" i="18"/>
  <c r="I39" i="18"/>
  <c r="I38" i="116"/>
  <c r="J37" i="116"/>
  <c r="K36" i="80"/>
  <c r="K35" i="168"/>
  <c r="K38" i="122"/>
  <c r="K35" i="55"/>
  <c r="I39" i="129"/>
  <c r="J38" i="129"/>
  <c r="E31" i="89"/>
  <c r="C30" i="89"/>
  <c r="J31" i="89"/>
  <c r="K31" i="89" s="1"/>
  <c r="C31" i="42"/>
  <c r="E32" i="42"/>
  <c r="J32" i="42"/>
  <c r="K32" i="42" s="1"/>
  <c r="FV32" i="2"/>
  <c r="DT31" i="2"/>
  <c r="K39" i="22"/>
  <c r="I40" i="16"/>
  <c r="J39" i="16"/>
  <c r="K38" i="16" s="1"/>
  <c r="K36" i="116"/>
  <c r="E30" i="65"/>
  <c r="C29" i="65"/>
  <c r="J30" i="65"/>
  <c r="K30" i="65" s="1"/>
  <c r="E27" i="146"/>
  <c r="C26" i="146"/>
  <c r="J27" i="146"/>
  <c r="K27" i="146" s="1"/>
  <c r="J37" i="80"/>
  <c r="I38" i="80"/>
  <c r="J39" i="122"/>
  <c r="I40" i="122"/>
  <c r="I39" i="173"/>
  <c r="J38" i="173"/>
  <c r="I37" i="55"/>
  <c r="J36" i="55"/>
  <c r="C31" i="12"/>
  <c r="E32" i="12"/>
  <c r="X32" i="2"/>
  <c r="M32" i="1"/>
  <c r="J32" i="12"/>
  <c r="K32" i="12" s="1"/>
  <c r="E32" i="100"/>
  <c r="C31" i="100"/>
  <c r="J32" i="100"/>
  <c r="K32" i="100" s="1"/>
  <c r="C29" i="135"/>
  <c r="E30" i="135"/>
  <c r="J30" i="135"/>
  <c r="K30" i="135" s="1"/>
  <c r="C31" i="55"/>
  <c r="E32" i="55"/>
  <c r="J32" i="55"/>
  <c r="K32" i="55" s="1"/>
  <c r="E32" i="14"/>
  <c r="C31" i="14"/>
  <c r="J32" i="14"/>
  <c r="K32" i="14" s="1"/>
  <c r="GR32" i="2"/>
  <c r="J36" i="147"/>
  <c r="I37" i="147"/>
  <c r="K36" i="162"/>
  <c r="C31" i="152"/>
  <c r="E32" i="152"/>
  <c r="J32" i="152"/>
  <c r="K32" i="152" s="1"/>
  <c r="E32" i="170"/>
  <c r="C31" i="170"/>
  <c r="J32" i="170"/>
  <c r="K32" i="170" s="1"/>
  <c r="K34" i="141"/>
  <c r="I37" i="171"/>
  <c r="J36" i="171"/>
  <c r="K36" i="103"/>
  <c r="K37" i="28"/>
  <c r="E30" i="139"/>
  <c r="C29" i="139"/>
  <c r="J30" i="139"/>
  <c r="K30" i="139" s="1"/>
  <c r="I39" i="113"/>
  <c r="J38" i="113"/>
  <c r="I39" i="28"/>
  <c r="J38" i="28"/>
  <c r="E27" i="87"/>
  <c r="C26" i="87"/>
  <c r="J27" i="87"/>
  <c r="K27" i="87" s="1"/>
  <c r="K34" i="38"/>
  <c r="J37" i="162"/>
  <c r="I38" i="162"/>
  <c r="E31" i="76"/>
  <c r="C30" i="76"/>
  <c r="J31" i="76"/>
  <c r="K31" i="76" s="1"/>
  <c r="K34" i="166"/>
  <c r="C30" i="132"/>
  <c r="E31" i="132"/>
  <c r="J31" i="132"/>
  <c r="K31" i="132" s="1"/>
  <c r="E32" i="93"/>
  <c r="C31" i="93"/>
  <c r="J32" i="93"/>
  <c r="K32" i="93" s="1"/>
  <c r="J38" i="37"/>
  <c r="K37" i="37" s="1"/>
  <c r="I39" i="37"/>
  <c r="C29" i="113"/>
  <c r="E30" i="113"/>
  <c r="J30" i="113"/>
  <c r="K30" i="113" s="1"/>
  <c r="E29" i="173"/>
  <c r="C28" i="173"/>
  <c r="J29" i="173"/>
  <c r="K29" i="173" s="1"/>
  <c r="C28" i="127"/>
  <c r="E29" i="127"/>
  <c r="J29" i="127"/>
  <c r="K29" i="127" s="1"/>
  <c r="J36" i="40"/>
  <c r="K35" i="40" s="1"/>
  <c r="I37" i="40"/>
  <c r="E30" i="129"/>
  <c r="C29" i="129"/>
  <c r="J30" i="129"/>
  <c r="K30" i="129" s="1"/>
  <c r="DS30" i="2"/>
  <c r="K36" i="21"/>
  <c r="K35" i="162"/>
  <c r="C31" i="91"/>
  <c r="E32" i="91"/>
  <c r="J32" i="91"/>
  <c r="K32" i="91" s="1"/>
  <c r="E30" i="74"/>
  <c r="C29" i="74"/>
  <c r="J30" i="74"/>
  <c r="K30" i="74" s="1"/>
  <c r="FK32" i="2"/>
  <c r="K35" i="116"/>
  <c r="I40" i="89"/>
  <c r="J39" i="89"/>
  <c r="C28" i="171"/>
  <c r="E29" i="171"/>
  <c r="J29" i="171"/>
  <c r="K29" i="171" s="1"/>
  <c r="K35" i="80"/>
  <c r="K34" i="55"/>
  <c r="J39" i="117"/>
  <c r="I40" i="117"/>
  <c r="J39" i="135"/>
  <c r="I40" i="135"/>
  <c r="E31" i="80"/>
  <c r="C30" i="80"/>
  <c r="J31" i="80"/>
  <c r="K31" i="80" s="1"/>
  <c r="CL32" i="2"/>
  <c r="I37" i="81"/>
  <c r="J36" i="81"/>
  <c r="E29" i="26"/>
  <c r="C28" i="26"/>
  <c r="J29" i="26"/>
  <c r="K29" i="26" s="1"/>
  <c r="E30" i="99"/>
  <c r="C29" i="99"/>
  <c r="J30" i="99"/>
  <c r="K30" i="99" s="1"/>
  <c r="E31" i="88"/>
  <c r="C30" i="88"/>
  <c r="FK31" i="2"/>
  <c r="J31" i="88"/>
  <c r="K31" i="88" s="1"/>
  <c r="J39" i="9"/>
  <c r="I40" i="9"/>
  <c r="E32" i="174"/>
  <c r="C31" i="174"/>
  <c r="J32" i="174"/>
  <c r="K32" i="174" s="1"/>
  <c r="K38" i="89"/>
  <c r="K34" i="40"/>
  <c r="K38" i="71"/>
  <c r="E32" i="49"/>
  <c r="C31" i="49"/>
  <c r="J32" i="49"/>
  <c r="K32" i="49" s="1"/>
  <c r="I37" i="166"/>
  <c r="J36" i="166"/>
  <c r="I38" i="53"/>
  <c r="J37" i="53"/>
  <c r="J40" i="22"/>
  <c r="I41" i="22"/>
  <c r="K37" i="113"/>
  <c r="K36" i="129"/>
  <c r="E25" i="82"/>
  <c r="C24" i="82"/>
  <c r="J25" i="82"/>
  <c r="K25" i="82" s="1"/>
  <c r="C30" i="96"/>
  <c r="E31" i="96"/>
  <c r="J31" i="96"/>
  <c r="K31" i="96" s="1"/>
  <c r="J36" i="146"/>
  <c r="I37" i="146"/>
  <c r="J37" i="76"/>
  <c r="I38" i="76"/>
  <c r="K35" i="81"/>
  <c r="E29" i="115"/>
  <c r="C28" i="115"/>
  <c r="J29" i="115"/>
  <c r="K29" i="115" s="1"/>
  <c r="E30" i="16"/>
  <c r="C29" i="16"/>
  <c r="J30" i="16"/>
  <c r="K30" i="16" s="1"/>
  <c r="K35" i="17"/>
  <c r="J41" i="12"/>
  <c r="I42" i="12"/>
  <c r="K38" i="9"/>
  <c r="I38" i="97"/>
  <c r="J37" i="97"/>
  <c r="E30" i="68"/>
  <c r="C29" i="68"/>
  <c r="J30" i="68"/>
  <c r="K30" i="68" s="1"/>
  <c r="E30" i="126"/>
  <c r="C29" i="126"/>
  <c r="J30" i="126"/>
  <c r="K30" i="126" s="1"/>
  <c r="J40" i="59"/>
  <c r="K39" i="59" s="1"/>
  <c r="I41" i="59"/>
  <c r="K35" i="147"/>
  <c r="I39" i="25"/>
  <c r="J38" i="25"/>
  <c r="K37" i="25" s="1"/>
  <c r="J37" i="21"/>
  <c r="I38" i="21"/>
  <c r="C29" i="11"/>
  <c r="E30" i="11"/>
  <c r="J30" i="11"/>
  <c r="K30" i="11" s="1"/>
  <c r="C29" i="66"/>
  <c r="E30" i="66"/>
  <c r="J30" i="66"/>
  <c r="K30" i="66" s="1"/>
  <c r="K36" i="5"/>
  <c r="K39" i="61"/>
  <c r="I38" i="5"/>
  <c r="J37" i="5"/>
  <c r="K36" i="113"/>
  <c r="K35" i="106"/>
  <c r="K36" i="76"/>
  <c r="J38" i="60"/>
  <c r="I39" i="60"/>
  <c r="C28" i="149"/>
  <c r="E29" i="149"/>
  <c r="J29" i="149"/>
  <c r="K29" i="149" s="1"/>
  <c r="K35" i="153"/>
  <c r="E30" i="104"/>
  <c r="C29" i="104"/>
  <c r="J30" i="104"/>
  <c r="K30" i="104" s="1"/>
  <c r="E31" i="63"/>
  <c r="C30" i="63"/>
  <c r="J31" i="63"/>
  <c r="K31" i="63" s="1"/>
  <c r="C27" i="34"/>
  <c r="E28" i="34"/>
  <c r="J28" i="34"/>
  <c r="K28" i="34" s="1"/>
  <c r="C28" i="84"/>
  <c r="E29" i="84"/>
  <c r="J29" i="84"/>
  <c r="K29" i="84" s="1"/>
  <c r="J36" i="17"/>
  <c r="I37" i="17"/>
  <c r="K35" i="125"/>
  <c r="K35" i="137"/>
  <c r="J36" i="96"/>
  <c r="K35" i="96" s="1"/>
  <c r="I37" i="96"/>
  <c r="E32" i="3"/>
  <c r="C31" i="3"/>
  <c r="J32" i="3"/>
  <c r="K32" i="3" s="1"/>
  <c r="K36" i="97"/>
  <c r="I38" i="67"/>
  <c r="J37" i="67"/>
  <c r="K35" i="146"/>
  <c r="Y33" i="2"/>
  <c r="K36" i="84"/>
  <c r="I37" i="35"/>
  <c r="J36" i="35"/>
  <c r="K35" i="35" s="1"/>
  <c r="K35" i="39"/>
  <c r="K34" i="8"/>
  <c r="K37" i="149"/>
  <c r="K35" i="36"/>
  <c r="K36" i="10"/>
  <c r="J38" i="10"/>
  <c r="I39" i="10"/>
  <c r="J38" i="115"/>
  <c r="K37" i="115" s="1"/>
  <c r="I39" i="115"/>
  <c r="J36" i="125"/>
  <c r="I37" i="125"/>
  <c r="I38" i="85"/>
  <c r="J37" i="85"/>
  <c r="K36" i="85" s="1"/>
  <c r="C29" i="137"/>
  <c r="E30" i="137"/>
  <c r="J30" i="137"/>
  <c r="K30" i="137" s="1"/>
  <c r="K34" i="96"/>
  <c r="J36" i="45"/>
  <c r="K35" i="45" s="1"/>
  <c r="I37" i="45"/>
  <c r="K36" i="67"/>
  <c r="E32" i="121"/>
  <c r="C31" i="121"/>
  <c r="J32" i="121"/>
  <c r="K32" i="121" s="1"/>
  <c r="K38" i="136"/>
  <c r="C27" i="59"/>
  <c r="E28" i="59"/>
  <c r="J28" i="59"/>
  <c r="K28" i="59" s="1"/>
  <c r="I37" i="11"/>
  <c r="J36" i="11"/>
  <c r="K35" i="11" s="1"/>
  <c r="I38" i="114"/>
  <c r="J37" i="114"/>
  <c r="C30" i="36"/>
  <c r="E31" i="36"/>
  <c r="J31" i="36"/>
  <c r="K31" i="36" s="1"/>
  <c r="K40" i="74"/>
  <c r="I40" i="136"/>
  <c r="J39" i="136"/>
  <c r="I41" i="27"/>
  <c r="J40" i="27"/>
  <c r="K39" i="27" s="1"/>
  <c r="C26" i="156"/>
  <c r="E27" i="156"/>
  <c r="J27" i="156"/>
  <c r="K27" i="156" s="1"/>
  <c r="J38" i="41"/>
  <c r="K37" i="41" s="1"/>
  <c r="I39" i="41"/>
  <c r="HD33" i="2"/>
  <c r="E30" i="25"/>
  <c r="C29" i="25"/>
  <c r="J30" i="25"/>
  <c r="K30" i="25" s="1"/>
  <c r="K36" i="114"/>
  <c r="J36" i="143"/>
  <c r="I37" i="143"/>
  <c r="J36" i="110"/>
  <c r="I37" i="110"/>
  <c r="J37" i="19"/>
  <c r="I38" i="19"/>
  <c r="I40" i="78"/>
  <c r="J39" i="78"/>
  <c r="K38" i="78" s="1"/>
  <c r="E30" i="17"/>
  <c r="C29" i="17"/>
  <c r="J30" i="17"/>
  <c r="K30" i="17" s="1"/>
  <c r="E32" i="136"/>
  <c r="C31" i="136"/>
  <c r="J32" i="136"/>
  <c r="K32" i="136" s="1"/>
  <c r="I42" i="75"/>
  <c r="J41" i="75"/>
  <c r="EP33" i="2"/>
  <c r="K36" i="30"/>
  <c r="E30" i="110"/>
  <c r="C29" i="110"/>
  <c r="J30" i="110"/>
  <c r="K30" i="110" s="1"/>
  <c r="I37" i="91"/>
  <c r="J36" i="91"/>
  <c r="C28" i="40"/>
  <c r="E29" i="40"/>
  <c r="J29" i="40"/>
  <c r="K29" i="40" s="1"/>
  <c r="C28" i="106"/>
  <c r="E29" i="106"/>
  <c r="J29" i="106"/>
  <c r="K29" i="106" s="1"/>
  <c r="BQ33" i="1"/>
  <c r="E29" i="120"/>
  <c r="C28" i="120"/>
  <c r="J29" i="120"/>
  <c r="K29" i="120" s="1"/>
  <c r="K37" i="122"/>
  <c r="J39" i="142"/>
  <c r="I40" i="142"/>
  <c r="J38" i="167"/>
  <c r="I39" i="167"/>
  <c r="K35" i="19"/>
  <c r="EP32" i="2"/>
  <c r="K36" i="70"/>
  <c r="E31" i="153"/>
  <c r="C30" i="153"/>
  <c r="J31" i="153"/>
  <c r="K31" i="153" s="1"/>
  <c r="C31" i="107"/>
  <c r="E32" i="107"/>
  <c r="J32" i="107"/>
  <c r="K32" i="107" s="1"/>
  <c r="C29" i="75"/>
  <c r="E30" i="75"/>
  <c r="J30" i="75"/>
  <c r="K30" i="75" s="1"/>
  <c r="K37" i="16"/>
  <c r="CW31" i="2"/>
  <c r="C31" i="8"/>
  <c r="E32" i="8"/>
  <c r="HC32" i="2"/>
  <c r="BP32" i="1"/>
  <c r="J32" i="8"/>
  <c r="K32" i="8" s="1"/>
  <c r="FA32" i="2"/>
  <c r="E29" i="123"/>
  <c r="C28" i="123"/>
  <c r="J29" i="123"/>
  <c r="K29" i="123" s="1"/>
  <c r="I38" i="121"/>
  <c r="J37" i="121"/>
  <c r="I39" i="30"/>
  <c r="J38" i="30"/>
  <c r="K37" i="30" s="1"/>
  <c r="K38" i="142"/>
  <c r="K37" i="136"/>
  <c r="C30" i="97"/>
  <c r="E31" i="97"/>
  <c r="EO31" i="2"/>
  <c r="J31" i="97"/>
  <c r="K31" i="97" s="1"/>
  <c r="I38" i="70"/>
  <c r="J37" i="70"/>
  <c r="J37" i="119"/>
  <c r="I38" i="119"/>
  <c r="E29" i="163"/>
  <c r="C28" i="163"/>
  <c r="J29" i="163"/>
  <c r="K29" i="163" s="1"/>
  <c r="AU33" i="1"/>
  <c r="C28" i="86"/>
  <c r="E29" i="86"/>
  <c r="J29" i="86"/>
  <c r="K29" i="86" s="1"/>
  <c r="C29" i="112"/>
  <c r="E30" i="112"/>
  <c r="J30" i="112"/>
  <c r="K30" i="112" s="1"/>
  <c r="C30" i="134"/>
  <c r="E31" i="134"/>
  <c r="EZ31" i="2"/>
  <c r="J31" i="134"/>
  <c r="K31" i="134" s="1"/>
  <c r="E32" i="53"/>
  <c r="C31" i="53"/>
  <c r="J32" i="53"/>
  <c r="K32" i="53" s="1"/>
  <c r="C30" i="108"/>
  <c r="E31" i="108"/>
  <c r="J31" i="108"/>
  <c r="K31" i="108" s="1"/>
  <c r="K36" i="121"/>
  <c r="K38" i="59"/>
  <c r="K34" i="90"/>
  <c r="E29" i="69"/>
  <c r="C28" i="69"/>
  <c r="J29" i="69"/>
  <c r="K29" i="69" s="1"/>
  <c r="K39" i="145"/>
  <c r="K36" i="99"/>
  <c r="K37" i="156"/>
  <c r="N33" i="2"/>
  <c r="I37" i="163"/>
  <c r="J36" i="163"/>
  <c r="K35" i="120"/>
  <c r="C31" i="7"/>
  <c r="E32" i="7"/>
  <c r="AT32" i="1"/>
  <c r="J32" i="7"/>
  <c r="K32" i="7" s="1"/>
  <c r="E30" i="130"/>
  <c r="C29" i="130"/>
  <c r="J30" i="130"/>
  <c r="K30" i="130" s="1"/>
  <c r="K34" i="112"/>
  <c r="J55" i="150"/>
  <c r="I56" i="150"/>
  <c r="K34" i="45"/>
  <c r="J39" i="127"/>
  <c r="I40" i="127"/>
  <c r="C29" i="67"/>
  <c r="E30" i="67"/>
  <c r="J30" i="67"/>
  <c r="K30" i="67" s="1"/>
  <c r="E32" i="58"/>
  <c r="C31" i="58"/>
  <c r="CA31" i="2" s="1"/>
  <c r="J32" i="58"/>
  <c r="K32" i="58" s="1"/>
  <c r="I38" i="56"/>
  <c r="J37" i="56"/>
  <c r="K38" i="127"/>
  <c r="K36" i="56"/>
  <c r="E31" i="119"/>
  <c r="C30" i="119"/>
  <c r="J31" i="119"/>
  <c r="K31" i="119" s="1"/>
  <c r="K35" i="102"/>
  <c r="J37" i="170"/>
  <c r="K36" i="170" s="1"/>
  <c r="I38" i="170"/>
  <c r="J37" i="3"/>
  <c r="K36" i="3" s="1"/>
  <c r="I38" i="3"/>
  <c r="C30" i="151"/>
  <c r="E31" i="151"/>
  <c r="J31" i="151"/>
  <c r="K31" i="151" s="1"/>
  <c r="K36" i="31"/>
  <c r="E28" i="160"/>
  <c r="C27" i="160"/>
  <c r="J28" i="160"/>
  <c r="K28" i="160" s="1"/>
  <c r="E31" i="145"/>
  <c r="C30" i="145"/>
  <c r="J31" i="145"/>
  <c r="K31" i="145" s="1"/>
  <c r="E30" i="148"/>
  <c r="C29" i="148"/>
  <c r="J30" i="148"/>
  <c r="K30" i="148" s="1"/>
  <c r="E28" i="102"/>
  <c r="C27" i="102"/>
  <c r="J28" i="102"/>
  <c r="K28" i="102" s="1"/>
  <c r="J39" i="26"/>
  <c r="K38" i="26" s="1"/>
  <c r="I40" i="26"/>
  <c r="E29" i="85"/>
  <c r="C28" i="85"/>
  <c r="J29" i="85"/>
  <c r="K29" i="85" s="1"/>
  <c r="C29" i="94"/>
  <c r="E30" i="94"/>
  <c r="J30" i="94"/>
  <c r="K30" i="94" s="1"/>
  <c r="J36" i="120"/>
  <c r="I37" i="120"/>
  <c r="E31" i="147"/>
  <c r="C30" i="147"/>
  <c r="J31" i="147"/>
  <c r="K31" i="147" s="1"/>
  <c r="J39" i="29"/>
  <c r="I40" i="29"/>
  <c r="K34" i="174"/>
  <c r="I40" i="48"/>
  <c r="J39" i="48"/>
  <c r="K38" i="48" s="1"/>
  <c r="K35" i="114"/>
  <c r="I37" i="102"/>
  <c r="J36" i="102"/>
  <c r="J37" i="144"/>
  <c r="I38" i="144"/>
  <c r="E30" i="81"/>
  <c r="C29" i="81"/>
  <c r="J30" i="81"/>
  <c r="K30" i="81" s="1"/>
  <c r="I38" i="31"/>
  <c r="J37" i="31"/>
  <c r="C29" i="19"/>
  <c r="E30" i="19"/>
  <c r="J30" i="19"/>
  <c r="K30" i="19" s="1"/>
  <c r="J37" i="169"/>
  <c r="I38" i="169"/>
  <c r="K37" i="92"/>
  <c r="K35" i="104"/>
  <c r="E29" i="62"/>
  <c r="C28" i="62"/>
  <c r="J29" i="62"/>
  <c r="K29" i="62" s="1"/>
  <c r="K39" i="12"/>
  <c r="K38" i="29"/>
  <c r="C29" i="103"/>
  <c r="E30" i="103"/>
  <c r="J30" i="103"/>
  <c r="K30" i="103" s="1"/>
  <c r="C29" i="4"/>
  <c r="E30" i="4"/>
  <c r="J30" i="4"/>
  <c r="K30" i="4" s="1"/>
  <c r="E28" i="131"/>
  <c r="C27" i="131"/>
  <c r="J28" i="131"/>
  <c r="K28" i="131" s="1"/>
  <c r="N33" i="1"/>
  <c r="E30" i="64"/>
  <c r="C29" i="64"/>
  <c r="J30" i="64"/>
  <c r="K30" i="64" s="1"/>
  <c r="E29" i="141"/>
  <c r="C28" i="141"/>
  <c r="J29" i="141"/>
  <c r="K29" i="141" s="1"/>
  <c r="K37" i="158"/>
  <c r="I39" i="159"/>
  <c r="J38" i="159"/>
  <c r="IV33" i="2"/>
  <c r="K38" i="98"/>
  <c r="J38" i="92"/>
  <c r="I39" i="92"/>
  <c r="C30" i="95"/>
  <c r="E31" i="95"/>
  <c r="J31" i="95"/>
  <c r="K31" i="95" s="1"/>
  <c r="C31" i="46"/>
  <c r="AI31" i="1" s="1"/>
  <c r="E32" i="46"/>
  <c r="J32" i="46"/>
  <c r="K32" i="46" s="1"/>
  <c r="AI32" i="1"/>
  <c r="HY32" i="2"/>
  <c r="J37" i="49"/>
  <c r="K36" i="49" s="1"/>
  <c r="I38" i="49"/>
  <c r="I39" i="124"/>
  <c r="J38" i="124"/>
  <c r="K36" i="52"/>
  <c r="K38" i="13"/>
  <c r="C30" i="10"/>
  <c r="E31" i="10"/>
  <c r="J31" i="10"/>
  <c r="K31" i="10" s="1"/>
  <c r="J38" i="158"/>
  <c r="I39" i="158"/>
  <c r="I38" i="123"/>
  <c r="J37" i="123"/>
  <c r="K36" i="123" s="1"/>
  <c r="CB33" i="1"/>
  <c r="I40" i="98"/>
  <c r="J39" i="98"/>
  <c r="C27" i="45"/>
  <c r="E28" i="45"/>
  <c r="J28" i="45"/>
  <c r="K28" i="45" s="1"/>
  <c r="J37" i="4"/>
  <c r="I38" i="4"/>
  <c r="K36" i="41"/>
  <c r="C26" i="166"/>
  <c r="E27" i="166"/>
  <c r="J27" i="166"/>
  <c r="K27" i="166" s="1"/>
  <c r="E31" i="13"/>
  <c r="C30" i="13"/>
  <c r="J31" i="13"/>
  <c r="K31" i="13" s="1"/>
  <c r="IU31" i="2"/>
  <c r="K36" i="151"/>
  <c r="E31" i="77"/>
  <c r="C30" i="77"/>
  <c r="J31" i="77"/>
  <c r="K31" i="77" s="1"/>
  <c r="J40" i="42"/>
  <c r="K39" i="42" s="1"/>
  <c r="I41" i="42"/>
  <c r="C30" i="142"/>
  <c r="E31" i="142"/>
  <c r="J31" i="142"/>
  <c r="K31" i="142" s="1"/>
  <c r="EE33" i="2"/>
  <c r="E31" i="125"/>
  <c r="C30" i="125"/>
  <c r="J31" i="125"/>
  <c r="K31" i="125" s="1"/>
  <c r="J37" i="50"/>
  <c r="I38" i="50"/>
  <c r="C27" i="165"/>
  <c r="E28" i="165"/>
  <c r="J28" i="165"/>
  <c r="K28" i="165" s="1"/>
  <c r="E32" i="6"/>
  <c r="C31" i="6"/>
  <c r="CA32" i="1"/>
  <c r="IU32" i="2"/>
  <c r="I39" i="66"/>
  <c r="J38" i="66"/>
  <c r="J38" i="23"/>
  <c r="I39" i="23"/>
  <c r="K36" i="4"/>
  <c r="K38" i="107"/>
  <c r="K38" i="79"/>
  <c r="I38" i="151"/>
  <c r="J37" i="151"/>
  <c r="E31" i="169"/>
  <c r="C30" i="169"/>
  <c r="HY31" i="2"/>
  <c r="J31" i="169"/>
  <c r="K31" i="169" s="1"/>
  <c r="E32" i="92"/>
  <c r="C31" i="92"/>
  <c r="J32" i="92"/>
  <c r="K32" i="92" s="1"/>
  <c r="E32" i="90"/>
  <c r="C31" i="90"/>
  <c r="CL31" i="2" s="1"/>
  <c r="J32" i="90"/>
  <c r="K32" i="90" s="1"/>
  <c r="C30" i="23"/>
  <c r="E31" i="23"/>
  <c r="J31" i="23"/>
  <c r="K31" i="23" s="1"/>
  <c r="I37" i="90"/>
  <c r="J36" i="90"/>
  <c r="K35" i="90" s="1"/>
  <c r="K35" i="131"/>
  <c r="K36" i="154"/>
  <c r="I38" i="155"/>
  <c r="J37" i="155"/>
  <c r="K36" i="155" s="1"/>
  <c r="C31" i="29"/>
  <c r="BE31" i="2" s="1"/>
  <c r="E32" i="29"/>
  <c r="J32" i="29"/>
  <c r="K32" i="29" s="1"/>
  <c r="X32" i="1"/>
  <c r="J38" i="139"/>
  <c r="K37" i="139" s="1"/>
  <c r="I39" i="139"/>
  <c r="K35" i="47"/>
  <c r="J39" i="77"/>
  <c r="I40" i="77"/>
  <c r="C31" i="172"/>
  <c r="E32" i="172"/>
  <c r="J32" i="172"/>
  <c r="K32" i="172" s="1"/>
  <c r="K36" i="50"/>
  <c r="J36" i="95"/>
  <c r="I37" i="95"/>
  <c r="C29" i="118"/>
  <c r="E30" i="118"/>
  <c r="J30" i="118"/>
  <c r="K30" i="118" s="1"/>
  <c r="K37" i="98"/>
  <c r="K36" i="92"/>
  <c r="C30" i="41"/>
  <c r="E31" i="41"/>
  <c r="J31" i="41"/>
  <c r="K31" i="41" s="1"/>
  <c r="BF33" i="2"/>
  <c r="I40" i="107"/>
  <c r="J39" i="107"/>
  <c r="E31" i="122"/>
  <c r="C30" i="122"/>
  <c r="J31" i="122"/>
  <c r="K31" i="122" s="1"/>
  <c r="K36" i="93"/>
  <c r="C26" i="30"/>
  <c r="E27" i="30"/>
  <c r="J27" i="30"/>
  <c r="K27" i="30" s="1"/>
  <c r="K36" i="173"/>
  <c r="K35" i="86"/>
  <c r="C27" i="43"/>
  <c r="E28" i="43"/>
  <c r="J28" i="43"/>
  <c r="K28" i="43" s="1"/>
  <c r="AJ31" i="1" l="1"/>
  <c r="BF31" i="2"/>
  <c r="CB31" i="2"/>
  <c r="CM31" i="2"/>
  <c r="C29" i="142"/>
  <c r="E30" i="142"/>
  <c r="J30" i="142"/>
  <c r="K30" i="142" s="1"/>
  <c r="C27" i="123"/>
  <c r="E28" i="123"/>
  <c r="J28" i="123"/>
  <c r="K28" i="123" s="1"/>
  <c r="E29" i="104"/>
  <c r="C28" i="104"/>
  <c r="J29" i="104"/>
  <c r="K29" i="104" s="1"/>
  <c r="J40" i="135"/>
  <c r="I41" i="135"/>
  <c r="E28" i="127"/>
  <c r="C27" i="127"/>
  <c r="J28" i="127"/>
  <c r="K28" i="127" s="1"/>
  <c r="C28" i="139"/>
  <c r="E29" i="139"/>
  <c r="J29" i="139"/>
  <c r="K29" i="139" s="1"/>
  <c r="N32" i="1"/>
  <c r="J37" i="112"/>
  <c r="I38" i="112"/>
  <c r="E26" i="157"/>
  <c r="C25" i="157"/>
  <c r="J26" i="157"/>
  <c r="K26" i="157" s="1"/>
  <c r="C28" i="116"/>
  <c r="E29" i="116"/>
  <c r="J29" i="116"/>
  <c r="K29" i="116" s="1"/>
  <c r="C27" i="163"/>
  <c r="E28" i="163"/>
  <c r="J28" i="163"/>
  <c r="K28" i="163" s="1"/>
  <c r="E30" i="23"/>
  <c r="C29" i="23"/>
  <c r="J30" i="23"/>
  <c r="K30" i="23" s="1"/>
  <c r="C30" i="92"/>
  <c r="E31" i="92"/>
  <c r="J31" i="92"/>
  <c r="K31" i="92" s="1"/>
  <c r="E29" i="118"/>
  <c r="C28" i="118"/>
  <c r="J29" i="118"/>
  <c r="K29" i="118" s="1"/>
  <c r="I42" i="42"/>
  <c r="J41" i="42"/>
  <c r="I39" i="144"/>
  <c r="J38" i="144"/>
  <c r="I57" i="150"/>
  <c r="J56" i="150"/>
  <c r="FA31" i="2"/>
  <c r="E28" i="120"/>
  <c r="C27" i="120"/>
  <c r="J28" i="120"/>
  <c r="K28" i="120" s="1"/>
  <c r="J37" i="110"/>
  <c r="I38" i="110"/>
  <c r="E29" i="68"/>
  <c r="C28" i="68"/>
  <c r="J29" i="68"/>
  <c r="K29" i="68" s="1"/>
  <c r="J38" i="53"/>
  <c r="K37" i="53" s="1"/>
  <c r="I39" i="53"/>
  <c r="K39" i="135"/>
  <c r="Y32" i="2"/>
  <c r="E30" i="89"/>
  <c r="C29" i="89"/>
  <c r="J30" i="89"/>
  <c r="K30" i="89" s="1"/>
  <c r="I38" i="130"/>
  <c r="J37" i="130"/>
  <c r="K40" i="82"/>
  <c r="C30" i="143"/>
  <c r="E31" i="143"/>
  <c r="J31" i="143"/>
  <c r="K31" i="143" s="1"/>
  <c r="J42" i="134"/>
  <c r="I43" i="134"/>
  <c r="AJ32" i="2"/>
  <c r="I42" i="94"/>
  <c r="J41" i="94"/>
  <c r="I38" i="105"/>
  <c r="J37" i="105"/>
  <c r="K36" i="112"/>
  <c r="J40" i="132"/>
  <c r="I41" i="132"/>
  <c r="K36" i="110"/>
  <c r="I41" i="117"/>
  <c r="J40" i="117"/>
  <c r="I42" i="82"/>
  <c r="J41" i="82"/>
  <c r="K41" i="134"/>
  <c r="K36" i="105"/>
  <c r="I38" i="174"/>
  <c r="J37" i="174"/>
  <c r="EE32" i="2"/>
  <c r="HZ31" i="2"/>
  <c r="C29" i="10"/>
  <c r="E30" i="10"/>
  <c r="J30" i="10"/>
  <c r="K30" i="10" s="1"/>
  <c r="E30" i="134"/>
  <c r="C29" i="134"/>
  <c r="EZ30" i="2"/>
  <c r="J30" i="134"/>
  <c r="K30" i="134" s="1"/>
  <c r="I38" i="143"/>
  <c r="J37" i="143"/>
  <c r="K37" i="67"/>
  <c r="K37" i="97"/>
  <c r="J37" i="166"/>
  <c r="I38" i="166"/>
  <c r="K39" i="117"/>
  <c r="C27" i="173"/>
  <c r="E28" i="173"/>
  <c r="J28" i="173"/>
  <c r="K28" i="173" s="1"/>
  <c r="C30" i="12"/>
  <c r="E31" i="12"/>
  <c r="X31" i="2"/>
  <c r="M31" i="1"/>
  <c r="J31" i="12"/>
  <c r="K31" i="12" s="1"/>
  <c r="J37" i="38"/>
  <c r="I38" i="38"/>
  <c r="K36" i="174"/>
  <c r="J38" i="49"/>
  <c r="I39" i="49"/>
  <c r="J37" i="95"/>
  <c r="K36" i="95" s="1"/>
  <c r="I38" i="95"/>
  <c r="K40" i="42"/>
  <c r="K37" i="144"/>
  <c r="C29" i="145"/>
  <c r="E30" i="145"/>
  <c r="J30" i="145"/>
  <c r="K30" i="145" s="1"/>
  <c r="K55" i="150"/>
  <c r="E30" i="169"/>
  <c r="C29" i="169"/>
  <c r="J30" i="169"/>
  <c r="K30" i="169" s="1"/>
  <c r="K36" i="143"/>
  <c r="E31" i="121"/>
  <c r="C30" i="121"/>
  <c r="J31" i="121"/>
  <c r="K31" i="121" s="1"/>
  <c r="I39" i="67"/>
  <c r="J38" i="67"/>
  <c r="I39" i="97"/>
  <c r="J38" i="97"/>
  <c r="I40" i="129"/>
  <c r="J39" i="129"/>
  <c r="K38" i="129" s="1"/>
  <c r="K40" i="134"/>
  <c r="I42" i="14"/>
  <c r="J41" i="14"/>
  <c r="IK32" i="2"/>
  <c r="E28" i="168"/>
  <c r="C27" i="168"/>
  <c r="J28" i="168"/>
  <c r="K28" i="168" s="1"/>
  <c r="E31" i="109"/>
  <c r="C30" i="109"/>
  <c r="ED31" i="2"/>
  <c r="J31" i="109"/>
  <c r="K31" i="109" s="1"/>
  <c r="C29" i="77"/>
  <c r="E30" i="77"/>
  <c r="J30" i="77"/>
  <c r="K30" i="77" s="1"/>
  <c r="E27" i="131"/>
  <c r="C26" i="131"/>
  <c r="J27" i="131"/>
  <c r="K27" i="131" s="1"/>
  <c r="J37" i="102"/>
  <c r="K36" i="102" s="1"/>
  <c r="I38" i="102"/>
  <c r="C28" i="130"/>
  <c r="E29" i="130"/>
  <c r="J29" i="130"/>
  <c r="K29" i="130" s="1"/>
  <c r="CW30" i="2"/>
  <c r="BQ32" i="1"/>
  <c r="C27" i="149"/>
  <c r="E28" i="149"/>
  <c r="J28" i="149"/>
  <c r="K28" i="149" s="1"/>
  <c r="E31" i="49"/>
  <c r="C30" i="49"/>
  <c r="J31" i="49"/>
  <c r="K31" i="49" s="1"/>
  <c r="I38" i="55"/>
  <c r="J37" i="55"/>
  <c r="J38" i="57"/>
  <c r="I39" i="57"/>
  <c r="E30" i="35"/>
  <c r="C29" i="35"/>
  <c r="J30" i="35"/>
  <c r="K30" i="35" s="1"/>
  <c r="E30" i="15"/>
  <c r="C29" i="15"/>
  <c r="J30" i="15"/>
  <c r="K30" i="15" s="1"/>
  <c r="K40" i="14"/>
  <c r="I41" i="156"/>
  <c r="J40" i="156"/>
  <c r="I38" i="47"/>
  <c r="J37" i="47"/>
  <c r="HD32" i="2"/>
  <c r="I40" i="60"/>
  <c r="J39" i="60"/>
  <c r="I43" i="12"/>
  <c r="J42" i="12"/>
  <c r="I38" i="171"/>
  <c r="J37" i="171"/>
  <c r="E29" i="161"/>
  <c r="C28" i="161"/>
  <c r="J29" i="161"/>
  <c r="K29" i="161" s="1"/>
  <c r="K36" i="8"/>
  <c r="E27" i="111"/>
  <c r="C26" i="111"/>
  <c r="J27" i="111"/>
  <c r="K27" i="111" s="1"/>
  <c r="C29" i="79"/>
  <c r="E30" i="79"/>
  <c r="J30" i="79"/>
  <c r="K30" i="79" s="1"/>
  <c r="K36" i="47"/>
  <c r="E31" i="172"/>
  <c r="C30" i="172"/>
  <c r="J31" i="172"/>
  <c r="K31" i="172" s="1"/>
  <c r="I39" i="151"/>
  <c r="J38" i="151"/>
  <c r="J39" i="124"/>
  <c r="I40" i="124"/>
  <c r="K54" i="150"/>
  <c r="C28" i="112"/>
  <c r="E29" i="112"/>
  <c r="J29" i="112"/>
  <c r="K29" i="112" s="1"/>
  <c r="E28" i="106"/>
  <c r="C27" i="106"/>
  <c r="J28" i="106"/>
  <c r="K28" i="106" s="1"/>
  <c r="E29" i="25"/>
  <c r="C28" i="25"/>
  <c r="J29" i="25"/>
  <c r="K29" i="25" s="1"/>
  <c r="J37" i="45"/>
  <c r="I38" i="45"/>
  <c r="E29" i="113"/>
  <c r="C28" i="113"/>
  <c r="J29" i="113"/>
  <c r="K29" i="113" s="1"/>
  <c r="I40" i="173"/>
  <c r="J39" i="173"/>
  <c r="K38" i="173" s="1"/>
  <c r="K37" i="173"/>
  <c r="E26" i="138"/>
  <c r="C25" i="138"/>
  <c r="J26" i="138"/>
  <c r="K26" i="138" s="1"/>
  <c r="K37" i="108"/>
  <c r="J40" i="152"/>
  <c r="I41" i="152"/>
  <c r="I38" i="8"/>
  <c r="J37" i="8"/>
  <c r="I41" i="62"/>
  <c r="J40" i="62"/>
  <c r="I39" i="137"/>
  <c r="J38" i="137"/>
  <c r="J42" i="15"/>
  <c r="I43" i="15"/>
  <c r="K37" i="39"/>
  <c r="AU32" i="1"/>
  <c r="E31" i="8"/>
  <c r="C30" i="8"/>
  <c r="HC31" i="2"/>
  <c r="BP31" i="1"/>
  <c r="J31" i="8"/>
  <c r="K31" i="8" s="1"/>
  <c r="K36" i="45"/>
  <c r="E28" i="171"/>
  <c r="C27" i="171"/>
  <c r="J28" i="171"/>
  <c r="K28" i="171" s="1"/>
  <c r="J39" i="37"/>
  <c r="I40" i="37"/>
  <c r="J40" i="122"/>
  <c r="I41" i="122"/>
  <c r="J38" i="108"/>
  <c r="I39" i="108"/>
  <c r="K39" i="152"/>
  <c r="E26" i="32"/>
  <c r="C25" i="32"/>
  <c r="J26" i="32"/>
  <c r="K26" i="32" s="1"/>
  <c r="J39" i="165"/>
  <c r="K38" i="165" s="1"/>
  <c r="I40" i="165"/>
  <c r="K37" i="137"/>
  <c r="I43" i="74"/>
  <c r="J42" i="74"/>
  <c r="I39" i="39"/>
  <c r="J38" i="39"/>
  <c r="IV31" i="2"/>
  <c r="K37" i="49"/>
  <c r="J40" i="48"/>
  <c r="I41" i="48"/>
  <c r="CX31" i="2"/>
  <c r="K38" i="93"/>
  <c r="J37" i="65"/>
  <c r="K36" i="65" s="1"/>
  <c r="I38" i="65"/>
  <c r="K35" i="8"/>
  <c r="K41" i="74"/>
  <c r="C28" i="4"/>
  <c r="E29" i="4"/>
  <c r="J29" i="4"/>
  <c r="K29" i="4" s="1"/>
  <c r="E31" i="7"/>
  <c r="C30" i="7"/>
  <c r="AT31" i="1"/>
  <c r="J31" i="7"/>
  <c r="K31" i="7" s="1"/>
  <c r="C27" i="86"/>
  <c r="E28" i="86"/>
  <c r="J28" i="86"/>
  <c r="K28" i="86" s="1"/>
  <c r="E31" i="3"/>
  <c r="C30" i="3"/>
  <c r="J31" i="3"/>
  <c r="K31" i="3" s="1"/>
  <c r="E29" i="16"/>
  <c r="C28" i="16"/>
  <c r="J29" i="16"/>
  <c r="K29" i="16" s="1"/>
  <c r="I41" i="89"/>
  <c r="J40" i="89"/>
  <c r="K39" i="89" s="1"/>
  <c r="C30" i="170"/>
  <c r="E31" i="170"/>
  <c r="J31" i="170"/>
  <c r="K31" i="170" s="1"/>
  <c r="I39" i="80"/>
  <c r="J38" i="80"/>
  <c r="K37" i="80" s="1"/>
  <c r="I40" i="93"/>
  <c r="J39" i="93"/>
  <c r="E28" i="37"/>
  <c r="C27" i="37"/>
  <c r="J28" i="37"/>
  <c r="K28" i="37" s="1"/>
  <c r="I40" i="157"/>
  <c r="J39" i="157"/>
  <c r="K38" i="157" s="1"/>
  <c r="J37" i="109"/>
  <c r="I38" i="109"/>
  <c r="J37" i="64"/>
  <c r="I38" i="64"/>
  <c r="I38" i="100"/>
  <c r="J37" i="100"/>
  <c r="K38" i="156"/>
  <c r="E29" i="167"/>
  <c r="C28" i="167"/>
  <c r="J29" i="167"/>
  <c r="K29" i="167" s="1"/>
  <c r="C26" i="160"/>
  <c r="E27" i="160"/>
  <c r="J27" i="160"/>
  <c r="K27" i="160" s="1"/>
  <c r="I40" i="23"/>
  <c r="J39" i="23"/>
  <c r="C29" i="13"/>
  <c r="E30" i="13"/>
  <c r="J30" i="13"/>
  <c r="K30" i="13" s="1"/>
  <c r="AJ32" i="1"/>
  <c r="I41" i="29"/>
  <c r="J40" i="29"/>
  <c r="K39" i="29" s="1"/>
  <c r="E30" i="151"/>
  <c r="C29" i="151"/>
  <c r="J30" i="151"/>
  <c r="K30" i="151" s="1"/>
  <c r="E28" i="40"/>
  <c r="C27" i="40"/>
  <c r="J28" i="40"/>
  <c r="K28" i="40" s="1"/>
  <c r="J39" i="41"/>
  <c r="I40" i="41"/>
  <c r="C30" i="174"/>
  <c r="HY30" i="2" s="1"/>
  <c r="E31" i="174"/>
  <c r="J31" i="174"/>
  <c r="K31" i="174" s="1"/>
  <c r="E31" i="93"/>
  <c r="C30" i="93"/>
  <c r="J31" i="93"/>
  <c r="K31" i="93" s="1"/>
  <c r="E30" i="101"/>
  <c r="C29" i="101"/>
  <c r="J30" i="101"/>
  <c r="K30" i="101" s="1"/>
  <c r="I38" i="69"/>
  <c r="J37" i="69"/>
  <c r="C29" i="21"/>
  <c r="E30" i="21"/>
  <c r="J30" i="21"/>
  <c r="K30" i="21" s="1"/>
  <c r="I41" i="128"/>
  <c r="J40" i="128"/>
  <c r="K37" i="54"/>
  <c r="K38" i="23"/>
  <c r="I39" i="3"/>
  <c r="J38" i="3"/>
  <c r="K36" i="163"/>
  <c r="I38" i="96"/>
  <c r="J37" i="96"/>
  <c r="I39" i="5"/>
  <c r="J38" i="5"/>
  <c r="FL32" i="2"/>
  <c r="I39" i="116"/>
  <c r="J38" i="116"/>
  <c r="K37" i="116" s="1"/>
  <c r="C29" i="71"/>
  <c r="E30" i="71"/>
  <c r="J30" i="71"/>
  <c r="K30" i="71" s="1"/>
  <c r="I43" i="7"/>
  <c r="J42" i="7"/>
  <c r="K41" i="7" s="1"/>
  <c r="E27" i="105"/>
  <c r="C26" i="105"/>
  <c r="J27" i="105"/>
  <c r="K27" i="105" s="1"/>
  <c r="K39" i="128"/>
  <c r="I39" i="54"/>
  <c r="J38" i="54"/>
  <c r="I39" i="86"/>
  <c r="J38" i="86"/>
  <c r="K37" i="86" s="1"/>
  <c r="J37" i="163"/>
  <c r="I38" i="163"/>
  <c r="K35" i="163"/>
  <c r="E29" i="75"/>
  <c r="C28" i="75"/>
  <c r="J29" i="75"/>
  <c r="K29" i="75" s="1"/>
  <c r="I38" i="91"/>
  <c r="J37" i="91"/>
  <c r="E28" i="115"/>
  <c r="C27" i="115"/>
  <c r="J28" i="115"/>
  <c r="K28" i="115" s="1"/>
  <c r="I41" i="9"/>
  <c r="J40" i="9"/>
  <c r="E26" i="146"/>
  <c r="C25" i="146"/>
  <c r="J26" i="146"/>
  <c r="K26" i="146" s="1"/>
  <c r="I40" i="18"/>
  <c r="J39" i="18"/>
  <c r="K37" i="73"/>
  <c r="C28" i="150"/>
  <c r="E29" i="150"/>
  <c r="J29" i="150"/>
  <c r="K29" i="150" s="1"/>
  <c r="I42" i="24"/>
  <c r="C28" i="83"/>
  <c r="E29" i="83"/>
  <c r="J29" i="83"/>
  <c r="K29" i="83" s="1"/>
  <c r="K36" i="137"/>
  <c r="E29" i="18"/>
  <c r="C28" i="18"/>
  <c r="J29" i="18"/>
  <c r="K29" i="18" s="1"/>
  <c r="I39" i="154"/>
  <c r="J38" i="154"/>
  <c r="K38" i="124"/>
  <c r="E29" i="137"/>
  <c r="C28" i="137"/>
  <c r="J29" i="137"/>
  <c r="K29" i="137" s="1"/>
  <c r="C28" i="74"/>
  <c r="E29" i="74"/>
  <c r="J29" i="74"/>
  <c r="K29" i="74" s="1"/>
  <c r="E31" i="152"/>
  <c r="C30" i="152"/>
  <c r="J31" i="152"/>
  <c r="K31" i="152" s="1"/>
  <c r="I43" i="133"/>
  <c r="J42" i="133"/>
  <c r="J38" i="73"/>
  <c r="I39" i="73"/>
  <c r="J40" i="51"/>
  <c r="I41" i="51"/>
  <c r="J38" i="88"/>
  <c r="I39" i="88"/>
  <c r="I38" i="160"/>
  <c r="J37" i="160"/>
  <c r="E30" i="31"/>
  <c r="C29" i="31"/>
  <c r="J30" i="31"/>
  <c r="K30" i="31" s="1"/>
  <c r="K37" i="154"/>
  <c r="K37" i="151"/>
  <c r="E29" i="110"/>
  <c r="C28" i="110"/>
  <c r="J29" i="110"/>
  <c r="K29" i="110" s="1"/>
  <c r="E26" i="156"/>
  <c r="C25" i="156"/>
  <c r="J26" i="156"/>
  <c r="K26" i="156" s="1"/>
  <c r="C29" i="132"/>
  <c r="E30" i="132"/>
  <c r="J30" i="132"/>
  <c r="K30" i="132" s="1"/>
  <c r="K41" i="133"/>
  <c r="K38" i="83"/>
  <c r="E31" i="155"/>
  <c r="C30" i="155"/>
  <c r="J31" i="155"/>
  <c r="K31" i="155" s="1"/>
  <c r="E29" i="103"/>
  <c r="C28" i="103"/>
  <c r="J29" i="103"/>
  <c r="K29" i="103" s="1"/>
  <c r="I38" i="120"/>
  <c r="J37" i="120"/>
  <c r="C30" i="107"/>
  <c r="E31" i="107"/>
  <c r="J31" i="107"/>
  <c r="K31" i="107" s="1"/>
  <c r="I39" i="85"/>
  <c r="J38" i="85"/>
  <c r="K37" i="85" s="1"/>
  <c r="K37" i="60"/>
  <c r="FL31" i="2"/>
  <c r="J37" i="147"/>
  <c r="I38" i="147"/>
  <c r="E29" i="65"/>
  <c r="C28" i="65"/>
  <c r="J29" i="65"/>
  <c r="K29" i="65" s="1"/>
  <c r="I42" i="32"/>
  <c r="J41" i="32"/>
  <c r="I40" i="83"/>
  <c r="J39" i="83"/>
  <c r="I39" i="126"/>
  <c r="J38" i="126"/>
  <c r="K37" i="126" s="1"/>
  <c r="E30" i="117"/>
  <c r="C29" i="117"/>
  <c r="J30" i="117"/>
  <c r="K30" i="117" s="1"/>
  <c r="I38" i="43"/>
  <c r="J37" i="43"/>
  <c r="K36" i="43" s="1"/>
  <c r="BQ32" i="2"/>
  <c r="E29" i="9"/>
  <c r="C28" i="9"/>
  <c r="J29" i="9"/>
  <c r="K29" i="9" s="1"/>
  <c r="K37" i="52"/>
  <c r="E31" i="29"/>
  <c r="C30" i="29"/>
  <c r="J31" i="29"/>
  <c r="K31" i="29" s="1"/>
  <c r="K37" i="155"/>
  <c r="I39" i="119"/>
  <c r="J38" i="119"/>
  <c r="K37" i="119" s="1"/>
  <c r="K35" i="91"/>
  <c r="J41" i="27"/>
  <c r="K40" i="27" s="1"/>
  <c r="I42" i="27"/>
  <c r="I38" i="125"/>
  <c r="J37" i="125"/>
  <c r="K36" i="125" s="1"/>
  <c r="C28" i="66"/>
  <c r="E29" i="66"/>
  <c r="J29" i="66"/>
  <c r="K29" i="66" s="1"/>
  <c r="I39" i="76"/>
  <c r="J38" i="76"/>
  <c r="K37" i="76" s="1"/>
  <c r="C29" i="88"/>
  <c r="E30" i="88"/>
  <c r="FK30" i="2"/>
  <c r="J30" i="88"/>
  <c r="K30" i="88" s="1"/>
  <c r="K36" i="147"/>
  <c r="J40" i="101"/>
  <c r="I41" i="101"/>
  <c r="K40" i="32"/>
  <c r="I43" i="61"/>
  <c r="J42" i="61"/>
  <c r="C27" i="73"/>
  <c r="E28" i="73"/>
  <c r="J28" i="73"/>
  <c r="K28" i="73" s="1"/>
  <c r="E31" i="52"/>
  <c r="C30" i="52"/>
  <c r="BP31" i="2"/>
  <c r="J31" i="52"/>
  <c r="K31" i="52" s="1"/>
  <c r="E31" i="27"/>
  <c r="C30" i="27"/>
  <c r="J31" i="27"/>
  <c r="K31" i="27" s="1"/>
  <c r="E29" i="54"/>
  <c r="C28" i="54"/>
  <c r="J29" i="54"/>
  <c r="K29" i="54" s="1"/>
  <c r="J38" i="52"/>
  <c r="I39" i="52"/>
  <c r="E30" i="95"/>
  <c r="C29" i="95"/>
  <c r="J30" i="95"/>
  <c r="K30" i="95" s="1"/>
  <c r="I38" i="17"/>
  <c r="J37" i="17"/>
  <c r="C30" i="91"/>
  <c r="E31" i="91"/>
  <c r="J31" i="91"/>
  <c r="K31" i="91" s="1"/>
  <c r="E30" i="76"/>
  <c r="C29" i="76"/>
  <c r="J30" i="76"/>
  <c r="K30" i="76" s="1"/>
  <c r="GS32" i="2"/>
  <c r="K35" i="166"/>
  <c r="K39" i="82"/>
  <c r="E29" i="60"/>
  <c r="C28" i="60"/>
  <c r="J29" i="60"/>
  <c r="K29" i="60" s="1"/>
  <c r="I39" i="87"/>
  <c r="J38" i="87"/>
  <c r="K36" i="36"/>
  <c r="K39" i="48"/>
  <c r="HZ32" i="2"/>
  <c r="I40" i="139"/>
  <c r="J39" i="139"/>
  <c r="C30" i="6"/>
  <c r="E31" i="6"/>
  <c r="CA31" i="1"/>
  <c r="J38" i="4"/>
  <c r="I39" i="4"/>
  <c r="C29" i="122"/>
  <c r="E30" i="122"/>
  <c r="J30" i="122"/>
  <c r="K30" i="122" s="1"/>
  <c r="I39" i="155"/>
  <c r="J38" i="155"/>
  <c r="K37" i="4"/>
  <c r="I40" i="92"/>
  <c r="J39" i="92"/>
  <c r="C27" i="62"/>
  <c r="E28" i="62"/>
  <c r="J28" i="62"/>
  <c r="K28" i="62" s="1"/>
  <c r="C29" i="119"/>
  <c r="E30" i="119"/>
  <c r="J30" i="119"/>
  <c r="K30" i="119" s="1"/>
  <c r="K38" i="92"/>
  <c r="C29" i="153"/>
  <c r="E30" i="153"/>
  <c r="J30" i="153"/>
  <c r="K30" i="153" s="1"/>
  <c r="J40" i="136"/>
  <c r="K39" i="136" s="1"/>
  <c r="I41" i="136"/>
  <c r="J39" i="115"/>
  <c r="I40" i="115"/>
  <c r="J37" i="146"/>
  <c r="I38" i="146"/>
  <c r="K37" i="18"/>
  <c r="K36" i="58"/>
  <c r="E30" i="114"/>
  <c r="C29" i="114"/>
  <c r="J30" i="114"/>
  <c r="K30" i="114" s="1"/>
  <c r="C28" i="144"/>
  <c r="E29" i="144"/>
  <c r="J29" i="144"/>
  <c r="K29" i="144" s="1"/>
  <c r="E28" i="72"/>
  <c r="C27" i="72"/>
  <c r="J28" i="72"/>
  <c r="K28" i="72" s="1"/>
  <c r="C29" i="162"/>
  <c r="E30" i="162"/>
  <c r="J30" i="162"/>
  <c r="K30" i="162" s="1"/>
  <c r="I38" i="36"/>
  <c r="J37" i="36"/>
  <c r="K36" i="144"/>
  <c r="K38" i="115"/>
  <c r="E29" i="99"/>
  <c r="C28" i="99"/>
  <c r="J29" i="99"/>
  <c r="K29" i="99" s="1"/>
  <c r="J38" i="162"/>
  <c r="I39" i="162"/>
  <c r="K37" i="161"/>
  <c r="E24" i="98"/>
  <c r="C23" i="98"/>
  <c r="J24" i="98"/>
  <c r="K24" i="98" s="1"/>
  <c r="E30" i="20"/>
  <c r="C29" i="20"/>
  <c r="J30" i="20"/>
  <c r="K30" i="20" s="1"/>
  <c r="AU32" i="2"/>
  <c r="E29" i="5"/>
  <c r="C28" i="5"/>
  <c r="J29" i="5"/>
  <c r="K29" i="5" s="1"/>
  <c r="I39" i="84"/>
  <c r="J38" i="84"/>
  <c r="E28" i="61"/>
  <c r="C27" i="61"/>
  <c r="J28" i="61"/>
  <c r="K28" i="61" s="1"/>
  <c r="CB32" i="1"/>
  <c r="E29" i="11"/>
  <c r="C28" i="11"/>
  <c r="J29" i="11"/>
  <c r="K29" i="11" s="1"/>
  <c r="K36" i="146"/>
  <c r="C30" i="14"/>
  <c r="E31" i="14"/>
  <c r="J31" i="14"/>
  <c r="K31" i="14" s="1"/>
  <c r="GR31" i="2"/>
  <c r="J37" i="58"/>
  <c r="I38" i="58"/>
  <c r="J40" i="107"/>
  <c r="K39" i="107" s="1"/>
  <c r="I41" i="107"/>
  <c r="K36" i="90"/>
  <c r="E27" i="165"/>
  <c r="C26" i="165"/>
  <c r="J27" i="165"/>
  <c r="K27" i="165" s="1"/>
  <c r="E27" i="45"/>
  <c r="C26" i="45"/>
  <c r="J27" i="45"/>
  <c r="K27" i="45" s="1"/>
  <c r="C27" i="69"/>
  <c r="E28" i="69"/>
  <c r="J28" i="69"/>
  <c r="K28" i="69" s="1"/>
  <c r="K36" i="119"/>
  <c r="I43" i="75"/>
  <c r="J42" i="75"/>
  <c r="I40" i="10"/>
  <c r="J39" i="10"/>
  <c r="K38" i="10" s="1"/>
  <c r="I39" i="21"/>
  <c r="J38" i="21"/>
  <c r="K37" i="21" s="1"/>
  <c r="I41" i="16"/>
  <c r="J40" i="16"/>
  <c r="K39" i="16" s="1"/>
  <c r="I39" i="161"/>
  <c r="J38" i="161"/>
  <c r="DI31" i="2"/>
  <c r="E28" i="47"/>
  <c r="C27" i="47"/>
  <c r="J28" i="47"/>
  <c r="K28" i="47" s="1"/>
  <c r="K40" i="15"/>
  <c r="E31" i="56"/>
  <c r="C30" i="56"/>
  <c r="J31" i="56"/>
  <c r="K31" i="56" s="1"/>
  <c r="I40" i="72"/>
  <c r="J39" i="72"/>
  <c r="K37" i="84"/>
  <c r="I41" i="13"/>
  <c r="J40" i="13"/>
  <c r="K39" i="13" s="1"/>
  <c r="E29" i="94"/>
  <c r="C28" i="94"/>
  <c r="J29" i="94"/>
  <c r="K29" i="94" s="1"/>
  <c r="J38" i="70"/>
  <c r="K37" i="70" s="1"/>
  <c r="I39" i="70"/>
  <c r="K41" i="75"/>
  <c r="J37" i="90"/>
  <c r="I38" i="90"/>
  <c r="K37" i="23"/>
  <c r="E28" i="85"/>
  <c r="C27" i="85"/>
  <c r="J28" i="85"/>
  <c r="K28" i="85" s="1"/>
  <c r="E28" i="84"/>
  <c r="C27" i="84"/>
  <c r="J28" i="84"/>
  <c r="K28" i="84" s="1"/>
  <c r="K40" i="12"/>
  <c r="DT30" i="2"/>
  <c r="K38" i="101"/>
  <c r="E31" i="158"/>
  <c r="C30" i="158"/>
  <c r="J31" i="158"/>
  <c r="K31" i="158" s="1"/>
  <c r="K38" i="72"/>
  <c r="K37" i="33"/>
  <c r="E30" i="44"/>
  <c r="C29" i="44"/>
  <c r="J30" i="44"/>
  <c r="K30" i="44" s="1"/>
  <c r="K36" i="88"/>
  <c r="C30" i="50"/>
  <c r="E31" i="50"/>
  <c r="AT31" i="2"/>
  <c r="J31" i="50"/>
  <c r="K31" i="50" s="1"/>
  <c r="E31" i="28"/>
  <c r="C30" i="28"/>
  <c r="J31" i="28"/>
  <c r="K31" i="28" s="1"/>
  <c r="K36" i="86"/>
  <c r="I39" i="170"/>
  <c r="J38" i="170"/>
  <c r="J38" i="50"/>
  <c r="I39" i="50"/>
  <c r="EP31" i="2"/>
  <c r="K37" i="50"/>
  <c r="J38" i="169"/>
  <c r="I39" i="169"/>
  <c r="J38" i="56"/>
  <c r="I39" i="56"/>
  <c r="K40" i="75"/>
  <c r="E31" i="136"/>
  <c r="C30" i="136"/>
  <c r="J31" i="136"/>
  <c r="K31" i="136" s="1"/>
  <c r="E30" i="36"/>
  <c r="C29" i="36"/>
  <c r="J30" i="36"/>
  <c r="K30" i="36" s="1"/>
  <c r="K37" i="10"/>
  <c r="K38" i="25"/>
  <c r="E30" i="96"/>
  <c r="C29" i="96"/>
  <c r="J30" i="96"/>
  <c r="K30" i="96" s="1"/>
  <c r="K36" i="53"/>
  <c r="K36" i="161"/>
  <c r="J38" i="103"/>
  <c r="K37" i="103" s="1"/>
  <c r="I39" i="103"/>
  <c r="C29" i="133"/>
  <c r="E30" i="133"/>
  <c r="J30" i="133"/>
  <c r="K30" i="133" s="1"/>
  <c r="DH30" i="2"/>
  <c r="K36" i="33"/>
  <c r="I39" i="33"/>
  <c r="J38" i="33"/>
  <c r="I43" i="46"/>
  <c r="J42" i="46"/>
  <c r="K36" i="140"/>
  <c r="C29" i="48"/>
  <c r="E30" i="48"/>
  <c r="J30" i="48"/>
  <c r="K30" i="48" s="1"/>
  <c r="I40" i="149"/>
  <c r="J39" i="149"/>
  <c r="J40" i="98"/>
  <c r="I41" i="98"/>
  <c r="K38" i="159"/>
  <c r="K37" i="169"/>
  <c r="I41" i="26"/>
  <c r="J40" i="26"/>
  <c r="C29" i="97"/>
  <c r="E30" i="97"/>
  <c r="EO30" i="2"/>
  <c r="J30" i="97"/>
  <c r="K30" i="97" s="1"/>
  <c r="K35" i="143"/>
  <c r="I40" i="25"/>
  <c r="J39" i="25"/>
  <c r="C27" i="26"/>
  <c r="E28" i="26"/>
  <c r="J28" i="26"/>
  <c r="K28" i="26" s="1"/>
  <c r="E29" i="129"/>
  <c r="C28" i="129"/>
  <c r="J29" i="129"/>
  <c r="K29" i="129" s="1"/>
  <c r="DS29" i="2"/>
  <c r="E31" i="55"/>
  <c r="C30" i="55"/>
  <c r="J31" i="55"/>
  <c r="K31" i="55" s="1"/>
  <c r="I39" i="111"/>
  <c r="J38" i="111"/>
  <c r="K36" i="126"/>
  <c r="E30" i="70"/>
  <c r="C29" i="70"/>
  <c r="J30" i="70"/>
  <c r="K30" i="70" s="1"/>
  <c r="AI31" i="2"/>
  <c r="K37" i="168"/>
  <c r="I41" i="172"/>
  <c r="J40" i="172"/>
  <c r="K41" i="46"/>
  <c r="J37" i="140"/>
  <c r="I38" i="140"/>
  <c r="E27" i="43"/>
  <c r="C26" i="43"/>
  <c r="J27" i="43"/>
  <c r="K27" i="43" s="1"/>
  <c r="C29" i="147"/>
  <c r="E30" i="147"/>
  <c r="J30" i="147"/>
  <c r="K30" i="147" s="1"/>
  <c r="E26" i="166"/>
  <c r="C25" i="166"/>
  <c r="J26" i="166"/>
  <c r="K26" i="166" s="1"/>
  <c r="I40" i="159"/>
  <c r="J39" i="159"/>
  <c r="E31" i="58"/>
  <c r="C30" i="58"/>
  <c r="J31" i="58"/>
  <c r="K31" i="58" s="1"/>
  <c r="K37" i="114"/>
  <c r="C23" i="82"/>
  <c r="E24" i="82"/>
  <c r="J24" i="82"/>
  <c r="K24" i="82" s="1"/>
  <c r="E26" i="87"/>
  <c r="C25" i="87"/>
  <c r="J26" i="87"/>
  <c r="K26" i="87" s="1"/>
  <c r="K37" i="111"/>
  <c r="K37" i="93"/>
  <c r="K41" i="145"/>
  <c r="C29" i="140"/>
  <c r="E30" i="140"/>
  <c r="AI30" i="2"/>
  <c r="J30" i="140"/>
  <c r="K30" i="140" s="1"/>
  <c r="J38" i="168"/>
  <c r="I39" i="168"/>
  <c r="J38" i="131"/>
  <c r="I39" i="131"/>
  <c r="K39" i="172"/>
  <c r="K39" i="164"/>
  <c r="I42" i="71"/>
  <c r="J41" i="71"/>
  <c r="K40" i="71" s="1"/>
  <c r="K37" i="104"/>
  <c r="C28" i="17"/>
  <c r="E29" i="17"/>
  <c r="J29" i="17"/>
  <c r="K29" i="17" s="1"/>
  <c r="I39" i="114"/>
  <c r="J38" i="114"/>
  <c r="E27" i="34"/>
  <c r="C26" i="34"/>
  <c r="J27" i="34"/>
  <c r="K27" i="34" s="1"/>
  <c r="I42" i="59"/>
  <c r="J41" i="59"/>
  <c r="K36" i="81"/>
  <c r="K38" i="135"/>
  <c r="N31" i="2"/>
  <c r="J42" i="145"/>
  <c r="I43" i="145"/>
  <c r="IK31" i="2"/>
  <c r="K37" i="131"/>
  <c r="K36" i="19"/>
  <c r="J40" i="164"/>
  <c r="I41" i="164"/>
  <c r="C28" i="128"/>
  <c r="E29" i="128"/>
  <c r="J29" i="128"/>
  <c r="K29" i="128" s="1"/>
  <c r="J38" i="104"/>
  <c r="I39" i="104"/>
  <c r="E29" i="22"/>
  <c r="C28" i="22"/>
  <c r="J29" i="22"/>
  <c r="K29" i="22" s="1"/>
  <c r="E31" i="46"/>
  <c r="C30" i="46"/>
  <c r="J31" i="46"/>
  <c r="K31" i="46" s="1"/>
  <c r="I38" i="81"/>
  <c r="J37" i="81"/>
  <c r="J37" i="40"/>
  <c r="I38" i="40"/>
  <c r="C28" i="135"/>
  <c r="E29" i="135"/>
  <c r="J29" i="135"/>
  <c r="K29" i="135" s="1"/>
  <c r="FW32" i="2"/>
  <c r="K37" i="83"/>
  <c r="C28" i="57"/>
  <c r="E29" i="57"/>
  <c r="J29" i="57"/>
  <c r="K29" i="57" s="1"/>
  <c r="C29" i="78"/>
  <c r="E30" i="78"/>
  <c r="J30" i="78"/>
  <c r="K30" i="78" s="1"/>
  <c r="K38" i="99"/>
  <c r="K38" i="118"/>
  <c r="I39" i="106"/>
  <c r="J38" i="106"/>
  <c r="X31" i="1"/>
  <c r="I41" i="77"/>
  <c r="J40" i="77"/>
  <c r="IV32" i="2"/>
  <c r="E27" i="102"/>
  <c r="C26" i="102"/>
  <c r="J27" i="102"/>
  <c r="K27" i="102" s="1"/>
  <c r="K38" i="30"/>
  <c r="I40" i="167"/>
  <c r="J39" i="167"/>
  <c r="E28" i="141"/>
  <c r="C27" i="141"/>
  <c r="J28" i="141"/>
  <c r="K28" i="141" s="1"/>
  <c r="E30" i="108"/>
  <c r="C29" i="108"/>
  <c r="J30" i="108"/>
  <c r="K30" i="108" s="1"/>
  <c r="I40" i="30"/>
  <c r="J39" i="30"/>
  <c r="K38" i="167"/>
  <c r="K37" i="167"/>
  <c r="J37" i="11"/>
  <c r="I38" i="11"/>
  <c r="K38" i="117"/>
  <c r="CM32" i="2"/>
  <c r="K36" i="40"/>
  <c r="I40" i="28"/>
  <c r="J39" i="28"/>
  <c r="E28" i="124"/>
  <c r="C27" i="124"/>
  <c r="J28" i="124"/>
  <c r="K28" i="124" s="1"/>
  <c r="E30" i="33"/>
  <c r="C29" i="33"/>
  <c r="M30" i="2"/>
  <c r="J30" i="33"/>
  <c r="K30" i="33" s="1"/>
  <c r="C29" i="164"/>
  <c r="E30" i="164"/>
  <c r="J30" i="164"/>
  <c r="K30" i="164" s="1"/>
  <c r="J39" i="99"/>
  <c r="I40" i="99"/>
  <c r="I40" i="118"/>
  <c r="J39" i="118"/>
  <c r="K36" i="87"/>
  <c r="I38" i="141"/>
  <c r="J37" i="141"/>
  <c r="K36" i="141" s="1"/>
  <c r="Y32" i="1"/>
  <c r="I40" i="66"/>
  <c r="J39" i="66"/>
  <c r="I39" i="123"/>
  <c r="J38" i="123"/>
  <c r="K37" i="124"/>
  <c r="K38" i="77"/>
  <c r="K37" i="159"/>
  <c r="I39" i="31"/>
  <c r="J38" i="31"/>
  <c r="K36" i="169"/>
  <c r="C28" i="67"/>
  <c r="E29" i="67"/>
  <c r="J29" i="67"/>
  <c r="K29" i="67" s="1"/>
  <c r="K37" i="121"/>
  <c r="I41" i="142"/>
  <c r="J40" i="142"/>
  <c r="K39" i="78"/>
  <c r="K36" i="35"/>
  <c r="E30" i="63"/>
  <c r="C29" i="63"/>
  <c r="J30" i="63"/>
  <c r="K30" i="63" s="1"/>
  <c r="K35" i="171"/>
  <c r="E31" i="100"/>
  <c r="C30" i="100"/>
  <c r="J31" i="100"/>
  <c r="K31" i="100" s="1"/>
  <c r="K36" i="111"/>
  <c r="I40" i="68"/>
  <c r="J39" i="68"/>
  <c r="E30" i="38"/>
  <c r="C29" i="38"/>
  <c r="J30" i="38"/>
  <c r="K30" i="38" s="1"/>
  <c r="E30" i="154"/>
  <c r="C29" i="154"/>
  <c r="J30" i="154"/>
  <c r="K30" i="154" s="1"/>
  <c r="IJ30" i="2"/>
  <c r="K36" i="131"/>
  <c r="K35" i="105"/>
  <c r="K35" i="43"/>
  <c r="J38" i="138"/>
  <c r="I39" i="138"/>
  <c r="K35" i="95"/>
  <c r="E29" i="19"/>
  <c r="C28" i="19"/>
  <c r="J29" i="19"/>
  <c r="K29" i="19" s="1"/>
  <c r="K35" i="110"/>
  <c r="I41" i="127"/>
  <c r="J40" i="127"/>
  <c r="E31" i="53"/>
  <c r="C30" i="53"/>
  <c r="J31" i="53"/>
  <c r="K31" i="53" s="1"/>
  <c r="I39" i="121"/>
  <c r="J38" i="121"/>
  <c r="I41" i="78"/>
  <c r="J40" i="78"/>
  <c r="J37" i="35"/>
  <c r="I38" i="35"/>
  <c r="E29" i="126"/>
  <c r="C28" i="126"/>
  <c r="J29" i="126"/>
  <c r="K29" i="126" s="1"/>
  <c r="I42" i="22"/>
  <c r="J41" i="22"/>
  <c r="K40" i="22" s="1"/>
  <c r="C29" i="80"/>
  <c r="E30" i="80"/>
  <c r="J30" i="80"/>
  <c r="K30" i="80" s="1"/>
  <c r="I40" i="113"/>
  <c r="J39" i="113"/>
  <c r="K38" i="113" s="1"/>
  <c r="E31" i="42"/>
  <c r="C30" i="42"/>
  <c r="J31" i="42"/>
  <c r="K31" i="42" s="1"/>
  <c r="FV31" i="2"/>
  <c r="K36" i="148"/>
  <c r="J39" i="63"/>
  <c r="I40" i="63"/>
  <c r="K36" i="34"/>
  <c r="K38" i="68"/>
  <c r="K37" i="20"/>
  <c r="K35" i="69"/>
  <c r="J38" i="153"/>
  <c r="K37" i="153" s="1"/>
  <c r="I39" i="153"/>
  <c r="E26" i="30"/>
  <c r="C25" i="30"/>
  <c r="J26" i="30"/>
  <c r="K26" i="30" s="1"/>
  <c r="E30" i="125"/>
  <c r="C29" i="125"/>
  <c r="J30" i="125"/>
  <c r="K30" i="125" s="1"/>
  <c r="E30" i="41"/>
  <c r="C29" i="41"/>
  <c r="BE30" i="2"/>
  <c r="J30" i="41"/>
  <c r="K30" i="41" s="1"/>
  <c r="E31" i="90"/>
  <c r="C30" i="90"/>
  <c r="J31" i="90"/>
  <c r="K31" i="90" s="1"/>
  <c r="K37" i="66"/>
  <c r="I40" i="158"/>
  <c r="J39" i="158"/>
  <c r="K38" i="158" s="1"/>
  <c r="E29" i="64"/>
  <c r="C28" i="64"/>
  <c r="J29" i="64"/>
  <c r="K29" i="64" s="1"/>
  <c r="E29" i="81"/>
  <c r="C28" i="81"/>
  <c r="J29" i="81"/>
  <c r="K29" i="81" s="1"/>
  <c r="E29" i="148"/>
  <c r="C28" i="148"/>
  <c r="J29" i="148"/>
  <c r="K29" i="148" s="1"/>
  <c r="K39" i="127"/>
  <c r="I39" i="19"/>
  <c r="J38" i="19"/>
  <c r="K37" i="19" s="1"/>
  <c r="E27" i="59"/>
  <c r="C26" i="59"/>
  <c r="J27" i="59"/>
  <c r="K27" i="59" s="1"/>
  <c r="HN31" i="2"/>
  <c r="K35" i="38"/>
  <c r="J37" i="148"/>
  <c r="I38" i="148"/>
  <c r="K40" i="133"/>
  <c r="I38" i="34"/>
  <c r="J37" i="34"/>
  <c r="J38" i="20"/>
  <c r="I39" i="20"/>
  <c r="C27" i="159"/>
  <c r="E28" i="159"/>
  <c r="J28" i="159"/>
  <c r="K28" i="159" s="1"/>
  <c r="C27" i="39"/>
  <c r="E28" i="39"/>
  <c r="J28" i="39"/>
  <c r="K28" i="39" s="1"/>
  <c r="C27" i="51"/>
  <c r="E28" i="51"/>
  <c r="J28" i="51"/>
  <c r="K28" i="51" s="1"/>
  <c r="J39" i="44"/>
  <c r="I40" i="44"/>
  <c r="K40" i="61"/>
  <c r="I42" i="79"/>
  <c r="J41" i="79"/>
  <c r="K40" i="79" s="1"/>
  <c r="HZ30" i="2" l="1"/>
  <c r="I40" i="138"/>
  <c r="J39" i="138"/>
  <c r="C25" i="43"/>
  <c r="E26" i="43"/>
  <c r="J26" i="43"/>
  <c r="K26" i="43" s="1"/>
  <c r="E29" i="97"/>
  <c r="C28" i="97"/>
  <c r="J29" i="97"/>
  <c r="K29" i="97" s="1"/>
  <c r="Y31" i="1"/>
  <c r="K40" i="26"/>
  <c r="E30" i="56"/>
  <c r="C29" i="56"/>
  <c r="J30" i="56"/>
  <c r="K30" i="56" s="1"/>
  <c r="J38" i="58"/>
  <c r="I39" i="58"/>
  <c r="J39" i="87"/>
  <c r="I40" i="87"/>
  <c r="J39" i="86"/>
  <c r="I40" i="86"/>
  <c r="I42" i="89"/>
  <c r="J41" i="89"/>
  <c r="C29" i="8"/>
  <c r="E30" i="8"/>
  <c r="BP30" i="1"/>
  <c r="HC30" i="2"/>
  <c r="J30" i="8"/>
  <c r="K30" i="8" s="1"/>
  <c r="C27" i="25"/>
  <c r="E28" i="25"/>
  <c r="J28" i="25"/>
  <c r="K28" i="25" s="1"/>
  <c r="J39" i="67"/>
  <c r="I40" i="67"/>
  <c r="J41" i="132"/>
  <c r="I42" i="132"/>
  <c r="E27" i="120"/>
  <c r="C26" i="120"/>
  <c r="J27" i="120"/>
  <c r="K27" i="120" s="1"/>
  <c r="J39" i="104"/>
  <c r="K38" i="104" s="1"/>
  <c r="I40" i="104"/>
  <c r="C28" i="36"/>
  <c r="E29" i="36"/>
  <c r="J29" i="36"/>
  <c r="K29" i="36" s="1"/>
  <c r="FW31" i="2"/>
  <c r="K38" i="138"/>
  <c r="C26" i="124"/>
  <c r="E27" i="124"/>
  <c r="J27" i="124"/>
  <c r="K27" i="124" s="1"/>
  <c r="E28" i="64"/>
  <c r="C27" i="64"/>
  <c r="J28" i="64"/>
  <c r="K28" i="64" s="1"/>
  <c r="I40" i="168"/>
  <c r="J39" i="168"/>
  <c r="J38" i="140"/>
  <c r="I39" i="140"/>
  <c r="J41" i="26"/>
  <c r="I42" i="26"/>
  <c r="C29" i="158"/>
  <c r="E30" i="158"/>
  <c r="J30" i="158"/>
  <c r="K30" i="158" s="1"/>
  <c r="K37" i="58"/>
  <c r="I40" i="162"/>
  <c r="J39" i="162"/>
  <c r="BQ31" i="2"/>
  <c r="E30" i="29"/>
  <c r="C29" i="29"/>
  <c r="J30" i="29"/>
  <c r="K30" i="29" s="1"/>
  <c r="E29" i="13"/>
  <c r="C28" i="13"/>
  <c r="J29" i="13"/>
  <c r="K29" i="13" s="1"/>
  <c r="I42" i="48"/>
  <c r="J41" i="48"/>
  <c r="K37" i="171"/>
  <c r="CX30" i="2"/>
  <c r="E27" i="173"/>
  <c r="C26" i="173"/>
  <c r="J27" i="173"/>
  <c r="K27" i="173" s="1"/>
  <c r="K40" i="132"/>
  <c r="E28" i="67"/>
  <c r="C27" i="67"/>
  <c r="J28" i="67"/>
  <c r="K28" i="67" s="1"/>
  <c r="K38" i="168"/>
  <c r="K37" i="140"/>
  <c r="E30" i="136"/>
  <c r="C29" i="136"/>
  <c r="J30" i="136"/>
  <c r="K30" i="136" s="1"/>
  <c r="GS31" i="2"/>
  <c r="K38" i="162"/>
  <c r="C28" i="153"/>
  <c r="E29" i="153"/>
  <c r="J29" i="153"/>
  <c r="K29" i="153" s="1"/>
  <c r="C27" i="60"/>
  <c r="E28" i="60"/>
  <c r="J28" i="60"/>
  <c r="K28" i="60" s="1"/>
  <c r="E30" i="52"/>
  <c r="C29" i="52"/>
  <c r="BP30" i="2"/>
  <c r="J30" i="52"/>
  <c r="K30" i="52" s="1"/>
  <c r="I39" i="160"/>
  <c r="J38" i="160"/>
  <c r="C27" i="83"/>
  <c r="E28" i="83"/>
  <c r="J28" i="83"/>
  <c r="K28" i="83" s="1"/>
  <c r="I40" i="54"/>
  <c r="J39" i="54"/>
  <c r="C27" i="16"/>
  <c r="E28" i="16"/>
  <c r="J28" i="16"/>
  <c r="K28" i="16" s="1"/>
  <c r="J38" i="171"/>
  <c r="I39" i="171"/>
  <c r="E30" i="121"/>
  <c r="C29" i="121"/>
  <c r="J30" i="121"/>
  <c r="K30" i="121" s="1"/>
  <c r="C29" i="42"/>
  <c r="E30" i="42"/>
  <c r="J30" i="42"/>
  <c r="K30" i="42" s="1"/>
  <c r="FV30" i="2"/>
  <c r="J40" i="28"/>
  <c r="I41" i="28"/>
  <c r="I40" i="106"/>
  <c r="J39" i="106"/>
  <c r="E28" i="128"/>
  <c r="C27" i="128"/>
  <c r="J28" i="128"/>
  <c r="K28" i="128" s="1"/>
  <c r="E30" i="107"/>
  <c r="C29" i="107"/>
  <c r="J30" i="107"/>
  <c r="K30" i="107" s="1"/>
  <c r="J39" i="88"/>
  <c r="I40" i="88"/>
  <c r="E29" i="21"/>
  <c r="C28" i="21"/>
  <c r="J29" i="21"/>
  <c r="K29" i="21" s="1"/>
  <c r="I41" i="23"/>
  <c r="J40" i="23"/>
  <c r="K39" i="23" s="1"/>
  <c r="C26" i="106"/>
  <c r="E27" i="106"/>
  <c r="J27" i="106"/>
  <c r="K27" i="106" s="1"/>
  <c r="J38" i="166"/>
  <c r="I39" i="166"/>
  <c r="C28" i="164"/>
  <c r="E29" i="164"/>
  <c r="J29" i="164"/>
  <c r="K29" i="164" s="1"/>
  <c r="E27" i="47"/>
  <c r="C26" i="47"/>
  <c r="J27" i="47"/>
  <c r="K27" i="47" s="1"/>
  <c r="E28" i="99"/>
  <c r="C27" i="99"/>
  <c r="J28" i="99"/>
  <c r="K28" i="99" s="1"/>
  <c r="K37" i="120"/>
  <c r="K38" i="88"/>
  <c r="I44" i="12"/>
  <c r="J43" i="12"/>
  <c r="K42" i="12" s="1"/>
  <c r="C27" i="130"/>
  <c r="E28" i="130"/>
  <c r="J28" i="130"/>
  <c r="K28" i="130" s="1"/>
  <c r="K37" i="166"/>
  <c r="J38" i="105"/>
  <c r="I39" i="105"/>
  <c r="K56" i="150"/>
  <c r="E28" i="139"/>
  <c r="C27" i="139"/>
  <c r="J28" i="139"/>
  <c r="K28" i="139" s="1"/>
  <c r="K40" i="98"/>
  <c r="I40" i="56"/>
  <c r="J39" i="56"/>
  <c r="E30" i="14"/>
  <c r="C29" i="14"/>
  <c r="J30" i="14"/>
  <c r="K30" i="14" s="1"/>
  <c r="C27" i="9"/>
  <c r="E28" i="9"/>
  <c r="J28" i="9"/>
  <c r="K28" i="9" s="1"/>
  <c r="I39" i="120"/>
  <c r="J38" i="120"/>
  <c r="I42" i="51"/>
  <c r="J41" i="51"/>
  <c r="I43" i="24"/>
  <c r="E26" i="105"/>
  <c r="C25" i="105"/>
  <c r="J26" i="105"/>
  <c r="K26" i="105" s="1"/>
  <c r="I39" i="69"/>
  <c r="J38" i="69"/>
  <c r="E30" i="3"/>
  <c r="C29" i="3"/>
  <c r="J30" i="3"/>
  <c r="K30" i="3" s="1"/>
  <c r="I44" i="15"/>
  <c r="J43" i="15"/>
  <c r="K39" i="60"/>
  <c r="J38" i="102"/>
  <c r="I39" i="102"/>
  <c r="K41" i="94"/>
  <c r="I58" i="150"/>
  <c r="J57" i="150"/>
  <c r="C26" i="73"/>
  <c r="E27" i="73"/>
  <c r="J27" i="73"/>
  <c r="K27" i="73" s="1"/>
  <c r="K39" i="77"/>
  <c r="K42" i="15"/>
  <c r="CW29" i="2"/>
  <c r="I41" i="60"/>
  <c r="J40" i="60"/>
  <c r="K37" i="102"/>
  <c r="I43" i="94"/>
  <c r="J42" i="94"/>
  <c r="E27" i="127"/>
  <c r="C26" i="127"/>
  <c r="J27" i="127"/>
  <c r="K27" i="127" s="1"/>
  <c r="AJ30" i="2"/>
  <c r="I40" i="169"/>
  <c r="J39" i="169"/>
  <c r="K42" i="61"/>
  <c r="E28" i="103"/>
  <c r="C27" i="103"/>
  <c r="J28" i="103"/>
  <c r="K28" i="103" s="1"/>
  <c r="I40" i="73"/>
  <c r="J39" i="73"/>
  <c r="K42" i="7"/>
  <c r="E29" i="101"/>
  <c r="C28" i="101"/>
  <c r="J29" i="101"/>
  <c r="K29" i="101" s="1"/>
  <c r="C25" i="160"/>
  <c r="E26" i="160"/>
  <c r="J26" i="160"/>
  <c r="K26" i="160" s="1"/>
  <c r="J39" i="144"/>
  <c r="K38" i="144" s="1"/>
  <c r="I40" i="144"/>
  <c r="I43" i="79"/>
  <c r="J42" i="79"/>
  <c r="I42" i="98"/>
  <c r="J41" i="98"/>
  <c r="I41" i="149"/>
  <c r="J40" i="149"/>
  <c r="E29" i="119"/>
  <c r="C28" i="119"/>
  <c r="J29" i="119"/>
  <c r="K29" i="119" s="1"/>
  <c r="E30" i="90"/>
  <c r="C29" i="90"/>
  <c r="J30" i="90"/>
  <c r="K30" i="90" s="1"/>
  <c r="E29" i="80"/>
  <c r="C28" i="80"/>
  <c r="J29" i="80"/>
  <c r="K29" i="80" s="1"/>
  <c r="J38" i="11"/>
  <c r="I39" i="11"/>
  <c r="E29" i="78"/>
  <c r="C28" i="78"/>
  <c r="J29" i="78"/>
  <c r="K29" i="78" s="1"/>
  <c r="AJ31" i="2"/>
  <c r="K38" i="169"/>
  <c r="K38" i="161"/>
  <c r="E28" i="11"/>
  <c r="C27" i="11"/>
  <c r="J28" i="11"/>
  <c r="K28" i="11" s="1"/>
  <c r="I44" i="61"/>
  <c r="J43" i="61"/>
  <c r="E28" i="150"/>
  <c r="C27" i="150"/>
  <c r="J28" i="150"/>
  <c r="K28" i="150" s="1"/>
  <c r="I44" i="7"/>
  <c r="J43" i="7"/>
  <c r="J39" i="39"/>
  <c r="I40" i="39"/>
  <c r="I40" i="137"/>
  <c r="J39" i="137"/>
  <c r="E28" i="112"/>
  <c r="C27" i="112"/>
  <c r="CW28" i="2"/>
  <c r="J28" i="112"/>
  <c r="K28" i="112" s="1"/>
  <c r="E26" i="131"/>
  <c r="C25" i="131"/>
  <c r="J26" i="131"/>
  <c r="K26" i="131" s="1"/>
  <c r="C28" i="169"/>
  <c r="E29" i="169"/>
  <c r="J29" i="169"/>
  <c r="K29" i="169" s="1"/>
  <c r="I39" i="143"/>
  <c r="J38" i="143"/>
  <c r="I42" i="135"/>
  <c r="J41" i="135"/>
  <c r="K39" i="98"/>
  <c r="I40" i="161"/>
  <c r="J39" i="161"/>
  <c r="C28" i="76"/>
  <c r="E29" i="76"/>
  <c r="J29" i="76"/>
  <c r="K29" i="76" s="1"/>
  <c r="K41" i="61"/>
  <c r="K37" i="88"/>
  <c r="C27" i="167"/>
  <c r="E28" i="167"/>
  <c r="J28" i="167"/>
  <c r="K28" i="167" s="1"/>
  <c r="K37" i="47"/>
  <c r="J43" i="134"/>
  <c r="K42" i="134" s="1"/>
  <c r="I44" i="134"/>
  <c r="I43" i="42"/>
  <c r="J42" i="42"/>
  <c r="K41" i="42" s="1"/>
  <c r="K40" i="135"/>
  <c r="I43" i="22"/>
  <c r="J42" i="22"/>
  <c r="E29" i="38"/>
  <c r="C28" i="38"/>
  <c r="J29" i="38"/>
  <c r="K29" i="38" s="1"/>
  <c r="I40" i="123"/>
  <c r="J39" i="123"/>
  <c r="I44" i="145"/>
  <c r="J43" i="145"/>
  <c r="C28" i="70"/>
  <c r="E29" i="70"/>
  <c r="J29" i="70"/>
  <c r="K29" i="70" s="1"/>
  <c r="C28" i="48"/>
  <c r="E29" i="48"/>
  <c r="J29" i="48"/>
  <c r="K29" i="48" s="1"/>
  <c r="C26" i="84"/>
  <c r="E27" i="84"/>
  <c r="J27" i="84"/>
  <c r="K27" i="84" s="1"/>
  <c r="K40" i="16"/>
  <c r="J38" i="36"/>
  <c r="I39" i="36"/>
  <c r="E27" i="62"/>
  <c r="C26" i="62"/>
  <c r="J27" i="62"/>
  <c r="K27" i="62" s="1"/>
  <c r="K37" i="43"/>
  <c r="K39" i="51"/>
  <c r="J43" i="133"/>
  <c r="I44" i="133"/>
  <c r="I44" i="74"/>
  <c r="J43" i="74"/>
  <c r="K40" i="62"/>
  <c r="J40" i="124"/>
  <c r="I41" i="124"/>
  <c r="I39" i="47"/>
  <c r="J38" i="47"/>
  <c r="FA30" i="2"/>
  <c r="K39" i="158"/>
  <c r="K38" i="123"/>
  <c r="I42" i="16"/>
  <c r="J41" i="16"/>
  <c r="J41" i="101"/>
  <c r="I42" i="101"/>
  <c r="I39" i="43"/>
  <c r="J38" i="43"/>
  <c r="K38" i="18"/>
  <c r="I41" i="18"/>
  <c r="J40" i="18"/>
  <c r="K39" i="18" s="1"/>
  <c r="E29" i="71"/>
  <c r="C28" i="71"/>
  <c r="J29" i="71"/>
  <c r="K29" i="71" s="1"/>
  <c r="E27" i="86"/>
  <c r="C26" i="86"/>
  <c r="J27" i="86"/>
  <c r="K27" i="86" s="1"/>
  <c r="I42" i="62"/>
  <c r="J41" i="62"/>
  <c r="K39" i="124"/>
  <c r="C28" i="134"/>
  <c r="E29" i="134"/>
  <c r="EZ29" i="2"/>
  <c r="J29" i="134"/>
  <c r="K29" i="134" s="1"/>
  <c r="C27" i="118"/>
  <c r="E28" i="118"/>
  <c r="J28" i="118"/>
  <c r="K28" i="118" s="1"/>
  <c r="E29" i="147"/>
  <c r="C28" i="147"/>
  <c r="J29" i="147"/>
  <c r="K29" i="147" s="1"/>
  <c r="I41" i="44"/>
  <c r="J40" i="44"/>
  <c r="C28" i="140"/>
  <c r="E29" i="140"/>
  <c r="J29" i="140"/>
  <c r="K29" i="140" s="1"/>
  <c r="E29" i="154"/>
  <c r="C28" i="154"/>
  <c r="J29" i="154"/>
  <c r="K29" i="154" s="1"/>
  <c r="E29" i="41"/>
  <c r="C28" i="41"/>
  <c r="J29" i="41"/>
  <c r="K29" i="41" s="1"/>
  <c r="K39" i="68"/>
  <c r="J40" i="66"/>
  <c r="I41" i="66"/>
  <c r="K39" i="30"/>
  <c r="K37" i="162"/>
  <c r="J40" i="92"/>
  <c r="K39" i="92" s="1"/>
  <c r="I41" i="92"/>
  <c r="K40" i="101"/>
  <c r="C29" i="155"/>
  <c r="E30" i="155"/>
  <c r="J30" i="155"/>
  <c r="K30" i="155" s="1"/>
  <c r="K38" i="116"/>
  <c r="C29" i="93"/>
  <c r="E30" i="93"/>
  <c r="J30" i="93"/>
  <c r="K30" i="93" s="1"/>
  <c r="I41" i="165"/>
  <c r="J40" i="165"/>
  <c r="K37" i="8"/>
  <c r="K38" i="151"/>
  <c r="I42" i="156"/>
  <c r="J41" i="156"/>
  <c r="C28" i="77"/>
  <c r="E29" i="77"/>
  <c r="J29" i="77"/>
  <c r="K29" i="77" s="1"/>
  <c r="C27" i="104"/>
  <c r="E28" i="104"/>
  <c r="J28" i="104"/>
  <c r="K28" i="104" s="1"/>
  <c r="E29" i="117"/>
  <c r="C28" i="117"/>
  <c r="J29" i="117"/>
  <c r="K29" i="117" s="1"/>
  <c r="C29" i="152"/>
  <c r="E30" i="152"/>
  <c r="J30" i="152"/>
  <c r="K30" i="152" s="1"/>
  <c r="C24" i="146"/>
  <c r="E25" i="146"/>
  <c r="J25" i="146"/>
  <c r="K25" i="146" s="1"/>
  <c r="J39" i="116"/>
  <c r="I40" i="116"/>
  <c r="I39" i="100"/>
  <c r="J38" i="100"/>
  <c r="K37" i="100" s="1"/>
  <c r="AU31" i="1"/>
  <c r="K39" i="165"/>
  <c r="I39" i="8"/>
  <c r="J38" i="8"/>
  <c r="J39" i="151"/>
  <c r="I40" i="151"/>
  <c r="E30" i="143"/>
  <c r="C29" i="143"/>
  <c r="J30" i="143"/>
  <c r="K30" i="143" s="1"/>
  <c r="I41" i="63"/>
  <c r="J40" i="63"/>
  <c r="I41" i="158"/>
  <c r="J40" i="158"/>
  <c r="J40" i="113"/>
  <c r="I41" i="113"/>
  <c r="IK30" i="2"/>
  <c r="K37" i="11"/>
  <c r="I40" i="20"/>
  <c r="J39" i="20"/>
  <c r="K38" i="20" s="1"/>
  <c r="E29" i="162"/>
  <c r="C28" i="162"/>
  <c r="J29" i="162"/>
  <c r="K29" i="162" s="1"/>
  <c r="C29" i="91"/>
  <c r="E30" i="91"/>
  <c r="J30" i="91"/>
  <c r="K30" i="91" s="1"/>
  <c r="I39" i="35"/>
  <c r="J38" i="35"/>
  <c r="K37" i="35" s="1"/>
  <c r="K38" i="63"/>
  <c r="J39" i="111"/>
  <c r="I40" i="111"/>
  <c r="K38" i="33"/>
  <c r="I40" i="21"/>
  <c r="J39" i="21"/>
  <c r="I39" i="64"/>
  <c r="J38" i="64"/>
  <c r="E30" i="7"/>
  <c r="C29" i="7"/>
  <c r="AT30" i="1"/>
  <c r="J30" i="7"/>
  <c r="K30" i="7" s="1"/>
  <c r="I42" i="152"/>
  <c r="J41" i="152"/>
  <c r="EE31" i="2"/>
  <c r="C28" i="145"/>
  <c r="E29" i="145"/>
  <c r="J29" i="145"/>
  <c r="K29" i="145" s="1"/>
  <c r="I42" i="164"/>
  <c r="J41" i="164"/>
  <c r="K40" i="164" s="1"/>
  <c r="K38" i="56"/>
  <c r="I41" i="68"/>
  <c r="J40" i="68"/>
  <c r="I41" i="30"/>
  <c r="J40" i="30"/>
  <c r="E23" i="82"/>
  <c r="C22" i="82"/>
  <c r="J23" i="82"/>
  <c r="K23" i="82" s="1"/>
  <c r="K39" i="10"/>
  <c r="E27" i="61"/>
  <c r="C26" i="61"/>
  <c r="J27" i="61"/>
  <c r="K27" i="61" s="1"/>
  <c r="E27" i="72"/>
  <c r="C26" i="72"/>
  <c r="J27" i="72"/>
  <c r="K27" i="72" s="1"/>
  <c r="K40" i="9"/>
  <c r="K37" i="64"/>
  <c r="C24" i="32"/>
  <c r="E25" i="32"/>
  <c r="J25" i="32"/>
  <c r="K25" i="32" s="1"/>
  <c r="K40" i="152"/>
  <c r="E30" i="172"/>
  <c r="C29" i="172"/>
  <c r="J30" i="172"/>
  <c r="K30" i="172" s="1"/>
  <c r="C28" i="15"/>
  <c r="E29" i="15"/>
  <c r="J29" i="15"/>
  <c r="K29" i="15" s="1"/>
  <c r="C29" i="109"/>
  <c r="E30" i="109"/>
  <c r="ED30" i="2"/>
  <c r="J30" i="109"/>
  <c r="K30" i="109" s="1"/>
  <c r="E29" i="10"/>
  <c r="C28" i="10"/>
  <c r="J29" i="10"/>
  <c r="K29" i="10" s="1"/>
  <c r="K37" i="130"/>
  <c r="E30" i="92"/>
  <c r="C29" i="92"/>
  <c r="J30" i="92"/>
  <c r="K30" i="92" s="1"/>
  <c r="E28" i="22"/>
  <c r="C27" i="22"/>
  <c r="J28" i="22"/>
  <c r="K28" i="22" s="1"/>
  <c r="E28" i="81"/>
  <c r="C27" i="81"/>
  <c r="J28" i="81"/>
  <c r="K28" i="81" s="1"/>
  <c r="K38" i="170"/>
  <c r="J39" i="155"/>
  <c r="I40" i="155"/>
  <c r="FL30" i="2"/>
  <c r="K38" i="126"/>
  <c r="K40" i="78"/>
  <c r="J38" i="141"/>
  <c r="I39" i="141"/>
  <c r="E30" i="55"/>
  <c r="C29" i="55"/>
  <c r="J30" i="55"/>
  <c r="K30" i="55" s="1"/>
  <c r="I40" i="170"/>
  <c r="J39" i="170"/>
  <c r="I41" i="10"/>
  <c r="J40" i="10"/>
  <c r="I39" i="17"/>
  <c r="J38" i="17"/>
  <c r="K37" i="17" s="1"/>
  <c r="I40" i="126"/>
  <c r="J39" i="126"/>
  <c r="I42" i="9"/>
  <c r="J41" i="9"/>
  <c r="K38" i="5"/>
  <c r="E30" i="174"/>
  <c r="C29" i="174"/>
  <c r="HY29" i="2" s="1"/>
  <c r="J30" i="174"/>
  <c r="K30" i="174" s="1"/>
  <c r="J38" i="109"/>
  <c r="I39" i="109"/>
  <c r="I39" i="130"/>
  <c r="J38" i="130"/>
  <c r="E27" i="51"/>
  <c r="C26" i="51"/>
  <c r="J27" i="51"/>
  <c r="K27" i="51" s="1"/>
  <c r="K39" i="149"/>
  <c r="C27" i="126"/>
  <c r="E28" i="126"/>
  <c r="J28" i="126"/>
  <c r="K28" i="126" s="1"/>
  <c r="I42" i="78"/>
  <c r="J41" i="78"/>
  <c r="K37" i="138"/>
  <c r="K37" i="31"/>
  <c r="E28" i="135"/>
  <c r="C27" i="135"/>
  <c r="J28" i="135"/>
  <c r="K28" i="135" s="1"/>
  <c r="I43" i="59"/>
  <c r="J42" i="59"/>
  <c r="DI30" i="2"/>
  <c r="K38" i="149"/>
  <c r="K42" i="75"/>
  <c r="K38" i="84"/>
  <c r="E29" i="88"/>
  <c r="C28" i="88"/>
  <c r="FK29" i="2"/>
  <c r="J29" i="88"/>
  <c r="K29" i="88" s="1"/>
  <c r="K39" i="83"/>
  <c r="E28" i="74"/>
  <c r="C27" i="74"/>
  <c r="J28" i="74"/>
  <c r="K28" i="74" s="1"/>
  <c r="I40" i="5"/>
  <c r="J39" i="5"/>
  <c r="K37" i="5"/>
  <c r="K37" i="109"/>
  <c r="I39" i="95"/>
  <c r="J38" i="95"/>
  <c r="HN30" i="2"/>
  <c r="C28" i="23"/>
  <c r="E29" i="23"/>
  <c r="J29" i="23"/>
  <c r="K29" i="23" s="1"/>
  <c r="E27" i="123"/>
  <c r="C26" i="123"/>
  <c r="J27" i="123"/>
  <c r="K27" i="123" s="1"/>
  <c r="E25" i="87"/>
  <c r="C24" i="87"/>
  <c r="J25" i="87"/>
  <c r="K25" i="87" s="1"/>
  <c r="E29" i="125"/>
  <c r="C28" i="125"/>
  <c r="J29" i="125"/>
  <c r="K29" i="125" s="1"/>
  <c r="C28" i="108"/>
  <c r="E29" i="108"/>
  <c r="J29" i="108"/>
  <c r="K29" i="108" s="1"/>
  <c r="I40" i="33"/>
  <c r="J39" i="33"/>
  <c r="E27" i="85"/>
  <c r="C26" i="85"/>
  <c r="J27" i="85"/>
  <c r="K27" i="85" s="1"/>
  <c r="HO31" i="2"/>
  <c r="E25" i="30"/>
  <c r="C24" i="30"/>
  <c r="J25" i="30"/>
  <c r="K25" i="30" s="1"/>
  <c r="K39" i="142"/>
  <c r="K38" i="28"/>
  <c r="E30" i="58"/>
  <c r="C29" i="58"/>
  <c r="J30" i="58"/>
  <c r="K30" i="58" s="1"/>
  <c r="DT29" i="2"/>
  <c r="J38" i="90"/>
  <c r="I39" i="90"/>
  <c r="I44" i="75"/>
  <c r="J43" i="75"/>
  <c r="I40" i="84"/>
  <c r="J39" i="84"/>
  <c r="E29" i="122"/>
  <c r="C28" i="122"/>
  <c r="J29" i="122"/>
  <c r="K29" i="122" s="1"/>
  <c r="I41" i="83"/>
  <c r="J40" i="83"/>
  <c r="K39" i="9"/>
  <c r="E27" i="115"/>
  <c r="C26" i="115"/>
  <c r="J27" i="115"/>
  <c r="K27" i="115" s="1"/>
  <c r="I41" i="41"/>
  <c r="J40" i="41"/>
  <c r="K39" i="41" s="1"/>
  <c r="C28" i="35"/>
  <c r="E29" i="35"/>
  <c r="J29" i="35"/>
  <c r="K29" i="35" s="1"/>
  <c r="E27" i="168"/>
  <c r="C26" i="168"/>
  <c r="J27" i="168"/>
  <c r="K27" i="168" s="1"/>
  <c r="E28" i="148"/>
  <c r="C27" i="148"/>
  <c r="J28" i="148"/>
  <c r="K28" i="148" s="1"/>
  <c r="C29" i="100"/>
  <c r="E30" i="100"/>
  <c r="J30" i="100"/>
  <c r="K30" i="100" s="1"/>
  <c r="K37" i="106"/>
  <c r="E27" i="141"/>
  <c r="C26" i="141"/>
  <c r="J27" i="141"/>
  <c r="K27" i="141" s="1"/>
  <c r="J38" i="40"/>
  <c r="I39" i="40"/>
  <c r="E26" i="34"/>
  <c r="C25" i="34"/>
  <c r="J26" i="34"/>
  <c r="K26" i="34" s="1"/>
  <c r="K37" i="90"/>
  <c r="E28" i="144"/>
  <c r="C27" i="144"/>
  <c r="J28" i="144"/>
  <c r="K28" i="144" s="1"/>
  <c r="I40" i="4"/>
  <c r="J39" i="4"/>
  <c r="J39" i="76"/>
  <c r="I40" i="76"/>
  <c r="E29" i="132"/>
  <c r="C28" i="132"/>
  <c r="J29" i="132"/>
  <c r="K29" i="132" s="1"/>
  <c r="I39" i="96"/>
  <c r="J38" i="96"/>
  <c r="J40" i="157"/>
  <c r="I41" i="157"/>
  <c r="E28" i="4"/>
  <c r="C27" i="4"/>
  <c r="J28" i="4"/>
  <c r="K28" i="4" s="1"/>
  <c r="J39" i="108"/>
  <c r="I40" i="108"/>
  <c r="C24" i="138"/>
  <c r="E25" i="138"/>
  <c r="J25" i="138"/>
  <c r="K25" i="138" s="1"/>
  <c r="I40" i="49"/>
  <c r="J39" i="49"/>
  <c r="E29" i="89"/>
  <c r="C28" i="89"/>
  <c r="J29" i="89"/>
  <c r="K29" i="89" s="1"/>
  <c r="E28" i="57"/>
  <c r="C27" i="57"/>
  <c r="J28" i="57"/>
  <c r="K28" i="57" s="1"/>
  <c r="I40" i="121"/>
  <c r="J39" i="121"/>
  <c r="K38" i="121" s="1"/>
  <c r="K39" i="118"/>
  <c r="K37" i="40"/>
  <c r="K39" i="26"/>
  <c r="E28" i="129"/>
  <c r="C27" i="129"/>
  <c r="J28" i="129"/>
  <c r="K28" i="129" s="1"/>
  <c r="DS28" i="2"/>
  <c r="E29" i="133"/>
  <c r="C28" i="133"/>
  <c r="J29" i="133"/>
  <c r="K29" i="133" s="1"/>
  <c r="DH29" i="2"/>
  <c r="C29" i="28"/>
  <c r="AI29" i="2" s="1"/>
  <c r="E30" i="28"/>
  <c r="J30" i="28"/>
  <c r="K30" i="28" s="1"/>
  <c r="C27" i="5"/>
  <c r="E28" i="5"/>
  <c r="J28" i="5"/>
  <c r="K28" i="5" s="1"/>
  <c r="I43" i="32"/>
  <c r="J42" i="32"/>
  <c r="K41" i="32" s="1"/>
  <c r="E28" i="137"/>
  <c r="C27" i="137"/>
  <c r="J28" i="137"/>
  <c r="K28" i="137" s="1"/>
  <c r="K36" i="96"/>
  <c r="K38" i="41"/>
  <c r="K36" i="69"/>
  <c r="K38" i="108"/>
  <c r="E29" i="79"/>
  <c r="C28" i="79"/>
  <c r="J29" i="79"/>
  <c r="K29" i="79" s="1"/>
  <c r="J39" i="57"/>
  <c r="I40" i="57"/>
  <c r="K39" i="156"/>
  <c r="K38" i="49"/>
  <c r="E29" i="142"/>
  <c r="C28" i="142"/>
  <c r="J29" i="142"/>
  <c r="K29" i="142" s="1"/>
  <c r="C26" i="39"/>
  <c r="E27" i="39"/>
  <c r="J27" i="39"/>
  <c r="K27" i="39" s="1"/>
  <c r="K42" i="145"/>
  <c r="K37" i="141"/>
  <c r="E26" i="59"/>
  <c r="C25" i="59"/>
  <c r="J26" i="59"/>
  <c r="K26" i="59" s="1"/>
  <c r="J39" i="153"/>
  <c r="I40" i="153"/>
  <c r="I41" i="118"/>
  <c r="J40" i="118"/>
  <c r="I40" i="103"/>
  <c r="J39" i="103"/>
  <c r="J39" i="70"/>
  <c r="I40" i="70"/>
  <c r="E29" i="114"/>
  <c r="C28" i="114"/>
  <c r="J29" i="114"/>
  <c r="K29" i="114" s="1"/>
  <c r="CB31" i="1"/>
  <c r="C28" i="95"/>
  <c r="E29" i="95"/>
  <c r="J29" i="95"/>
  <c r="K29" i="95" s="1"/>
  <c r="K39" i="101"/>
  <c r="K37" i="91"/>
  <c r="K36" i="91"/>
  <c r="K36" i="100"/>
  <c r="I42" i="122"/>
  <c r="J41" i="122"/>
  <c r="K41" i="15"/>
  <c r="K38" i="57"/>
  <c r="I39" i="174"/>
  <c r="J38" i="174"/>
  <c r="C26" i="163"/>
  <c r="E27" i="163"/>
  <c r="J27" i="163"/>
  <c r="K27" i="163" s="1"/>
  <c r="K39" i="113"/>
  <c r="I40" i="31"/>
  <c r="J39" i="31"/>
  <c r="K38" i="31" s="1"/>
  <c r="K41" i="22"/>
  <c r="I39" i="34"/>
  <c r="J38" i="34"/>
  <c r="K37" i="34" s="1"/>
  <c r="I44" i="46"/>
  <c r="J43" i="46"/>
  <c r="K42" i="46" s="1"/>
  <c r="K38" i="21"/>
  <c r="K38" i="153"/>
  <c r="I41" i="99"/>
  <c r="J40" i="99"/>
  <c r="I39" i="81"/>
  <c r="J38" i="81"/>
  <c r="J39" i="114"/>
  <c r="I40" i="114"/>
  <c r="J40" i="159"/>
  <c r="I41" i="159"/>
  <c r="K38" i="103"/>
  <c r="K38" i="70"/>
  <c r="E27" i="69"/>
  <c r="C26" i="69"/>
  <c r="J27" i="69"/>
  <c r="K27" i="69" s="1"/>
  <c r="E28" i="66"/>
  <c r="C27" i="66"/>
  <c r="J28" i="66"/>
  <c r="K28" i="66" s="1"/>
  <c r="C24" i="156"/>
  <c r="E25" i="156"/>
  <c r="J25" i="156"/>
  <c r="K25" i="156" s="1"/>
  <c r="I39" i="91"/>
  <c r="J38" i="91"/>
  <c r="E27" i="40"/>
  <c r="C26" i="40"/>
  <c r="J27" i="40"/>
  <c r="K27" i="40" s="1"/>
  <c r="C26" i="37"/>
  <c r="E27" i="37"/>
  <c r="J27" i="37"/>
  <c r="K27" i="37" s="1"/>
  <c r="K36" i="64"/>
  <c r="I39" i="38"/>
  <c r="J38" i="38"/>
  <c r="BF30" i="2"/>
  <c r="K38" i="111"/>
  <c r="J39" i="50"/>
  <c r="K38" i="50" s="1"/>
  <c r="I40" i="50"/>
  <c r="K37" i="56"/>
  <c r="I39" i="148"/>
  <c r="J38" i="148"/>
  <c r="K37" i="148" s="1"/>
  <c r="C29" i="53"/>
  <c r="E30" i="53"/>
  <c r="J30" i="53"/>
  <c r="K30" i="53" s="1"/>
  <c r="J40" i="167"/>
  <c r="I41" i="167"/>
  <c r="K38" i="19"/>
  <c r="K39" i="99"/>
  <c r="K37" i="170"/>
  <c r="AU31" i="2"/>
  <c r="E30" i="6"/>
  <c r="C29" i="6"/>
  <c r="CA30" i="1"/>
  <c r="J39" i="52"/>
  <c r="I40" i="52"/>
  <c r="E28" i="65"/>
  <c r="C27" i="65"/>
  <c r="J28" i="65"/>
  <c r="K28" i="65" s="1"/>
  <c r="K36" i="109"/>
  <c r="I41" i="37"/>
  <c r="J40" i="37"/>
  <c r="I41" i="173"/>
  <c r="J40" i="173"/>
  <c r="E26" i="111"/>
  <c r="C25" i="111"/>
  <c r="J26" i="111"/>
  <c r="K26" i="111" s="1"/>
  <c r="J38" i="55"/>
  <c r="I39" i="55"/>
  <c r="K37" i="38"/>
  <c r="K40" i="94"/>
  <c r="E29" i="33"/>
  <c r="C28" i="33"/>
  <c r="M29" i="2"/>
  <c r="J29" i="33"/>
  <c r="K29" i="33" s="1"/>
  <c r="J41" i="172"/>
  <c r="K40" i="172" s="1"/>
  <c r="I42" i="172"/>
  <c r="CL30" i="2"/>
  <c r="K38" i="44"/>
  <c r="K40" i="127"/>
  <c r="K36" i="11"/>
  <c r="E27" i="26"/>
  <c r="C26" i="26"/>
  <c r="J27" i="26"/>
  <c r="K27" i="26" s="1"/>
  <c r="C27" i="94"/>
  <c r="E28" i="94"/>
  <c r="J28" i="94"/>
  <c r="K28" i="94" s="1"/>
  <c r="C25" i="45"/>
  <c r="E26" i="45"/>
  <c r="J26" i="45"/>
  <c r="K26" i="45" s="1"/>
  <c r="I39" i="125"/>
  <c r="J38" i="125"/>
  <c r="I40" i="154"/>
  <c r="J39" i="154"/>
  <c r="E28" i="75"/>
  <c r="C27" i="75"/>
  <c r="J28" i="75"/>
  <c r="K28" i="75" s="1"/>
  <c r="I40" i="3"/>
  <c r="J39" i="3"/>
  <c r="K39" i="93"/>
  <c r="K39" i="37"/>
  <c r="K36" i="171"/>
  <c r="J42" i="14"/>
  <c r="I43" i="14"/>
  <c r="I40" i="53"/>
  <c r="J39" i="53"/>
  <c r="E28" i="116"/>
  <c r="C27" i="116"/>
  <c r="J28" i="116"/>
  <c r="K28" i="116" s="1"/>
  <c r="E27" i="159"/>
  <c r="C26" i="159"/>
  <c r="J27" i="159"/>
  <c r="K27" i="159" s="1"/>
  <c r="K40" i="59"/>
  <c r="J39" i="19"/>
  <c r="I40" i="19"/>
  <c r="I42" i="127"/>
  <c r="J41" i="127"/>
  <c r="E29" i="63"/>
  <c r="C28" i="63"/>
  <c r="J29" i="63"/>
  <c r="K29" i="63" s="1"/>
  <c r="E26" i="102"/>
  <c r="C25" i="102"/>
  <c r="J26" i="102"/>
  <c r="K26" i="102" s="1"/>
  <c r="E28" i="17"/>
  <c r="C27" i="17"/>
  <c r="J28" i="17"/>
  <c r="K28" i="17" s="1"/>
  <c r="E25" i="166"/>
  <c r="C24" i="166"/>
  <c r="J25" i="166"/>
  <c r="K25" i="166" s="1"/>
  <c r="K39" i="25"/>
  <c r="E30" i="50"/>
  <c r="C29" i="50"/>
  <c r="AT30" i="2"/>
  <c r="J30" i="50"/>
  <c r="K30" i="50" s="1"/>
  <c r="I39" i="146"/>
  <c r="J38" i="146"/>
  <c r="K37" i="146" s="1"/>
  <c r="J40" i="139"/>
  <c r="I41" i="139"/>
  <c r="I43" i="27"/>
  <c r="J42" i="27"/>
  <c r="I39" i="147"/>
  <c r="J38" i="147"/>
  <c r="E28" i="110"/>
  <c r="C27" i="110"/>
  <c r="J28" i="110"/>
  <c r="K28" i="110" s="1"/>
  <c r="C28" i="151"/>
  <c r="E29" i="151"/>
  <c r="J29" i="151"/>
  <c r="K29" i="151" s="1"/>
  <c r="I41" i="93"/>
  <c r="J40" i="93"/>
  <c r="I39" i="65"/>
  <c r="J38" i="65"/>
  <c r="E28" i="113"/>
  <c r="C27" i="113"/>
  <c r="J28" i="113"/>
  <c r="K28" i="113" s="1"/>
  <c r="K39" i="62"/>
  <c r="K41" i="82"/>
  <c r="E30" i="46"/>
  <c r="C29" i="46"/>
  <c r="J30" i="46"/>
  <c r="K30" i="46" s="1"/>
  <c r="AI30" i="1"/>
  <c r="J40" i="25"/>
  <c r="I41" i="25"/>
  <c r="E29" i="96"/>
  <c r="C28" i="96"/>
  <c r="J29" i="96"/>
  <c r="K29" i="96" s="1"/>
  <c r="K40" i="13"/>
  <c r="C28" i="20"/>
  <c r="E29" i="20"/>
  <c r="J29" i="20"/>
  <c r="K29" i="20" s="1"/>
  <c r="E28" i="54"/>
  <c r="C27" i="54"/>
  <c r="J28" i="54"/>
  <c r="K28" i="54" s="1"/>
  <c r="K37" i="65"/>
  <c r="E27" i="171"/>
  <c r="C26" i="171"/>
  <c r="J27" i="171"/>
  <c r="K27" i="171" s="1"/>
  <c r="E30" i="49"/>
  <c r="C29" i="49"/>
  <c r="J30" i="49"/>
  <c r="K30" i="49" s="1"/>
  <c r="K39" i="129"/>
  <c r="N31" i="1"/>
  <c r="I43" i="82"/>
  <c r="J42" i="82"/>
  <c r="C24" i="157"/>
  <c r="E25" i="157"/>
  <c r="J25" i="157"/>
  <c r="K25" i="157" s="1"/>
  <c r="K37" i="123"/>
  <c r="I42" i="13"/>
  <c r="J41" i="13"/>
  <c r="E26" i="165"/>
  <c r="C25" i="165"/>
  <c r="J26" i="165"/>
  <c r="K26" i="165" s="1"/>
  <c r="K36" i="17"/>
  <c r="C27" i="18"/>
  <c r="E28" i="18"/>
  <c r="J28" i="18"/>
  <c r="K28" i="18" s="1"/>
  <c r="I39" i="163"/>
  <c r="J38" i="163"/>
  <c r="K38" i="139"/>
  <c r="K40" i="29"/>
  <c r="J39" i="80"/>
  <c r="I40" i="80"/>
  <c r="K41" i="12"/>
  <c r="I41" i="129"/>
  <c r="J40" i="129"/>
  <c r="Y31" i="2"/>
  <c r="K36" i="38"/>
  <c r="C27" i="68"/>
  <c r="E28" i="68"/>
  <c r="J28" i="68"/>
  <c r="K28" i="68" s="1"/>
  <c r="GR30" i="2"/>
  <c r="K41" i="79"/>
  <c r="E28" i="19"/>
  <c r="C27" i="19"/>
  <c r="J28" i="19"/>
  <c r="K28" i="19" s="1"/>
  <c r="N30" i="2"/>
  <c r="I43" i="71"/>
  <c r="J42" i="71"/>
  <c r="E29" i="44"/>
  <c r="C28" i="44"/>
  <c r="J29" i="44"/>
  <c r="K29" i="44" s="1"/>
  <c r="I41" i="115"/>
  <c r="J40" i="115"/>
  <c r="K37" i="163"/>
  <c r="I42" i="29"/>
  <c r="J41" i="29"/>
  <c r="K39" i="122"/>
  <c r="K38" i="60"/>
  <c r="K36" i="55"/>
  <c r="K40" i="117"/>
  <c r="K39" i="132"/>
  <c r="EP30" i="2"/>
  <c r="E23" i="98"/>
  <c r="C22" i="98"/>
  <c r="J23" i="98"/>
  <c r="K23" i="98" s="1"/>
  <c r="K39" i="115"/>
  <c r="E30" i="27"/>
  <c r="C29" i="27"/>
  <c r="J30" i="27"/>
  <c r="K30" i="27" s="1"/>
  <c r="J39" i="119"/>
  <c r="K38" i="119" s="1"/>
  <c r="I40" i="119"/>
  <c r="K37" i="3"/>
  <c r="K38" i="37"/>
  <c r="I39" i="45"/>
  <c r="J38" i="45"/>
  <c r="C27" i="161"/>
  <c r="E28" i="161"/>
  <c r="J28" i="161"/>
  <c r="K28" i="161" s="1"/>
  <c r="E30" i="12"/>
  <c r="C29" i="12"/>
  <c r="X30" i="2"/>
  <c r="M30" i="1"/>
  <c r="J30" i="12"/>
  <c r="K30" i="12" s="1"/>
  <c r="I42" i="117"/>
  <c r="J41" i="117"/>
  <c r="I39" i="110"/>
  <c r="J38" i="110"/>
  <c r="I39" i="112"/>
  <c r="J38" i="112"/>
  <c r="J41" i="142"/>
  <c r="I42" i="142"/>
  <c r="J40" i="72"/>
  <c r="I41" i="72"/>
  <c r="I42" i="107"/>
  <c r="J41" i="107"/>
  <c r="K40" i="107" s="1"/>
  <c r="I42" i="136"/>
  <c r="J41" i="136"/>
  <c r="K40" i="136" s="1"/>
  <c r="X30" i="1"/>
  <c r="K36" i="120"/>
  <c r="K38" i="85"/>
  <c r="CA30" i="2"/>
  <c r="K36" i="160"/>
  <c r="K38" i="66"/>
  <c r="K40" i="128"/>
  <c r="E30" i="170"/>
  <c r="C29" i="170"/>
  <c r="J30" i="170"/>
  <c r="K30" i="170" s="1"/>
  <c r="BQ31" i="1"/>
  <c r="K37" i="45"/>
  <c r="E27" i="149"/>
  <c r="C26" i="149"/>
  <c r="J27" i="149"/>
  <c r="K27" i="149" s="1"/>
  <c r="I40" i="97"/>
  <c r="J39" i="97"/>
  <c r="K36" i="166"/>
  <c r="K37" i="110"/>
  <c r="K37" i="112"/>
  <c r="I42" i="77"/>
  <c r="J41" i="77"/>
  <c r="K40" i="77" s="1"/>
  <c r="I40" i="131"/>
  <c r="J39" i="131"/>
  <c r="K38" i="131" s="1"/>
  <c r="K38" i="87"/>
  <c r="K37" i="87"/>
  <c r="I40" i="85"/>
  <c r="J39" i="85"/>
  <c r="E29" i="31"/>
  <c r="C28" i="31"/>
  <c r="CA29" i="2"/>
  <c r="J29" i="31"/>
  <c r="K29" i="31" s="1"/>
  <c r="K38" i="86"/>
  <c r="I42" i="128"/>
  <c r="J41" i="128"/>
  <c r="K40" i="89"/>
  <c r="HD31" i="2"/>
  <c r="K37" i="57"/>
  <c r="K38" i="67"/>
  <c r="K36" i="130"/>
  <c r="IU30" i="2"/>
  <c r="HZ29" i="2" l="1"/>
  <c r="AJ29" i="2"/>
  <c r="E29" i="27"/>
  <c r="C28" i="27"/>
  <c r="IJ28" i="2" s="1"/>
  <c r="J29" i="27"/>
  <c r="K29" i="27" s="1"/>
  <c r="E27" i="68"/>
  <c r="C26" i="68"/>
  <c r="J27" i="68"/>
  <c r="K27" i="68" s="1"/>
  <c r="J42" i="117"/>
  <c r="I43" i="117"/>
  <c r="J39" i="163"/>
  <c r="I40" i="163"/>
  <c r="C25" i="26"/>
  <c r="E26" i="26"/>
  <c r="J26" i="26"/>
  <c r="K26" i="26" s="1"/>
  <c r="J40" i="31"/>
  <c r="I41" i="31"/>
  <c r="I42" i="118"/>
  <c r="J41" i="118"/>
  <c r="E24" i="138"/>
  <c r="C23" i="138"/>
  <c r="J24" i="138"/>
  <c r="K24" i="138" s="1"/>
  <c r="I45" i="75"/>
  <c r="J44" i="75"/>
  <c r="I43" i="78"/>
  <c r="J42" i="78"/>
  <c r="I42" i="113"/>
  <c r="J41" i="113"/>
  <c r="C27" i="154"/>
  <c r="E28" i="154"/>
  <c r="J28" i="154"/>
  <c r="K28" i="154" s="1"/>
  <c r="J39" i="43"/>
  <c r="I40" i="43"/>
  <c r="K39" i="161"/>
  <c r="E27" i="67"/>
  <c r="C26" i="67"/>
  <c r="J27" i="67"/>
  <c r="K27" i="67" s="1"/>
  <c r="K41" i="89"/>
  <c r="I43" i="29"/>
  <c r="J42" i="29"/>
  <c r="K38" i="147"/>
  <c r="CB30" i="1"/>
  <c r="E26" i="40"/>
  <c r="C25" i="40"/>
  <c r="J26" i="40"/>
  <c r="K26" i="40" s="1"/>
  <c r="I41" i="153"/>
  <c r="J40" i="153"/>
  <c r="J40" i="108"/>
  <c r="I41" i="108"/>
  <c r="J39" i="90"/>
  <c r="I40" i="90"/>
  <c r="E29" i="172"/>
  <c r="C28" i="172"/>
  <c r="J29" i="172"/>
  <c r="K29" i="172" s="1"/>
  <c r="K40" i="113"/>
  <c r="J42" i="101"/>
  <c r="I43" i="101"/>
  <c r="I41" i="161"/>
  <c r="J40" i="161"/>
  <c r="E27" i="11"/>
  <c r="C26" i="11"/>
  <c r="J27" i="11"/>
  <c r="K27" i="11" s="1"/>
  <c r="E26" i="73"/>
  <c r="C25" i="73"/>
  <c r="J26" i="73"/>
  <c r="K26" i="73" s="1"/>
  <c r="J40" i="56"/>
  <c r="I41" i="56"/>
  <c r="E27" i="16"/>
  <c r="C26" i="16"/>
  <c r="J27" i="16"/>
  <c r="K27" i="16" s="1"/>
  <c r="I41" i="168"/>
  <c r="J40" i="168"/>
  <c r="J42" i="89"/>
  <c r="I43" i="89"/>
  <c r="E27" i="54"/>
  <c r="C26" i="54"/>
  <c r="J27" i="54"/>
  <c r="K27" i="54" s="1"/>
  <c r="J40" i="97"/>
  <c r="I41" i="97"/>
  <c r="N30" i="1"/>
  <c r="I40" i="147"/>
  <c r="J39" i="147"/>
  <c r="E26" i="159"/>
  <c r="C25" i="159"/>
  <c r="J26" i="159"/>
  <c r="K26" i="159" s="1"/>
  <c r="E29" i="6"/>
  <c r="CA29" i="1"/>
  <c r="C28" i="6"/>
  <c r="IU29" i="2"/>
  <c r="E27" i="5"/>
  <c r="C26" i="5"/>
  <c r="J27" i="5"/>
  <c r="K27" i="5" s="1"/>
  <c r="K39" i="108"/>
  <c r="K38" i="90"/>
  <c r="C66" i="24"/>
  <c r="C67" i="2"/>
  <c r="C67" i="1"/>
  <c r="GG67" i="2"/>
  <c r="BE67" i="1"/>
  <c r="I43" i="152"/>
  <c r="J42" i="152"/>
  <c r="C27" i="77"/>
  <c r="E28" i="77"/>
  <c r="J28" i="77"/>
  <c r="K28" i="77" s="1"/>
  <c r="E28" i="48"/>
  <c r="C27" i="48"/>
  <c r="J28" i="48"/>
  <c r="K28" i="48" s="1"/>
  <c r="I41" i="86"/>
  <c r="J40" i="86"/>
  <c r="E27" i="126"/>
  <c r="C26" i="126"/>
  <c r="J27" i="126"/>
  <c r="K27" i="126" s="1"/>
  <c r="J41" i="158"/>
  <c r="K40" i="158" s="1"/>
  <c r="I42" i="158"/>
  <c r="K41" i="156"/>
  <c r="E25" i="160"/>
  <c r="C24" i="160"/>
  <c r="J25" i="160"/>
  <c r="K25" i="160" s="1"/>
  <c r="I59" i="150"/>
  <c r="J58" i="150"/>
  <c r="E26" i="106"/>
  <c r="C25" i="106"/>
  <c r="J26" i="106"/>
  <c r="K26" i="106" s="1"/>
  <c r="C26" i="64"/>
  <c r="E27" i="64"/>
  <c r="J27" i="64"/>
  <c r="K27" i="64" s="1"/>
  <c r="K39" i="86"/>
  <c r="Y30" i="2"/>
  <c r="E29" i="100"/>
  <c r="C28" i="100"/>
  <c r="J29" i="100"/>
  <c r="K29" i="100" s="1"/>
  <c r="C27" i="23"/>
  <c r="E28" i="23"/>
  <c r="J28" i="23"/>
  <c r="K28" i="23" s="1"/>
  <c r="E26" i="149"/>
  <c r="C25" i="149"/>
  <c r="J26" i="149"/>
  <c r="K26" i="149" s="1"/>
  <c r="C28" i="12"/>
  <c r="E29" i="12"/>
  <c r="X29" i="2"/>
  <c r="M29" i="1"/>
  <c r="J29" i="12"/>
  <c r="K29" i="12" s="1"/>
  <c r="E27" i="18"/>
  <c r="C26" i="18"/>
  <c r="J27" i="18"/>
  <c r="K27" i="18" s="1"/>
  <c r="I44" i="27"/>
  <c r="J43" i="27"/>
  <c r="K42" i="27" s="1"/>
  <c r="I40" i="91"/>
  <c r="J39" i="91"/>
  <c r="K38" i="91" s="1"/>
  <c r="E26" i="163"/>
  <c r="C25" i="163"/>
  <c r="J26" i="163"/>
  <c r="K26" i="163" s="1"/>
  <c r="C24" i="59"/>
  <c r="E25" i="59"/>
  <c r="J25" i="59"/>
  <c r="K25" i="59" s="1"/>
  <c r="HO30" i="2"/>
  <c r="AU30" i="1"/>
  <c r="J42" i="156"/>
  <c r="I43" i="156"/>
  <c r="J40" i="54"/>
  <c r="K39" i="54" s="1"/>
  <c r="I41" i="54"/>
  <c r="I41" i="87"/>
  <c r="J40" i="87"/>
  <c r="K38" i="95"/>
  <c r="C28" i="7"/>
  <c r="E29" i="7"/>
  <c r="AT29" i="1"/>
  <c r="J29" i="7"/>
  <c r="K29" i="7" s="1"/>
  <c r="J41" i="63"/>
  <c r="I42" i="63"/>
  <c r="C27" i="140"/>
  <c r="E28" i="140"/>
  <c r="J28" i="140"/>
  <c r="K28" i="140" s="1"/>
  <c r="I43" i="16"/>
  <c r="J42" i="16"/>
  <c r="E28" i="70"/>
  <c r="C27" i="70"/>
  <c r="J28" i="70"/>
  <c r="K28" i="70" s="1"/>
  <c r="J42" i="135"/>
  <c r="I43" i="135"/>
  <c r="E28" i="101"/>
  <c r="C27" i="101"/>
  <c r="J28" i="101"/>
  <c r="K28" i="101" s="1"/>
  <c r="I40" i="102"/>
  <c r="J39" i="102"/>
  <c r="J41" i="23"/>
  <c r="K40" i="23" s="1"/>
  <c r="I42" i="23"/>
  <c r="C25" i="173"/>
  <c r="E26" i="173"/>
  <c r="J26" i="173"/>
  <c r="K26" i="173" s="1"/>
  <c r="K40" i="139"/>
  <c r="J42" i="172"/>
  <c r="K41" i="172" s="1"/>
  <c r="I43" i="172"/>
  <c r="I40" i="174"/>
  <c r="J39" i="174"/>
  <c r="E29" i="28"/>
  <c r="C28" i="28"/>
  <c r="AI28" i="2" s="1"/>
  <c r="J29" i="28"/>
  <c r="K29" i="28" s="1"/>
  <c r="C26" i="148"/>
  <c r="E27" i="148"/>
  <c r="J27" i="148"/>
  <c r="K27" i="148" s="1"/>
  <c r="E29" i="58"/>
  <c r="C28" i="58"/>
  <c r="J29" i="58"/>
  <c r="K29" i="58" s="1"/>
  <c r="I40" i="95"/>
  <c r="J39" i="95"/>
  <c r="E24" i="32"/>
  <c r="C23" i="32"/>
  <c r="J24" i="32"/>
  <c r="K24" i="32" s="1"/>
  <c r="K38" i="102"/>
  <c r="E27" i="139"/>
  <c r="C26" i="139"/>
  <c r="J27" i="139"/>
  <c r="K27" i="139" s="1"/>
  <c r="I40" i="58"/>
  <c r="J39" i="58"/>
  <c r="J41" i="139"/>
  <c r="I42" i="139"/>
  <c r="CM30" i="2"/>
  <c r="IV30" i="2"/>
  <c r="K38" i="97"/>
  <c r="E24" i="156"/>
  <c r="C23" i="156"/>
  <c r="J24" i="156"/>
  <c r="K24" i="156" s="1"/>
  <c r="DI29" i="2"/>
  <c r="J41" i="157"/>
  <c r="I42" i="157"/>
  <c r="E26" i="51"/>
  <c r="C25" i="51"/>
  <c r="J26" i="51"/>
  <c r="K26" i="51" s="1"/>
  <c r="E29" i="143"/>
  <c r="C28" i="143"/>
  <c r="J29" i="143"/>
  <c r="K29" i="143" s="1"/>
  <c r="K40" i="165"/>
  <c r="J41" i="44"/>
  <c r="I42" i="44"/>
  <c r="I45" i="145"/>
  <c r="J44" i="145"/>
  <c r="K38" i="143"/>
  <c r="E28" i="21"/>
  <c r="C27" i="21"/>
  <c r="J28" i="21"/>
  <c r="K28" i="21" s="1"/>
  <c r="E26" i="124"/>
  <c r="C25" i="124"/>
  <c r="J26" i="124"/>
  <c r="K26" i="124" s="1"/>
  <c r="K38" i="58"/>
  <c r="J39" i="146"/>
  <c r="I40" i="146"/>
  <c r="J40" i="53"/>
  <c r="K39" i="53" s="1"/>
  <c r="I41" i="53"/>
  <c r="K37" i="95"/>
  <c r="I41" i="155"/>
  <c r="J40" i="155"/>
  <c r="J39" i="64"/>
  <c r="K38" i="64" s="1"/>
  <c r="I40" i="64"/>
  <c r="I42" i="165"/>
  <c r="J41" i="165"/>
  <c r="J39" i="143"/>
  <c r="I40" i="143"/>
  <c r="E28" i="78"/>
  <c r="C27" i="78"/>
  <c r="J28" i="78"/>
  <c r="K28" i="78" s="1"/>
  <c r="K39" i="73"/>
  <c r="K43" i="15"/>
  <c r="E27" i="83"/>
  <c r="C26" i="83"/>
  <c r="J27" i="83"/>
  <c r="K27" i="83" s="1"/>
  <c r="E28" i="96"/>
  <c r="C27" i="96"/>
  <c r="J28" i="96"/>
  <c r="K28" i="96" s="1"/>
  <c r="I44" i="14"/>
  <c r="J43" i="14"/>
  <c r="N29" i="2"/>
  <c r="I42" i="167"/>
  <c r="J41" i="167"/>
  <c r="C26" i="66"/>
  <c r="E27" i="66"/>
  <c r="J27" i="66"/>
  <c r="K27" i="66" s="1"/>
  <c r="E28" i="133"/>
  <c r="C27" i="133"/>
  <c r="J28" i="133"/>
  <c r="K28" i="133" s="1"/>
  <c r="DH28" i="2"/>
  <c r="K39" i="155"/>
  <c r="K38" i="155"/>
  <c r="I41" i="151"/>
  <c r="J40" i="151"/>
  <c r="C27" i="147"/>
  <c r="E28" i="147"/>
  <c r="J28" i="147"/>
  <c r="K28" i="147" s="1"/>
  <c r="I41" i="123"/>
  <c r="J40" i="123"/>
  <c r="I41" i="73"/>
  <c r="J40" i="73"/>
  <c r="J44" i="15"/>
  <c r="I45" i="15"/>
  <c r="I40" i="105"/>
  <c r="J39" i="105"/>
  <c r="J40" i="88"/>
  <c r="I41" i="88"/>
  <c r="E29" i="56"/>
  <c r="C28" i="56"/>
  <c r="J29" i="56"/>
  <c r="K29" i="56" s="1"/>
  <c r="I43" i="122"/>
  <c r="J42" i="122"/>
  <c r="K41" i="122" s="1"/>
  <c r="E26" i="39"/>
  <c r="C25" i="39"/>
  <c r="J26" i="39"/>
  <c r="K26" i="39" s="1"/>
  <c r="C25" i="168"/>
  <c r="E26" i="168"/>
  <c r="J26" i="168"/>
  <c r="K26" i="168" s="1"/>
  <c r="I41" i="5"/>
  <c r="J40" i="5"/>
  <c r="I40" i="130"/>
  <c r="J39" i="130"/>
  <c r="K39" i="151"/>
  <c r="I40" i="11"/>
  <c r="J39" i="11"/>
  <c r="K38" i="105"/>
  <c r="K39" i="88"/>
  <c r="J39" i="160"/>
  <c r="I40" i="160"/>
  <c r="K41" i="48"/>
  <c r="AU30" i="2"/>
  <c r="K42" i="14"/>
  <c r="E28" i="33"/>
  <c r="C27" i="33"/>
  <c r="J28" i="33"/>
  <c r="K28" i="33" s="1"/>
  <c r="K41" i="71"/>
  <c r="I42" i="25"/>
  <c r="J41" i="25"/>
  <c r="E29" i="50"/>
  <c r="C28" i="50"/>
  <c r="AT29" i="2"/>
  <c r="J29" i="50"/>
  <c r="K29" i="50" s="1"/>
  <c r="DT28" i="2"/>
  <c r="I40" i="96"/>
  <c r="J39" i="96"/>
  <c r="C23" i="30"/>
  <c r="E24" i="30"/>
  <c r="J24" i="30"/>
  <c r="K24" i="30" s="1"/>
  <c r="I40" i="109"/>
  <c r="J39" i="109"/>
  <c r="E26" i="72"/>
  <c r="C25" i="72"/>
  <c r="J26" i="72"/>
  <c r="K26" i="72" s="1"/>
  <c r="J40" i="21"/>
  <c r="I41" i="21"/>
  <c r="K38" i="8"/>
  <c r="K38" i="47"/>
  <c r="E28" i="38"/>
  <c r="C27" i="38"/>
  <c r="J28" i="38"/>
  <c r="K28" i="38" s="1"/>
  <c r="C26" i="103"/>
  <c r="E27" i="103"/>
  <c r="J27" i="103"/>
  <c r="K27" i="103" s="1"/>
  <c r="E29" i="3"/>
  <c r="C28" i="3"/>
  <c r="J29" i="3"/>
  <c r="K29" i="3" s="1"/>
  <c r="I43" i="48"/>
  <c r="J42" i="48"/>
  <c r="E26" i="69"/>
  <c r="C25" i="69"/>
  <c r="J26" i="69"/>
  <c r="K26" i="69" s="1"/>
  <c r="E28" i="142"/>
  <c r="C27" i="142"/>
  <c r="J28" i="142"/>
  <c r="K28" i="142" s="1"/>
  <c r="C26" i="74"/>
  <c r="E27" i="74"/>
  <c r="J27" i="74"/>
  <c r="K27" i="74" s="1"/>
  <c r="K38" i="109"/>
  <c r="J39" i="8"/>
  <c r="I40" i="8"/>
  <c r="E29" i="93"/>
  <c r="C28" i="93"/>
  <c r="J29" i="93"/>
  <c r="K29" i="93" s="1"/>
  <c r="I40" i="47"/>
  <c r="J39" i="47"/>
  <c r="E28" i="169"/>
  <c r="C27" i="169"/>
  <c r="J28" i="169"/>
  <c r="K28" i="169" s="1"/>
  <c r="E29" i="107"/>
  <c r="C28" i="107"/>
  <c r="J29" i="107"/>
  <c r="K29" i="107" s="1"/>
  <c r="BQ30" i="2"/>
  <c r="E27" i="81"/>
  <c r="C26" i="81"/>
  <c r="J27" i="81"/>
  <c r="K27" i="81" s="1"/>
  <c r="C26" i="118"/>
  <c r="E27" i="118"/>
  <c r="J27" i="118"/>
  <c r="K27" i="118" s="1"/>
  <c r="I42" i="124"/>
  <c r="J41" i="124"/>
  <c r="K42" i="22"/>
  <c r="C27" i="80"/>
  <c r="E28" i="80"/>
  <c r="J28" i="80"/>
  <c r="K28" i="80" s="1"/>
  <c r="E29" i="52"/>
  <c r="C28" i="52"/>
  <c r="BP29" i="2"/>
  <c r="J29" i="52"/>
  <c r="K29" i="52" s="1"/>
  <c r="E28" i="13"/>
  <c r="C27" i="13"/>
  <c r="J28" i="13"/>
  <c r="K28" i="13" s="1"/>
  <c r="IU28" i="2"/>
  <c r="C27" i="36"/>
  <c r="E28" i="36"/>
  <c r="J28" i="36"/>
  <c r="K28" i="36" s="1"/>
  <c r="C27" i="132"/>
  <c r="E28" i="132"/>
  <c r="J28" i="132"/>
  <c r="K28" i="132" s="1"/>
  <c r="I43" i="128"/>
  <c r="J42" i="128"/>
  <c r="E27" i="19"/>
  <c r="C26" i="19"/>
  <c r="J27" i="19"/>
  <c r="K27" i="19" s="1"/>
  <c r="K41" i="14"/>
  <c r="K38" i="148"/>
  <c r="K37" i="174"/>
  <c r="C27" i="35"/>
  <c r="E28" i="35"/>
  <c r="J28" i="35"/>
  <c r="K28" i="35" s="1"/>
  <c r="E29" i="174"/>
  <c r="C28" i="174"/>
  <c r="J29" i="174"/>
  <c r="K29" i="174" s="1"/>
  <c r="I41" i="111"/>
  <c r="J40" i="111"/>
  <c r="K39" i="111" s="1"/>
  <c r="K40" i="124"/>
  <c r="J43" i="22"/>
  <c r="I44" i="22"/>
  <c r="C24" i="131"/>
  <c r="E25" i="131"/>
  <c r="J25" i="131"/>
  <c r="K25" i="131" s="1"/>
  <c r="K39" i="169"/>
  <c r="C26" i="130"/>
  <c r="E27" i="130"/>
  <c r="J27" i="130"/>
  <c r="K27" i="130" s="1"/>
  <c r="J40" i="104"/>
  <c r="I41" i="104"/>
  <c r="C28" i="53"/>
  <c r="E29" i="53"/>
  <c r="J29" i="53"/>
  <c r="K29" i="53" s="1"/>
  <c r="E27" i="129"/>
  <c r="C26" i="129"/>
  <c r="J27" i="129"/>
  <c r="K27" i="129" s="1"/>
  <c r="DS27" i="2"/>
  <c r="CB30" i="2"/>
  <c r="I41" i="119"/>
  <c r="J40" i="119"/>
  <c r="E24" i="157"/>
  <c r="C23" i="157"/>
  <c r="J24" i="157"/>
  <c r="K24" i="157" s="1"/>
  <c r="E29" i="46"/>
  <c r="C28" i="46"/>
  <c r="J29" i="46"/>
  <c r="K29" i="46" s="1"/>
  <c r="E24" i="166"/>
  <c r="C23" i="166"/>
  <c r="J24" i="166"/>
  <c r="K24" i="166" s="1"/>
  <c r="J40" i="3"/>
  <c r="I41" i="3"/>
  <c r="J39" i="55"/>
  <c r="I40" i="55"/>
  <c r="I40" i="148"/>
  <c r="J39" i="148"/>
  <c r="K39" i="157"/>
  <c r="C25" i="61"/>
  <c r="E26" i="61"/>
  <c r="J26" i="61"/>
  <c r="K26" i="61" s="1"/>
  <c r="FA29" i="2"/>
  <c r="J40" i="169"/>
  <c r="I41" i="169"/>
  <c r="C26" i="128"/>
  <c r="E27" i="128"/>
  <c r="J27" i="128"/>
  <c r="K27" i="128" s="1"/>
  <c r="K38" i="54"/>
  <c r="K39" i="104"/>
  <c r="E28" i="44"/>
  <c r="C27" i="44"/>
  <c r="J28" i="44"/>
  <c r="K28" i="44" s="1"/>
  <c r="J41" i="159"/>
  <c r="I42" i="159"/>
  <c r="J40" i="76"/>
  <c r="I41" i="76"/>
  <c r="E26" i="85"/>
  <c r="C25" i="85"/>
  <c r="J26" i="85"/>
  <c r="K26" i="85" s="1"/>
  <c r="FL29" i="2"/>
  <c r="C26" i="22"/>
  <c r="E27" i="22"/>
  <c r="J27" i="22"/>
  <c r="K27" i="22" s="1"/>
  <c r="E29" i="155"/>
  <c r="C28" i="155"/>
  <c r="J29" i="155"/>
  <c r="K29" i="155" s="1"/>
  <c r="E29" i="90"/>
  <c r="C28" i="90"/>
  <c r="J29" i="90"/>
  <c r="K29" i="90" s="1"/>
  <c r="I40" i="69"/>
  <c r="J39" i="69"/>
  <c r="J44" i="12"/>
  <c r="I45" i="12"/>
  <c r="K37" i="160"/>
  <c r="K39" i="63"/>
  <c r="J43" i="71"/>
  <c r="K42" i="71" s="1"/>
  <c r="I44" i="71"/>
  <c r="I40" i="45"/>
  <c r="J39" i="45"/>
  <c r="K40" i="25"/>
  <c r="K41" i="128"/>
  <c r="GS30" i="2"/>
  <c r="I44" i="82"/>
  <c r="J43" i="82"/>
  <c r="K38" i="53"/>
  <c r="C26" i="75"/>
  <c r="E27" i="75"/>
  <c r="J27" i="75"/>
  <c r="K27" i="75" s="1"/>
  <c r="I41" i="50"/>
  <c r="J40" i="50"/>
  <c r="K40" i="159"/>
  <c r="C27" i="95"/>
  <c r="E28" i="95"/>
  <c r="J28" i="95"/>
  <c r="K28" i="95" s="1"/>
  <c r="I41" i="57"/>
  <c r="J40" i="57"/>
  <c r="I42" i="41"/>
  <c r="J41" i="41"/>
  <c r="K40" i="41" s="1"/>
  <c r="E28" i="88"/>
  <c r="C27" i="88"/>
  <c r="J28" i="88"/>
  <c r="K28" i="88" s="1"/>
  <c r="I40" i="100"/>
  <c r="J39" i="100"/>
  <c r="K38" i="100" s="1"/>
  <c r="C27" i="134"/>
  <c r="E28" i="134"/>
  <c r="EZ28" i="2"/>
  <c r="J28" i="134"/>
  <c r="K28" i="134" s="1"/>
  <c r="I45" i="74"/>
  <c r="J44" i="74"/>
  <c r="K43" i="74" s="1"/>
  <c r="J43" i="42"/>
  <c r="I44" i="42"/>
  <c r="CX28" i="2"/>
  <c r="K37" i="69"/>
  <c r="K39" i="106"/>
  <c r="E27" i="60"/>
  <c r="C26" i="60"/>
  <c r="J27" i="60"/>
  <c r="K27" i="60" s="1"/>
  <c r="EO29" i="2"/>
  <c r="AJ30" i="1"/>
  <c r="E27" i="17"/>
  <c r="C26" i="17"/>
  <c r="J27" i="17"/>
  <c r="K27" i="17" s="1"/>
  <c r="E25" i="111"/>
  <c r="C24" i="111"/>
  <c r="J25" i="111"/>
  <c r="K25" i="111" s="1"/>
  <c r="I41" i="114"/>
  <c r="J40" i="114"/>
  <c r="K39" i="57"/>
  <c r="K37" i="96"/>
  <c r="K39" i="33"/>
  <c r="I43" i="9"/>
  <c r="J42" i="9"/>
  <c r="I40" i="35"/>
  <c r="J39" i="35"/>
  <c r="I41" i="116"/>
  <c r="J40" i="116"/>
  <c r="I42" i="92"/>
  <c r="J41" i="92"/>
  <c r="K40" i="156"/>
  <c r="J44" i="134"/>
  <c r="I45" i="134"/>
  <c r="C26" i="112"/>
  <c r="E27" i="112"/>
  <c r="J27" i="112"/>
  <c r="K27" i="112" s="1"/>
  <c r="E25" i="105"/>
  <c r="C24" i="105"/>
  <c r="J25" i="105"/>
  <c r="K25" i="105" s="1"/>
  <c r="I41" i="106"/>
  <c r="J40" i="106"/>
  <c r="C28" i="29"/>
  <c r="E29" i="29"/>
  <c r="J29" i="29"/>
  <c r="K29" i="29" s="1"/>
  <c r="X29" i="1"/>
  <c r="C25" i="120"/>
  <c r="E26" i="120"/>
  <c r="J26" i="120"/>
  <c r="K26" i="120" s="1"/>
  <c r="E28" i="97"/>
  <c r="C27" i="97"/>
  <c r="EO28" i="2"/>
  <c r="J28" i="97"/>
  <c r="K28" i="97" s="1"/>
  <c r="E27" i="4"/>
  <c r="C26" i="4"/>
  <c r="J27" i="4"/>
  <c r="K27" i="4" s="1"/>
  <c r="C24" i="165"/>
  <c r="E25" i="165"/>
  <c r="J25" i="165"/>
  <c r="K25" i="165" s="1"/>
  <c r="K39" i="114"/>
  <c r="I41" i="121"/>
  <c r="J40" i="121"/>
  <c r="J40" i="4"/>
  <c r="I41" i="4"/>
  <c r="J40" i="33"/>
  <c r="I41" i="33"/>
  <c r="K39" i="126"/>
  <c r="C28" i="92"/>
  <c r="E29" i="92"/>
  <c r="J29" i="92"/>
  <c r="K29" i="92" s="1"/>
  <c r="C21" i="82"/>
  <c r="E22" i="82"/>
  <c r="J22" i="82"/>
  <c r="K22" i="82" s="1"/>
  <c r="J44" i="133"/>
  <c r="K43" i="133" s="1"/>
  <c r="I45" i="133"/>
  <c r="K43" i="134"/>
  <c r="E28" i="119"/>
  <c r="C27" i="119"/>
  <c r="J28" i="119"/>
  <c r="K28" i="119" s="1"/>
  <c r="E26" i="127"/>
  <c r="C25" i="127"/>
  <c r="J26" i="127"/>
  <c r="K26" i="127" s="1"/>
  <c r="I42" i="28"/>
  <c r="J41" i="28"/>
  <c r="K40" i="28" s="1"/>
  <c r="K38" i="146"/>
  <c r="I41" i="154"/>
  <c r="J40" i="154"/>
  <c r="K39" i="154" s="1"/>
  <c r="K40" i="173"/>
  <c r="E28" i="79"/>
  <c r="C27" i="79"/>
  <c r="J28" i="79"/>
  <c r="K28" i="79" s="1"/>
  <c r="E26" i="115"/>
  <c r="C25" i="115"/>
  <c r="J26" i="115"/>
  <c r="K26" i="115" s="1"/>
  <c r="J40" i="126"/>
  <c r="I41" i="126"/>
  <c r="K41" i="62"/>
  <c r="I44" i="24"/>
  <c r="C27" i="153"/>
  <c r="E28" i="153"/>
  <c r="J28" i="153"/>
  <c r="K28" i="153" s="1"/>
  <c r="I43" i="132"/>
  <c r="J42" i="132"/>
  <c r="C27" i="20"/>
  <c r="E28" i="20"/>
  <c r="J28" i="20"/>
  <c r="K28" i="20" s="1"/>
  <c r="K42" i="82"/>
  <c r="E28" i="114"/>
  <c r="C27" i="114"/>
  <c r="J28" i="114"/>
  <c r="K28" i="114" s="1"/>
  <c r="E27" i="57"/>
  <c r="C26" i="57"/>
  <c r="J27" i="57"/>
  <c r="K27" i="57" s="1"/>
  <c r="E27" i="144"/>
  <c r="C26" i="144"/>
  <c r="J27" i="144"/>
  <c r="K27" i="144" s="1"/>
  <c r="E29" i="91"/>
  <c r="C28" i="91"/>
  <c r="J29" i="91"/>
  <c r="K29" i="91" s="1"/>
  <c r="I43" i="62"/>
  <c r="J42" i="62"/>
  <c r="K42" i="74"/>
  <c r="I41" i="137"/>
  <c r="J40" i="137"/>
  <c r="C26" i="99"/>
  <c r="E27" i="99"/>
  <c r="J27" i="99"/>
  <c r="K27" i="99" s="1"/>
  <c r="FW30" i="2"/>
  <c r="E27" i="113"/>
  <c r="C26" i="113"/>
  <c r="J27" i="113"/>
  <c r="K27" i="113" s="1"/>
  <c r="E25" i="102"/>
  <c r="C24" i="102"/>
  <c r="J25" i="102"/>
  <c r="K25" i="102" s="1"/>
  <c r="I42" i="173"/>
  <c r="J41" i="173"/>
  <c r="J39" i="17"/>
  <c r="K38" i="17" s="1"/>
  <c r="I40" i="17"/>
  <c r="I42" i="30"/>
  <c r="J41" i="30"/>
  <c r="K40" i="30" s="1"/>
  <c r="C23" i="146"/>
  <c r="E24" i="146"/>
  <c r="J24" i="146"/>
  <c r="K24" i="146" s="1"/>
  <c r="I41" i="39"/>
  <c r="J40" i="39"/>
  <c r="I42" i="149"/>
  <c r="J41" i="149"/>
  <c r="K40" i="149" s="1"/>
  <c r="K42" i="94"/>
  <c r="K39" i="162"/>
  <c r="I41" i="67"/>
  <c r="J40" i="67"/>
  <c r="C24" i="43"/>
  <c r="E25" i="43"/>
  <c r="J25" i="43"/>
  <c r="K25" i="43" s="1"/>
  <c r="C28" i="170"/>
  <c r="E29" i="170"/>
  <c r="J29" i="170"/>
  <c r="K29" i="170" s="1"/>
  <c r="C27" i="31"/>
  <c r="E28" i="31"/>
  <c r="CA28" i="2"/>
  <c r="J28" i="31"/>
  <c r="K28" i="31" s="1"/>
  <c r="K40" i="37"/>
  <c r="E28" i="108"/>
  <c r="C27" i="108"/>
  <c r="J28" i="108"/>
  <c r="K28" i="108" s="1"/>
  <c r="I42" i="72"/>
  <c r="J41" i="72"/>
  <c r="CL29" i="2"/>
  <c r="K38" i="52"/>
  <c r="I42" i="37"/>
  <c r="J41" i="37"/>
  <c r="I40" i="38"/>
  <c r="J39" i="38"/>
  <c r="J41" i="99"/>
  <c r="I42" i="99"/>
  <c r="I41" i="70"/>
  <c r="J40" i="70"/>
  <c r="HN29" i="2"/>
  <c r="K40" i="10"/>
  <c r="E28" i="10"/>
  <c r="C27" i="10"/>
  <c r="J28" i="10"/>
  <c r="K28" i="10" s="1"/>
  <c r="K40" i="68"/>
  <c r="C27" i="162"/>
  <c r="E28" i="162"/>
  <c r="J28" i="162"/>
  <c r="K28" i="162" s="1"/>
  <c r="J41" i="66"/>
  <c r="I42" i="66"/>
  <c r="E26" i="86"/>
  <c r="C25" i="86"/>
  <c r="J26" i="86"/>
  <c r="K26" i="86" s="1"/>
  <c r="K39" i="39"/>
  <c r="I44" i="94"/>
  <c r="J43" i="94"/>
  <c r="I43" i="51"/>
  <c r="J42" i="51"/>
  <c r="K41" i="51" s="1"/>
  <c r="I41" i="162"/>
  <c r="J40" i="162"/>
  <c r="K39" i="67"/>
  <c r="K39" i="138"/>
  <c r="E27" i="116"/>
  <c r="C26" i="116"/>
  <c r="J27" i="116"/>
  <c r="K27" i="116" s="1"/>
  <c r="J42" i="13"/>
  <c r="I43" i="13"/>
  <c r="K40" i="72"/>
  <c r="K39" i="72"/>
  <c r="K40" i="129"/>
  <c r="C27" i="125"/>
  <c r="E28" i="125"/>
  <c r="J28" i="125"/>
  <c r="K28" i="125" s="1"/>
  <c r="K42" i="59"/>
  <c r="J41" i="10"/>
  <c r="I42" i="10"/>
  <c r="I42" i="68"/>
  <c r="J41" i="68"/>
  <c r="K40" i="66"/>
  <c r="E26" i="62"/>
  <c r="C25" i="62"/>
  <c r="J26" i="62"/>
  <c r="K26" i="62" s="1"/>
  <c r="E27" i="167"/>
  <c r="C26" i="167"/>
  <c r="J27" i="167"/>
  <c r="K27" i="167" s="1"/>
  <c r="J42" i="98"/>
  <c r="I43" i="98"/>
  <c r="K38" i="120"/>
  <c r="C25" i="47"/>
  <c r="E26" i="47"/>
  <c r="J26" i="47"/>
  <c r="K26" i="47" s="1"/>
  <c r="E29" i="42"/>
  <c r="C28" i="42"/>
  <c r="J29" i="42"/>
  <c r="K29" i="42" s="1"/>
  <c r="FV29" i="2"/>
  <c r="J40" i="138"/>
  <c r="I41" i="138"/>
  <c r="K41" i="136"/>
  <c r="J42" i="107"/>
  <c r="K41" i="107" s="1"/>
  <c r="I43" i="107"/>
  <c r="I42" i="83"/>
  <c r="J41" i="83"/>
  <c r="I43" i="142"/>
  <c r="J42" i="142"/>
  <c r="I42" i="129"/>
  <c r="J41" i="129"/>
  <c r="E26" i="171"/>
  <c r="C25" i="171"/>
  <c r="J26" i="171"/>
  <c r="K26" i="171" s="1"/>
  <c r="K40" i="93"/>
  <c r="E28" i="63"/>
  <c r="C27" i="63"/>
  <c r="J28" i="63"/>
  <c r="K28" i="63" s="1"/>
  <c r="CL28" i="2"/>
  <c r="K38" i="3"/>
  <c r="K39" i="173"/>
  <c r="E28" i="89"/>
  <c r="C27" i="89"/>
  <c r="J28" i="89"/>
  <c r="K28" i="89" s="1"/>
  <c r="E25" i="34"/>
  <c r="C24" i="34"/>
  <c r="J25" i="34"/>
  <c r="K25" i="34" s="1"/>
  <c r="K38" i="76"/>
  <c r="I44" i="59"/>
  <c r="J43" i="59"/>
  <c r="K39" i="66"/>
  <c r="E29" i="152"/>
  <c r="C28" i="152"/>
  <c r="J29" i="152"/>
  <c r="K29" i="152" s="1"/>
  <c r="K42" i="133"/>
  <c r="J44" i="7"/>
  <c r="I45" i="7"/>
  <c r="K42" i="79"/>
  <c r="K40" i="60"/>
  <c r="I40" i="120"/>
  <c r="J39" i="120"/>
  <c r="E29" i="136"/>
  <c r="C28" i="136"/>
  <c r="J29" i="136"/>
  <c r="K29" i="136" s="1"/>
  <c r="K39" i="44"/>
  <c r="CB29" i="2"/>
  <c r="J40" i="85"/>
  <c r="K39" i="85" s="1"/>
  <c r="I41" i="85"/>
  <c r="J39" i="65"/>
  <c r="K38" i="65" s="1"/>
  <c r="I40" i="65"/>
  <c r="K41" i="142"/>
  <c r="I42" i="93"/>
  <c r="J41" i="93"/>
  <c r="K38" i="154"/>
  <c r="K40" i="122"/>
  <c r="K43" i="46"/>
  <c r="I41" i="103"/>
  <c r="J40" i="103"/>
  <c r="J40" i="170"/>
  <c r="I41" i="170"/>
  <c r="EE30" i="2"/>
  <c r="E28" i="71"/>
  <c r="C27" i="71"/>
  <c r="J28" i="71"/>
  <c r="K28" i="71" s="1"/>
  <c r="I40" i="36"/>
  <c r="J39" i="36"/>
  <c r="I44" i="79"/>
  <c r="J43" i="79"/>
  <c r="I42" i="60"/>
  <c r="J41" i="60"/>
  <c r="C28" i="121"/>
  <c r="E29" i="121"/>
  <c r="J29" i="121"/>
  <c r="K29" i="121" s="1"/>
  <c r="E27" i="25"/>
  <c r="C26" i="25"/>
  <c r="J27" i="25"/>
  <c r="K27" i="25" s="1"/>
  <c r="E27" i="161"/>
  <c r="C26" i="161"/>
  <c r="J27" i="161"/>
  <c r="K27" i="161" s="1"/>
  <c r="I43" i="136"/>
  <c r="J42" i="136"/>
  <c r="C28" i="49"/>
  <c r="E29" i="49"/>
  <c r="J29" i="49"/>
  <c r="K29" i="49" s="1"/>
  <c r="K39" i="139"/>
  <c r="K37" i="55"/>
  <c r="K39" i="70"/>
  <c r="I41" i="131"/>
  <c r="J40" i="131"/>
  <c r="I41" i="80"/>
  <c r="J40" i="80"/>
  <c r="C24" i="45"/>
  <c r="E25" i="45"/>
  <c r="J25" i="45"/>
  <c r="K25" i="45" s="1"/>
  <c r="I45" i="46"/>
  <c r="J44" i="46"/>
  <c r="K39" i="159"/>
  <c r="C26" i="137"/>
  <c r="E27" i="137"/>
  <c r="J27" i="137"/>
  <c r="K27" i="137" s="1"/>
  <c r="I40" i="40"/>
  <c r="J39" i="40"/>
  <c r="E28" i="122"/>
  <c r="C27" i="122"/>
  <c r="J28" i="122"/>
  <c r="K28" i="122" s="1"/>
  <c r="C23" i="87"/>
  <c r="E24" i="87"/>
  <c r="J24" i="87"/>
  <c r="K24" i="87" s="1"/>
  <c r="C26" i="135"/>
  <c r="E27" i="135"/>
  <c r="J27" i="135"/>
  <c r="K27" i="135" s="1"/>
  <c r="J42" i="164"/>
  <c r="K41" i="164" s="1"/>
  <c r="I43" i="164"/>
  <c r="E28" i="117"/>
  <c r="C27" i="117"/>
  <c r="J28" i="117"/>
  <c r="K28" i="117" s="1"/>
  <c r="BE29" i="2"/>
  <c r="C26" i="150"/>
  <c r="E27" i="150"/>
  <c r="J27" i="150"/>
  <c r="K27" i="150" s="1"/>
  <c r="I41" i="144"/>
  <c r="J40" i="144"/>
  <c r="CX29" i="2"/>
  <c r="E29" i="158"/>
  <c r="C28" i="158"/>
  <c r="J29" i="158"/>
  <c r="K29" i="158" s="1"/>
  <c r="I42" i="115"/>
  <c r="J41" i="115"/>
  <c r="K40" i="115" s="1"/>
  <c r="E27" i="65"/>
  <c r="C26" i="65"/>
  <c r="J27" i="65"/>
  <c r="K27" i="65" s="1"/>
  <c r="K38" i="114"/>
  <c r="J40" i="49"/>
  <c r="I41" i="49"/>
  <c r="K38" i="40"/>
  <c r="C28" i="55"/>
  <c r="E29" i="55"/>
  <c r="J29" i="55"/>
  <c r="K29" i="55" s="1"/>
  <c r="E29" i="109"/>
  <c r="C28" i="109"/>
  <c r="ED29" i="2"/>
  <c r="J29" i="109"/>
  <c r="K29" i="109" s="1"/>
  <c r="I41" i="20"/>
  <c r="J40" i="20"/>
  <c r="C27" i="41"/>
  <c r="E28" i="41"/>
  <c r="BE28" i="2"/>
  <c r="J28" i="41"/>
  <c r="K28" i="41" s="1"/>
  <c r="K40" i="18"/>
  <c r="K39" i="144"/>
  <c r="E27" i="9"/>
  <c r="C26" i="9"/>
  <c r="J27" i="9"/>
  <c r="K27" i="9" s="1"/>
  <c r="E28" i="164"/>
  <c r="C27" i="164"/>
  <c r="J28" i="164"/>
  <c r="K28" i="164" s="1"/>
  <c r="I40" i="171"/>
  <c r="J39" i="171"/>
  <c r="I43" i="26"/>
  <c r="J42" i="26"/>
  <c r="K41" i="26" s="1"/>
  <c r="HD30" i="2"/>
  <c r="AI29" i="1"/>
  <c r="E22" i="98"/>
  <c r="C21" i="98"/>
  <c r="J22" i="98"/>
  <c r="K22" i="98" s="1"/>
  <c r="I40" i="125"/>
  <c r="J39" i="125"/>
  <c r="J39" i="112"/>
  <c r="K38" i="112" s="1"/>
  <c r="I40" i="112"/>
  <c r="J39" i="34"/>
  <c r="I40" i="34"/>
  <c r="K37" i="81"/>
  <c r="K40" i="142"/>
  <c r="I42" i="18"/>
  <c r="J41" i="18"/>
  <c r="K38" i="73"/>
  <c r="K37" i="143"/>
  <c r="K37" i="105"/>
  <c r="K38" i="171"/>
  <c r="K38" i="106"/>
  <c r="BQ30" i="1"/>
  <c r="Y30" i="1"/>
  <c r="E28" i="151"/>
  <c r="C27" i="151"/>
  <c r="J28" i="151"/>
  <c r="K28" i="151" s="1"/>
  <c r="I41" i="19"/>
  <c r="J40" i="19"/>
  <c r="C26" i="94"/>
  <c r="E27" i="94"/>
  <c r="J27" i="94"/>
  <c r="K27" i="94" s="1"/>
  <c r="K37" i="125"/>
  <c r="C25" i="37"/>
  <c r="E26" i="37"/>
  <c r="J26" i="37"/>
  <c r="K26" i="37" s="1"/>
  <c r="K39" i="167"/>
  <c r="I44" i="32"/>
  <c r="J43" i="32"/>
  <c r="K42" i="32" s="1"/>
  <c r="C25" i="141"/>
  <c r="E26" i="141"/>
  <c r="J26" i="141"/>
  <c r="K26" i="141" s="1"/>
  <c r="I41" i="84"/>
  <c r="J40" i="84"/>
  <c r="K39" i="84" s="1"/>
  <c r="K41" i="59"/>
  <c r="E28" i="145"/>
  <c r="C27" i="145"/>
  <c r="J28" i="145"/>
  <c r="K28" i="145" s="1"/>
  <c r="IJ29" i="2"/>
  <c r="E28" i="76"/>
  <c r="C27" i="76"/>
  <c r="J28" i="76"/>
  <c r="K28" i="76" s="1"/>
  <c r="K38" i="137"/>
  <c r="K40" i="51"/>
  <c r="C28" i="14"/>
  <c r="E29" i="14"/>
  <c r="J29" i="14"/>
  <c r="K29" i="14" s="1"/>
  <c r="I40" i="166"/>
  <c r="J39" i="166"/>
  <c r="K40" i="48"/>
  <c r="K39" i="28"/>
  <c r="I40" i="140"/>
  <c r="J39" i="140"/>
  <c r="K38" i="140" s="1"/>
  <c r="I40" i="81"/>
  <c r="J39" i="81"/>
  <c r="K38" i="81" s="1"/>
  <c r="K41" i="77"/>
  <c r="K38" i="80"/>
  <c r="I43" i="127"/>
  <c r="J42" i="127"/>
  <c r="K41" i="127" s="1"/>
  <c r="J42" i="77"/>
  <c r="I43" i="77"/>
  <c r="I40" i="110"/>
  <c r="J39" i="110"/>
  <c r="K37" i="147"/>
  <c r="K39" i="19"/>
  <c r="K38" i="163"/>
  <c r="K41" i="27"/>
  <c r="C26" i="110"/>
  <c r="E27" i="110"/>
  <c r="J27" i="110"/>
  <c r="K27" i="110" s="1"/>
  <c r="I41" i="52"/>
  <c r="J40" i="52"/>
  <c r="K39" i="31"/>
  <c r="K40" i="118"/>
  <c r="K38" i="4"/>
  <c r="K43" i="75"/>
  <c r="E26" i="123"/>
  <c r="C25" i="123"/>
  <c r="J26" i="123"/>
  <c r="K26" i="123" s="1"/>
  <c r="K41" i="78"/>
  <c r="I40" i="141"/>
  <c r="J39" i="141"/>
  <c r="E28" i="15"/>
  <c r="C27" i="15"/>
  <c r="J28" i="15"/>
  <c r="K28" i="15" s="1"/>
  <c r="C26" i="104"/>
  <c r="E27" i="104"/>
  <c r="J27" i="104"/>
  <c r="K27" i="104" s="1"/>
  <c r="K38" i="43"/>
  <c r="E26" i="84"/>
  <c r="C25" i="84"/>
  <c r="J26" i="84"/>
  <c r="K26" i="84" s="1"/>
  <c r="K37" i="36"/>
  <c r="I45" i="61"/>
  <c r="J44" i="61"/>
  <c r="K43" i="61" s="1"/>
  <c r="K38" i="39"/>
  <c r="K38" i="166"/>
  <c r="C28" i="8"/>
  <c r="E29" i="8"/>
  <c r="HC29" i="2"/>
  <c r="BP29" i="1"/>
  <c r="J29" i="8"/>
  <c r="K29" i="8" s="1"/>
  <c r="GR29" i="2"/>
  <c r="BG67" i="1" l="1"/>
  <c r="AJ28" i="2"/>
  <c r="IK28" i="2"/>
  <c r="I45" i="94"/>
  <c r="J44" i="94"/>
  <c r="I43" i="173"/>
  <c r="J42" i="173"/>
  <c r="C24" i="123"/>
  <c r="E25" i="123"/>
  <c r="J25" i="123"/>
  <c r="K25" i="123" s="1"/>
  <c r="C27" i="14"/>
  <c r="E28" i="14"/>
  <c r="J28" i="14"/>
  <c r="K28" i="14" s="1"/>
  <c r="GR28" i="2"/>
  <c r="J45" i="46"/>
  <c r="I46" i="46"/>
  <c r="K43" i="79"/>
  <c r="K39" i="120"/>
  <c r="J42" i="10"/>
  <c r="I43" i="10"/>
  <c r="E28" i="170"/>
  <c r="C27" i="170"/>
  <c r="J28" i="170"/>
  <c r="K28" i="170" s="1"/>
  <c r="E28" i="29"/>
  <c r="C27" i="29"/>
  <c r="J28" i="29"/>
  <c r="K28" i="29" s="1"/>
  <c r="X28" i="1"/>
  <c r="C27" i="53"/>
  <c r="E28" i="53"/>
  <c r="J28" i="53"/>
  <c r="K28" i="53" s="1"/>
  <c r="E27" i="132"/>
  <c r="C26" i="132"/>
  <c r="J27" i="132"/>
  <c r="K27" i="132" s="1"/>
  <c r="C25" i="139"/>
  <c r="E26" i="139"/>
  <c r="J26" i="139"/>
  <c r="K26" i="139" s="1"/>
  <c r="I41" i="102"/>
  <c r="J40" i="102"/>
  <c r="J45" i="75"/>
  <c r="I46" i="75"/>
  <c r="J43" i="127"/>
  <c r="I44" i="127"/>
  <c r="C26" i="151"/>
  <c r="E27" i="151"/>
  <c r="J27" i="151"/>
  <c r="K27" i="151" s="1"/>
  <c r="GS29" i="2"/>
  <c r="J44" i="79"/>
  <c r="I45" i="79"/>
  <c r="I41" i="120"/>
  <c r="J40" i="120"/>
  <c r="C25" i="99"/>
  <c r="E26" i="99"/>
  <c r="J26" i="99"/>
  <c r="K26" i="99" s="1"/>
  <c r="K40" i="106"/>
  <c r="E26" i="17"/>
  <c r="C25" i="17"/>
  <c r="J26" i="17"/>
  <c r="K26" i="17" s="1"/>
  <c r="J41" i="57"/>
  <c r="I42" i="57"/>
  <c r="I42" i="104"/>
  <c r="J41" i="104"/>
  <c r="K40" i="73"/>
  <c r="I42" i="52"/>
  <c r="J41" i="52"/>
  <c r="K40" i="52" s="1"/>
  <c r="E27" i="76"/>
  <c r="C26" i="76"/>
  <c r="J27" i="76"/>
  <c r="K27" i="76" s="1"/>
  <c r="J42" i="129"/>
  <c r="I43" i="129"/>
  <c r="I45" i="24"/>
  <c r="E21" i="82"/>
  <c r="C20" i="82"/>
  <c r="J21" i="82"/>
  <c r="K21" i="82" s="1"/>
  <c r="I42" i="106"/>
  <c r="J41" i="106"/>
  <c r="C27" i="155"/>
  <c r="E28" i="155"/>
  <c r="J28" i="155"/>
  <c r="K28" i="155" s="1"/>
  <c r="K40" i="104"/>
  <c r="J40" i="47"/>
  <c r="K39" i="47" s="1"/>
  <c r="I41" i="47"/>
  <c r="I42" i="21"/>
  <c r="J41" i="21"/>
  <c r="K40" i="21" s="1"/>
  <c r="I41" i="160"/>
  <c r="J40" i="160"/>
  <c r="I42" i="73"/>
  <c r="J41" i="73"/>
  <c r="J45" i="145"/>
  <c r="K44" i="145" s="1"/>
  <c r="I46" i="145"/>
  <c r="C26" i="101"/>
  <c r="E27" i="101"/>
  <c r="J27" i="101"/>
  <c r="K27" i="101" s="1"/>
  <c r="E27" i="77"/>
  <c r="C26" i="77"/>
  <c r="J27" i="77"/>
  <c r="K27" i="77" s="1"/>
  <c r="E26" i="54"/>
  <c r="C25" i="54"/>
  <c r="J26" i="54"/>
  <c r="K26" i="54" s="1"/>
  <c r="I42" i="153"/>
  <c r="J41" i="153"/>
  <c r="E26" i="9"/>
  <c r="C25" i="9"/>
  <c r="J26" i="9"/>
  <c r="K26" i="9" s="1"/>
  <c r="K40" i="144"/>
  <c r="E27" i="10"/>
  <c r="C26" i="10"/>
  <c r="J27" i="10"/>
  <c r="K27" i="10" s="1"/>
  <c r="BQ29" i="1"/>
  <c r="I42" i="144"/>
  <c r="J41" i="144"/>
  <c r="E24" i="45"/>
  <c r="C23" i="45"/>
  <c r="J24" i="45"/>
  <c r="K24" i="45" s="1"/>
  <c r="I41" i="36"/>
  <c r="J40" i="36"/>
  <c r="K42" i="142"/>
  <c r="E24" i="43"/>
  <c r="C23" i="43"/>
  <c r="J24" i="43"/>
  <c r="K24" i="43" s="1"/>
  <c r="K39" i="137"/>
  <c r="C26" i="36"/>
  <c r="E27" i="36"/>
  <c r="J27" i="36"/>
  <c r="K27" i="36" s="1"/>
  <c r="K39" i="160"/>
  <c r="K40" i="123"/>
  <c r="E26" i="83"/>
  <c r="C25" i="83"/>
  <c r="J26" i="83"/>
  <c r="K26" i="83" s="1"/>
  <c r="I43" i="44"/>
  <c r="J42" i="44"/>
  <c r="K43" i="145"/>
  <c r="E23" i="138"/>
  <c r="C22" i="138"/>
  <c r="J23" i="138"/>
  <c r="K23" i="138" s="1"/>
  <c r="I46" i="7"/>
  <c r="J45" i="7"/>
  <c r="K44" i="7" s="1"/>
  <c r="I44" i="142"/>
  <c r="J43" i="142"/>
  <c r="K40" i="67"/>
  <c r="I42" i="137"/>
  <c r="J41" i="137"/>
  <c r="K40" i="137" s="1"/>
  <c r="C23" i="105"/>
  <c r="E24" i="105"/>
  <c r="J24" i="105"/>
  <c r="K24" i="105" s="1"/>
  <c r="C26" i="95"/>
  <c r="E27" i="95"/>
  <c r="J27" i="95"/>
  <c r="K27" i="95" s="1"/>
  <c r="IV28" i="2"/>
  <c r="E28" i="93"/>
  <c r="C27" i="93"/>
  <c r="J28" i="93"/>
  <c r="K28" i="93" s="1"/>
  <c r="J41" i="123"/>
  <c r="I42" i="123"/>
  <c r="K40" i="44"/>
  <c r="J43" i="135"/>
  <c r="I44" i="135"/>
  <c r="J43" i="89"/>
  <c r="I44" i="89"/>
  <c r="I42" i="67"/>
  <c r="J41" i="67"/>
  <c r="E28" i="92"/>
  <c r="C27" i="92"/>
  <c r="J28" i="92"/>
  <c r="K28" i="92" s="1"/>
  <c r="EP29" i="2"/>
  <c r="E25" i="61"/>
  <c r="C24" i="61"/>
  <c r="J25" i="61"/>
  <c r="K25" i="61" s="1"/>
  <c r="C25" i="130"/>
  <c r="E26" i="130"/>
  <c r="J26" i="130"/>
  <c r="K26" i="130" s="1"/>
  <c r="C24" i="72"/>
  <c r="E25" i="72"/>
  <c r="J25" i="72"/>
  <c r="K25" i="72" s="1"/>
  <c r="J43" i="152"/>
  <c r="K42" i="152" s="1"/>
  <c r="I44" i="152"/>
  <c r="K42" i="89"/>
  <c r="E25" i="40"/>
  <c r="C24" i="40"/>
  <c r="J25" i="40"/>
  <c r="K25" i="40" s="1"/>
  <c r="K41" i="118"/>
  <c r="IK29" i="2"/>
  <c r="E26" i="110"/>
  <c r="C25" i="110"/>
  <c r="J26" i="110"/>
  <c r="K26" i="110" s="1"/>
  <c r="C26" i="125"/>
  <c r="E27" i="125"/>
  <c r="J27" i="125"/>
  <c r="K27" i="125" s="1"/>
  <c r="K40" i="83"/>
  <c r="E28" i="8"/>
  <c r="C27" i="8"/>
  <c r="BP28" i="1"/>
  <c r="HC28" i="2"/>
  <c r="J28" i="8"/>
  <c r="K28" i="8" s="1"/>
  <c r="E27" i="145"/>
  <c r="C26" i="145"/>
  <c r="J27" i="145"/>
  <c r="K27" i="145" s="1"/>
  <c r="E26" i="150"/>
  <c r="C25" i="150"/>
  <c r="J26" i="150"/>
  <c r="K26" i="150" s="1"/>
  <c r="K42" i="62"/>
  <c r="I42" i="126"/>
  <c r="J41" i="126"/>
  <c r="E27" i="13"/>
  <c r="C26" i="13"/>
  <c r="J27" i="13"/>
  <c r="K27" i="13" s="1"/>
  <c r="I41" i="8"/>
  <c r="J40" i="8"/>
  <c r="K39" i="11"/>
  <c r="C22" i="32"/>
  <c r="E23" i="32"/>
  <c r="J23" i="32"/>
  <c r="K23" i="32" s="1"/>
  <c r="C23" i="59"/>
  <c r="E24" i="59"/>
  <c r="J24" i="59"/>
  <c r="K24" i="59" s="1"/>
  <c r="I43" i="118"/>
  <c r="J42" i="118"/>
  <c r="HD29" i="2"/>
  <c r="C26" i="71"/>
  <c r="E27" i="71"/>
  <c r="J27" i="71"/>
  <c r="K27" i="71" s="1"/>
  <c r="I42" i="80"/>
  <c r="J41" i="80"/>
  <c r="J42" i="83"/>
  <c r="K41" i="83" s="1"/>
  <c r="I43" i="83"/>
  <c r="HO29" i="2"/>
  <c r="BF28" i="2"/>
  <c r="K38" i="36"/>
  <c r="I44" i="107"/>
  <c r="J43" i="107"/>
  <c r="K42" i="107" s="1"/>
  <c r="K40" i="70"/>
  <c r="I44" i="62"/>
  <c r="J43" i="62"/>
  <c r="K40" i="126"/>
  <c r="J41" i="33"/>
  <c r="I42" i="33"/>
  <c r="CW27" i="2"/>
  <c r="C25" i="60"/>
  <c r="E26" i="60"/>
  <c r="J26" i="60"/>
  <c r="K26" i="60" s="1"/>
  <c r="I42" i="50"/>
  <c r="J41" i="50"/>
  <c r="E26" i="22"/>
  <c r="C25" i="22"/>
  <c r="J26" i="22"/>
  <c r="K26" i="22" s="1"/>
  <c r="K39" i="8"/>
  <c r="K39" i="109"/>
  <c r="I41" i="11"/>
  <c r="J40" i="11"/>
  <c r="E27" i="147"/>
  <c r="C26" i="147"/>
  <c r="J27" i="147"/>
  <c r="K27" i="147" s="1"/>
  <c r="E28" i="143"/>
  <c r="C27" i="143"/>
  <c r="J28" i="143"/>
  <c r="K28" i="143" s="1"/>
  <c r="E27" i="70"/>
  <c r="C26" i="70"/>
  <c r="J27" i="70"/>
  <c r="K27" i="70" s="1"/>
  <c r="GI67" i="2"/>
  <c r="I42" i="168"/>
  <c r="J41" i="168"/>
  <c r="K40" i="168" s="1"/>
  <c r="J41" i="31"/>
  <c r="I42" i="31"/>
  <c r="J41" i="70"/>
  <c r="I42" i="70"/>
  <c r="K40" i="33"/>
  <c r="I41" i="148"/>
  <c r="J40" i="148"/>
  <c r="I41" i="109"/>
  <c r="J40" i="109"/>
  <c r="C26" i="78"/>
  <c r="E27" i="78"/>
  <c r="J27" i="78"/>
  <c r="K27" i="78" s="1"/>
  <c r="C24" i="163"/>
  <c r="E25" i="163"/>
  <c r="J25" i="163"/>
  <c r="K25" i="163" s="1"/>
  <c r="E26" i="64"/>
  <c r="C25" i="64"/>
  <c r="J26" i="64"/>
  <c r="K26" i="64" s="1"/>
  <c r="CC67" i="1"/>
  <c r="Z67" i="1"/>
  <c r="AK67" i="1"/>
  <c r="AV67" i="1"/>
  <c r="BR67" i="1"/>
  <c r="O67" i="1"/>
  <c r="K40" i="31"/>
  <c r="J41" i="131"/>
  <c r="I42" i="131"/>
  <c r="I44" i="13"/>
  <c r="J43" i="13"/>
  <c r="J42" i="99"/>
  <c r="I43" i="99"/>
  <c r="C27" i="91"/>
  <c r="E28" i="91"/>
  <c r="J28" i="91"/>
  <c r="K28" i="91" s="1"/>
  <c r="C24" i="115"/>
  <c r="E25" i="115"/>
  <c r="J25" i="115"/>
  <c r="K25" i="115" s="1"/>
  <c r="J41" i="4"/>
  <c r="I42" i="4"/>
  <c r="E26" i="112"/>
  <c r="C25" i="112"/>
  <c r="J26" i="112"/>
  <c r="K26" i="112" s="1"/>
  <c r="J40" i="55"/>
  <c r="K39" i="55" s="1"/>
  <c r="I41" i="55"/>
  <c r="C23" i="131"/>
  <c r="E24" i="131"/>
  <c r="J24" i="131"/>
  <c r="K24" i="131" s="1"/>
  <c r="BQ29" i="2"/>
  <c r="K39" i="21"/>
  <c r="J41" i="151"/>
  <c r="K40" i="151" s="1"/>
  <c r="I42" i="151"/>
  <c r="I41" i="95"/>
  <c r="J40" i="95"/>
  <c r="K42" i="16"/>
  <c r="GT67" i="2"/>
  <c r="CN67" i="2"/>
  <c r="AV67" i="2"/>
  <c r="FX67" i="2"/>
  <c r="Z67" i="2"/>
  <c r="O67" i="2"/>
  <c r="EQ67" i="2"/>
  <c r="FM67" i="2"/>
  <c r="AK67" i="2"/>
  <c r="HP67" i="2"/>
  <c r="BG67" i="2"/>
  <c r="IL67" i="2"/>
  <c r="BR67" i="2"/>
  <c r="CY67" i="2"/>
  <c r="HE67" i="2"/>
  <c r="EF67" i="2"/>
  <c r="IA67" i="2"/>
  <c r="IW67" i="2"/>
  <c r="DJ67" i="2"/>
  <c r="DU67" i="2"/>
  <c r="CC67" i="2"/>
  <c r="FB67" i="2"/>
  <c r="C25" i="16"/>
  <c r="E26" i="16"/>
  <c r="J26" i="16"/>
  <c r="K26" i="16" s="1"/>
  <c r="K39" i="52"/>
  <c r="J42" i="149"/>
  <c r="K41" i="149" s="1"/>
  <c r="I43" i="149"/>
  <c r="K40" i="4"/>
  <c r="I46" i="134"/>
  <c r="J45" i="134"/>
  <c r="I45" i="22"/>
  <c r="J44" i="22"/>
  <c r="C27" i="52"/>
  <c r="E28" i="52"/>
  <c r="BP28" i="2"/>
  <c r="J28" i="52"/>
  <c r="K28" i="52" s="1"/>
  <c r="J40" i="143"/>
  <c r="I41" i="143"/>
  <c r="I44" i="16"/>
  <c r="J43" i="16"/>
  <c r="E66" i="24"/>
  <c r="C65" i="24"/>
  <c r="BE66" i="1"/>
  <c r="GG66" i="2"/>
  <c r="C66" i="1"/>
  <c r="C66" i="2"/>
  <c r="E26" i="75"/>
  <c r="C25" i="75"/>
  <c r="J26" i="75"/>
  <c r="K26" i="75" s="1"/>
  <c r="I46" i="61"/>
  <c r="J45" i="61"/>
  <c r="K44" i="61" s="1"/>
  <c r="I41" i="110"/>
  <c r="J40" i="110"/>
  <c r="J41" i="20"/>
  <c r="I42" i="20"/>
  <c r="K39" i="170"/>
  <c r="K40" i="121"/>
  <c r="K44" i="134"/>
  <c r="E25" i="85"/>
  <c r="C24" i="85"/>
  <c r="J25" i="85"/>
  <c r="K25" i="85" s="1"/>
  <c r="J41" i="3"/>
  <c r="K40" i="3" s="1"/>
  <c r="I42" i="3"/>
  <c r="K43" i="22"/>
  <c r="E26" i="74"/>
  <c r="C25" i="74"/>
  <c r="J26" i="74"/>
  <c r="K26" i="74" s="1"/>
  <c r="E23" i="30"/>
  <c r="C22" i="30"/>
  <c r="J23" i="30"/>
  <c r="K23" i="30" s="1"/>
  <c r="J40" i="130"/>
  <c r="I41" i="130"/>
  <c r="C24" i="51"/>
  <c r="E25" i="51"/>
  <c r="J25" i="51"/>
  <c r="K25" i="51" s="1"/>
  <c r="C27" i="58"/>
  <c r="E28" i="58"/>
  <c r="J28" i="58"/>
  <c r="K28" i="58" s="1"/>
  <c r="I41" i="91"/>
  <c r="J40" i="91"/>
  <c r="K39" i="91" s="1"/>
  <c r="E25" i="106"/>
  <c r="C24" i="106"/>
  <c r="J25" i="106"/>
  <c r="K25" i="106" s="1"/>
  <c r="I42" i="56"/>
  <c r="J41" i="56"/>
  <c r="J43" i="29"/>
  <c r="I44" i="29"/>
  <c r="I43" i="18"/>
  <c r="J42" i="18"/>
  <c r="I44" i="77"/>
  <c r="J43" i="77"/>
  <c r="K40" i="103"/>
  <c r="FW29" i="2"/>
  <c r="E26" i="116"/>
  <c r="C25" i="116"/>
  <c r="J26" i="116"/>
  <c r="K26" i="116" s="1"/>
  <c r="J40" i="38"/>
  <c r="I41" i="38"/>
  <c r="I42" i="39"/>
  <c r="J41" i="39"/>
  <c r="E27" i="79"/>
  <c r="C26" i="79"/>
  <c r="J27" i="79"/>
  <c r="K27" i="79" s="1"/>
  <c r="J41" i="121"/>
  <c r="I42" i="121"/>
  <c r="K39" i="96"/>
  <c r="K38" i="130"/>
  <c r="K39" i="123"/>
  <c r="K43" i="27"/>
  <c r="K40" i="56"/>
  <c r="K39" i="97"/>
  <c r="E25" i="26"/>
  <c r="C24" i="26"/>
  <c r="J25" i="26"/>
  <c r="K25" i="26" s="1"/>
  <c r="K41" i="99"/>
  <c r="K39" i="20"/>
  <c r="C24" i="141"/>
  <c r="E25" i="141"/>
  <c r="J25" i="141"/>
  <c r="K25" i="141" s="1"/>
  <c r="J40" i="34"/>
  <c r="I41" i="34"/>
  <c r="EE29" i="2"/>
  <c r="J43" i="164"/>
  <c r="I44" i="164"/>
  <c r="I42" i="103"/>
  <c r="J41" i="103"/>
  <c r="J44" i="59"/>
  <c r="I45" i="59"/>
  <c r="J44" i="42"/>
  <c r="K43" i="42" s="1"/>
  <c r="I45" i="42"/>
  <c r="J44" i="82"/>
  <c r="I45" i="82"/>
  <c r="C26" i="142"/>
  <c r="E27" i="142"/>
  <c r="J27" i="142"/>
  <c r="K27" i="142" s="1"/>
  <c r="I41" i="96"/>
  <c r="J40" i="96"/>
  <c r="J41" i="5"/>
  <c r="I42" i="5"/>
  <c r="K39" i="5"/>
  <c r="I43" i="157"/>
  <c r="J42" i="157"/>
  <c r="K41" i="157" s="1"/>
  <c r="J44" i="27"/>
  <c r="I45" i="27"/>
  <c r="I41" i="163"/>
  <c r="J40" i="163"/>
  <c r="E28" i="42"/>
  <c r="C27" i="42"/>
  <c r="J28" i="42"/>
  <c r="K28" i="42" s="1"/>
  <c r="FV28" i="2"/>
  <c r="J42" i="37"/>
  <c r="I43" i="37"/>
  <c r="C25" i="144"/>
  <c r="E26" i="144"/>
  <c r="J26" i="144"/>
  <c r="K26" i="144" s="1"/>
  <c r="J42" i="92"/>
  <c r="I43" i="92"/>
  <c r="I42" i="76"/>
  <c r="J41" i="76"/>
  <c r="E23" i="166"/>
  <c r="C22" i="166"/>
  <c r="J23" i="166"/>
  <c r="K23" i="166" s="1"/>
  <c r="I42" i="111"/>
  <c r="J41" i="111"/>
  <c r="E27" i="80"/>
  <c r="C26" i="80"/>
  <c r="J27" i="80"/>
  <c r="K27" i="80" s="1"/>
  <c r="DI28" i="2"/>
  <c r="I43" i="165"/>
  <c r="J42" i="165"/>
  <c r="C26" i="140"/>
  <c r="E27" i="140"/>
  <c r="J27" i="140"/>
  <c r="K27" i="140" s="1"/>
  <c r="J59" i="150"/>
  <c r="I60" i="150"/>
  <c r="E25" i="73"/>
  <c r="C24" i="73"/>
  <c r="J25" i="73"/>
  <c r="K25" i="73" s="1"/>
  <c r="K39" i="168"/>
  <c r="K39" i="163"/>
  <c r="I42" i="170"/>
  <c r="J41" i="170"/>
  <c r="E23" i="146"/>
  <c r="C22" i="146"/>
  <c r="J23" i="146"/>
  <c r="K23" i="146" s="1"/>
  <c r="K44" i="74"/>
  <c r="K40" i="76"/>
  <c r="J40" i="64"/>
  <c r="I41" i="64"/>
  <c r="E26" i="148"/>
  <c r="C25" i="148"/>
  <c r="J26" i="148"/>
  <c r="K26" i="148" s="1"/>
  <c r="J42" i="63"/>
  <c r="I43" i="63"/>
  <c r="C25" i="5"/>
  <c r="E26" i="5"/>
  <c r="J26" i="5"/>
  <c r="K26" i="5" s="1"/>
  <c r="K41" i="29"/>
  <c r="E28" i="109"/>
  <c r="C27" i="109"/>
  <c r="ED28" i="2"/>
  <c r="J28" i="109"/>
  <c r="K28" i="109" s="1"/>
  <c r="K38" i="110"/>
  <c r="C23" i="34"/>
  <c r="E24" i="34"/>
  <c r="J24" i="34"/>
  <c r="K24" i="34" s="1"/>
  <c r="CM29" i="2"/>
  <c r="I42" i="116"/>
  <c r="J41" i="116"/>
  <c r="I46" i="74"/>
  <c r="J45" i="74"/>
  <c r="I43" i="159"/>
  <c r="J42" i="159"/>
  <c r="E28" i="174"/>
  <c r="C27" i="174"/>
  <c r="J28" i="174"/>
  <c r="K28" i="174" s="1"/>
  <c r="K41" i="124"/>
  <c r="C24" i="69"/>
  <c r="E25" i="69"/>
  <c r="J25" i="69"/>
  <c r="K25" i="69" s="1"/>
  <c r="E25" i="168"/>
  <c r="C24" i="168"/>
  <c r="J25" i="168"/>
  <c r="K25" i="168" s="1"/>
  <c r="E27" i="133"/>
  <c r="C26" i="133"/>
  <c r="J27" i="133"/>
  <c r="K27" i="133" s="1"/>
  <c r="DH27" i="2"/>
  <c r="K39" i="64"/>
  <c r="K41" i="63"/>
  <c r="E26" i="18"/>
  <c r="C25" i="18"/>
  <c r="J26" i="18"/>
  <c r="K26" i="18" s="1"/>
  <c r="C25" i="67"/>
  <c r="E26" i="67"/>
  <c r="J26" i="67"/>
  <c r="K26" i="67" s="1"/>
  <c r="J43" i="117"/>
  <c r="I44" i="117"/>
  <c r="E28" i="49"/>
  <c r="C27" i="49"/>
  <c r="J28" i="49"/>
  <c r="K28" i="49" s="1"/>
  <c r="I41" i="112"/>
  <c r="J40" i="112"/>
  <c r="K39" i="80"/>
  <c r="K39" i="112"/>
  <c r="E26" i="135"/>
  <c r="C25" i="135"/>
  <c r="J26" i="135"/>
  <c r="K26" i="135" s="1"/>
  <c r="K42" i="136"/>
  <c r="K41" i="93"/>
  <c r="I42" i="162"/>
  <c r="J41" i="162"/>
  <c r="J42" i="30"/>
  <c r="K41" i="30" s="1"/>
  <c r="I43" i="30"/>
  <c r="C25" i="57"/>
  <c r="E26" i="57"/>
  <c r="J26" i="57"/>
  <c r="K26" i="57" s="1"/>
  <c r="I42" i="154"/>
  <c r="J41" i="154"/>
  <c r="K40" i="154" s="1"/>
  <c r="C23" i="165"/>
  <c r="E24" i="165"/>
  <c r="J24" i="165"/>
  <c r="K24" i="165" s="1"/>
  <c r="K39" i="35"/>
  <c r="K41" i="159"/>
  <c r="E28" i="46"/>
  <c r="C27" i="46"/>
  <c r="J28" i="46"/>
  <c r="K28" i="46" s="1"/>
  <c r="J42" i="124"/>
  <c r="I43" i="124"/>
  <c r="AU29" i="2"/>
  <c r="K38" i="96"/>
  <c r="C27" i="28"/>
  <c r="AI27" i="2" s="1"/>
  <c r="E28" i="28"/>
  <c r="J28" i="28"/>
  <c r="K28" i="28" s="1"/>
  <c r="C23" i="160"/>
  <c r="E24" i="160"/>
  <c r="J24" i="160"/>
  <c r="K24" i="160" s="1"/>
  <c r="K39" i="125"/>
  <c r="C27" i="55"/>
  <c r="E28" i="55"/>
  <c r="J28" i="55"/>
  <c r="K28" i="55" s="1"/>
  <c r="J43" i="136"/>
  <c r="I44" i="136"/>
  <c r="I43" i="93"/>
  <c r="J42" i="93"/>
  <c r="HN28" i="2"/>
  <c r="C24" i="47"/>
  <c r="E25" i="47"/>
  <c r="J25" i="47"/>
  <c r="K25" i="47" s="1"/>
  <c r="K42" i="51"/>
  <c r="K41" i="72"/>
  <c r="I41" i="17"/>
  <c r="J40" i="17"/>
  <c r="J40" i="35"/>
  <c r="I41" i="35"/>
  <c r="FA28" i="2"/>
  <c r="K39" i="45"/>
  <c r="K38" i="55"/>
  <c r="C27" i="50"/>
  <c r="E28" i="50"/>
  <c r="AT28" i="2"/>
  <c r="J28" i="50"/>
  <c r="K28" i="50" s="1"/>
  <c r="I42" i="155"/>
  <c r="J41" i="155"/>
  <c r="E23" i="156"/>
  <c r="C22" i="156"/>
  <c r="J23" i="156"/>
  <c r="K23" i="156" s="1"/>
  <c r="AU29" i="1"/>
  <c r="K39" i="153"/>
  <c r="E26" i="11"/>
  <c r="C25" i="11"/>
  <c r="J26" i="11"/>
  <c r="K26" i="11" s="1"/>
  <c r="K39" i="56"/>
  <c r="K41" i="117"/>
  <c r="K42" i="164"/>
  <c r="K39" i="81"/>
  <c r="I41" i="125"/>
  <c r="J40" i="125"/>
  <c r="I44" i="48"/>
  <c r="J43" i="48"/>
  <c r="E25" i="39"/>
  <c r="C24" i="39"/>
  <c r="J25" i="39"/>
  <c r="K25" i="39" s="1"/>
  <c r="K39" i="174"/>
  <c r="IV29" i="2"/>
  <c r="E28" i="152"/>
  <c r="C27" i="152"/>
  <c r="J28" i="152"/>
  <c r="K28" i="152" s="1"/>
  <c r="E27" i="41"/>
  <c r="C26" i="41"/>
  <c r="J27" i="41"/>
  <c r="K27" i="41" s="1"/>
  <c r="I45" i="32"/>
  <c r="J44" i="32"/>
  <c r="K43" i="32" s="1"/>
  <c r="E26" i="104"/>
  <c r="C25" i="104"/>
  <c r="J26" i="104"/>
  <c r="K26" i="104" s="1"/>
  <c r="I44" i="51"/>
  <c r="J43" i="51"/>
  <c r="I43" i="72"/>
  <c r="J42" i="72"/>
  <c r="K39" i="17"/>
  <c r="K42" i="9"/>
  <c r="J40" i="45"/>
  <c r="I41" i="45"/>
  <c r="I41" i="81"/>
  <c r="J40" i="81"/>
  <c r="I42" i="49"/>
  <c r="J41" i="49"/>
  <c r="K40" i="49" s="1"/>
  <c r="E23" i="87"/>
  <c r="C22" i="87"/>
  <c r="J23" i="87"/>
  <c r="K23" i="87" s="1"/>
  <c r="K39" i="131"/>
  <c r="C26" i="89"/>
  <c r="E27" i="89"/>
  <c r="J27" i="89"/>
  <c r="K27" i="89" s="1"/>
  <c r="HN27" i="2"/>
  <c r="J43" i="98"/>
  <c r="I44" i="98"/>
  <c r="K43" i="94"/>
  <c r="K41" i="173"/>
  <c r="E27" i="114"/>
  <c r="C26" i="114"/>
  <c r="J27" i="114"/>
  <c r="K27" i="114" s="1"/>
  <c r="I43" i="28"/>
  <c r="J42" i="28"/>
  <c r="K41" i="28" s="1"/>
  <c r="E26" i="4"/>
  <c r="C25" i="4"/>
  <c r="J26" i="4"/>
  <c r="K26" i="4" s="1"/>
  <c r="J43" i="9"/>
  <c r="I44" i="9"/>
  <c r="E27" i="134"/>
  <c r="C26" i="134"/>
  <c r="EZ27" i="2"/>
  <c r="J27" i="134"/>
  <c r="K27" i="134" s="1"/>
  <c r="I45" i="71"/>
  <c r="J44" i="71"/>
  <c r="C26" i="44"/>
  <c r="E27" i="44"/>
  <c r="J27" i="44"/>
  <c r="K27" i="44" s="1"/>
  <c r="E23" i="157"/>
  <c r="C22" i="157"/>
  <c r="J23" i="157"/>
  <c r="K23" i="157" s="1"/>
  <c r="E27" i="35"/>
  <c r="C26" i="35"/>
  <c r="J27" i="35"/>
  <c r="K27" i="35" s="1"/>
  <c r="E26" i="118"/>
  <c r="C25" i="118"/>
  <c r="J26" i="118"/>
  <c r="K26" i="118" s="1"/>
  <c r="K40" i="157"/>
  <c r="I41" i="174"/>
  <c r="J40" i="174"/>
  <c r="E28" i="7"/>
  <c r="C27" i="7"/>
  <c r="AT28" i="1"/>
  <c r="J28" i="7"/>
  <c r="K28" i="7" s="1"/>
  <c r="N29" i="1"/>
  <c r="I43" i="158"/>
  <c r="J42" i="158"/>
  <c r="C27" i="6"/>
  <c r="CA28" i="1"/>
  <c r="E28" i="6"/>
  <c r="I41" i="43"/>
  <c r="J40" i="43"/>
  <c r="E26" i="68"/>
  <c r="C25" i="68"/>
  <c r="J26" i="68"/>
  <c r="K26" i="68" s="1"/>
  <c r="C27" i="3"/>
  <c r="E28" i="3"/>
  <c r="J28" i="3"/>
  <c r="K28" i="3" s="1"/>
  <c r="J42" i="25"/>
  <c r="I43" i="25"/>
  <c r="K42" i="122"/>
  <c r="C25" i="66"/>
  <c r="E26" i="66"/>
  <c r="J26" i="66"/>
  <c r="K26" i="66" s="1"/>
  <c r="I42" i="53"/>
  <c r="J41" i="53"/>
  <c r="J43" i="172"/>
  <c r="I44" i="172"/>
  <c r="Y29" i="2"/>
  <c r="K41" i="158"/>
  <c r="CB29" i="1"/>
  <c r="J41" i="161"/>
  <c r="K40" i="161" s="1"/>
  <c r="I42" i="161"/>
  <c r="K42" i="13"/>
  <c r="C26" i="122"/>
  <c r="E27" i="122"/>
  <c r="J27" i="122"/>
  <c r="K27" i="122" s="1"/>
  <c r="E26" i="161"/>
  <c r="C25" i="161"/>
  <c r="J26" i="161"/>
  <c r="K26" i="161" s="1"/>
  <c r="K39" i="65"/>
  <c r="K39" i="103"/>
  <c r="K43" i="7"/>
  <c r="K41" i="98"/>
  <c r="C24" i="127"/>
  <c r="E25" i="127"/>
  <c r="J25" i="127"/>
  <c r="K25" i="127" s="1"/>
  <c r="I41" i="100"/>
  <c r="J40" i="100"/>
  <c r="C25" i="81"/>
  <c r="E26" i="81"/>
  <c r="J26" i="81"/>
  <c r="K26" i="81" s="1"/>
  <c r="J43" i="122"/>
  <c r="I44" i="122"/>
  <c r="K40" i="53"/>
  <c r="K42" i="172"/>
  <c r="I44" i="101"/>
  <c r="J43" i="101"/>
  <c r="K42" i="101" s="1"/>
  <c r="I42" i="84"/>
  <c r="J41" i="84"/>
  <c r="K40" i="84" s="1"/>
  <c r="E27" i="117"/>
  <c r="C26" i="117"/>
  <c r="J27" i="117"/>
  <c r="K27" i="117" s="1"/>
  <c r="I42" i="138"/>
  <c r="J41" i="138"/>
  <c r="K39" i="141"/>
  <c r="AJ29" i="1"/>
  <c r="K38" i="34"/>
  <c r="K40" i="99"/>
  <c r="C23" i="102"/>
  <c r="E24" i="102"/>
  <c r="J24" i="102"/>
  <c r="K24" i="102" s="1"/>
  <c r="K39" i="119"/>
  <c r="EP28" i="2"/>
  <c r="K39" i="4"/>
  <c r="K38" i="35"/>
  <c r="J41" i="119"/>
  <c r="I42" i="119"/>
  <c r="K38" i="45"/>
  <c r="I43" i="167"/>
  <c r="J42" i="167"/>
  <c r="K41" i="167" s="1"/>
  <c r="I41" i="146"/>
  <c r="J40" i="146"/>
  <c r="K39" i="146" s="1"/>
  <c r="I42" i="87"/>
  <c r="J41" i="87"/>
  <c r="C27" i="12"/>
  <c r="E28" i="12"/>
  <c r="M28" i="1"/>
  <c r="X28" i="2"/>
  <c r="J28" i="12"/>
  <c r="K28" i="12" s="1"/>
  <c r="E26" i="126"/>
  <c r="C25" i="126"/>
  <c r="J26" i="126"/>
  <c r="K26" i="126" s="1"/>
  <c r="C27" i="27"/>
  <c r="E28" i="27"/>
  <c r="J28" i="27"/>
  <c r="K28" i="27" s="1"/>
  <c r="BF29" i="2"/>
  <c r="I41" i="65"/>
  <c r="J40" i="65"/>
  <c r="K38" i="125"/>
  <c r="J40" i="141"/>
  <c r="I41" i="141"/>
  <c r="K40" i="19"/>
  <c r="K39" i="40"/>
  <c r="I42" i="85"/>
  <c r="J41" i="85"/>
  <c r="E26" i="167"/>
  <c r="C25" i="167"/>
  <c r="J26" i="167"/>
  <c r="K26" i="167" s="1"/>
  <c r="K38" i="38"/>
  <c r="C26" i="97"/>
  <c r="E27" i="97"/>
  <c r="J27" i="97"/>
  <c r="K27" i="97" s="1"/>
  <c r="K39" i="121"/>
  <c r="K41" i="9"/>
  <c r="I46" i="12"/>
  <c r="J45" i="12"/>
  <c r="K39" i="3"/>
  <c r="K40" i="167"/>
  <c r="C27" i="56"/>
  <c r="E28" i="56"/>
  <c r="J28" i="56"/>
  <c r="K28" i="56" s="1"/>
  <c r="K38" i="174"/>
  <c r="K39" i="87"/>
  <c r="I42" i="54"/>
  <c r="J41" i="54"/>
  <c r="C25" i="94"/>
  <c r="E26" i="94"/>
  <c r="J26" i="94"/>
  <c r="K26" i="94" s="1"/>
  <c r="J41" i="19"/>
  <c r="I42" i="19"/>
  <c r="E26" i="25"/>
  <c r="C25" i="25"/>
  <c r="J26" i="25"/>
  <c r="K26" i="25" s="1"/>
  <c r="CM28" i="2"/>
  <c r="E27" i="119"/>
  <c r="C26" i="119"/>
  <c r="J27" i="119"/>
  <c r="K27" i="119" s="1"/>
  <c r="C24" i="149"/>
  <c r="E25" i="149"/>
  <c r="J25" i="149"/>
  <c r="K25" i="149" s="1"/>
  <c r="K40" i="86"/>
  <c r="C24" i="159"/>
  <c r="E25" i="159"/>
  <c r="J25" i="159"/>
  <c r="K25" i="159" s="1"/>
  <c r="K41" i="152"/>
  <c r="C26" i="154"/>
  <c r="E27" i="154"/>
  <c r="J27" i="154"/>
  <c r="K27" i="154" s="1"/>
  <c r="IJ27" i="2"/>
  <c r="I41" i="140"/>
  <c r="J40" i="140"/>
  <c r="K42" i="26"/>
  <c r="K39" i="49"/>
  <c r="E26" i="113"/>
  <c r="C25" i="113"/>
  <c r="J26" i="113"/>
  <c r="K26" i="113" s="1"/>
  <c r="E27" i="20"/>
  <c r="C26" i="20"/>
  <c r="J27" i="20"/>
  <c r="K27" i="20" s="1"/>
  <c r="K40" i="114"/>
  <c r="FK28" i="2"/>
  <c r="K39" i="69"/>
  <c r="C25" i="128"/>
  <c r="E26" i="128"/>
  <c r="J26" i="128"/>
  <c r="K26" i="128" s="1"/>
  <c r="DT27" i="2"/>
  <c r="C25" i="19"/>
  <c r="E26" i="19"/>
  <c r="J26" i="19"/>
  <c r="K26" i="19" s="1"/>
  <c r="M28" i="2"/>
  <c r="K38" i="160"/>
  <c r="J41" i="86"/>
  <c r="I42" i="86"/>
  <c r="K41" i="113"/>
  <c r="E25" i="37"/>
  <c r="C24" i="37"/>
  <c r="J25" i="37"/>
  <c r="K25" i="37" s="1"/>
  <c r="E21" i="98"/>
  <c r="C20" i="98"/>
  <c r="J21" i="98"/>
  <c r="K21" i="98" s="1"/>
  <c r="K39" i="166"/>
  <c r="I44" i="26"/>
  <c r="J43" i="26"/>
  <c r="E25" i="62"/>
  <c r="C24" i="62"/>
  <c r="J25" i="62"/>
  <c r="K25" i="62" s="1"/>
  <c r="I43" i="66"/>
  <c r="J42" i="66"/>
  <c r="CB28" i="2"/>
  <c r="I42" i="114"/>
  <c r="J41" i="114"/>
  <c r="E27" i="88"/>
  <c r="C26" i="88"/>
  <c r="J27" i="88"/>
  <c r="K27" i="88" s="1"/>
  <c r="J40" i="69"/>
  <c r="I41" i="69"/>
  <c r="K43" i="12"/>
  <c r="E28" i="107"/>
  <c r="C27" i="107"/>
  <c r="BE27" i="2" s="1"/>
  <c r="J28" i="107"/>
  <c r="K28" i="107" s="1"/>
  <c r="C25" i="103"/>
  <c r="E26" i="103"/>
  <c r="J26" i="103"/>
  <c r="K26" i="103" s="1"/>
  <c r="E27" i="33"/>
  <c r="C26" i="33"/>
  <c r="M27" i="2"/>
  <c r="J27" i="33"/>
  <c r="K27" i="33" s="1"/>
  <c r="J41" i="88"/>
  <c r="I42" i="88"/>
  <c r="I45" i="14"/>
  <c r="J44" i="14"/>
  <c r="E25" i="124"/>
  <c r="C24" i="124"/>
  <c r="J25" i="124"/>
  <c r="K25" i="124" s="1"/>
  <c r="J42" i="139"/>
  <c r="I43" i="139"/>
  <c r="K41" i="135"/>
  <c r="K57" i="150"/>
  <c r="K39" i="147"/>
  <c r="E28" i="172"/>
  <c r="C27" i="172"/>
  <c r="J28" i="172"/>
  <c r="K28" i="172" s="1"/>
  <c r="I43" i="113"/>
  <c r="J42" i="113"/>
  <c r="K40" i="85"/>
  <c r="E25" i="86"/>
  <c r="C24" i="86"/>
  <c r="J25" i="86"/>
  <c r="K25" i="86" s="1"/>
  <c r="J40" i="166"/>
  <c r="I41" i="166"/>
  <c r="C26" i="63"/>
  <c r="E27" i="63"/>
  <c r="J27" i="63"/>
  <c r="K27" i="63" s="1"/>
  <c r="J42" i="115"/>
  <c r="I43" i="115"/>
  <c r="K41" i="66"/>
  <c r="K41" i="132"/>
  <c r="J43" i="132"/>
  <c r="K42" i="132" s="1"/>
  <c r="I44" i="132"/>
  <c r="I46" i="133"/>
  <c r="J45" i="133"/>
  <c r="K44" i="133" s="1"/>
  <c r="C24" i="120"/>
  <c r="E25" i="120"/>
  <c r="J25" i="120"/>
  <c r="K25" i="120" s="1"/>
  <c r="K39" i="50"/>
  <c r="K38" i="69"/>
  <c r="C25" i="129"/>
  <c r="E26" i="129"/>
  <c r="J26" i="129"/>
  <c r="K26" i="129" s="1"/>
  <c r="DS26" i="2"/>
  <c r="K42" i="128"/>
  <c r="K38" i="11"/>
  <c r="E25" i="173"/>
  <c r="C24" i="173"/>
  <c r="J25" i="173"/>
  <c r="K25" i="173" s="1"/>
  <c r="K41" i="16"/>
  <c r="J40" i="147"/>
  <c r="I41" i="147"/>
  <c r="K38" i="141"/>
  <c r="K42" i="127"/>
  <c r="I41" i="40"/>
  <c r="J40" i="40"/>
  <c r="C26" i="31"/>
  <c r="E27" i="31"/>
  <c r="CA27" i="2"/>
  <c r="J27" i="31"/>
  <c r="K27" i="31" s="1"/>
  <c r="E28" i="90"/>
  <c r="C27" i="90"/>
  <c r="J28" i="90"/>
  <c r="K28" i="90" s="1"/>
  <c r="I42" i="169"/>
  <c r="J41" i="169"/>
  <c r="I44" i="128"/>
  <c r="J43" i="128"/>
  <c r="K39" i="105"/>
  <c r="C26" i="96"/>
  <c r="E27" i="96"/>
  <c r="J27" i="96"/>
  <c r="K27" i="96" s="1"/>
  <c r="I43" i="23"/>
  <c r="J42" i="23"/>
  <c r="I44" i="156"/>
  <c r="J43" i="156"/>
  <c r="E27" i="23"/>
  <c r="C26" i="23"/>
  <c r="J27" i="23"/>
  <c r="K27" i="23" s="1"/>
  <c r="E27" i="48"/>
  <c r="C26" i="48"/>
  <c r="J27" i="48"/>
  <c r="K27" i="48" s="1"/>
  <c r="I41" i="90"/>
  <c r="J40" i="90"/>
  <c r="K42" i="78"/>
  <c r="AI28" i="1"/>
  <c r="E25" i="84"/>
  <c r="C24" i="84"/>
  <c r="J25" i="84"/>
  <c r="K25" i="84" s="1"/>
  <c r="I41" i="171"/>
  <c r="J40" i="171"/>
  <c r="K39" i="171" s="1"/>
  <c r="C27" i="121"/>
  <c r="E28" i="121"/>
  <c r="J28" i="121"/>
  <c r="K28" i="121" s="1"/>
  <c r="Y29" i="1"/>
  <c r="K40" i="92"/>
  <c r="C23" i="111"/>
  <c r="E24" i="111"/>
  <c r="J24" i="111"/>
  <c r="K24" i="111" s="1"/>
  <c r="I43" i="41"/>
  <c r="J42" i="41"/>
  <c r="K40" i="169"/>
  <c r="HY28" i="2"/>
  <c r="E27" i="38"/>
  <c r="C26" i="38"/>
  <c r="J27" i="38"/>
  <c r="K27" i="38" s="1"/>
  <c r="J40" i="105"/>
  <c r="I41" i="105"/>
  <c r="C26" i="21"/>
  <c r="E27" i="21"/>
  <c r="J27" i="21"/>
  <c r="K27" i="21" s="1"/>
  <c r="I41" i="58"/>
  <c r="J40" i="58"/>
  <c r="K39" i="58" s="1"/>
  <c r="K41" i="23"/>
  <c r="K42" i="156"/>
  <c r="K39" i="90"/>
  <c r="I44" i="78"/>
  <c r="J43" i="78"/>
  <c r="E27" i="15"/>
  <c r="C26" i="15"/>
  <c r="J27" i="15"/>
  <c r="K27" i="15" s="1"/>
  <c r="E27" i="108"/>
  <c r="C26" i="108"/>
  <c r="J27" i="108"/>
  <c r="K27" i="108" s="1"/>
  <c r="E26" i="65"/>
  <c r="C25" i="65"/>
  <c r="J26" i="65"/>
  <c r="K26" i="65" s="1"/>
  <c r="C25" i="137"/>
  <c r="E26" i="137"/>
  <c r="J26" i="137"/>
  <c r="K26" i="137" s="1"/>
  <c r="C27" i="158"/>
  <c r="E28" i="158"/>
  <c r="J28" i="158"/>
  <c r="K28" i="158" s="1"/>
  <c r="K41" i="60"/>
  <c r="C27" i="136"/>
  <c r="E28" i="136"/>
  <c r="J28" i="136"/>
  <c r="K28" i="136" s="1"/>
  <c r="E27" i="164"/>
  <c r="C26" i="164"/>
  <c r="J27" i="164"/>
  <c r="K27" i="164" s="1"/>
  <c r="K44" i="46"/>
  <c r="I43" i="60"/>
  <c r="J42" i="60"/>
  <c r="C24" i="171"/>
  <c r="E25" i="171"/>
  <c r="J25" i="171"/>
  <c r="K25" i="171" s="1"/>
  <c r="J42" i="68"/>
  <c r="I43" i="68"/>
  <c r="C26" i="162"/>
  <c r="E27" i="162"/>
  <c r="J27" i="162"/>
  <c r="K27" i="162" s="1"/>
  <c r="E27" i="153"/>
  <c r="C26" i="153"/>
  <c r="J27" i="153"/>
  <c r="K27" i="153" s="1"/>
  <c r="K39" i="116"/>
  <c r="K39" i="76"/>
  <c r="K42" i="42"/>
  <c r="C26" i="169"/>
  <c r="E27" i="169"/>
  <c r="HY27" i="2"/>
  <c r="J27" i="169"/>
  <c r="K27" i="169" s="1"/>
  <c r="I46" i="15"/>
  <c r="J45" i="15"/>
  <c r="K41" i="13"/>
  <c r="K39" i="102"/>
  <c r="K40" i="63"/>
  <c r="E28" i="100"/>
  <c r="C27" i="100"/>
  <c r="J28" i="100"/>
  <c r="K28" i="100" s="1"/>
  <c r="K41" i="101"/>
  <c r="J41" i="97"/>
  <c r="K40" i="97" s="1"/>
  <c r="I42" i="97"/>
  <c r="I42" i="108"/>
  <c r="J41" i="108"/>
  <c r="K40" i="108" s="1"/>
  <c r="K44" i="75"/>
  <c r="IU27" i="2"/>
  <c r="AJ27" i="2" l="1"/>
  <c r="BF27" i="2"/>
  <c r="I44" i="113"/>
  <c r="J43" i="113"/>
  <c r="C24" i="167"/>
  <c r="E25" i="167"/>
  <c r="J25" i="167"/>
  <c r="K25" i="167" s="1"/>
  <c r="I43" i="119"/>
  <c r="J42" i="119"/>
  <c r="C26" i="152"/>
  <c r="E27" i="152"/>
  <c r="J27" i="152"/>
  <c r="K27" i="152" s="1"/>
  <c r="E27" i="49"/>
  <c r="C26" i="49"/>
  <c r="J27" i="49"/>
  <c r="K27" i="49" s="1"/>
  <c r="K41" i="116"/>
  <c r="I46" i="59"/>
  <c r="J45" i="59"/>
  <c r="I42" i="130"/>
  <c r="J41" i="130"/>
  <c r="HP66" i="2"/>
  <c r="BR66" i="2"/>
  <c r="FX66" i="2"/>
  <c r="BG66" i="2"/>
  <c r="FM66" i="2"/>
  <c r="FB66" i="2"/>
  <c r="IW66" i="2"/>
  <c r="DU66" i="2"/>
  <c r="CC66" i="2"/>
  <c r="EF66" i="2"/>
  <c r="GT66" i="2"/>
  <c r="CN66" i="2"/>
  <c r="HE66" i="2"/>
  <c r="AV66" i="2"/>
  <c r="AK66" i="2"/>
  <c r="IL66" i="2"/>
  <c r="IA66" i="2"/>
  <c r="CY66" i="2"/>
  <c r="O66" i="2"/>
  <c r="DJ66" i="2"/>
  <c r="EQ66" i="2"/>
  <c r="Z66" i="2"/>
  <c r="E25" i="112"/>
  <c r="C24" i="112"/>
  <c r="J25" i="112"/>
  <c r="K25" i="112" s="1"/>
  <c r="K41" i="50"/>
  <c r="I44" i="118"/>
  <c r="J43" i="118"/>
  <c r="E26" i="125"/>
  <c r="C25" i="125"/>
  <c r="J26" i="125"/>
  <c r="K26" i="125" s="1"/>
  <c r="E20" i="82"/>
  <c r="C19" i="82"/>
  <c r="J20" i="82"/>
  <c r="K20" i="82" s="1"/>
  <c r="I46" i="79"/>
  <c r="J45" i="79"/>
  <c r="K42" i="41"/>
  <c r="DT26" i="2"/>
  <c r="E25" i="128"/>
  <c r="C24" i="128"/>
  <c r="J25" i="128"/>
  <c r="K25" i="128" s="1"/>
  <c r="E25" i="81"/>
  <c r="C24" i="81"/>
  <c r="J25" i="81"/>
  <c r="K25" i="81" s="1"/>
  <c r="HO27" i="2"/>
  <c r="I43" i="116"/>
  <c r="J42" i="116"/>
  <c r="J42" i="170"/>
  <c r="K41" i="170" s="1"/>
  <c r="I43" i="170"/>
  <c r="E25" i="144"/>
  <c r="C24" i="144"/>
  <c r="J25" i="144"/>
  <c r="K25" i="144" s="1"/>
  <c r="K44" i="59"/>
  <c r="K40" i="130"/>
  <c r="AK66" i="1"/>
  <c r="D66" i="1"/>
  <c r="O66" i="1"/>
  <c r="BR66" i="1"/>
  <c r="Z66" i="1"/>
  <c r="CC66" i="1"/>
  <c r="AV66" i="1"/>
  <c r="C25" i="78"/>
  <c r="E26" i="78"/>
  <c r="J26" i="78"/>
  <c r="K26" i="78" s="1"/>
  <c r="I43" i="50"/>
  <c r="J42" i="50"/>
  <c r="I45" i="89"/>
  <c r="J44" i="89"/>
  <c r="C24" i="118"/>
  <c r="E25" i="118"/>
  <c r="J25" i="118"/>
  <c r="K25" i="118" s="1"/>
  <c r="I44" i="41"/>
  <c r="J43" i="41"/>
  <c r="C26" i="172"/>
  <c r="E27" i="172"/>
  <c r="J27" i="172"/>
  <c r="K27" i="172" s="1"/>
  <c r="I43" i="114"/>
  <c r="J42" i="114"/>
  <c r="K40" i="119"/>
  <c r="E25" i="66"/>
  <c r="C24" i="66"/>
  <c r="J25" i="66"/>
  <c r="K25" i="66" s="1"/>
  <c r="I44" i="124"/>
  <c r="J43" i="124"/>
  <c r="I44" i="37"/>
  <c r="J43" i="37"/>
  <c r="K42" i="37" s="1"/>
  <c r="K41" i="103"/>
  <c r="J42" i="39"/>
  <c r="I43" i="39"/>
  <c r="GH66" i="2"/>
  <c r="GI66" i="2"/>
  <c r="J42" i="4"/>
  <c r="I43" i="4"/>
  <c r="C24" i="110"/>
  <c r="E25" i="110"/>
  <c r="J25" i="110"/>
  <c r="K25" i="110" s="1"/>
  <c r="K43" i="89"/>
  <c r="J43" i="44"/>
  <c r="I44" i="44"/>
  <c r="C24" i="9"/>
  <c r="E25" i="9"/>
  <c r="J25" i="9"/>
  <c r="K25" i="9" s="1"/>
  <c r="C26" i="170"/>
  <c r="E27" i="170"/>
  <c r="J27" i="170"/>
  <c r="K27" i="170" s="1"/>
  <c r="E27" i="158"/>
  <c r="C26" i="158"/>
  <c r="J27" i="158"/>
  <c r="K27" i="158" s="1"/>
  <c r="C25" i="96"/>
  <c r="E26" i="96"/>
  <c r="J26" i="96"/>
  <c r="K26" i="96" s="1"/>
  <c r="FL28" i="2"/>
  <c r="J42" i="85"/>
  <c r="I43" i="85"/>
  <c r="K42" i="124"/>
  <c r="I45" i="117"/>
  <c r="J44" i="117"/>
  <c r="J42" i="103"/>
  <c r="I43" i="103"/>
  <c r="I42" i="38"/>
  <c r="J41" i="38"/>
  <c r="C21" i="30"/>
  <c r="E22" i="30"/>
  <c r="J22" i="30"/>
  <c r="K22" i="30" s="1"/>
  <c r="BG66" i="1"/>
  <c r="I46" i="24"/>
  <c r="E26" i="35"/>
  <c r="C25" i="35"/>
  <c r="J26" i="35"/>
  <c r="K26" i="35" s="1"/>
  <c r="J41" i="35"/>
  <c r="I42" i="35"/>
  <c r="FW28" i="2"/>
  <c r="I45" i="164"/>
  <c r="J44" i="164"/>
  <c r="K43" i="164" s="1"/>
  <c r="K40" i="38"/>
  <c r="C64" i="24"/>
  <c r="E65" i="24"/>
  <c r="GG65" i="2"/>
  <c r="BE65" i="1"/>
  <c r="C65" i="2"/>
  <c r="C65" i="1"/>
  <c r="I42" i="109"/>
  <c r="J41" i="109"/>
  <c r="E25" i="60"/>
  <c r="C24" i="60"/>
  <c r="J25" i="60"/>
  <c r="K25" i="60" s="1"/>
  <c r="C22" i="59"/>
  <c r="E23" i="59"/>
  <c r="J23" i="59"/>
  <c r="K23" i="59" s="1"/>
  <c r="I45" i="135"/>
  <c r="J44" i="135"/>
  <c r="I44" i="129"/>
  <c r="J43" i="129"/>
  <c r="I44" i="10"/>
  <c r="J43" i="10"/>
  <c r="K42" i="10" s="1"/>
  <c r="J41" i="100"/>
  <c r="K40" i="100" s="1"/>
  <c r="I42" i="100"/>
  <c r="C25" i="89"/>
  <c r="E26" i="89"/>
  <c r="J26" i="89"/>
  <c r="K26" i="89" s="1"/>
  <c r="HZ27" i="2"/>
  <c r="E23" i="111"/>
  <c r="C22" i="111"/>
  <c r="J23" i="111"/>
  <c r="K23" i="111" s="1"/>
  <c r="K40" i="35"/>
  <c r="C26" i="46"/>
  <c r="E27" i="46"/>
  <c r="J27" i="46"/>
  <c r="K27" i="46" s="1"/>
  <c r="E24" i="73"/>
  <c r="C23" i="73"/>
  <c r="J24" i="73"/>
  <c r="K24" i="73" s="1"/>
  <c r="CX27" i="2"/>
  <c r="E25" i="83"/>
  <c r="C24" i="83"/>
  <c r="J25" i="83"/>
  <c r="K25" i="83" s="1"/>
  <c r="I43" i="153"/>
  <c r="J42" i="153"/>
  <c r="K42" i="129"/>
  <c r="E25" i="25"/>
  <c r="C24" i="25"/>
  <c r="J25" i="25"/>
  <c r="K25" i="25" s="1"/>
  <c r="I44" i="25"/>
  <c r="J43" i="25"/>
  <c r="K42" i="25" s="1"/>
  <c r="E25" i="137"/>
  <c r="C24" i="137"/>
  <c r="J25" i="137"/>
  <c r="K25" i="137" s="1"/>
  <c r="J44" i="128"/>
  <c r="K43" i="128" s="1"/>
  <c r="I45" i="128"/>
  <c r="E26" i="20"/>
  <c r="C25" i="20"/>
  <c r="J26" i="20"/>
  <c r="K26" i="20" s="1"/>
  <c r="I43" i="19"/>
  <c r="J42" i="19"/>
  <c r="I42" i="141"/>
  <c r="J41" i="141"/>
  <c r="C23" i="39"/>
  <c r="E24" i="39"/>
  <c r="J24" i="39"/>
  <c r="K24" i="39" s="1"/>
  <c r="K40" i="17"/>
  <c r="E27" i="42"/>
  <c r="C26" i="42"/>
  <c r="J27" i="42"/>
  <c r="K27" i="42" s="1"/>
  <c r="FV27" i="2"/>
  <c r="C24" i="116"/>
  <c r="E25" i="116"/>
  <c r="J25" i="116"/>
  <c r="K25" i="116" s="1"/>
  <c r="E25" i="74"/>
  <c r="C24" i="74"/>
  <c r="J25" i="74"/>
  <c r="K25" i="74" s="1"/>
  <c r="C23" i="115"/>
  <c r="E24" i="115"/>
  <c r="J24" i="115"/>
  <c r="K24" i="115" s="1"/>
  <c r="I42" i="148"/>
  <c r="J41" i="148"/>
  <c r="K40" i="148" s="1"/>
  <c r="J42" i="33"/>
  <c r="I43" i="33"/>
  <c r="C24" i="129"/>
  <c r="E25" i="129"/>
  <c r="J25" i="129"/>
  <c r="K25" i="129" s="1"/>
  <c r="DS25" i="2"/>
  <c r="E26" i="169"/>
  <c r="C25" i="169"/>
  <c r="J26" i="169"/>
  <c r="K26" i="169" s="1"/>
  <c r="I44" i="139"/>
  <c r="J43" i="139"/>
  <c r="I44" i="66"/>
  <c r="J43" i="66"/>
  <c r="K41" i="19"/>
  <c r="K40" i="141"/>
  <c r="C23" i="127"/>
  <c r="E24" i="127"/>
  <c r="J24" i="127"/>
  <c r="K24" i="127" s="1"/>
  <c r="C21" i="157"/>
  <c r="E22" i="157"/>
  <c r="J22" i="157"/>
  <c r="K22" i="157" s="1"/>
  <c r="C21" i="87"/>
  <c r="E22" i="87"/>
  <c r="J22" i="87"/>
  <c r="K22" i="87" s="1"/>
  <c r="J41" i="17"/>
  <c r="I42" i="17"/>
  <c r="E25" i="67"/>
  <c r="C24" i="67"/>
  <c r="J25" i="67"/>
  <c r="K25" i="67" s="1"/>
  <c r="I61" i="150"/>
  <c r="J60" i="150"/>
  <c r="K43" i="16"/>
  <c r="K41" i="33"/>
  <c r="C21" i="32"/>
  <c r="E22" i="32"/>
  <c r="J22" i="32"/>
  <c r="K22" i="32" s="1"/>
  <c r="K41" i="44"/>
  <c r="C24" i="54"/>
  <c r="E25" i="54"/>
  <c r="J25" i="54"/>
  <c r="K25" i="54" s="1"/>
  <c r="E26" i="76"/>
  <c r="C25" i="76"/>
  <c r="J26" i="76"/>
  <c r="K26" i="76" s="1"/>
  <c r="E26" i="151"/>
  <c r="C25" i="151"/>
  <c r="J26" i="151"/>
  <c r="K26" i="151" s="1"/>
  <c r="K43" i="48"/>
  <c r="K59" i="150"/>
  <c r="I42" i="34"/>
  <c r="J41" i="34"/>
  <c r="I45" i="16"/>
  <c r="J44" i="16"/>
  <c r="I43" i="70"/>
  <c r="J42" i="70"/>
  <c r="K41" i="70" s="1"/>
  <c r="I43" i="123"/>
  <c r="J42" i="123"/>
  <c r="J46" i="46"/>
  <c r="I47" i="46"/>
  <c r="E23" i="34"/>
  <c r="C22" i="34"/>
  <c r="J23" i="34"/>
  <c r="K23" i="34" s="1"/>
  <c r="E24" i="120"/>
  <c r="C23" i="120"/>
  <c r="J24" i="120"/>
  <c r="K24" i="120" s="1"/>
  <c r="E24" i="62"/>
  <c r="C23" i="62"/>
  <c r="J24" i="62"/>
  <c r="K24" i="62" s="1"/>
  <c r="C24" i="113"/>
  <c r="E25" i="113"/>
  <c r="J25" i="113"/>
  <c r="K25" i="113" s="1"/>
  <c r="E23" i="102"/>
  <c r="C22" i="102"/>
  <c r="J23" i="102"/>
  <c r="K23" i="102" s="1"/>
  <c r="K41" i="49"/>
  <c r="I45" i="48"/>
  <c r="J44" i="48"/>
  <c r="K40" i="163"/>
  <c r="K40" i="34"/>
  <c r="I43" i="3"/>
  <c r="J42" i="3"/>
  <c r="I42" i="143"/>
  <c r="J41" i="143"/>
  <c r="C26" i="91"/>
  <c r="E27" i="91"/>
  <c r="J27" i="91"/>
  <c r="K27" i="91" s="1"/>
  <c r="E24" i="40"/>
  <c r="C23" i="40"/>
  <c r="J24" i="40"/>
  <c r="K24" i="40" s="1"/>
  <c r="K41" i="123"/>
  <c r="K41" i="52"/>
  <c r="I45" i="127"/>
  <c r="J44" i="127"/>
  <c r="K43" i="127" s="1"/>
  <c r="K45" i="46"/>
  <c r="E27" i="90"/>
  <c r="C26" i="90"/>
  <c r="J27" i="90"/>
  <c r="K27" i="90" s="1"/>
  <c r="K45" i="133"/>
  <c r="C23" i="124"/>
  <c r="E24" i="124"/>
  <c r="J24" i="124"/>
  <c r="K24" i="124" s="1"/>
  <c r="E25" i="94"/>
  <c r="C24" i="94"/>
  <c r="J25" i="94"/>
  <c r="K25" i="94" s="1"/>
  <c r="I42" i="65"/>
  <c r="J41" i="65"/>
  <c r="E27" i="3"/>
  <c r="C26" i="3"/>
  <c r="J27" i="3"/>
  <c r="K27" i="3" s="1"/>
  <c r="J42" i="49"/>
  <c r="I43" i="49"/>
  <c r="K40" i="125"/>
  <c r="C24" i="18"/>
  <c r="E25" i="18"/>
  <c r="J25" i="18"/>
  <c r="K25" i="18" s="1"/>
  <c r="I42" i="163"/>
  <c r="J41" i="163"/>
  <c r="K43" i="59"/>
  <c r="K41" i="3"/>
  <c r="K40" i="143"/>
  <c r="I43" i="31"/>
  <c r="J42" i="31"/>
  <c r="K41" i="31" s="1"/>
  <c r="I45" i="62"/>
  <c r="J44" i="62"/>
  <c r="J41" i="8"/>
  <c r="I42" i="8"/>
  <c r="C25" i="77"/>
  <c r="E26" i="77"/>
  <c r="J26" i="77"/>
  <c r="K26" i="77" s="1"/>
  <c r="I43" i="52"/>
  <c r="J42" i="52"/>
  <c r="GS28" i="2"/>
  <c r="E26" i="108"/>
  <c r="C25" i="108"/>
  <c r="J26" i="108"/>
  <c r="K26" i="108" s="1"/>
  <c r="I47" i="133"/>
  <c r="J46" i="133"/>
  <c r="E26" i="44"/>
  <c r="C25" i="44"/>
  <c r="J26" i="44"/>
  <c r="K26" i="44" s="1"/>
  <c r="I42" i="125"/>
  <c r="J41" i="125"/>
  <c r="C22" i="165"/>
  <c r="E23" i="165"/>
  <c r="J23" i="165"/>
  <c r="K23" i="165" s="1"/>
  <c r="EE28" i="2"/>
  <c r="K58" i="150"/>
  <c r="K39" i="130"/>
  <c r="I44" i="99"/>
  <c r="J43" i="99"/>
  <c r="K42" i="99" s="1"/>
  <c r="E27" i="93"/>
  <c r="C26" i="93"/>
  <c r="J27" i="93"/>
  <c r="K27" i="93" s="1"/>
  <c r="K39" i="34"/>
  <c r="E25" i="68"/>
  <c r="C24" i="68"/>
  <c r="J25" i="68"/>
  <c r="K25" i="68" s="1"/>
  <c r="K44" i="71"/>
  <c r="J41" i="81"/>
  <c r="I42" i="81"/>
  <c r="E24" i="47"/>
  <c r="C23" i="47"/>
  <c r="J24" i="47"/>
  <c r="K24" i="47" s="1"/>
  <c r="C26" i="109"/>
  <c r="E27" i="109"/>
  <c r="ED27" i="2"/>
  <c r="J27" i="109"/>
  <c r="K27" i="109" s="1"/>
  <c r="E26" i="140"/>
  <c r="C25" i="140"/>
  <c r="J26" i="140"/>
  <c r="K26" i="140" s="1"/>
  <c r="J45" i="27"/>
  <c r="I46" i="27"/>
  <c r="C23" i="141"/>
  <c r="E24" i="141"/>
  <c r="J24" i="141"/>
  <c r="K24" i="141" s="1"/>
  <c r="K43" i="77"/>
  <c r="C23" i="85"/>
  <c r="E24" i="85"/>
  <c r="J24" i="85"/>
  <c r="K24" i="85" s="1"/>
  <c r="E26" i="13"/>
  <c r="C25" i="13"/>
  <c r="J26" i="13"/>
  <c r="K26" i="13" s="1"/>
  <c r="I45" i="152"/>
  <c r="J44" i="152"/>
  <c r="C25" i="36"/>
  <c r="E26" i="36"/>
  <c r="J26" i="36"/>
  <c r="K26" i="36" s="1"/>
  <c r="I47" i="75"/>
  <c r="J46" i="75"/>
  <c r="I46" i="71"/>
  <c r="J45" i="71"/>
  <c r="J41" i="45"/>
  <c r="K40" i="45" s="1"/>
  <c r="I42" i="45"/>
  <c r="HO28" i="2"/>
  <c r="J42" i="154"/>
  <c r="I43" i="154"/>
  <c r="K42" i="77"/>
  <c r="I45" i="77"/>
  <c r="J44" i="77"/>
  <c r="BQ28" i="2"/>
  <c r="K43" i="13"/>
  <c r="J42" i="168"/>
  <c r="K41" i="168" s="1"/>
  <c r="I43" i="168"/>
  <c r="I45" i="107"/>
  <c r="J44" i="107"/>
  <c r="K43" i="107" s="1"/>
  <c r="K43" i="152"/>
  <c r="K40" i="153"/>
  <c r="K45" i="75"/>
  <c r="E27" i="14"/>
  <c r="C26" i="14"/>
  <c r="J27" i="14"/>
  <c r="K27" i="14" s="1"/>
  <c r="CB27" i="2"/>
  <c r="J42" i="88"/>
  <c r="I43" i="88"/>
  <c r="I42" i="140"/>
  <c r="J41" i="140"/>
  <c r="E25" i="161"/>
  <c r="C24" i="161"/>
  <c r="J25" i="161"/>
  <c r="K25" i="161" s="1"/>
  <c r="K40" i="43"/>
  <c r="DI27" i="2"/>
  <c r="K42" i="165"/>
  <c r="K42" i="157"/>
  <c r="J44" i="13"/>
  <c r="I45" i="13"/>
  <c r="K40" i="50"/>
  <c r="K42" i="135"/>
  <c r="E26" i="101"/>
  <c r="C25" i="101"/>
  <c r="J26" i="101"/>
  <c r="K26" i="101" s="1"/>
  <c r="K40" i="140"/>
  <c r="I43" i="54"/>
  <c r="J42" i="54"/>
  <c r="C19" i="98"/>
  <c r="E20" i="98"/>
  <c r="J20" i="98"/>
  <c r="K20" i="98" s="1"/>
  <c r="J41" i="43"/>
  <c r="I42" i="43"/>
  <c r="FA27" i="2"/>
  <c r="J43" i="157"/>
  <c r="I44" i="157"/>
  <c r="I44" i="18"/>
  <c r="J43" i="18"/>
  <c r="E27" i="52"/>
  <c r="C26" i="52"/>
  <c r="BP27" i="2"/>
  <c r="J27" i="52"/>
  <c r="K27" i="52" s="1"/>
  <c r="J42" i="131"/>
  <c r="I43" i="131"/>
  <c r="I47" i="145"/>
  <c r="J46" i="145"/>
  <c r="C24" i="65"/>
  <c r="E25" i="65"/>
  <c r="J25" i="65"/>
  <c r="K25" i="65" s="1"/>
  <c r="C26" i="121"/>
  <c r="E27" i="121"/>
  <c r="J27" i="121"/>
  <c r="K27" i="121" s="1"/>
  <c r="J44" i="26"/>
  <c r="I45" i="26"/>
  <c r="C25" i="15"/>
  <c r="E26" i="15"/>
  <c r="J26" i="15"/>
  <c r="K26" i="15" s="1"/>
  <c r="I42" i="171"/>
  <c r="J41" i="171"/>
  <c r="K41" i="88"/>
  <c r="IK27" i="2"/>
  <c r="E27" i="27"/>
  <c r="C26" i="27"/>
  <c r="J27" i="27"/>
  <c r="K27" i="27" s="1"/>
  <c r="K43" i="71"/>
  <c r="J43" i="93"/>
  <c r="I44" i="93"/>
  <c r="I44" i="165"/>
  <c r="J43" i="165"/>
  <c r="E26" i="162"/>
  <c r="C25" i="162"/>
  <c r="J26" i="162"/>
  <c r="K26" i="162" s="1"/>
  <c r="E24" i="84"/>
  <c r="C23" i="84"/>
  <c r="J24" i="84"/>
  <c r="K24" i="84" s="1"/>
  <c r="C25" i="31"/>
  <c r="E26" i="31"/>
  <c r="J26" i="31"/>
  <c r="K26" i="31" s="1"/>
  <c r="I44" i="115"/>
  <c r="J43" i="115"/>
  <c r="E26" i="134"/>
  <c r="C25" i="134"/>
  <c r="EZ26" i="2"/>
  <c r="J26" i="134"/>
  <c r="K26" i="134" s="1"/>
  <c r="I45" i="136"/>
  <c r="J44" i="136"/>
  <c r="E25" i="57"/>
  <c r="C24" i="57"/>
  <c r="J25" i="57"/>
  <c r="K25" i="57" s="1"/>
  <c r="C25" i="133"/>
  <c r="E26" i="133"/>
  <c r="J26" i="133"/>
  <c r="K26" i="133" s="1"/>
  <c r="DH26" i="2"/>
  <c r="K41" i="165"/>
  <c r="I45" i="29"/>
  <c r="J44" i="29"/>
  <c r="K40" i="39"/>
  <c r="E26" i="70"/>
  <c r="C25" i="70"/>
  <c r="J26" i="70"/>
  <c r="K26" i="70" s="1"/>
  <c r="I43" i="126"/>
  <c r="J42" i="126"/>
  <c r="C22" i="43"/>
  <c r="E23" i="43"/>
  <c r="J23" i="43"/>
  <c r="K23" i="43" s="1"/>
  <c r="K45" i="145"/>
  <c r="E24" i="123"/>
  <c r="C23" i="123"/>
  <c r="J24" i="123"/>
  <c r="K24" i="123" s="1"/>
  <c r="C24" i="11"/>
  <c r="E25" i="11"/>
  <c r="J25" i="11"/>
  <c r="K25" i="11" s="1"/>
  <c r="K43" i="136"/>
  <c r="I44" i="30"/>
  <c r="J43" i="30"/>
  <c r="E24" i="26"/>
  <c r="C23" i="26"/>
  <c r="J24" i="26"/>
  <c r="K24" i="26" s="1"/>
  <c r="K39" i="38"/>
  <c r="J45" i="22"/>
  <c r="I46" i="22"/>
  <c r="K41" i="18"/>
  <c r="E24" i="72"/>
  <c r="C23" i="72"/>
  <c r="J24" i="72"/>
  <c r="K24" i="72" s="1"/>
  <c r="E26" i="95"/>
  <c r="C25" i="95"/>
  <c r="J26" i="95"/>
  <c r="K26" i="95" s="1"/>
  <c r="J41" i="102"/>
  <c r="K40" i="102" s="1"/>
  <c r="I42" i="102"/>
  <c r="K41" i="41"/>
  <c r="I42" i="40"/>
  <c r="J41" i="40"/>
  <c r="C25" i="33"/>
  <c r="E26" i="33"/>
  <c r="M26" i="2"/>
  <c r="J26" i="33"/>
  <c r="K26" i="33" s="1"/>
  <c r="E24" i="37"/>
  <c r="C23" i="37"/>
  <c r="J24" i="37"/>
  <c r="K24" i="37" s="1"/>
  <c r="E26" i="154"/>
  <c r="C25" i="154"/>
  <c r="J26" i="154"/>
  <c r="K26" i="154" s="1"/>
  <c r="IJ26" i="2"/>
  <c r="C24" i="126"/>
  <c r="E25" i="126"/>
  <c r="J25" i="126"/>
  <c r="K25" i="126" s="1"/>
  <c r="E26" i="122"/>
  <c r="C25" i="122"/>
  <c r="J26" i="122"/>
  <c r="K26" i="122" s="1"/>
  <c r="CB28" i="1"/>
  <c r="I45" i="9"/>
  <c r="J44" i="9"/>
  <c r="E25" i="5"/>
  <c r="C24" i="5"/>
  <c r="J25" i="5"/>
  <c r="K25" i="5" s="1"/>
  <c r="I43" i="5"/>
  <c r="J42" i="5"/>
  <c r="K41" i="56"/>
  <c r="K40" i="138"/>
  <c r="I43" i="73"/>
  <c r="J42" i="73"/>
  <c r="I43" i="104"/>
  <c r="J42" i="104"/>
  <c r="I44" i="173"/>
  <c r="J43" i="173"/>
  <c r="K39" i="140"/>
  <c r="CL27" i="2"/>
  <c r="C26" i="56"/>
  <c r="E27" i="56"/>
  <c r="J27" i="56"/>
  <c r="K27" i="56" s="1"/>
  <c r="I44" i="72"/>
  <c r="J43" i="72"/>
  <c r="C23" i="168"/>
  <c r="E24" i="168"/>
  <c r="J24" i="168"/>
  <c r="K24" i="168" s="1"/>
  <c r="I44" i="63"/>
  <c r="J43" i="63"/>
  <c r="E26" i="80"/>
  <c r="C25" i="80"/>
  <c r="J26" i="80"/>
  <c r="K26" i="80" s="1"/>
  <c r="J42" i="56"/>
  <c r="I43" i="56"/>
  <c r="J46" i="134"/>
  <c r="K45" i="134" s="1"/>
  <c r="I47" i="134"/>
  <c r="I42" i="95"/>
  <c r="J41" i="95"/>
  <c r="K40" i="95" s="1"/>
  <c r="E27" i="143"/>
  <c r="C26" i="143"/>
  <c r="J27" i="143"/>
  <c r="K27" i="143" s="1"/>
  <c r="E25" i="150"/>
  <c r="C24" i="150"/>
  <c r="J25" i="150"/>
  <c r="K25" i="150" s="1"/>
  <c r="K40" i="160"/>
  <c r="I43" i="57"/>
  <c r="J42" i="57"/>
  <c r="AJ28" i="1"/>
  <c r="C25" i="117"/>
  <c r="E26" i="117"/>
  <c r="J26" i="117"/>
  <c r="K26" i="117" s="1"/>
  <c r="E27" i="6"/>
  <c r="CA27" i="1"/>
  <c r="C26" i="6"/>
  <c r="K43" i="9"/>
  <c r="K41" i="162"/>
  <c r="K39" i="43"/>
  <c r="K43" i="51"/>
  <c r="E27" i="55"/>
  <c r="C26" i="55"/>
  <c r="J27" i="55"/>
  <c r="K27" i="55" s="1"/>
  <c r="I43" i="162"/>
  <c r="J42" i="162"/>
  <c r="K40" i="170"/>
  <c r="I43" i="151"/>
  <c r="J42" i="151"/>
  <c r="K41" i="151" s="1"/>
  <c r="I44" i="83"/>
  <c r="J43" i="83"/>
  <c r="E25" i="130"/>
  <c r="C24" i="130"/>
  <c r="J25" i="130"/>
  <c r="K25" i="130" s="1"/>
  <c r="E23" i="105"/>
  <c r="C22" i="105"/>
  <c r="J23" i="105"/>
  <c r="K23" i="105" s="1"/>
  <c r="J41" i="36"/>
  <c r="I42" i="36"/>
  <c r="I42" i="160"/>
  <c r="J41" i="160"/>
  <c r="K41" i="57"/>
  <c r="E25" i="139"/>
  <c r="C24" i="139"/>
  <c r="J25" i="139"/>
  <c r="K25" i="139" s="1"/>
  <c r="J45" i="94"/>
  <c r="I46" i="94"/>
  <c r="J44" i="78"/>
  <c r="I45" i="78"/>
  <c r="Y28" i="2"/>
  <c r="K41" i="84"/>
  <c r="I43" i="161"/>
  <c r="J42" i="161"/>
  <c r="I44" i="158"/>
  <c r="J43" i="158"/>
  <c r="J44" i="51"/>
  <c r="I45" i="51"/>
  <c r="K41" i="111"/>
  <c r="I42" i="96"/>
  <c r="J41" i="96"/>
  <c r="E24" i="106"/>
  <c r="C23" i="106"/>
  <c r="J24" i="106"/>
  <c r="K24" i="106" s="1"/>
  <c r="I43" i="20"/>
  <c r="J42" i="20"/>
  <c r="J43" i="149"/>
  <c r="I44" i="149"/>
  <c r="K42" i="83"/>
  <c r="K44" i="15"/>
  <c r="K42" i="98"/>
  <c r="IV27" i="2"/>
  <c r="E24" i="171"/>
  <c r="C23" i="171"/>
  <c r="J24" i="171"/>
  <c r="K24" i="171" s="1"/>
  <c r="I43" i="84"/>
  <c r="J42" i="84"/>
  <c r="K42" i="117"/>
  <c r="C24" i="148"/>
  <c r="E25" i="148"/>
  <c r="J25" i="148"/>
  <c r="K25" i="148" s="1"/>
  <c r="I43" i="111"/>
  <c r="J42" i="111"/>
  <c r="C25" i="147"/>
  <c r="E26" i="147"/>
  <c r="J26" i="147"/>
  <c r="K26" i="147" s="1"/>
  <c r="K41" i="80"/>
  <c r="E26" i="145"/>
  <c r="C25" i="145"/>
  <c r="J26" i="145"/>
  <c r="K26" i="145" s="1"/>
  <c r="I43" i="137"/>
  <c r="J42" i="137"/>
  <c r="K41" i="137" s="1"/>
  <c r="E23" i="45"/>
  <c r="C22" i="45"/>
  <c r="J23" i="45"/>
  <c r="K23" i="45" s="1"/>
  <c r="I43" i="21"/>
  <c r="J42" i="21"/>
  <c r="E25" i="17"/>
  <c r="C24" i="17"/>
  <c r="J25" i="17"/>
  <c r="K25" i="17" s="1"/>
  <c r="K40" i="20"/>
  <c r="J46" i="15"/>
  <c r="I47" i="15"/>
  <c r="I43" i="169"/>
  <c r="J42" i="169"/>
  <c r="E26" i="153"/>
  <c r="C25" i="153"/>
  <c r="J26" i="153"/>
  <c r="K26" i="153" s="1"/>
  <c r="J44" i="132"/>
  <c r="I45" i="132"/>
  <c r="K40" i="171"/>
  <c r="J45" i="14"/>
  <c r="K44" i="14" s="1"/>
  <c r="I46" i="14"/>
  <c r="I43" i="86"/>
  <c r="J42" i="86"/>
  <c r="J41" i="58"/>
  <c r="I42" i="58"/>
  <c r="C24" i="103"/>
  <c r="E25" i="103"/>
  <c r="J25" i="103"/>
  <c r="K25" i="103" s="1"/>
  <c r="E24" i="159"/>
  <c r="C23" i="159"/>
  <c r="J24" i="159"/>
  <c r="K24" i="159" s="1"/>
  <c r="I47" i="12"/>
  <c r="J46" i="12"/>
  <c r="K45" i="12" s="1"/>
  <c r="C24" i="104"/>
  <c r="E25" i="104"/>
  <c r="J25" i="104"/>
  <c r="K25" i="104" s="1"/>
  <c r="C21" i="156"/>
  <c r="E22" i="156"/>
  <c r="J22" i="156"/>
  <c r="K22" i="156" s="1"/>
  <c r="C23" i="69"/>
  <c r="E24" i="69"/>
  <c r="J24" i="69"/>
  <c r="K24" i="69" s="1"/>
  <c r="K40" i="110"/>
  <c r="I43" i="80"/>
  <c r="J42" i="80"/>
  <c r="E24" i="61"/>
  <c r="C23" i="61"/>
  <c r="J24" i="61"/>
  <c r="K24" i="61" s="1"/>
  <c r="I42" i="47"/>
  <c r="J41" i="47"/>
  <c r="E26" i="132"/>
  <c r="C25" i="132"/>
  <c r="J26" i="132"/>
  <c r="K26" i="132" s="1"/>
  <c r="K39" i="110"/>
  <c r="K41" i="54"/>
  <c r="K40" i="58"/>
  <c r="E27" i="12"/>
  <c r="C26" i="12"/>
  <c r="X27" i="2"/>
  <c r="M27" i="1"/>
  <c r="J27" i="12"/>
  <c r="K27" i="12" s="1"/>
  <c r="I45" i="101"/>
  <c r="J44" i="101"/>
  <c r="C24" i="135"/>
  <c r="E25" i="135"/>
  <c r="J25" i="135"/>
  <c r="K25" i="135" s="1"/>
  <c r="I42" i="64"/>
  <c r="J41" i="64"/>
  <c r="C21" i="166"/>
  <c r="E22" i="166"/>
  <c r="J22" i="166"/>
  <c r="K22" i="166" s="1"/>
  <c r="C25" i="142"/>
  <c r="E26" i="142"/>
  <c r="J26" i="142"/>
  <c r="K26" i="142" s="1"/>
  <c r="K40" i="5"/>
  <c r="I42" i="91"/>
  <c r="J41" i="91"/>
  <c r="I42" i="110"/>
  <c r="J41" i="110"/>
  <c r="K40" i="11"/>
  <c r="K40" i="47"/>
  <c r="K40" i="131"/>
  <c r="K42" i="139"/>
  <c r="K40" i="147"/>
  <c r="K40" i="166"/>
  <c r="N28" i="2"/>
  <c r="K41" i="87"/>
  <c r="K40" i="87"/>
  <c r="AU28" i="1"/>
  <c r="J43" i="28"/>
  <c r="K42" i="28" s="1"/>
  <c r="I44" i="28"/>
  <c r="K41" i="155"/>
  <c r="K40" i="111"/>
  <c r="C24" i="64"/>
  <c r="E25" i="64"/>
  <c r="J25" i="64"/>
  <c r="K25" i="64" s="1"/>
  <c r="J41" i="11"/>
  <c r="I42" i="11"/>
  <c r="HD28" i="2"/>
  <c r="I45" i="142"/>
  <c r="J44" i="142"/>
  <c r="K43" i="142" s="1"/>
  <c r="I43" i="144"/>
  <c r="J42" i="144"/>
  <c r="K41" i="144" s="1"/>
  <c r="K43" i="132"/>
  <c r="I44" i="68"/>
  <c r="J43" i="68"/>
  <c r="K41" i="161"/>
  <c r="K41" i="97"/>
  <c r="C25" i="164"/>
  <c r="E26" i="164"/>
  <c r="J26" i="164"/>
  <c r="K26" i="164" s="1"/>
  <c r="J41" i="105"/>
  <c r="I42" i="105"/>
  <c r="E26" i="23"/>
  <c r="C25" i="23"/>
  <c r="J26" i="23"/>
  <c r="K26" i="23" s="1"/>
  <c r="J42" i="87"/>
  <c r="I43" i="87"/>
  <c r="E27" i="7"/>
  <c r="C26" i="7"/>
  <c r="AT27" i="1"/>
  <c r="J27" i="7"/>
  <c r="K27" i="7" s="1"/>
  <c r="I46" i="32"/>
  <c r="J45" i="32"/>
  <c r="K44" i="32" s="1"/>
  <c r="J42" i="155"/>
  <c r="I43" i="155"/>
  <c r="C22" i="160"/>
  <c r="E23" i="160"/>
  <c r="J23" i="160"/>
  <c r="K23" i="160" s="1"/>
  <c r="C26" i="174"/>
  <c r="HY26" i="2" s="1"/>
  <c r="E27" i="174"/>
  <c r="J27" i="174"/>
  <c r="K27" i="174" s="1"/>
  <c r="J45" i="82"/>
  <c r="I46" i="82"/>
  <c r="J46" i="61"/>
  <c r="K45" i="61" s="1"/>
  <c r="I47" i="61"/>
  <c r="C24" i="16"/>
  <c r="E25" i="16"/>
  <c r="J25" i="16"/>
  <c r="K25" i="16" s="1"/>
  <c r="BQ28" i="1"/>
  <c r="K45" i="7"/>
  <c r="N27" i="2"/>
  <c r="J42" i="97"/>
  <c r="I43" i="97"/>
  <c r="K40" i="105"/>
  <c r="E24" i="173"/>
  <c r="C23" i="173"/>
  <c r="J24" i="173"/>
  <c r="K24" i="173" s="1"/>
  <c r="E24" i="86"/>
  <c r="C23" i="86"/>
  <c r="J24" i="86"/>
  <c r="K24" i="86" s="1"/>
  <c r="I42" i="69"/>
  <c r="J41" i="69"/>
  <c r="E24" i="149"/>
  <c r="C23" i="149"/>
  <c r="J24" i="149"/>
  <c r="K24" i="149" s="1"/>
  <c r="EO27" i="2"/>
  <c r="C25" i="114"/>
  <c r="E26" i="114"/>
  <c r="J26" i="114"/>
  <c r="K26" i="114" s="1"/>
  <c r="I43" i="76"/>
  <c r="J42" i="76"/>
  <c r="K44" i="82"/>
  <c r="K43" i="82"/>
  <c r="C26" i="58"/>
  <c r="CA26" i="2" s="1"/>
  <c r="E27" i="58"/>
  <c r="J27" i="58"/>
  <c r="K27" i="58" s="1"/>
  <c r="C22" i="131"/>
  <c r="E23" i="131"/>
  <c r="J23" i="131"/>
  <c r="K23" i="131" s="1"/>
  <c r="E26" i="71"/>
  <c r="C25" i="71"/>
  <c r="J26" i="71"/>
  <c r="K26" i="71" s="1"/>
  <c r="E27" i="8"/>
  <c r="C26" i="8"/>
  <c r="HC27" i="2"/>
  <c r="BP27" i="1"/>
  <c r="J27" i="8"/>
  <c r="K27" i="8" s="1"/>
  <c r="I47" i="7"/>
  <c r="J46" i="7"/>
  <c r="E25" i="99"/>
  <c r="C24" i="99"/>
  <c r="J25" i="99"/>
  <c r="K25" i="99" s="1"/>
  <c r="C26" i="53"/>
  <c r="E27" i="53"/>
  <c r="J27" i="53"/>
  <c r="K27" i="53" s="1"/>
  <c r="K42" i="115"/>
  <c r="I42" i="147"/>
  <c r="J41" i="147"/>
  <c r="C25" i="63"/>
  <c r="E26" i="63"/>
  <c r="J26" i="63"/>
  <c r="K26" i="63" s="1"/>
  <c r="K41" i="86"/>
  <c r="K41" i="68"/>
  <c r="K40" i="69"/>
  <c r="E25" i="19"/>
  <c r="C24" i="19"/>
  <c r="J25" i="19"/>
  <c r="K25" i="19" s="1"/>
  <c r="K40" i="54"/>
  <c r="I42" i="146"/>
  <c r="J41" i="146"/>
  <c r="I45" i="172"/>
  <c r="J44" i="172"/>
  <c r="K40" i="174"/>
  <c r="AU28" i="2"/>
  <c r="K40" i="162"/>
  <c r="K42" i="159"/>
  <c r="K40" i="116"/>
  <c r="I46" i="42"/>
  <c r="J45" i="42"/>
  <c r="I43" i="121"/>
  <c r="J42" i="121"/>
  <c r="J41" i="55"/>
  <c r="I42" i="55"/>
  <c r="K39" i="148"/>
  <c r="K40" i="80"/>
  <c r="C26" i="92"/>
  <c r="HN26" i="2" s="1"/>
  <c r="E27" i="92"/>
  <c r="J27" i="92"/>
  <c r="K27" i="92" s="1"/>
  <c r="C26" i="155"/>
  <c r="CL26" i="2" s="1"/>
  <c r="E27" i="155"/>
  <c r="J27" i="155"/>
  <c r="K27" i="155" s="1"/>
  <c r="K41" i="10"/>
  <c r="K40" i="57"/>
  <c r="E27" i="100"/>
  <c r="C26" i="100"/>
  <c r="J27" i="100"/>
  <c r="K27" i="100" s="1"/>
  <c r="E26" i="97"/>
  <c r="C25" i="97"/>
  <c r="J26" i="97"/>
  <c r="K26" i="97" s="1"/>
  <c r="K43" i="172"/>
  <c r="I42" i="174"/>
  <c r="J41" i="174"/>
  <c r="E26" i="41"/>
  <c r="C25" i="41"/>
  <c r="J26" i="41"/>
  <c r="K26" i="41" s="1"/>
  <c r="K40" i="112"/>
  <c r="J43" i="159"/>
  <c r="I44" i="159"/>
  <c r="K44" i="42"/>
  <c r="C24" i="75"/>
  <c r="E25" i="75"/>
  <c r="J25" i="75"/>
  <c r="K25" i="75" s="1"/>
  <c r="E24" i="163"/>
  <c r="C23" i="163"/>
  <c r="J24" i="163"/>
  <c r="K24" i="163" s="1"/>
  <c r="E26" i="10"/>
  <c r="C25" i="10"/>
  <c r="J26" i="10"/>
  <c r="K26" i="10" s="1"/>
  <c r="K41" i="129"/>
  <c r="Y28" i="1"/>
  <c r="N28" i="1"/>
  <c r="E26" i="21"/>
  <c r="C25" i="21"/>
  <c r="J26" i="21"/>
  <c r="K26" i="21" s="1"/>
  <c r="E26" i="38"/>
  <c r="C25" i="38"/>
  <c r="J26" i="38"/>
  <c r="K26" i="38" s="1"/>
  <c r="I45" i="156"/>
  <c r="J44" i="156"/>
  <c r="K41" i="139"/>
  <c r="K44" i="12"/>
  <c r="I45" i="122"/>
  <c r="J44" i="122"/>
  <c r="E27" i="28"/>
  <c r="C26" i="28"/>
  <c r="J27" i="28"/>
  <c r="K27" i="28" s="1"/>
  <c r="I44" i="92"/>
  <c r="J43" i="92"/>
  <c r="K40" i="88"/>
  <c r="K39" i="100"/>
  <c r="FK27" i="2"/>
  <c r="J43" i="167"/>
  <c r="K42" i="167" s="1"/>
  <c r="I44" i="167"/>
  <c r="K43" i="122"/>
  <c r="C26" i="50"/>
  <c r="E27" i="50"/>
  <c r="AT27" i="2"/>
  <c r="J27" i="50"/>
  <c r="K27" i="50" s="1"/>
  <c r="K40" i="155"/>
  <c r="I42" i="112"/>
  <c r="J41" i="112"/>
  <c r="E22" i="146"/>
  <c r="C21" i="146"/>
  <c r="J22" i="146"/>
  <c r="K22" i="146" s="1"/>
  <c r="K42" i="92"/>
  <c r="K41" i="92"/>
  <c r="E24" i="51"/>
  <c r="C23" i="51"/>
  <c r="J24" i="51"/>
  <c r="K24" i="51" s="1"/>
  <c r="K39" i="95"/>
  <c r="E25" i="22"/>
  <c r="C24" i="22"/>
  <c r="J25" i="22"/>
  <c r="K25" i="22" s="1"/>
  <c r="C21" i="138"/>
  <c r="E22" i="138"/>
  <c r="J22" i="138"/>
  <c r="K22" i="138" s="1"/>
  <c r="I43" i="106"/>
  <c r="J42" i="106"/>
  <c r="K41" i="106" s="1"/>
  <c r="GR27" i="2"/>
  <c r="I43" i="138"/>
  <c r="J42" i="138"/>
  <c r="K41" i="138" s="1"/>
  <c r="J41" i="90"/>
  <c r="K40" i="90" s="1"/>
  <c r="I42" i="90"/>
  <c r="E25" i="4"/>
  <c r="C24" i="4"/>
  <c r="J25" i="4"/>
  <c r="K25" i="4" s="1"/>
  <c r="J43" i="60"/>
  <c r="I44" i="60"/>
  <c r="E26" i="48"/>
  <c r="C25" i="48"/>
  <c r="J26" i="48"/>
  <c r="K26" i="48" s="1"/>
  <c r="K41" i="115"/>
  <c r="K43" i="14"/>
  <c r="J42" i="108"/>
  <c r="I43" i="108"/>
  <c r="I42" i="166"/>
  <c r="J41" i="166"/>
  <c r="C26" i="107"/>
  <c r="E27" i="107"/>
  <c r="J27" i="107"/>
  <c r="K27" i="107" s="1"/>
  <c r="E27" i="136"/>
  <c r="C26" i="136"/>
  <c r="J27" i="136"/>
  <c r="K27" i="136" s="1"/>
  <c r="HZ28" i="2"/>
  <c r="J43" i="23"/>
  <c r="I44" i="23"/>
  <c r="K42" i="113"/>
  <c r="C25" i="88"/>
  <c r="E26" i="88"/>
  <c r="FK26" i="2"/>
  <c r="J26" i="88"/>
  <c r="K26" i="88" s="1"/>
  <c r="E26" i="119"/>
  <c r="C25" i="119"/>
  <c r="J26" i="119"/>
  <c r="K26" i="119" s="1"/>
  <c r="I43" i="53"/>
  <c r="J42" i="53"/>
  <c r="K41" i="25"/>
  <c r="I45" i="98"/>
  <c r="J44" i="98"/>
  <c r="K42" i="48"/>
  <c r="I47" i="74"/>
  <c r="J46" i="74"/>
  <c r="K41" i="37"/>
  <c r="E26" i="79"/>
  <c r="C25" i="79"/>
  <c r="J26" i="79"/>
  <c r="K26" i="79" s="1"/>
  <c r="K39" i="143"/>
  <c r="K42" i="29"/>
  <c r="CW26" i="2"/>
  <c r="K42" i="118"/>
  <c r="I43" i="67"/>
  <c r="J42" i="67"/>
  <c r="K39" i="36"/>
  <c r="I42" i="120"/>
  <c r="J41" i="120"/>
  <c r="E27" i="29"/>
  <c r="C26" i="29"/>
  <c r="J27" i="29"/>
  <c r="K27" i="29" s="1"/>
  <c r="X27" i="1"/>
  <c r="AI27" i="1"/>
  <c r="CB26" i="2" l="1"/>
  <c r="HZ26" i="2"/>
  <c r="CM26" i="2"/>
  <c r="HO26" i="2"/>
  <c r="J42" i="174"/>
  <c r="I43" i="174"/>
  <c r="E26" i="53"/>
  <c r="C25" i="53"/>
  <c r="J26" i="53"/>
  <c r="K26" i="53" s="1"/>
  <c r="J43" i="155"/>
  <c r="K42" i="155" s="1"/>
  <c r="I44" i="155"/>
  <c r="K42" i="169"/>
  <c r="J44" i="165"/>
  <c r="I45" i="165"/>
  <c r="K43" i="18"/>
  <c r="E23" i="47"/>
  <c r="C22" i="47"/>
  <c r="J23" i="47"/>
  <c r="K23" i="47" s="1"/>
  <c r="C24" i="108"/>
  <c r="E25" i="108"/>
  <c r="J25" i="108"/>
  <c r="K25" i="108" s="1"/>
  <c r="E23" i="127"/>
  <c r="C22" i="127"/>
  <c r="J23" i="127"/>
  <c r="K23" i="127" s="1"/>
  <c r="K41" i="38"/>
  <c r="J43" i="50"/>
  <c r="I44" i="50"/>
  <c r="C22" i="69"/>
  <c r="E23" i="69"/>
  <c r="J23" i="69"/>
  <c r="K23" i="69" s="1"/>
  <c r="I44" i="169"/>
  <c r="J43" i="169"/>
  <c r="I47" i="94"/>
  <c r="J46" i="94"/>
  <c r="I45" i="63"/>
  <c r="J44" i="63"/>
  <c r="K43" i="63" s="1"/>
  <c r="E23" i="72"/>
  <c r="C22" i="72"/>
  <c r="J23" i="72"/>
  <c r="K23" i="72" s="1"/>
  <c r="J44" i="93"/>
  <c r="I45" i="93"/>
  <c r="I45" i="18"/>
  <c r="J44" i="18"/>
  <c r="K41" i="140"/>
  <c r="I48" i="75"/>
  <c r="J47" i="75"/>
  <c r="K41" i="65"/>
  <c r="C21" i="59"/>
  <c r="E22" i="59"/>
  <c r="J22" i="59"/>
  <c r="K22" i="59" s="1"/>
  <c r="J42" i="38"/>
  <c r="I43" i="38"/>
  <c r="K41" i="120"/>
  <c r="K43" i="92"/>
  <c r="K41" i="121"/>
  <c r="I48" i="15"/>
  <c r="J47" i="15"/>
  <c r="E23" i="171"/>
  <c r="C22" i="171"/>
  <c r="J23" i="171"/>
  <c r="K23" i="171" s="1"/>
  <c r="K45" i="94"/>
  <c r="J45" i="29"/>
  <c r="K44" i="29" s="1"/>
  <c r="I46" i="29"/>
  <c r="K43" i="93"/>
  <c r="I45" i="157"/>
  <c r="J44" i="157"/>
  <c r="I43" i="140"/>
  <c r="J42" i="140"/>
  <c r="J42" i="81"/>
  <c r="I43" i="81"/>
  <c r="J42" i="65"/>
  <c r="I43" i="65"/>
  <c r="J43" i="103"/>
  <c r="I44" i="103"/>
  <c r="I47" i="79"/>
  <c r="J46" i="79"/>
  <c r="E25" i="48"/>
  <c r="C24" i="48"/>
  <c r="J25" i="48"/>
  <c r="K25" i="48" s="1"/>
  <c r="I43" i="120"/>
  <c r="J42" i="120"/>
  <c r="I45" i="92"/>
  <c r="J44" i="92"/>
  <c r="E21" i="138"/>
  <c r="C20" i="138"/>
  <c r="J21" i="138"/>
  <c r="K21" i="138" s="1"/>
  <c r="E26" i="28"/>
  <c r="C25" i="28"/>
  <c r="J26" i="28"/>
  <c r="K26" i="28" s="1"/>
  <c r="C22" i="86"/>
  <c r="E23" i="86"/>
  <c r="J23" i="86"/>
  <c r="K23" i="86" s="1"/>
  <c r="I47" i="32"/>
  <c r="J46" i="32"/>
  <c r="I43" i="64"/>
  <c r="J42" i="64"/>
  <c r="K46" i="15"/>
  <c r="E26" i="6"/>
  <c r="C25" i="6"/>
  <c r="CA26" i="1"/>
  <c r="IU26" i="2"/>
  <c r="C24" i="122"/>
  <c r="E25" i="122"/>
  <c r="J25" i="122"/>
  <c r="K25" i="122" s="1"/>
  <c r="K43" i="157"/>
  <c r="I44" i="88"/>
  <c r="J43" i="88"/>
  <c r="K41" i="81"/>
  <c r="C24" i="151"/>
  <c r="E25" i="151"/>
  <c r="J25" i="151"/>
  <c r="K25" i="151" s="1"/>
  <c r="E24" i="60"/>
  <c r="C23" i="60"/>
  <c r="J24" i="60"/>
  <c r="K24" i="60" s="1"/>
  <c r="I44" i="39"/>
  <c r="J43" i="39"/>
  <c r="E25" i="78"/>
  <c r="C24" i="78"/>
  <c r="J25" i="78"/>
  <c r="K25" i="78" s="1"/>
  <c r="E24" i="75"/>
  <c r="C23" i="75"/>
  <c r="J24" i="75"/>
  <c r="K24" i="75" s="1"/>
  <c r="I43" i="69"/>
  <c r="J42" i="69"/>
  <c r="E24" i="64"/>
  <c r="C23" i="64"/>
  <c r="J24" i="64"/>
  <c r="K24" i="64" s="1"/>
  <c r="C20" i="166"/>
  <c r="E21" i="166"/>
  <c r="J21" i="166"/>
  <c r="K21" i="166" s="1"/>
  <c r="E26" i="136"/>
  <c r="C25" i="136"/>
  <c r="J26" i="136"/>
  <c r="K26" i="136" s="1"/>
  <c r="I44" i="121"/>
  <c r="J43" i="121"/>
  <c r="C23" i="99"/>
  <c r="E24" i="99"/>
  <c r="J24" i="99"/>
  <c r="K24" i="99" s="1"/>
  <c r="K41" i="67"/>
  <c r="I44" i="67"/>
  <c r="J43" i="67"/>
  <c r="I45" i="159"/>
  <c r="J44" i="159"/>
  <c r="K43" i="159" s="1"/>
  <c r="I47" i="42"/>
  <c r="J46" i="42"/>
  <c r="K45" i="42" s="1"/>
  <c r="K40" i="64"/>
  <c r="C20" i="156"/>
  <c r="E21" i="156"/>
  <c r="J21" i="156"/>
  <c r="K21" i="156" s="1"/>
  <c r="E24" i="139"/>
  <c r="C23" i="139"/>
  <c r="J24" i="139"/>
  <c r="K24" i="139" s="1"/>
  <c r="CB27" i="1"/>
  <c r="E23" i="168"/>
  <c r="C22" i="168"/>
  <c r="J23" i="168"/>
  <c r="K23" i="168" s="1"/>
  <c r="J46" i="22"/>
  <c r="I47" i="22"/>
  <c r="DI26" i="2"/>
  <c r="E25" i="36"/>
  <c r="C24" i="36"/>
  <c r="J25" i="36"/>
  <c r="K25" i="36" s="1"/>
  <c r="C23" i="94"/>
  <c r="E24" i="94"/>
  <c r="J24" i="94"/>
  <c r="K24" i="94" s="1"/>
  <c r="I46" i="48"/>
  <c r="J45" i="48"/>
  <c r="J44" i="66"/>
  <c r="I45" i="66"/>
  <c r="C22" i="39"/>
  <c r="E23" i="39"/>
  <c r="J23" i="39"/>
  <c r="K23" i="39" s="1"/>
  <c r="K42" i="39"/>
  <c r="C18" i="82"/>
  <c r="E19" i="82"/>
  <c r="J19" i="82"/>
  <c r="K19" i="82" s="1"/>
  <c r="E24" i="22"/>
  <c r="C23" i="22"/>
  <c r="J24" i="22"/>
  <c r="K24" i="22" s="1"/>
  <c r="K44" i="122"/>
  <c r="I48" i="7"/>
  <c r="J47" i="7"/>
  <c r="AU27" i="1"/>
  <c r="K43" i="72"/>
  <c r="K45" i="22"/>
  <c r="E26" i="27"/>
  <c r="C25" i="27"/>
  <c r="J26" i="27"/>
  <c r="K26" i="27" s="1"/>
  <c r="K44" i="152"/>
  <c r="K42" i="52"/>
  <c r="K43" i="139"/>
  <c r="K41" i="141"/>
  <c r="C22" i="73"/>
  <c r="E23" i="73"/>
  <c r="J23" i="73"/>
  <c r="K23" i="73" s="1"/>
  <c r="I45" i="72"/>
  <c r="J44" i="72"/>
  <c r="I43" i="43"/>
  <c r="J42" i="43"/>
  <c r="K41" i="43" s="1"/>
  <c r="J45" i="152"/>
  <c r="I46" i="152"/>
  <c r="E24" i="68"/>
  <c r="C23" i="68"/>
  <c r="J24" i="68"/>
  <c r="K24" i="68" s="1"/>
  <c r="J43" i="52"/>
  <c r="I44" i="52"/>
  <c r="C24" i="76"/>
  <c r="E25" i="76"/>
  <c r="J25" i="76"/>
  <c r="K25" i="76" s="1"/>
  <c r="J44" i="139"/>
  <c r="I45" i="139"/>
  <c r="I43" i="141"/>
  <c r="J42" i="141"/>
  <c r="J42" i="109"/>
  <c r="I43" i="109"/>
  <c r="I46" i="117"/>
  <c r="J45" i="117"/>
  <c r="K41" i="130"/>
  <c r="E26" i="7"/>
  <c r="C25" i="7"/>
  <c r="AT26" i="1"/>
  <c r="J26" i="7"/>
  <c r="K26" i="7" s="1"/>
  <c r="E24" i="17"/>
  <c r="C23" i="17"/>
  <c r="J24" i="17"/>
  <c r="K24" i="17" s="1"/>
  <c r="BQ27" i="1"/>
  <c r="C22" i="173"/>
  <c r="E23" i="173"/>
  <c r="J23" i="173"/>
  <c r="K23" i="173" s="1"/>
  <c r="I45" i="28"/>
  <c r="J44" i="28"/>
  <c r="C23" i="104"/>
  <c r="E24" i="104"/>
  <c r="J24" i="104"/>
  <c r="K24" i="104" s="1"/>
  <c r="K41" i="160"/>
  <c r="E24" i="126"/>
  <c r="C23" i="126"/>
  <c r="J24" i="126"/>
  <c r="K24" i="126" s="1"/>
  <c r="K43" i="29"/>
  <c r="E25" i="133"/>
  <c r="C24" i="133"/>
  <c r="J25" i="133"/>
  <c r="K25" i="133" s="1"/>
  <c r="DH25" i="2"/>
  <c r="E22" i="102"/>
  <c r="C21" i="102"/>
  <c r="J22" i="102"/>
  <c r="K22" i="102" s="1"/>
  <c r="K41" i="169"/>
  <c r="D65" i="1"/>
  <c r="O65" i="1"/>
  <c r="AK65" i="1"/>
  <c r="Z65" i="1"/>
  <c r="CC65" i="1"/>
  <c r="BR65" i="1"/>
  <c r="AV65" i="1"/>
  <c r="I45" i="37"/>
  <c r="J44" i="37"/>
  <c r="K43" i="37" s="1"/>
  <c r="E25" i="125"/>
  <c r="C24" i="125"/>
  <c r="J25" i="125"/>
  <c r="K25" i="125" s="1"/>
  <c r="I43" i="130"/>
  <c r="J42" i="130"/>
  <c r="CX26" i="2"/>
  <c r="C25" i="107"/>
  <c r="E26" i="107"/>
  <c r="J26" i="107"/>
  <c r="K26" i="107" s="1"/>
  <c r="I46" i="122"/>
  <c r="J45" i="122"/>
  <c r="C23" i="135"/>
  <c r="E24" i="135"/>
  <c r="J24" i="135"/>
  <c r="K24" i="135" s="1"/>
  <c r="J42" i="166"/>
  <c r="I43" i="166"/>
  <c r="BE26" i="2"/>
  <c r="HD27" i="2"/>
  <c r="I44" i="87"/>
  <c r="J43" i="87"/>
  <c r="K43" i="28"/>
  <c r="K43" i="101"/>
  <c r="K41" i="21"/>
  <c r="I43" i="160"/>
  <c r="J42" i="160"/>
  <c r="C24" i="117"/>
  <c r="E25" i="117"/>
  <c r="J25" i="117"/>
  <c r="K25" i="117" s="1"/>
  <c r="IK26" i="2"/>
  <c r="E26" i="14"/>
  <c r="C25" i="14"/>
  <c r="J26" i="14"/>
  <c r="K26" i="14" s="1"/>
  <c r="E25" i="13"/>
  <c r="C24" i="13"/>
  <c r="J25" i="13"/>
  <c r="K25" i="13" s="1"/>
  <c r="IU25" i="2"/>
  <c r="E23" i="124"/>
  <c r="C22" i="124"/>
  <c r="J23" i="124"/>
  <c r="K23" i="124" s="1"/>
  <c r="I44" i="19"/>
  <c r="J43" i="19"/>
  <c r="K42" i="19" s="1"/>
  <c r="DU65" i="2"/>
  <c r="D65" i="2"/>
  <c r="DJ65" i="2"/>
  <c r="CY65" i="2"/>
  <c r="FB65" i="2"/>
  <c r="CN65" i="2"/>
  <c r="AK65" i="2"/>
  <c r="Z65" i="2"/>
  <c r="EQ65" i="2"/>
  <c r="GT65" i="2"/>
  <c r="O65" i="2"/>
  <c r="CC65" i="2"/>
  <c r="FM65" i="2"/>
  <c r="FX65" i="2"/>
  <c r="BR65" i="2"/>
  <c r="IL65" i="2"/>
  <c r="HE65" i="2"/>
  <c r="IW65" i="2"/>
  <c r="BG65" i="2"/>
  <c r="HP65" i="2"/>
  <c r="EF65" i="2"/>
  <c r="IA65" i="2"/>
  <c r="AV65" i="2"/>
  <c r="K43" i="124"/>
  <c r="I46" i="101"/>
  <c r="J45" i="101"/>
  <c r="K44" i="101" s="1"/>
  <c r="K46" i="12"/>
  <c r="J43" i="21"/>
  <c r="I44" i="21"/>
  <c r="I43" i="36"/>
  <c r="J42" i="36"/>
  <c r="E26" i="56"/>
  <c r="C25" i="56"/>
  <c r="J26" i="56"/>
  <c r="K26" i="56" s="1"/>
  <c r="E23" i="26"/>
  <c r="C22" i="26"/>
  <c r="J23" i="26"/>
  <c r="K23" i="26" s="1"/>
  <c r="E24" i="57"/>
  <c r="C23" i="57"/>
  <c r="J24" i="57"/>
  <c r="K24" i="57" s="1"/>
  <c r="C24" i="77"/>
  <c r="E25" i="77"/>
  <c r="J25" i="77"/>
  <c r="K25" i="77" s="1"/>
  <c r="K40" i="65"/>
  <c r="E26" i="46"/>
  <c r="C25" i="46"/>
  <c r="J26" i="46"/>
  <c r="K26" i="46" s="1"/>
  <c r="AI26" i="1"/>
  <c r="BG65" i="1"/>
  <c r="BF65" i="1"/>
  <c r="I44" i="85"/>
  <c r="J43" i="85"/>
  <c r="J44" i="124"/>
  <c r="I45" i="124"/>
  <c r="K43" i="118"/>
  <c r="I47" i="59"/>
  <c r="J46" i="59"/>
  <c r="I44" i="97"/>
  <c r="J43" i="97"/>
  <c r="J47" i="12"/>
  <c r="I48" i="12"/>
  <c r="K41" i="36"/>
  <c r="CM27" i="2"/>
  <c r="C24" i="154"/>
  <c r="E25" i="154"/>
  <c r="J25" i="154"/>
  <c r="K25" i="154" s="1"/>
  <c r="IJ25" i="2"/>
  <c r="K41" i="171"/>
  <c r="C18" i="98"/>
  <c r="E19" i="98"/>
  <c r="J19" i="98"/>
  <c r="K19" i="98" s="1"/>
  <c r="E26" i="93"/>
  <c r="C25" i="93"/>
  <c r="J26" i="93"/>
  <c r="K26" i="93" s="1"/>
  <c r="J42" i="8"/>
  <c r="I43" i="8"/>
  <c r="E24" i="54"/>
  <c r="C23" i="54"/>
  <c r="J24" i="54"/>
  <c r="K24" i="54" s="1"/>
  <c r="E25" i="169"/>
  <c r="C24" i="169"/>
  <c r="J25" i="169"/>
  <c r="K25" i="169" s="1"/>
  <c r="C24" i="20"/>
  <c r="E25" i="20"/>
  <c r="J25" i="20"/>
  <c r="K25" i="20" s="1"/>
  <c r="GH65" i="2"/>
  <c r="GI65" i="2"/>
  <c r="K42" i="85"/>
  <c r="J44" i="118"/>
  <c r="I45" i="118"/>
  <c r="C25" i="8"/>
  <c r="E26" i="8"/>
  <c r="HC26" i="2"/>
  <c r="BP26" i="1"/>
  <c r="J26" i="8"/>
  <c r="K26" i="8" s="1"/>
  <c r="E25" i="79"/>
  <c r="C24" i="79"/>
  <c r="J25" i="79"/>
  <c r="K25" i="79" s="1"/>
  <c r="K44" i="156"/>
  <c r="I46" i="156"/>
  <c r="J45" i="156"/>
  <c r="K41" i="174"/>
  <c r="E25" i="23"/>
  <c r="C24" i="23"/>
  <c r="J25" i="23"/>
  <c r="K25" i="23" s="1"/>
  <c r="N27" i="1"/>
  <c r="E22" i="45"/>
  <c r="C21" i="45"/>
  <c r="J22" i="45"/>
  <c r="K22" i="45" s="1"/>
  <c r="K44" i="94"/>
  <c r="K43" i="30"/>
  <c r="K44" i="136"/>
  <c r="I43" i="171"/>
  <c r="J42" i="171"/>
  <c r="K42" i="54"/>
  <c r="K41" i="8"/>
  <c r="C25" i="90"/>
  <c r="E26" i="90"/>
  <c r="J26" i="90"/>
  <c r="K26" i="90" s="1"/>
  <c r="C23" i="66"/>
  <c r="E24" i="66"/>
  <c r="J24" i="66"/>
  <c r="K24" i="66" s="1"/>
  <c r="Y27" i="2"/>
  <c r="J44" i="149"/>
  <c r="I45" i="149"/>
  <c r="E22" i="105"/>
  <c r="C21" i="105"/>
  <c r="J22" i="105"/>
  <c r="K22" i="105" s="1"/>
  <c r="K43" i="173"/>
  <c r="I45" i="30"/>
  <c r="J44" i="30"/>
  <c r="I46" i="136"/>
  <c r="J45" i="136"/>
  <c r="J43" i="54"/>
  <c r="I44" i="54"/>
  <c r="K44" i="62"/>
  <c r="C23" i="113"/>
  <c r="E24" i="113"/>
  <c r="J24" i="113"/>
  <c r="K24" i="113" s="1"/>
  <c r="DT25" i="2"/>
  <c r="K42" i="66"/>
  <c r="E64" i="24"/>
  <c r="C63" i="24"/>
  <c r="GG64" i="2"/>
  <c r="BE64" i="1"/>
  <c r="C64" i="2"/>
  <c r="C64" i="1"/>
  <c r="K41" i="39"/>
  <c r="K43" i="149"/>
  <c r="J44" i="173"/>
  <c r="I45" i="173"/>
  <c r="E23" i="37"/>
  <c r="C22" i="37"/>
  <c r="J23" i="37"/>
  <c r="K23" i="37" s="1"/>
  <c r="K43" i="99"/>
  <c r="I46" i="62"/>
  <c r="J45" i="62"/>
  <c r="I46" i="128"/>
  <c r="J45" i="128"/>
  <c r="CW25" i="2"/>
  <c r="C25" i="49"/>
  <c r="E26" i="49"/>
  <c r="J26" i="49"/>
  <c r="K26" i="49" s="1"/>
  <c r="FA26" i="2"/>
  <c r="E25" i="15"/>
  <c r="C24" i="15"/>
  <c r="J25" i="15"/>
  <c r="K25" i="15" s="1"/>
  <c r="I46" i="107"/>
  <c r="J45" i="107"/>
  <c r="K44" i="107" s="1"/>
  <c r="J44" i="99"/>
  <c r="I45" i="99"/>
  <c r="E23" i="62"/>
  <c r="C22" i="62"/>
  <c r="J23" i="62"/>
  <c r="K23" i="62" s="1"/>
  <c r="E21" i="32"/>
  <c r="C20" i="32"/>
  <c r="J21" i="32"/>
  <c r="K21" i="32" s="1"/>
  <c r="E22" i="111"/>
  <c r="C21" i="111"/>
  <c r="J22" i="111"/>
  <c r="K22" i="111" s="1"/>
  <c r="K44" i="164"/>
  <c r="K41" i="85"/>
  <c r="C23" i="112"/>
  <c r="E24" i="112"/>
  <c r="J24" i="112"/>
  <c r="K24" i="112" s="1"/>
  <c r="E23" i="159"/>
  <c r="C22" i="159"/>
  <c r="J23" i="159"/>
  <c r="K23" i="159" s="1"/>
  <c r="J43" i="20"/>
  <c r="K42" i="20" s="1"/>
  <c r="I44" i="20"/>
  <c r="E24" i="130"/>
  <c r="C23" i="130"/>
  <c r="J24" i="130"/>
  <c r="K24" i="130" s="1"/>
  <c r="K40" i="36"/>
  <c r="I44" i="104"/>
  <c r="J43" i="104"/>
  <c r="C24" i="134"/>
  <c r="E25" i="134"/>
  <c r="EZ25" i="2"/>
  <c r="J25" i="134"/>
  <c r="K25" i="134" s="1"/>
  <c r="I46" i="26"/>
  <c r="J45" i="26"/>
  <c r="K44" i="26" s="1"/>
  <c r="C24" i="101"/>
  <c r="E25" i="101"/>
  <c r="J25" i="101"/>
  <c r="K25" i="101" s="1"/>
  <c r="J43" i="168"/>
  <c r="K42" i="168" s="1"/>
  <c r="I44" i="168"/>
  <c r="E23" i="85"/>
  <c r="C22" i="85"/>
  <c r="J23" i="85"/>
  <c r="K23" i="85" s="1"/>
  <c r="I44" i="31"/>
  <c r="J43" i="31"/>
  <c r="J45" i="127"/>
  <c r="I46" i="127"/>
  <c r="E24" i="129"/>
  <c r="C23" i="129"/>
  <c r="J24" i="129"/>
  <c r="K24" i="129" s="1"/>
  <c r="DS24" i="2"/>
  <c r="J45" i="164"/>
  <c r="I46" i="164"/>
  <c r="C24" i="96"/>
  <c r="E25" i="96"/>
  <c r="J25" i="96"/>
  <c r="K25" i="96" s="1"/>
  <c r="E24" i="144"/>
  <c r="C23" i="144"/>
  <c r="J24" i="144"/>
  <c r="K24" i="144" s="1"/>
  <c r="C24" i="145"/>
  <c r="CW24" i="2" s="1"/>
  <c r="E25" i="145"/>
  <c r="J25" i="145"/>
  <c r="K25" i="145" s="1"/>
  <c r="K42" i="73"/>
  <c r="N26" i="2"/>
  <c r="C23" i="11"/>
  <c r="E24" i="11"/>
  <c r="J24" i="11"/>
  <c r="K24" i="11" s="1"/>
  <c r="I44" i="33"/>
  <c r="J43" i="33"/>
  <c r="K42" i="33" s="1"/>
  <c r="E24" i="137"/>
  <c r="C23" i="137"/>
  <c r="J24" i="137"/>
  <c r="K24" i="137" s="1"/>
  <c r="I44" i="114"/>
  <c r="J43" i="114"/>
  <c r="I46" i="172"/>
  <c r="J45" i="172"/>
  <c r="I46" i="98"/>
  <c r="J45" i="98"/>
  <c r="K44" i="98" s="1"/>
  <c r="C23" i="19"/>
  <c r="E24" i="19"/>
  <c r="J24" i="19"/>
  <c r="K24" i="19" s="1"/>
  <c r="C24" i="164"/>
  <c r="E25" i="164"/>
  <c r="J25" i="164"/>
  <c r="K25" i="164" s="1"/>
  <c r="C23" i="103"/>
  <c r="E24" i="103"/>
  <c r="J24" i="103"/>
  <c r="K24" i="103" s="1"/>
  <c r="C22" i="106"/>
  <c r="E23" i="106"/>
  <c r="J23" i="106"/>
  <c r="K23" i="106" s="1"/>
  <c r="K43" i="83"/>
  <c r="C23" i="150"/>
  <c r="E24" i="150"/>
  <c r="J24" i="150"/>
  <c r="K24" i="150" s="1"/>
  <c r="J43" i="73"/>
  <c r="I44" i="73"/>
  <c r="C22" i="120"/>
  <c r="E23" i="120"/>
  <c r="J23" i="120"/>
  <c r="K23" i="120" s="1"/>
  <c r="C25" i="158"/>
  <c r="E26" i="158"/>
  <c r="J26" i="158"/>
  <c r="K26" i="158" s="1"/>
  <c r="I44" i="170"/>
  <c r="J43" i="170"/>
  <c r="C25" i="152"/>
  <c r="E26" i="152"/>
  <c r="J26" i="152"/>
  <c r="K26" i="152" s="1"/>
  <c r="I43" i="112"/>
  <c r="J42" i="112"/>
  <c r="J42" i="58"/>
  <c r="I43" i="58"/>
  <c r="J44" i="83"/>
  <c r="I45" i="83"/>
  <c r="E25" i="33"/>
  <c r="C24" i="33"/>
  <c r="M25" i="2"/>
  <c r="J25" i="33"/>
  <c r="K25" i="33" s="1"/>
  <c r="E23" i="123"/>
  <c r="C22" i="123"/>
  <c r="J23" i="123"/>
  <c r="K23" i="123" s="1"/>
  <c r="K43" i="115"/>
  <c r="J61" i="150"/>
  <c r="K60" i="150" s="1"/>
  <c r="I62" i="150"/>
  <c r="K41" i="148"/>
  <c r="K43" i="25"/>
  <c r="K43" i="117"/>
  <c r="K43" i="98"/>
  <c r="C20" i="146"/>
  <c r="E21" i="146"/>
  <c r="J21" i="146"/>
  <c r="K21" i="146" s="1"/>
  <c r="K41" i="105"/>
  <c r="K41" i="108"/>
  <c r="E25" i="132"/>
  <c r="C24" i="132"/>
  <c r="J25" i="132"/>
  <c r="K25" i="132" s="1"/>
  <c r="K41" i="58"/>
  <c r="I45" i="115"/>
  <c r="J44" i="115"/>
  <c r="E26" i="121"/>
  <c r="C25" i="121"/>
  <c r="J26" i="121"/>
  <c r="K26" i="121" s="1"/>
  <c r="J45" i="13"/>
  <c r="K44" i="13" s="1"/>
  <c r="I46" i="13"/>
  <c r="C22" i="141"/>
  <c r="E23" i="141"/>
  <c r="J23" i="141"/>
  <c r="K23" i="141" s="1"/>
  <c r="I43" i="148"/>
  <c r="J42" i="148"/>
  <c r="I45" i="25"/>
  <c r="J44" i="25"/>
  <c r="J42" i="35"/>
  <c r="K41" i="35" s="1"/>
  <c r="I43" i="35"/>
  <c r="E26" i="172"/>
  <c r="C25" i="172"/>
  <c r="J26" i="172"/>
  <c r="K26" i="172" s="1"/>
  <c r="I44" i="53"/>
  <c r="J43" i="53"/>
  <c r="K42" i="53" s="1"/>
  <c r="K43" i="156"/>
  <c r="I48" i="61"/>
  <c r="J47" i="61"/>
  <c r="K43" i="68"/>
  <c r="K42" i="60"/>
  <c r="J42" i="96"/>
  <c r="I43" i="96"/>
  <c r="I44" i="151"/>
  <c r="J43" i="151"/>
  <c r="E26" i="143"/>
  <c r="C25" i="143"/>
  <c r="J26" i="143"/>
  <c r="K26" i="143" s="1"/>
  <c r="J42" i="40"/>
  <c r="I43" i="40"/>
  <c r="J46" i="27"/>
  <c r="K45" i="27" s="1"/>
  <c r="I47" i="27"/>
  <c r="J42" i="163"/>
  <c r="I43" i="163"/>
  <c r="E23" i="40"/>
  <c r="C22" i="40"/>
  <c r="J23" i="40"/>
  <c r="K23" i="40" s="1"/>
  <c r="C21" i="34"/>
  <c r="E22" i="34"/>
  <c r="J22" i="34"/>
  <c r="K22" i="34" s="1"/>
  <c r="C23" i="67"/>
  <c r="E24" i="67"/>
  <c r="J24" i="67"/>
  <c r="K24" i="67" s="1"/>
  <c r="K43" i="41"/>
  <c r="I44" i="116"/>
  <c r="J43" i="116"/>
  <c r="I44" i="119"/>
  <c r="J43" i="119"/>
  <c r="E26" i="100"/>
  <c r="C25" i="100"/>
  <c r="J26" i="100"/>
  <c r="K26" i="100" s="1"/>
  <c r="AU27" i="2"/>
  <c r="C24" i="147"/>
  <c r="E25" i="147"/>
  <c r="J25" i="147"/>
  <c r="K25" i="147" s="1"/>
  <c r="K42" i="68"/>
  <c r="K42" i="18"/>
  <c r="J45" i="77"/>
  <c r="I46" i="77"/>
  <c r="C21" i="165"/>
  <c r="E22" i="165"/>
  <c r="J22" i="165"/>
  <c r="K22" i="165" s="1"/>
  <c r="E24" i="25"/>
  <c r="C23" i="25"/>
  <c r="J24" i="25"/>
  <c r="K24" i="25" s="1"/>
  <c r="E25" i="89"/>
  <c r="C24" i="89"/>
  <c r="J25" i="89"/>
  <c r="K25" i="89" s="1"/>
  <c r="C25" i="170"/>
  <c r="E26" i="170"/>
  <c r="J26" i="170"/>
  <c r="K26" i="170" s="1"/>
  <c r="J44" i="41"/>
  <c r="I45" i="41"/>
  <c r="E23" i="51"/>
  <c r="C22" i="51"/>
  <c r="J23" i="51"/>
  <c r="K23" i="51" s="1"/>
  <c r="E25" i="41"/>
  <c r="C24" i="41"/>
  <c r="J25" i="41"/>
  <c r="K25" i="41" s="1"/>
  <c r="E25" i="71"/>
  <c r="C24" i="71"/>
  <c r="J25" i="71"/>
  <c r="K25" i="71" s="1"/>
  <c r="E25" i="38"/>
  <c r="C24" i="38"/>
  <c r="J25" i="38"/>
  <c r="K25" i="38" s="1"/>
  <c r="E22" i="131"/>
  <c r="C21" i="131"/>
  <c r="J22" i="131"/>
  <c r="K22" i="131" s="1"/>
  <c r="E26" i="58"/>
  <c r="C25" i="58"/>
  <c r="CA25" i="2" s="1"/>
  <c r="J26" i="58"/>
  <c r="K26" i="58" s="1"/>
  <c r="E24" i="16"/>
  <c r="C23" i="16"/>
  <c r="J24" i="16"/>
  <c r="K24" i="16" s="1"/>
  <c r="C23" i="4"/>
  <c r="E24" i="4"/>
  <c r="J24" i="4"/>
  <c r="K24" i="4" s="1"/>
  <c r="I45" i="68"/>
  <c r="J44" i="68"/>
  <c r="E25" i="119"/>
  <c r="C24" i="119"/>
  <c r="J25" i="119"/>
  <c r="K25" i="119" s="1"/>
  <c r="K41" i="95"/>
  <c r="K42" i="5"/>
  <c r="C23" i="65"/>
  <c r="E24" i="65"/>
  <c r="J24" i="65"/>
  <c r="K24" i="65" s="1"/>
  <c r="K40" i="8"/>
  <c r="I48" i="46"/>
  <c r="J47" i="46"/>
  <c r="I43" i="17"/>
  <c r="J42" i="17"/>
  <c r="E23" i="115"/>
  <c r="C22" i="115"/>
  <c r="J23" i="115"/>
  <c r="K23" i="115" s="1"/>
  <c r="J42" i="100"/>
  <c r="I43" i="100"/>
  <c r="E25" i="35"/>
  <c r="C24" i="35"/>
  <c r="J25" i="35"/>
  <c r="K25" i="35" s="1"/>
  <c r="K45" i="15"/>
  <c r="K41" i="146"/>
  <c r="J43" i="57"/>
  <c r="K42" i="57" s="1"/>
  <c r="I44" i="57"/>
  <c r="EO26" i="2"/>
  <c r="I47" i="82"/>
  <c r="J46" i="82"/>
  <c r="I43" i="47"/>
  <c r="J42" i="47"/>
  <c r="I44" i="86"/>
  <c r="J43" i="86"/>
  <c r="K42" i="149"/>
  <c r="K40" i="96"/>
  <c r="I43" i="90"/>
  <c r="J42" i="90"/>
  <c r="K41" i="90" s="1"/>
  <c r="C25" i="50"/>
  <c r="E26" i="50"/>
  <c r="AT26" i="2"/>
  <c r="J26" i="50"/>
  <c r="K26" i="50" s="1"/>
  <c r="I44" i="76"/>
  <c r="J43" i="76"/>
  <c r="K45" i="82"/>
  <c r="K41" i="110"/>
  <c r="K40" i="40"/>
  <c r="K41" i="20"/>
  <c r="K42" i="63"/>
  <c r="I43" i="95"/>
  <c r="J42" i="95"/>
  <c r="I44" i="5"/>
  <c r="J43" i="5"/>
  <c r="E25" i="31"/>
  <c r="C24" i="31"/>
  <c r="J25" i="31"/>
  <c r="K25" i="31" s="1"/>
  <c r="K44" i="27"/>
  <c r="AI26" i="2"/>
  <c r="J42" i="125"/>
  <c r="I43" i="125"/>
  <c r="K43" i="62"/>
  <c r="K46" i="46"/>
  <c r="K41" i="17"/>
  <c r="E24" i="167"/>
  <c r="C23" i="167"/>
  <c r="J24" i="167"/>
  <c r="K24" i="167" s="1"/>
  <c r="K42" i="76"/>
  <c r="I46" i="51"/>
  <c r="J45" i="51"/>
  <c r="K44" i="51" s="1"/>
  <c r="K41" i="53"/>
  <c r="K41" i="76"/>
  <c r="J43" i="144"/>
  <c r="I44" i="144"/>
  <c r="I43" i="110"/>
  <c r="J42" i="110"/>
  <c r="J46" i="14"/>
  <c r="I47" i="14"/>
  <c r="I48" i="134"/>
  <c r="J47" i="134"/>
  <c r="K42" i="173"/>
  <c r="E22" i="43"/>
  <c r="C21" i="43"/>
  <c r="J22" i="43"/>
  <c r="K22" i="43" s="1"/>
  <c r="I48" i="145"/>
  <c r="J47" i="145"/>
  <c r="J43" i="154"/>
  <c r="I44" i="154"/>
  <c r="C24" i="140"/>
  <c r="E25" i="140"/>
  <c r="AI25" i="2"/>
  <c r="J25" i="140"/>
  <c r="K25" i="140" s="1"/>
  <c r="K40" i="81"/>
  <c r="E24" i="18"/>
  <c r="C23" i="18"/>
  <c r="J24" i="18"/>
  <c r="K24" i="18" s="1"/>
  <c r="K42" i="123"/>
  <c r="C23" i="74"/>
  <c r="E24" i="74"/>
  <c r="J24" i="74"/>
  <c r="K24" i="74" s="1"/>
  <c r="I47" i="24"/>
  <c r="C23" i="9"/>
  <c r="E24" i="9"/>
  <c r="J24" i="9"/>
  <c r="K24" i="9" s="1"/>
  <c r="E24" i="81"/>
  <c r="C23" i="81"/>
  <c r="J24" i="81"/>
  <c r="K24" i="81" s="1"/>
  <c r="J44" i="60"/>
  <c r="I45" i="60"/>
  <c r="K45" i="74"/>
  <c r="C22" i="61"/>
  <c r="E23" i="61"/>
  <c r="J23" i="61"/>
  <c r="K23" i="61" s="1"/>
  <c r="K46" i="134"/>
  <c r="K42" i="126"/>
  <c r="C22" i="84"/>
  <c r="E23" i="84"/>
  <c r="J23" i="84"/>
  <c r="K23" i="84" s="1"/>
  <c r="K41" i="126"/>
  <c r="J43" i="123"/>
  <c r="I44" i="123"/>
  <c r="K42" i="153"/>
  <c r="I45" i="10"/>
  <c r="J44" i="10"/>
  <c r="K43" i="10" s="1"/>
  <c r="I45" i="44"/>
  <c r="J44" i="44"/>
  <c r="E24" i="118"/>
  <c r="C23" i="118"/>
  <c r="J24" i="118"/>
  <c r="K24" i="118" s="1"/>
  <c r="I45" i="113"/>
  <c r="J44" i="113"/>
  <c r="K43" i="113" s="1"/>
  <c r="I44" i="111"/>
  <c r="J43" i="111"/>
  <c r="K42" i="111" s="1"/>
  <c r="J42" i="102"/>
  <c r="I43" i="102"/>
  <c r="J43" i="138"/>
  <c r="I44" i="138"/>
  <c r="J44" i="167"/>
  <c r="I45" i="167"/>
  <c r="E25" i="63"/>
  <c r="C24" i="63"/>
  <c r="J25" i="63"/>
  <c r="K25" i="63" s="1"/>
  <c r="CL25" i="2"/>
  <c r="E25" i="114"/>
  <c r="C24" i="114"/>
  <c r="J25" i="114"/>
  <c r="K25" i="114" s="1"/>
  <c r="J45" i="142"/>
  <c r="I46" i="142"/>
  <c r="J42" i="91"/>
  <c r="I43" i="91"/>
  <c r="J43" i="56"/>
  <c r="I44" i="56"/>
  <c r="C23" i="5"/>
  <c r="E24" i="5"/>
  <c r="J24" i="5"/>
  <c r="K24" i="5" s="1"/>
  <c r="J43" i="126"/>
  <c r="I44" i="126"/>
  <c r="I44" i="131"/>
  <c r="J43" i="131"/>
  <c r="K42" i="131" s="1"/>
  <c r="K42" i="93"/>
  <c r="C24" i="44"/>
  <c r="E25" i="44"/>
  <c r="J25" i="44"/>
  <c r="K25" i="44" s="1"/>
  <c r="J43" i="49"/>
  <c r="I44" i="49"/>
  <c r="C20" i="87"/>
  <c r="E21" i="87"/>
  <c r="J21" i="87"/>
  <c r="K21" i="87" s="1"/>
  <c r="I44" i="153"/>
  <c r="J43" i="153"/>
  <c r="K43" i="129"/>
  <c r="K40" i="109"/>
  <c r="K43" i="44"/>
  <c r="K41" i="119"/>
  <c r="J42" i="105"/>
  <c r="I43" i="105"/>
  <c r="I43" i="146"/>
  <c r="J42" i="146"/>
  <c r="E25" i="21"/>
  <c r="C24" i="21"/>
  <c r="J25" i="21"/>
  <c r="K25" i="21" s="1"/>
  <c r="E25" i="88"/>
  <c r="C24" i="88"/>
  <c r="J25" i="88"/>
  <c r="K25" i="88" s="1"/>
  <c r="K42" i="80"/>
  <c r="I46" i="132"/>
  <c r="J45" i="132"/>
  <c r="J43" i="161"/>
  <c r="I44" i="161"/>
  <c r="C25" i="55"/>
  <c r="E26" i="55"/>
  <c r="J26" i="55"/>
  <c r="K26" i="55" s="1"/>
  <c r="K42" i="56"/>
  <c r="K41" i="104"/>
  <c r="K43" i="78"/>
  <c r="EE27" i="2"/>
  <c r="K42" i="49"/>
  <c r="E26" i="91"/>
  <c r="C25" i="91"/>
  <c r="J26" i="91"/>
  <c r="K26" i="91" s="1"/>
  <c r="I44" i="70"/>
  <c r="J43" i="70"/>
  <c r="K42" i="70" s="1"/>
  <c r="I45" i="129"/>
  <c r="J44" i="129"/>
  <c r="K41" i="4"/>
  <c r="K44" i="79"/>
  <c r="E24" i="128"/>
  <c r="C23" i="128"/>
  <c r="J24" i="128"/>
  <c r="K24" i="128" s="1"/>
  <c r="K42" i="138"/>
  <c r="K44" i="142"/>
  <c r="I44" i="162"/>
  <c r="J43" i="162"/>
  <c r="K42" i="162" s="1"/>
  <c r="K40" i="146"/>
  <c r="Y27" i="1"/>
  <c r="K40" i="120"/>
  <c r="FL27" i="2"/>
  <c r="E23" i="163"/>
  <c r="C22" i="163"/>
  <c r="J23" i="163"/>
  <c r="K23" i="163" s="1"/>
  <c r="C25" i="92"/>
  <c r="HN25" i="2" s="1"/>
  <c r="E26" i="92"/>
  <c r="J26" i="92"/>
  <c r="K26" i="92" s="1"/>
  <c r="J42" i="147"/>
  <c r="I43" i="147"/>
  <c r="EP27" i="2"/>
  <c r="J43" i="80"/>
  <c r="I44" i="80"/>
  <c r="K44" i="132"/>
  <c r="E24" i="148"/>
  <c r="C23" i="148"/>
  <c r="J24" i="148"/>
  <c r="K24" i="148" s="1"/>
  <c r="K41" i="5"/>
  <c r="K42" i="30"/>
  <c r="K41" i="73"/>
  <c r="E25" i="70"/>
  <c r="C24" i="70"/>
  <c r="J25" i="70"/>
  <c r="K25" i="70" s="1"/>
  <c r="I43" i="45"/>
  <c r="J42" i="45"/>
  <c r="K43" i="26"/>
  <c r="C23" i="116"/>
  <c r="E24" i="116"/>
  <c r="J24" i="116"/>
  <c r="K24" i="116" s="1"/>
  <c r="K41" i="153"/>
  <c r="K42" i="44"/>
  <c r="GR26" i="2"/>
  <c r="J43" i="137"/>
  <c r="I44" i="137"/>
  <c r="E25" i="10"/>
  <c r="C24" i="10"/>
  <c r="J25" i="10"/>
  <c r="K25" i="10" s="1"/>
  <c r="E26" i="155"/>
  <c r="C25" i="155"/>
  <c r="J26" i="155"/>
  <c r="K26" i="155" s="1"/>
  <c r="K45" i="14"/>
  <c r="C25" i="174"/>
  <c r="E26" i="174"/>
  <c r="J26" i="174"/>
  <c r="K26" i="174" s="1"/>
  <c r="J44" i="23"/>
  <c r="K43" i="23" s="1"/>
  <c r="I45" i="23"/>
  <c r="I43" i="11"/>
  <c r="J42" i="11"/>
  <c r="K42" i="72"/>
  <c r="E25" i="162"/>
  <c r="C24" i="162"/>
  <c r="J25" i="162"/>
  <c r="K25" i="162" s="1"/>
  <c r="BQ27" i="2"/>
  <c r="K41" i="45"/>
  <c r="E26" i="109"/>
  <c r="C25" i="109"/>
  <c r="ED26" i="2"/>
  <c r="J26" i="109"/>
  <c r="K26" i="109" s="1"/>
  <c r="K46" i="133"/>
  <c r="J42" i="143"/>
  <c r="I43" i="143"/>
  <c r="I46" i="16"/>
  <c r="J45" i="16"/>
  <c r="E21" i="157"/>
  <c r="C20" i="157"/>
  <c r="J21" i="157"/>
  <c r="K21" i="157" s="1"/>
  <c r="FW27" i="2"/>
  <c r="E24" i="83"/>
  <c r="C23" i="83"/>
  <c r="J24" i="83"/>
  <c r="K24" i="83" s="1"/>
  <c r="K44" i="89"/>
  <c r="K41" i="114"/>
  <c r="I44" i="108"/>
  <c r="J43" i="108"/>
  <c r="K41" i="91"/>
  <c r="AJ27" i="1"/>
  <c r="K40" i="55"/>
  <c r="E23" i="149"/>
  <c r="C22" i="149"/>
  <c r="J23" i="149"/>
  <c r="K23" i="149" s="1"/>
  <c r="K41" i="11"/>
  <c r="E25" i="142"/>
  <c r="C24" i="142"/>
  <c r="J25" i="142"/>
  <c r="K25" i="142" s="1"/>
  <c r="K40" i="91"/>
  <c r="E25" i="153"/>
  <c r="C24" i="153"/>
  <c r="J25" i="153"/>
  <c r="K25" i="153" s="1"/>
  <c r="K42" i="84"/>
  <c r="K42" i="158"/>
  <c r="E25" i="80"/>
  <c r="C24" i="80"/>
  <c r="J25" i="80"/>
  <c r="K25" i="80" s="1"/>
  <c r="E25" i="95"/>
  <c r="C24" i="95"/>
  <c r="J25" i="95"/>
  <c r="K25" i="95" s="1"/>
  <c r="K41" i="131"/>
  <c r="C25" i="52"/>
  <c r="E26" i="52"/>
  <c r="BP26" i="2"/>
  <c r="J26" i="52"/>
  <c r="K26" i="52" s="1"/>
  <c r="K41" i="154"/>
  <c r="J47" i="133"/>
  <c r="I48" i="133"/>
  <c r="K42" i="3"/>
  <c r="J45" i="135"/>
  <c r="K44" i="135" s="1"/>
  <c r="I46" i="135"/>
  <c r="E24" i="110"/>
  <c r="C23" i="110"/>
  <c r="J24" i="110"/>
  <c r="K24" i="110" s="1"/>
  <c r="I46" i="89"/>
  <c r="J45" i="89"/>
  <c r="E26" i="12"/>
  <c r="C25" i="12"/>
  <c r="X26" i="2"/>
  <c r="M26" i="1"/>
  <c r="J26" i="12"/>
  <c r="K26" i="12" s="1"/>
  <c r="J47" i="74"/>
  <c r="I48" i="74"/>
  <c r="C24" i="97"/>
  <c r="E25" i="97"/>
  <c r="EO25" i="2"/>
  <c r="J25" i="97"/>
  <c r="K25" i="97" s="1"/>
  <c r="FL26" i="2"/>
  <c r="J44" i="158"/>
  <c r="I45" i="158"/>
  <c r="GS27" i="2"/>
  <c r="C25" i="29"/>
  <c r="E26" i="29"/>
  <c r="J26" i="29"/>
  <c r="K26" i="29" s="1"/>
  <c r="I44" i="106"/>
  <c r="J43" i="106"/>
  <c r="K42" i="106" s="1"/>
  <c r="K42" i="23"/>
  <c r="I43" i="55"/>
  <c r="J42" i="55"/>
  <c r="K41" i="55" s="1"/>
  <c r="C21" i="160"/>
  <c r="E22" i="160"/>
  <c r="J22" i="160"/>
  <c r="K22" i="160" s="1"/>
  <c r="J43" i="84"/>
  <c r="I44" i="84"/>
  <c r="I46" i="78"/>
  <c r="J45" i="78"/>
  <c r="K44" i="78" s="1"/>
  <c r="J45" i="9"/>
  <c r="K44" i="9" s="1"/>
  <c r="I46" i="9"/>
  <c r="K44" i="22"/>
  <c r="K43" i="165"/>
  <c r="C23" i="161"/>
  <c r="E24" i="161"/>
  <c r="J24" i="161"/>
  <c r="K24" i="161" s="1"/>
  <c r="I47" i="71"/>
  <c r="J46" i="71"/>
  <c r="K45" i="71" s="1"/>
  <c r="E26" i="3"/>
  <c r="C25" i="3"/>
  <c r="J26" i="3"/>
  <c r="K26" i="3" s="1"/>
  <c r="I44" i="3"/>
  <c r="J43" i="3"/>
  <c r="I43" i="34"/>
  <c r="J42" i="34"/>
  <c r="C25" i="42"/>
  <c r="E26" i="42"/>
  <c r="J26" i="42"/>
  <c r="K26" i="42" s="1"/>
  <c r="FV26" i="2"/>
  <c r="K43" i="135"/>
  <c r="E21" i="30"/>
  <c r="C20" i="30"/>
  <c r="J21" i="30"/>
  <c r="K21" i="30" s="1"/>
  <c r="I44" i="4"/>
  <c r="J43" i="4"/>
  <c r="K42" i="50"/>
  <c r="X26" i="1"/>
  <c r="CB25" i="2" l="1"/>
  <c r="HO25" i="2"/>
  <c r="CX24" i="2"/>
  <c r="J44" i="106"/>
  <c r="I45" i="106"/>
  <c r="E23" i="129"/>
  <c r="C22" i="129"/>
  <c r="J23" i="129"/>
  <c r="K23" i="129" s="1"/>
  <c r="DS23" i="2"/>
  <c r="K45" i="128"/>
  <c r="C23" i="77"/>
  <c r="E24" i="77"/>
  <c r="J24" i="77"/>
  <c r="K24" i="77" s="1"/>
  <c r="E22" i="73"/>
  <c r="C21" i="73"/>
  <c r="J22" i="73"/>
  <c r="K22" i="73" s="1"/>
  <c r="E23" i="94"/>
  <c r="C22" i="94"/>
  <c r="J23" i="94"/>
  <c r="K23" i="94" s="1"/>
  <c r="C22" i="99"/>
  <c r="E23" i="99"/>
  <c r="J23" i="99"/>
  <c r="K23" i="99" s="1"/>
  <c r="C23" i="48"/>
  <c r="E24" i="48"/>
  <c r="J24" i="48"/>
  <c r="K24" i="48" s="1"/>
  <c r="J43" i="146"/>
  <c r="I44" i="146"/>
  <c r="AJ25" i="2"/>
  <c r="I47" i="142"/>
  <c r="J46" i="142"/>
  <c r="K45" i="142" s="1"/>
  <c r="K43" i="86"/>
  <c r="J45" i="41"/>
  <c r="I46" i="41"/>
  <c r="I45" i="119"/>
  <c r="J44" i="119"/>
  <c r="K47" i="61"/>
  <c r="C23" i="132"/>
  <c r="E24" i="132"/>
  <c r="J24" i="132"/>
  <c r="K24" i="132" s="1"/>
  <c r="J44" i="170"/>
  <c r="I45" i="170"/>
  <c r="I47" i="172"/>
  <c r="J46" i="172"/>
  <c r="I47" i="128"/>
  <c r="J46" i="128"/>
  <c r="K45" i="156"/>
  <c r="AU26" i="1"/>
  <c r="E21" i="59"/>
  <c r="C20" i="59"/>
  <c r="J21" i="59"/>
  <c r="K21" i="59" s="1"/>
  <c r="K42" i="34"/>
  <c r="J43" i="105"/>
  <c r="I44" i="105"/>
  <c r="I44" i="34"/>
  <c r="J43" i="34"/>
  <c r="I45" i="108"/>
  <c r="J44" i="108"/>
  <c r="K42" i="105"/>
  <c r="C21" i="84"/>
  <c r="E22" i="84"/>
  <c r="J22" i="84"/>
  <c r="K22" i="84" s="1"/>
  <c r="C23" i="140"/>
  <c r="E24" i="140"/>
  <c r="J24" i="140"/>
  <c r="K24" i="140" s="1"/>
  <c r="I45" i="86"/>
  <c r="J44" i="86"/>
  <c r="K44" i="41"/>
  <c r="I49" i="61"/>
  <c r="J48" i="61"/>
  <c r="J46" i="127"/>
  <c r="I47" i="127"/>
  <c r="K45" i="62"/>
  <c r="I47" i="156"/>
  <c r="J46" i="156"/>
  <c r="E23" i="57"/>
  <c r="C22" i="57"/>
  <c r="J23" i="57"/>
  <c r="K23" i="57" s="1"/>
  <c r="E25" i="7"/>
  <c r="C24" i="7"/>
  <c r="AT25" i="1"/>
  <c r="J25" i="7"/>
  <c r="K25" i="7" s="1"/>
  <c r="E24" i="36"/>
  <c r="C23" i="36"/>
  <c r="J24" i="36"/>
  <c r="K24" i="36" s="1"/>
  <c r="I45" i="121"/>
  <c r="J44" i="121"/>
  <c r="K43" i="121" s="1"/>
  <c r="J44" i="88"/>
  <c r="K43" i="88" s="1"/>
  <c r="I45" i="88"/>
  <c r="K46" i="79"/>
  <c r="C23" i="108"/>
  <c r="E24" i="108"/>
  <c r="J24" i="108"/>
  <c r="K24" i="108" s="1"/>
  <c r="I45" i="114"/>
  <c r="J44" i="114"/>
  <c r="K43" i="114" s="1"/>
  <c r="K45" i="127"/>
  <c r="C22" i="112"/>
  <c r="E23" i="112"/>
  <c r="J23" i="112"/>
  <c r="K23" i="112" s="1"/>
  <c r="I47" i="62"/>
  <c r="J46" i="62"/>
  <c r="E21" i="105"/>
  <c r="C20" i="105"/>
  <c r="J21" i="105"/>
  <c r="K21" i="105" s="1"/>
  <c r="E18" i="98"/>
  <c r="C17" i="98"/>
  <c r="J18" i="98"/>
  <c r="K18" i="98" s="1"/>
  <c r="J47" i="79"/>
  <c r="I48" i="79"/>
  <c r="I44" i="125"/>
  <c r="J43" i="125"/>
  <c r="K42" i="108"/>
  <c r="J44" i="87"/>
  <c r="K43" i="87" s="1"/>
  <c r="I45" i="87"/>
  <c r="K42" i="88"/>
  <c r="E25" i="136"/>
  <c r="C24" i="136"/>
  <c r="J25" i="136"/>
  <c r="K25" i="136" s="1"/>
  <c r="I45" i="103"/>
  <c r="J44" i="103"/>
  <c r="K43" i="103" s="1"/>
  <c r="I49" i="75"/>
  <c r="J48" i="75"/>
  <c r="E22" i="47"/>
  <c r="C21" i="47"/>
  <c r="J22" i="47"/>
  <c r="K22" i="47" s="1"/>
  <c r="E24" i="114"/>
  <c r="C23" i="114"/>
  <c r="J24" i="114"/>
  <c r="K24" i="114" s="1"/>
  <c r="I45" i="70"/>
  <c r="J44" i="70"/>
  <c r="AJ26" i="2"/>
  <c r="K44" i="68"/>
  <c r="E25" i="170"/>
  <c r="C24" i="170"/>
  <c r="J25" i="170"/>
  <c r="K25" i="170" s="1"/>
  <c r="I45" i="53"/>
  <c r="J44" i="53"/>
  <c r="C22" i="137"/>
  <c r="E23" i="137"/>
  <c r="J23" i="137"/>
  <c r="K23" i="137" s="1"/>
  <c r="I45" i="31"/>
  <c r="J44" i="31"/>
  <c r="I46" i="149"/>
  <c r="J45" i="149"/>
  <c r="IK25" i="2"/>
  <c r="E22" i="26"/>
  <c r="C21" i="26"/>
  <c r="J22" i="26"/>
  <c r="K22" i="26" s="1"/>
  <c r="E21" i="102"/>
  <c r="C20" i="102"/>
  <c r="J21" i="102"/>
  <c r="K21" i="102" s="1"/>
  <c r="E23" i="128"/>
  <c r="C22" i="128"/>
  <c r="J23" i="128"/>
  <c r="K23" i="128" s="1"/>
  <c r="I45" i="80"/>
  <c r="J44" i="80"/>
  <c r="K43" i="80" s="1"/>
  <c r="CM25" i="2"/>
  <c r="I49" i="145"/>
  <c r="J48" i="145"/>
  <c r="J47" i="82"/>
  <c r="I48" i="82"/>
  <c r="I46" i="68"/>
  <c r="J45" i="68"/>
  <c r="K42" i="119"/>
  <c r="C23" i="79"/>
  <c r="E24" i="79"/>
  <c r="J24" i="79"/>
  <c r="K24" i="79" s="1"/>
  <c r="E25" i="27"/>
  <c r="C24" i="27"/>
  <c r="IJ24" i="2" s="1"/>
  <c r="J25" i="27"/>
  <c r="K25" i="27" s="1"/>
  <c r="E24" i="122"/>
  <c r="C23" i="122"/>
  <c r="J24" i="122"/>
  <c r="K24" i="122" s="1"/>
  <c r="J43" i="65"/>
  <c r="I44" i="65"/>
  <c r="K44" i="18"/>
  <c r="K46" i="75"/>
  <c r="E25" i="52"/>
  <c r="C24" i="52"/>
  <c r="BP25" i="2"/>
  <c r="J25" i="52"/>
  <c r="K25" i="52" s="1"/>
  <c r="E25" i="3"/>
  <c r="C24" i="3"/>
  <c r="J25" i="3"/>
  <c r="K25" i="3" s="1"/>
  <c r="I46" i="158"/>
  <c r="J45" i="158"/>
  <c r="K44" i="158" s="1"/>
  <c r="E25" i="174"/>
  <c r="C24" i="174"/>
  <c r="J25" i="174"/>
  <c r="K25" i="174" s="1"/>
  <c r="C24" i="91"/>
  <c r="E25" i="91"/>
  <c r="J25" i="91"/>
  <c r="K25" i="91" s="1"/>
  <c r="K43" i="153"/>
  <c r="K46" i="145"/>
  <c r="K46" i="61"/>
  <c r="K42" i="116"/>
  <c r="E20" i="146"/>
  <c r="C19" i="146"/>
  <c r="J20" i="146"/>
  <c r="K20" i="146" s="1"/>
  <c r="K43" i="33"/>
  <c r="E22" i="85"/>
  <c r="C21" i="85"/>
  <c r="J22" i="85"/>
  <c r="K22" i="85" s="1"/>
  <c r="E21" i="111"/>
  <c r="C20" i="111"/>
  <c r="J21" i="111"/>
  <c r="K21" i="111" s="1"/>
  <c r="E22" i="37"/>
  <c r="C21" i="37"/>
  <c r="J22" i="37"/>
  <c r="K22" i="37" s="1"/>
  <c r="BF26" i="2"/>
  <c r="I47" i="117"/>
  <c r="J46" i="117"/>
  <c r="I48" i="22"/>
  <c r="J47" i="22"/>
  <c r="IV26" i="2"/>
  <c r="K42" i="65"/>
  <c r="J45" i="18"/>
  <c r="I46" i="18"/>
  <c r="I45" i="153"/>
  <c r="J44" i="153"/>
  <c r="E24" i="63"/>
  <c r="C23" i="63"/>
  <c r="J24" i="63"/>
  <c r="K24" i="63" s="1"/>
  <c r="C21" i="61"/>
  <c r="E22" i="61"/>
  <c r="J22" i="61"/>
  <c r="K22" i="61" s="1"/>
  <c r="C20" i="43"/>
  <c r="E21" i="43"/>
  <c r="J21" i="43"/>
  <c r="K21" i="43" s="1"/>
  <c r="C23" i="89"/>
  <c r="E24" i="89"/>
  <c r="J24" i="89"/>
  <c r="K24" i="89" s="1"/>
  <c r="E23" i="67"/>
  <c r="C22" i="67"/>
  <c r="J23" i="67"/>
  <c r="K23" i="67" s="1"/>
  <c r="I45" i="33"/>
  <c r="J44" i="33"/>
  <c r="E24" i="154"/>
  <c r="C23" i="154"/>
  <c r="J24" i="154"/>
  <c r="K24" i="154" s="1"/>
  <c r="E25" i="56"/>
  <c r="C24" i="56"/>
  <c r="J25" i="56"/>
  <c r="K25" i="56" s="1"/>
  <c r="I44" i="166"/>
  <c r="J43" i="166"/>
  <c r="DI25" i="2"/>
  <c r="I44" i="109"/>
  <c r="J43" i="109"/>
  <c r="K46" i="22"/>
  <c r="C19" i="166"/>
  <c r="E20" i="166"/>
  <c r="J20" i="166"/>
  <c r="K20" i="166" s="1"/>
  <c r="CB26" i="1"/>
  <c r="I44" i="81"/>
  <c r="J43" i="81"/>
  <c r="J45" i="93"/>
  <c r="I46" i="93"/>
  <c r="I46" i="165"/>
  <c r="J45" i="165"/>
  <c r="E24" i="119"/>
  <c r="C23" i="119"/>
  <c r="J24" i="119"/>
  <c r="K24" i="119" s="1"/>
  <c r="E24" i="95"/>
  <c r="C23" i="95"/>
  <c r="J24" i="95"/>
  <c r="K24" i="95" s="1"/>
  <c r="EP26" i="2"/>
  <c r="E25" i="172"/>
  <c r="C24" i="172"/>
  <c r="J25" i="172"/>
  <c r="K25" i="172" s="1"/>
  <c r="K42" i="170"/>
  <c r="E22" i="120"/>
  <c r="C21" i="120"/>
  <c r="J22" i="120"/>
  <c r="K22" i="120" s="1"/>
  <c r="J44" i="168"/>
  <c r="I45" i="168"/>
  <c r="K44" i="128"/>
  <c r="J45" i="173"/>
  <c r="I46" i="173"/>
  <c r="BQ26" i="1"/>
  <c r="K42" i="109"/>
  <c r="E25" i="6"/>
  <c r="C24" i="6"/>
  <c r="CA25" i="1"/>
  <c r="K42" i="81"/>
  <c r="K44" i="93"/>
  <c r="K44" i="165"/>
  <c r="J44" i="3"/>
  <c r="K43" i="3" s="1"/>
  <c r="I45" i="3"/>
  <c r="E25" i="29"/>
  <c r="C24" i="29"/>
  <c r="J25" i="29"/>
  <c r="K25" i="29" s="1"/>
  <c r="X25" i="1"/>
  <c r="BQ26" i="2"/>
  <c r="K46" i="71"/>
  <c r="E25" i="155"/>
  <c r="C24" i="155"/>
  <c r="J25" i="155"/>
  <c r="K25" i="155" s="1"/>
  <c r="J43" i="147"/>
  <c r="I44" i="147"/>
  <c r="J45" i="167"/>
  <c r="I46" i="167"/>
  <c r="J45" i="60"/>
  <c r="I46" i="60"/>
  <c r="E24" i="31"/>
  <c r="C23" i="31"/>
  <c r="J24" i="31"/>
  <c r="K24" i="31" s="1"/>
  <c r="I45" i="57"/>
  <c r="J44" i="57"/>
  <c r="C22" i="4"/>
  <c r="E23" i="4"/>
  <c r="J23" i="4"/>
  <c r="K23" i="4" s="1"/>
  <c r="J44" i="73"/>
  <c r="K43" i="73" s="1"/>
  <c r="I45" i="73"/>
  <c r="K43" i="168"/>
  <c r="K44" i="173"/>
  <c r="HD26" i="2"/>
  <c r="C23" i="133"/>
  <c r="E24" i="133"/>
  <c r="J24" i="133"/>
  <c r="K24" i="133" s="1"/>
  <c r="DH24" i="2"/>
  <c r="K42" i="141"/>
  <c r="E22" i="168"/>
  <c r="C21" i="168"/>
  <c r="J22" i="168"/>
  <c r="K22" i="168" s="1"/>
  <c r="E23" i="64"/>
  <c r="C22" i="64"/>
  <c r="J23" i="64"/>
  <c r="K23" i="64" s="1"/>
  <c r="K42" i="140"/>
  <c r="I46" i="129"/>
  <c r="J45" i="129"/>
  <c r="I45" i="116"/>
  <c r="J44" i="116"/>
  <c r="E23" i="83"/>
  <c r="C22" i="83"/>
  <c r="J23" i="83"/>
  <c r="K23" i="83" s="1"/>
  <c r="J47" i="71"/>
  <c r="I48" i="71"/>
  <c r="E20" i="87"/>
  <c r="C19" i="87"/>
  <c r="J20" i="87"/>
  <c r="K20" i="87" s="1"/>
  <c r="K44" i="167"/>
  <c r="K44" i="60"/>
  <c r="K43" i="57"/>
  <c r="E23" i="25"/>
  <c r="C22" i="25"/>
  <c r="J23" i="25"/>
  <c r="K23" i="25" s="1"/>
  <c r="E21" i="34"/>
  <c r="C20" i="34"/>
  <c r="J21" i="34"/>
  <c r="K21" i="34" s="1"/>
  <c r="J43" i="35"/>
  <c r="I44" i="35"/>
  <c r="E20" i="32"/>
  <c r="C19" i="32"/>
  <c r="J20" i="32"/>
  <c r="K20" i="32" s="1"/>
  <c r="E23" i="66"/>
  <c r="C22" i="66"/>
  <c r="J23" i="66"/>
  <c r="K23" i="66" s="1"/>
  <c r="I44" i="36"/>
  <c r="J43" i="36"/>
  <c r="J43" i="141"/>
  <c r="I44" i="141"/>
  <c r="I44" i="140"/>
  <c r="J43" i="140"/>
  <c r="C24" i="8"/>
  <c r="E25" i="8"/>
  <c r="HC25" i="2"/>
  <c r="BP25" i="1"/>
  <c r="J25" i="8"/>
  <c r="K25" i="8" s="1"/>
  <c r="J48" i="12"/>
  <c r="I49" i="12"/>
  <c r="I45" i="21"/>
  <c r="J44" i="21"/>
  <c r="I45" i="19"/>
  <c r="J44" i="19"/>
  <c r="K43" i="19" s="1"/>
  <c r="E23" i="135"/>
  <c r="C22" i="135"/>
  <c r="J23" i="135"/>
  <c r="K23" i="135" s="1"/>
  <c r="I46" i="139"/>
  <c r="J45" i="139"/>
  <c r="K47" i="7"/>
  <c r="E22" i="72"/>
  <c r="C21" i="72"/>
  <c r="J22" i="72"/>
  <c r="K22" i="72" s="1"/>
  <c r="I44" i="11"/>
  <c r="J43" i="11"/>
  <c r="I46" i="23"/>
  <c r="J45" i="23"/>
  <c r="I45" i="154"/>
  <c r="J44" i="154"/>
  <c r="J44" i="138"/>
  <c r="I45" i="138"/>
  <c r="I49" i="134"/>
  <c r="J48" i="134"/>
  <c r="K47" i="134" s="1"/>
  <c r="C22" i="16"/>
  <c r="E23" i="16"/>
  <c r="J23" i="16"/>
  <c r="K23" i="16" s="1"/>
  <c r="K42" i="35"/>
  <c r="C23" i="80"/>
  <c r="E24" i="80"/>
  <c r="J24" i="80"/>
  <c r="K24" i="80" s="1"/>
  <c r="E20" i="157"/>
  <c r="C19" i="157"/>
  <c r="J20" i="157"/>
  <c r="K20" i="157" s="1"/>
  <c r="E24" i="10"/>
  <c r="C23" i="10"/>
  <c r="J24" i="10"/>
  <c r="K24" i="10" s="1"/>
  <c r="I45" i="49"/>
  <c r="J44" i="49"/>
  <c r="K43" i="49" s="1"/>
  <c r="K43" i="138"/>
  <c r="I45" i="5"/>
  <c r="J44" i="5"/>
  <c r="I63" i="150"/>
  <c r="J62" i="150"/>
  <c r="C22" i="11"/>
  <c r="E23" i="11"/>
  <c r="J23" i="11"/>
  <c r="K23" i="11" s="1"/>
  <c r="E24" i="101"/>
  <c r="C23" i="101"/>
  <c r="J24" i="101"/>
  <c r="K24" i="101" s="1"/>
  <c r="D64" i="1"/>
  <c r="BR64" i="1"/>
  <c r="Z64" i="1"/>
  <c r="O64" i="1"/>
  <c r="AK64" i="1"/>
  <c r="AV64" i="1"/>
  <c r="CC64" i="1"/>
  <c r="I46" i="118"/>
  <c r="J45" i="118"/>
  <c r="K47" i="12"/>
  <c r="K43" i="21"/>
  <c r="K44" i="139"/>
  <c r="J48" i="7"/>
  <c r="I49" i="7"/>
  <c r="K42" i="69"/>
  <c r="J43" i="64"/>
  <c r="K42" i="64" s="1"/>
  <c r="I44" i="64"/>
  <c r="J45" i="157"/>
  <c r="K44" i="157" s="1"/>
  <c r="I46" i="157"/>
  <c r="J44" i="155"/>
  <c r="I45" i="155"/>
  <c r="EP25" i="2"/>
  <c r="E24" i="97"/>
  <c r="C23" i="97"/>
  <c r="EO24" i="2"/>
  <c r="J24" i="97"/>
  <c r="K24" i="97" s="1"/>
  <c r="E25" i="92"/>
  <c r="C24" i="92"/>
  <c r="J25" i="92"/>
  <c r="K25" i="92" s="1"/>
  <c r="I44" i="102"/>
  <c r="J43" i="102"/>
  <c r="E23" i="81"/>
  <c r="C22" i="81"/>
  <c r="J23" i="81"/>
  <c r="K23" i="81" s="1"/>
  <c r="K43" i="158"/>
  <c r="K42" i="95"/>
  <c r="E22" i="40"/>
  <c r="C21" i="40"/>
  <c r="J22" i="40"/>
  <c r="K22" i="40" s="1"/>
  <c r="I46" i="25"/>
  <c r="J45" i="25"/>
  <c r="K44" i="25" s="1"/>
  <c r="K61" i="150"/>
  <c r="C22" i="150"/>
  <c r="E23" i="150"/>
  <c r="J23" i="150"/>
  <c r="K23" i="150" s="1"/>
  <c r="E22" i="62"/>
  <c r="C21" i="62"/>
  <c r="J22" i="62"/>
  <c r="K22" i="62" s="1"/>
  <c r="D64" i="2"/>
  <c r="DU64" i="2"/>
  <c r="FM64" i="2"/>
  <c r="CC64" i="2"/>
  <c r="O64" i="2"/>
  <c r="DJ64" i="2"/>
  <c r="IL64" i="2"/>
  <c r="FB64" i="2"/>
  <c r="BG64" i="2"/>
  <c r="IW64" i="2"/>
  <c r="HP64" i="2"/>
  <c r="CY64" i="2"/>
  <c r="IA64" i="2"/>
  <c r="EQ64" i="2"/>
  <c r="CN64" i="2"/>
  <c r="FX64" i="2"/>
  <c r="EF64" i="2"/>
  <c r="AV64" i="2"/>
  <c r="HE64" i="2"/>
  <c r="GT64" i="2"/>
  <c r="BR64" i="2"/>
  <c r="Z64" i="2"/>
  <c r="AK64" i="2"/>
  <c r="E25" i="90"/>
  <c r="C24" i="90"/>
  <c r="J25" i="90"/>
  <c r="K25" i="90" s="1"/>
  <c r="K44" i="118"/>
  <c r="E22" i="124"/>
  <c r="C21" i="124"/>
  <c r="J22" i="124"/>
  <c r="K22" i="124" s="1"/>
  <c r="J46" i="122"/>
  <c r="I47" i="122"/>
  <c r="E23" i="126"/>
  <c r="C22" i="126"/>
  <c r="J23" i="126"/>
  <c r="K23" i="126" s="1"/>
  <c r="I44" i="69"/>
  <c r="J43" i="69"/>
  <c r="K46" i="32"/>
  <c r="K43" i="155"/>
  <c r="I45" i="137"/>
  <c r="J44" i="137"/>
  <c r="J43" i="95"/>
  <c r="I44" i="95"/>
  <c r="E24" i="35"/>
  <c r="C23" i="35"/>
  <c r="J24" i="35"/>
  <c r="K24" i="35" s="1"/>
  <c r="C24" i="58"/>
  <c r="E25" i="58"/>
  <c r="J25" i="58"/>
  <c r="K25" i="58" s="1"/>
  <c r="E21" i="165"/>
  <c r="C20" i="165"/>
  <c r="J21" i="165"/>
  <c r="K21" i="165" s="1"/>
  <c r="I47" i="26"/>
  <c r="J46" i="26"/>
  <c r="K45" i="26" s="1"/>
  <c r="BG64" i="1"/>
  <c r="BF64" i="1"/>
  <c r="J44" i="97"/>
  <c r="I45" i="97"/>
  <c r="C22" i="139"/>
  <c r="E23" i="139"/>
  <c r="J23" i="139"/>
  <c r="K23" i="139" s="1"/>
  <c r="J47" i="32"/>
  <c r="I48" i="32"/>
  <c r="I47" i="29"/>
  <c r="J46" i="29"/>
  <c r="I46" i="63"/>
  <c r="J45" i="63"/>
  <c r="K44" i="63" s="1"/>
  <c r="K41" i="69"/>
  <c r="E23" i="161"/>
  <c r="C22" i="161"/>
  <c r="J23" i="161"/>
  <c r="K23" i="161" s="1"/>
  <c r="I49" i="74"/>
  <c r="J48" i="74"/>
  <c r="I47" i="16"/>
  <c r="J46" i="16"/>
  <c r="C21" i="163"/>
  <c r="E22" i="163"/>
  <c r="J22" i="163"/>
  <c r="K22" i="163" s="1"/>
  <c r="J43" i="163"/>
  <c r="I44" i="163"/>
  <c r="J43" i="148"/>
  <c r="I44" i="148"/>
  <c r="K44" i="127"/>
  <c r="GI64" i="2"/>
  <c r="GH64" i="2"/>
  <c r="K46" i="59"/>
  <c r="I47" i="101"/>
  <c r="J46" i="101"/>
  <c r="IV25" i="2"/>
  <c r="C23" i="76"/>
  <c r="E24" i="76"/>
  <c r="J24" i="76"/>
  <c r="K24" i="76" s="1"/>
  <c r="E23" i="75"/>
  <c r="C22" i="75"/>
  <c r="J23" i="75"/>
  <c r="K23" i="75" s="1"/>
  <c r="K45" i="29"/>
  <c r="K46" i="94"/>
  <c r="K44" i="23"/>
  <c r="K43" i="70"/>
  <c r="K42" i="125"/>
  <c r="J43" i="47"/>
  <c r="K42" i="47" s="1"/>
  <c r="I44" i="47"/>
  <c r="K43" i="53"/>
  <c r="E25" i="158"/>
  <c r="C24" i="158"/>
  <c r="J25" i="158"/>
  <c r="K25" i="158" s="1"/>
  <c r="K45" i="16"/>
  <c r="K42" i="102"/>
  <c r="K47" i="74"/>
  <c r="K43" i="137"/>
  <c r="I48" i="14"/>
  <c r="J47" i="14"/>
  <c r="I44" i="143"/>
  <c r="J43" i="143"/>
  <c r="GS26" i="2"/>
  <c r="E24" i="44"/>
  <c r="C23" i="44"/>
  <c r="J24" i="44"/>
  <c r="K24" i="44" s="1"/>
  <c r="J44" i="111"/>
  <c r="I45" i="111"/>
  <c r="K46" i="14"/>
  <c r="J43" i="100"/>
  <c r="I44" i="100"/>
  <c r="J46" i="77"/>
  <c r="I47" i="77"/>
  <c r="K42" i="163"/>
  <c r="K41" i="163"/>
  <c r="E22" i="123"/>
  <c r="C21" i="123"/>
  <c r="J22" i="123"/>
  <c r="K22" i="123" s="1"/>
  <c r="FA25" i="2"/>
  <c r="K42" i="31"/>
  <c r="E63" i="24"/>
  <c r="C62" i="24"/>
  <c r="GG63" i="2"/>
  <c r="BE63" i="1"/>
  <c r="C63" i="1"/>
  <c r="C63" i="2"/>
  <c r="K42" i="171"/>
  <c r="J47" i="59"/>
  <c r="I48" i="59"/>
  <c r="K42" i="87"/>
  <c r="E25" i="107"/>
  <c r="C24" i="107"/>
  <c r="J25" i="107"/>
  <c r="K25" i="107" s="1"/>
  <c r="I45" i="52"/>
  <c r="J44" i="52"/>
  <c r="K43" i="52" s="1"/>
  <c r="E23" i="22"/>
  <c r="C22" i="22"/>
  <c r="J23" i="22"/>
  <c r="K23" i="22" s="1"/>
  <c r="J47" i="94"/>
  <c r="I48" i="94"/>
  <c r="C24" i="53"/>
  <c r="E25" i="53"/>
  <c r="J25" i="53"/>
  <c r="K25" i="53" s="1"/>
  <c r="C24" i="55"/>
  <c r="E25" i="55"/>
  <c r="J25" i="55"/>
  <c r="K25" i="55" s="1"/>
  <c r="E23" i="9"/>
  <c r="C22" i="9"/>
  <c r="J23" i="9"/>
  <c r="K23" i="9" s="1"/>
  <c r="E21" i="131"/>
  <c r="C20" i="131"/>
  <c r="J21" i="131"/>
  <c r="K21" i="131" s="1"/>
  <c r="I48" i="27"/>
  <c r="J47" i="27"/>
  <c r="E22" i="106"/>
  <c r="C21" i="106"/>
  <c r="J22" i="106"/>
  <c r="K22" i="106" s="1"/>
  <c r="I46" i="99"/>
  <c r="J45" i="99"/>
  <c r="I44" i="171"/>
  <c r="J43" i="171"/>
  <c r="K45" i="59"/>
  <c r="E24" i="13"/>
  <c r="C23" i="13"/>
  <c r="J24" i="13"/>
  <c r="K24" i="13" s="1"/>
  <c r="IU24" i="2"/>
  <c r="C21" i="86"/>
  <c r="E22" i="86"/>
  <c r="J22" i="86"/>
  <c r="K22" i="86" s="1"/>
  <c r="K46" i="27"/>
  <c r="C23" i="145"/>
  <c r="E24" i="145"/>
  <c r="J24" i="145"/>
  <c r="K24" i="145" s="1"/>
  <c r="E24" i="134"/>
  <c r="C23" i="134"/>
  <c r="EZ24" i="2"/>
  <c r="J24" i="134"/>
  <c r="K24" i="134" s="1"/>
  <c r="I46" i="124"/>
  <c r="J45" i="124"/>
  <c r="C22" i="104"/>
  <c r="E23" i="104"/>
  <c r="J23" i="104"/>
  <c r="K23" i="104" s="1"/>
  <c r="E20" i="156"/>
  <c r="C19" i="156"/>
  <c r="J20" i="156"/>
  <c r="K20" i="156" s="1"/>
  <c r="E24" i="78"/>
  <c r="C23" i="78"/>
  <c r="J24" i="78"/>
  <c r="K24" i="78" s="1"/>
  <c r="E22" i="171"/>
  <c r="C21" i="171"/>
  <c r="J22" i="171"/>
  <c r="K22" i="171" s="1"/>
  <c r="I45" i="169"/>
  <c r="J44" i="169"/>
  <c r="K43" i="169" s="1"/>
  <c r="M25" i="1"/>
  <c r="E25" i="12"/>
  <c r="C24" i="12"/>
  <c r="X25" i="2"/>
  <c r="J25" i="12"/>
  <c r="K25" i="12" s="1"/>
  <c r="J44" i="131"/>
  <c r="I45" i="131"/>
  <c r="I48" i="24"/>
  <c r="K44" i="77"/>
  <c r="E22" i="141"/>
  <c r="C21" i="141"/>
  <c r="J22" i="141"/>
  <c r="K22" i="141" s="1"/>
  <c r="N25" i="2"/>
  <c r="K42" i="137"/>
  <c r="E24" i="20"/>
  <c r="C23" i="20"/>
  <c r="J24" i="20"/>
  <c r="K24" i="20" s="1"/>
  <c r="K44" i="124"/>
  <c r="K44" i="28"/>
  <c r="E23" i="68"/>
  <c r="C22" i="68"/>
  <c r="J23" i="68"/>
  <c r="K23" i="68" s="1"/>
  <c r="E25" i="42"/>
  <c r="C24" i="42"/>
  <c r="J25" i="42"/>
  <c r="K25" i="42" s="1"/>
  <c r="FV25" i="2"/>
  <c r="Y26" i="1"/>
  <c r="I45" i="126"/>
  <c r="J44" i="126"/>
  <c r="E23" i="118"/>
  <c r="C22" i="118"/>
  <c r="J23" i="118"/>
  <c r="K23" i="118" s="1"/>
  <c r="K42" i="144"/>
  <c r="E24" i="38"/>
  <c r="C23" i="38"/>
  <c r="J24" i="38"/>
  <c r="K24" i="38" s="1"/>
  <c r="I47" i="13"/>
  <c r="J46" i="13"/>
  <c r="E24" i="33"/>
  <c r="C23" i="33"/>
  <c r="J24" i="33"/>
  <c r="K24" i="33" s="1"/>
  <c r="C22" i="103"/>
  <c r="E23" i="103"/>
  <c r="J23" i="103"/>
  <c r="K23" i="103" s="1"/>
  <c r="J44" i="104"/>
  <c r="I45" i="104"/>
  <c r="I47" i="107"/>
  <c r="J46" i="107"/>
  <c r="K43" i="85"/>
  <c r="E25" i="14"/>
  <c r="C24" i="14"/>
  <c r="J25" i="14"/>
  <c r="K25" i="14" s="1"/>
  <c r="J43" i="130"/>
  <c r="I44" i="130"/>
  <c r="J45" i="28"/>
  <c r="I46" i="28"/>
  <c r="E18" i="82"/>
  <c r="C17" i="82"/>
  <c r="J18" i="82"/>
  <c r="K18" i="82" s="1"/>
  <c r="K46" i="7"/>
  <c r="K43" i="39"/>
  <c r="C24" i="28"/>
  <c r="E25" i="28"/>
  <c r="J25" i="28"/>
  <c r="K25" i="28" s="1"/>
  <c r="K47" i="15"/>
  <c r="J43" i="174"/>
  <c r="I44" i="174"/>
  <c r="E23" i="148"/>
  <c r="C22" i="148"/>
  <c r="J23" i="148"/>
  <c r="K23" i="148" s="1"/>
  <c r="J46" i="9"/>
  <c r="I47" i="9"/>
  <c r="K45" i="9"/>
  <c r="J46" i="78"/>
  <c r="I47" i="78"/>
  <c r="C24" i="109"/>
  <c r="E25" i="109"/>
  <c r="ED25" i="2"/>
  <c r="J25" i="109"/>
  <c r="K25" i="109" s="1"/>
  <c r="K43" i="126"/>
  <c r="K42" i="17"/>
  <c r="I44" i="40"/>
  <c r="J43" i="40"/>
  <c r="K45" i="13"/>
  <c r="E23" i="144"/>
  <c r="C22" i="144"/>
  <c r="J23" i="144"/>
  <c r="K23" i="144" s="1"/>
  <c r="HY25" i="2"/>
  <c r="I45" i="85"/>
  <c r="J44" i="85"/>
  <c r="J46" i="152"/>
  <c r="I47" i="152"/>
  <c r="K46" i="42"/>
  <c r="I45" i="39"/>
  <c r="J44" i="39"/>
  <c r="I49" i="15"/>
  <c r="J48" i="15"/>
  <c r="E22" i="69"/>
  <c r="C21" i="69"/>
  <c r="J22" i="69"/>
  <c r="K22" i="69" s="1"/>
  <c r="K42" i="174"/>
  <c r="N26" i="1"/>
  <c r="C21" i="115"/>
  <c r="E22" i="115"/>
  <c r="J22" i="115"/>
  <c r="K22" i="115" s="1"/>
  <c r="J44" i="84"/>
  <c r="K43" i="84" s="1"/>
  <c r="I45" i="84"/>
  <c r="K44" i="44"/>
  <c r="K43" i="76"/>
  <c r="J43" i="17"/>
  <c r="I44" i="17"/>
  <c r="C23" i="147"/>
  <c r="E24" i="147"/>
  <c r="J24" i="147"/>
  <c r="K24" i="147" s="1"/>
  <c r="K42" i="40"/>
  <c r="I46" i="83"/>
  <c r="J45" i="83"/>
  <c r="C23" i="15"/>
  <c r="E24" i="15"/>
  <c r="J24" i="15"/>
  <c r="K24" i="15" s="1"/>
  <c r="E21" i="45"/>
  <c r="C20" i="45"/>
  <c r="J21" i="45"/>
  <c r="K21" i="45" s="1"/>
  <c r="C23" i="169"/>
  <c r="E24" i="169"/>
  <c r="HY24" i="2"/>
  <c r="J24" i="169"/>
  <c r="K24" i="169" s="1"/>
  <c r="E24" i="125"/>
  <c r="C23" i="125"/>
  <c r="J24" i="125"/>
  <c r="K24" i="125" s="1"/>
  <c r="J47" i="42"/>
  <c r="I48" i="42"/>
  <c r="K42" i="103"/>
  <c r="K41" i="64"/>
  <c r="K42" i="121"/>
  <c r="I45" i="144"/>
  <c r="J44" i="144"/>
  <c r="K43" i="144" s="1"/>
  <c r="EE26" i="2"/>
  <c r="E24" i="142"/>
  <c r="C23" i="142"/>
  <c r="J24" i="142"/>
  <c r="K24" i="142" s="1"/>
  <c r="C22" i="116"/>
  <c r="E23" i="116"/>
  <c r="J23" i="116"/>
  <c r="K23" i="116" s="1"/>
  <c r="J46" i="132"/>
  <c r="K45" i="132" s="1"/>
  <c r="I47" i="132"/>
  <c r="J46" i="89"/>
  <c r="I47" i="89"/>
  <c r="K44" i="16"/>
  <c r="K41" i="102"/>
  <c r="J44" i="4"/>
  <c r="K43" i="4" s="1"/>
  <c r="I45" i="4"/>
  <c r="K41" i="143"/>
  <c r="K41" i="147"/>
  <c r="I46" i="44"/>
  <c r="J45" i="44"/>
  <c r="E23" i="74"/>
  <c r="C22" i="74"/>
  <c r="J23" i="74"/>
  <c r="K23" i="74" s="1"/>
  <c r="J44" i="76"/>
  <c r="I45" i="76"/>
  <c r="C23" i="71"/>
  <c r="E24" i="71"/>
  <c r="J24" i="71"/>
  <c r="K24" i="71" s="1"/>
  <c r="K42" i="86"/>
  <c r="E25" i="121"/>
  <c r="C24" i="121"/>
  <c r="J25" i="121"/>
  <c r="K25" i="121" s="1"/>
  <c r="E24" i="164"/>
  <c r="C23" i="164"/>
  <c r="J24" i="164"/>
  <c r="K24" i="164" s="1"/>
  <c r="K42" i="114"/>
  <c r="C22" i="130"/>
  <c r="E23" i="130"/>
  <c r="J23" i="130"/>
  <c r="K23" i="130" s="1"/>
  <c r="E23" i="113"/>
  <c r="C22" i="113"/>
  <c r="J23" i="113"/>
  <c r="K23" i="113" s="1"/>
  <c r="K44" i="159"/>
  <c r="K45" i="32"/>
  <c r="K44" i="10"/>
  <c r="K41" i="47"/>
  <c r="C24" i="143"/>
  <c r="E25" i="143"/>
  <c r="J25" i="143"/>
  <c r="K25" i="143" s="1"/>
  <c r="AJ26" i="1"/>
  <c r="K44" i="37"/>
  <c r="C21" i="173"/>
  <c r="E22" i="173"/>
  <c r="J22" i="173"/>
  <c r="K22" i="173" s="1"/>
  <c r="J43" i="43"/>
  <c r="K42" i="43" s="1"/>
  <c r="I44" i="43"/>
  <c r="C21" i="39"/>
  <c r="E22" i="39"/>
  <c r="J22" i="39"/>
  <c r="K22" i="39" s="1"/>
  <c r="I46" i="159"/>
  <c r="J45" i="159"/>
  <c r="E23" i="60"/>
  <c r="C22" i="60"/>
  <c r="J23" i="60"/>
  <c r="K23" i="60" s="1"/>
  <c r="E20" i="138"/>
  <c r="C19" i="138"/>
  <c r="J20" i="138"/>
  <c r="K20" i="138" s="1"/>
  <c r="I45" i="50"/>
  <c r="J44" i="50"/>
  <c r="I46" i="113"/>
  <c r="J45" i="113"/>
  <c r="K44" i="113" s="1"/>
  <c r="J43" i="110"/>
  <c r="I44" i="110"/>
  <c r="C22" i="110"/>
  <c r="E23" i="110"/>
  <c r="J23" i="110"/>
  <c r="K23" i="110" s="1"/>
  <c r="FK25" i="2"/>
  <c r="I49" i="46"/>
  <c r="J48" i="46"/>
  <c r="K47" i="46" s="1"/>
  <c r="I44" i="58"/>
  <c r="J43" i="58"/>
  <c r="E20" i="30"/>
  <c r="C19" i="30"/>
  <c r="J20" i="30"/>
  <c r="K20" i="30" s="1"/>
  <c r="E22" i="149"/>
  <c r="C21" i="149"/>
  <c r="J22" i="149"/>
  <c r="K22" i="149" s="1"/>
  <c r="I45" i="162"/>
  <c r="J44" i="162"/>
  <c r="K43" i="162" s="1"/>
  <c r="C23" i="88"/>
  <c r="E24" i="88"/>
  <c r="FK24" i="2"/>
  <c r="J24" i="88"/>
  <c r="K24" i="88" s="1"/>
  <c r="J45" i="10"/>
  <c r="I46" i="10"/>
  <c r="J46" i="51"/>
  <c r="I47" i="51"/>
  <c r="AU26" i="2"/>
  <c r="K42" i="58"/>
  <c r="I45" i="20"/>
  <c r="J44" i="20"/>
  <c r="I45" i="54"/>
  <c r="J44" i="54"/>
  <c r="E23" i="54"/>
  <c r="C22" i="54"/>
  <c r="J23" i="54"/>
  <c r="K23" i="54" s="1"/>
  <c r="I46" i="37"/>
  <c r="J45" i="37"/>
  <c r="J45" i="66"/>
  <c r="I46" i="66"/>
  <c r="C23" i="153"/>
  <c r="E24" i="153"/>
  <c r="J24" i="153"/>
  <c r="K24" i="153" s="1"/>
  <c r="Y26" i="2"/>
  <c r="J44" i="161"/>
  <c r="K43" i="161" s="1"/>
  <c r="I45" i="161"/>
  <c r="K43" i="131"/>
  <c r="J43" i="45"/>
  <c r="I44" i="45"/>
  <c r="E23" i="5"/>
  <c r="C22" i="5"/>
  <c r="J23" i="5"/>
  <c r="K23" i="5" s="1"/>
  <c r="BE25" i="2"/>
  <c r="I46" i="115"/>
  <c r="J45" i="115"/>
  <c r="K42" i="112"/>
  <c r="E23" i="19"/>
  <c r="C22" i="19"/>
  <c r="J23" i="19"/>
  <c r="K23" i="19" s="1"/>
  <c r="C23" i="96"/>
  <c r="E24" i="96"/>
  <c r="J24" i="96"/>
  <c r="K24" i="96" s="1"/>
  <c r="K42" i="104"/>
  <c r="C24" i="46"/>
  <c r="E25" i="46"/>
  <c r="J25" i="46"/>
  <c r="K25" i="46" s="1"/>
  <c r="AI25" i="1"/>
  <c r="E24" i="117"/>
  <c r="C23" i="117"/>
  <c r="J24" i="117"/>
  <c r="K24" i="117" s="1"/>
  <c r="J45" i="72"/>
  <c r="I46" i="72"/>
  <c r="K44" i="66"/>
  <c r="I45" i="67"/>
  <c r="J44" i="67"/>
  <c r="K43" i="67" s="1"/>
  <c r="K43" i="66"/>
  <c r="K42" i="4"/>
  <c r="K45" i="135"/>
  <c r="I45" i="56"/>
  <c r="J44" i="56"/>
  <c r="J44" i="123"/>
  <c r="I45" i="123"/>
  <c r="C22" i="18"/>
  <c r="E23" i="18"/>
  <c r="J23" i="18"/>
  <c r="K23" i="18" s="1"/>
  <c r="E25" i="50"/>
  <c r="C24" i="50"/>
  <c r="AT25" i="2"/>
  <c r="J25" i="50"/>
  <c r="K25" i="50" s="1"/>
  <c r="K41" i="125"/>
  <c r="E24" i="41"/>
  <c r="C23" i="41"/>
  <c r="BE24" i="2"/>
  <c r="J24" i="41"/>
  <c r="K24" i="41" s="1"/>
  <c r="J44" i="151"/>
  <c r="K43" i="151" s="1"/>
  <c r="I45" i="151"/>
  <c r="K41" i="40"/>
  <c r="I44" i="112"/>
  <c r="J43" i="112"/>
  <c r="K41" i="112"/>
  <c r="I47" i="164"/>
  <c r="J46" i="164"/>
  <c r="K45" i="164" s="1"/>
  <c r="K45" i="136"/>
  <c r="E24" i="23"/>
  <c r="C23" i="23"/>
  <c r="J24" i="23"/>
  <c r="K24" i="23" s="1"/>
  <c r="I44" i="8"/>
  <c r="J43" i="8"/>
  <c r="K42" i="160"/>
  <c r="K41" i="166"/>
  <c r="K44" i="117"/>
  <c r="K45" i="48"/>
  <c r="I46" i="92"/>
  <c r="J45" i="92"/>
  <c r="K45" i="79"/>
  <c r="K45" i="78"/>
  <c r="C20" i="160"/>
  <c r="E21" i="160"/>
  <c r="J21" i="160"/>
  <c r="K21" i="160" s="1"/>
  <c r="J46" i="135"/>
  <c r="I47" i="135"/>
  <c r="E24" i="162"/>
  <c r="C23" i="162"/>
  <c r="J24" i="162"/>
  <c r="K24" i="162" s="1"/>
  <c r="FW26" i="2"/>
  <c r="I44" i="55"/>
  <c r="J43" i="55"/>
  <c r="K41" i="34"/>
  <c r="K43" i="167"/>
  <c r="E24" i="70"/>
  <c r="C23" i="70"/>
  <c r="J24" i="70"/>
  <c r="K24" i="70" s="1"/>
  <c r="E24" i="21"/>
  <c r="C23" i="21"/>
  <c r="J24" i="21"/>
  <c r="K24" i="21" s="1"/>
  <c r="K43" i="123"/>
  <c r="C22" i="167"/>
  <c r="E23" i="167"/>
  <c r="J23" i="167"/>
  <c r="K23" i="167" s="1"/>
  <c r="K42" i="90"/>
  <c r="E25" i="100"/>
  <c r="C24" i="100"/>
  <c r="J25" i="100"/>
  <c r="K25" i="100" s="1"/>
  <c r="I44" i="96"/>
  <c r="J43" i="96"/>
  <c r="K42" i="151"/>
  <c r="K43" i="60"/>
  <c r="I47" i="136"/>
  <c r="J46" i="136"/>
  <c r="I44" i="160"/>
  <c r="J43" i="160"/>
  <c r="K41" i="109"/>
  <c r="J46" i="48"/>
  <c r="I47" i="48"/>
  <c r="K42" i="67"/>
  <c r="K42" i="120"/>
  <c r="J43" i="38"/>
  <c r="I44" i="38"/>
  <c r="J43" i="90"/>
  <c r="I44" i="90"/>
  <c r="K41" i="96"/>
  <c r="K45" i="98"/>
  <c r="DT24" i="2"/>
  <c r="E22" i="159"/>
  <c r="C21" i="159"/>
  <c r="J22" i="159"/>
  <c r="K22" i="159" s="1"/>
  <c r="C24" i="49"/>
  <c r="E25" i="49"/>
  <c r="J25" i="49"/>
  <c r="K25" i="49" s="1"/>
  <c r="K44" i="30"/>
  <c r="K42" i="97"/>
  <c r="C22" i="17"/>
  <c r="E23" i="17"/>
  <c r="J23" i="17"/>
  <c r="K23" i="17" s="1"/>
  <c r="C23" i="151"/>
  <c r="E24" i="151"/>
  <c r="J24" i="151"/>
  <c r="K24" i="151" s="1"/>
  <c r="I44" i="120"/>
  <c r="J43" i="120"/>
  <c r="E22" i="127"/>
  <c r="C21" i="127"/>
  <c r="J22" i="127"/>
  <c r="K22" i="127" s="1"/>
  <c r="K42" i="161"/>
  <c r="K42" i="154"/>
  <c r="K43" i="106"/>
  <c r="J48" i="133"/>
  <c r="K47" i="133" s="1"/>
  <c r="I49" i="133"/>
  <c r="K42" i="11"/>
  <c r="K42" i="146"/>
  <c r="I44" i="91"/>
  <c r="J43" i="91"/>
  <c r="K42" i="91" s="1"/>
  <c r="K41" i="100"/>
  <c r="E23" i="65"/>
  <c r="C22" i="65"/>
  <c r="J23" i="65"/>
  <c r="K23" i="65" s="1"/>
  <c r="C21" i="51"/>
  <c r="E22" i="51"/>
  <c r="J22" i="51"/>
  <c r="K22" i="51" s="1"/>
  <c r="K46" i="74"/>
  <c r="C24" i="152"/>
  <c r="M24" i="2" s="1"/>
  <c r="E25" i="152"/>
  <c r="J25" i="152"/>
  <c r="K25" i="152" s="1"/>
  <c r="I47" i="98"/>
  <c r="J46" i="98"/>
  <c r="CX25" i="2"/>
  <c r="I46" i="30"/>
  <c r="J45" i="30"/>
  <c r="K44" i="172"/>
  <c r="C24" i="93"/>
  <c r="E25" i="93"/>
  <c r="J25" i="93"/>
  <c r="K25" i="93" s="1"/>
  <c r="K42" i="21"/>
  <c r="K44" i="48"/>
  <c r="GR25" i="2"/>
  <c r="N24" i="2" l="1"/>
  <c r="IK24" i="2"/>
  <c r="C23" i="109"/>
  <c r="E24" i="109"/>
  <c r="ED24" i="2"/>
  <c r="J24" i="109"/>
  <c r="K24" i="109" s="1"/>
  <c r="E23" i="96"/>
  <c r="C22" i="96"/>
  <c r="J23" i="96"/>
  <c r="K23" i="96" s="1"/>
  <c r="I47" i="44"/>
  <c r="J46" i="44"/>
  <c r="K48" i="15"/>
  <c r="E23" i="38"/>
  <c r="C22" i="38"/>
  <c r="J23" i="38"/>
  <c r="K23" i="38" s="1"/>
  <c r="FA24" i="2"/>
  <c r="E23" i="31"/>
  <c r="C22" i="31"/>
  <c r="J23" i="31"/>
  <c r="K23" i="31" s="1"/>
  <c r="I46" i="153"/>
  <c r="J45" i="153"/>
  <c r="C23" i="91"/>
  <c r="E24" i="91"/>
  <c r="J24" i="91"/>
  <c r="K24" i="91" s="1"/>
  <c r="C23" i="170"/>
  <c r="E24" i="170"/>
  <c r="J24" i="170"/>
  <c r="K24" i="170" s="1"/>
  <c r="E23" i="48"/>
  <c r="C22" i="48"/>
  <c r="J23" i="48"/>
  <c r="K23" i="48" s="1"/>
  <c r="J49" i="133"/>
  <c r="I50" i="133"/>
  <c r="I49" i="59"/>
  <c r="J48" i="59"/>
  <c r="C22" i="153"/>
  <c r="E23" i="153"/>
  <c r="J23" i="153"/>
  <c r="K23" i="153" s="1"/>
  <c r="I48" i="48"/>
  <c r="J47" i="48"/>
  <c r="C22" i="151"/>
  <c r="E23" i="151"/>
  <c r="J23" i="151"/>
  <c r="K23" i="151" s="1"/>
  <c r="AU25" i="2"/>
  <c r="C23" i="50"/>
  <c r="E24" i="50"/>
  <c r="AT24" i="2"/>
  <c r="J24" i="50"/>
  <c r="K24" i="50" s="1"/>
  <c r="K44" i="54"/>
  <c r="E24" i="143"/>
  <c r="C23" i="143"/>
  <c r="J24" i="143"/>
  <c r="K24" i="143" s="1"/>
  <c r="HZ24" i="2"/>
  <c r="J49" i="15"/>
  <c r="I50" i="15"/>
  <c r="C20" i="141"/>
  <c r="E21" i="141"/>
  <c r="J21" i="141"/>
  <c r="K21" i="141" s="1"/>
  <c r="C22" i="134"/>
  <c r="E23" i="134"/>
  <c r="EZ23" i="2"/>
  <c r="J23" i="134"/>
  <c r="K23" i="134" s="1"/>
  <c r="E22" i="9"/>
  <c r="C21" i="9"/>
  <c r="J22" i="9"/>
  <c r="K22" i="9" s="1"/>
  <c r="E22" i="161"/>
  <c r="C21" i="161"/>
  <c r="J22" i="161"/>
  <c r="K22" i="161" s="1"/>
  <c r="I46" i="137"/>
  <c r="J45" i="137"/>
  <c r="K44" i="137" s="1"/>
  <c r="C22" i="101"/>
  <c r="E23" i="101"/>
  <c r="J23" i="101"/>
  <c r="K23" i="101" s="1"/>
  <c r="K44" i="116"/>
  <c r="I46" i="168"/>
  <c r="J45" i="168"/>
  <c r="K43" i="154"/>
  <c r="I47" i="68"/>
  <c r="J46" i="68"/>
  <c r="K45" i="68" s="1"/>
  <c r="C21" i="57"/>
  <c r="E22" i="57"/>
  <c r="J22" i="57"/>
  <c r="K22" i="57" s="1"/>
  <c r="J45" i="54"/>
  <c r="I46" i="54"/>
  <c r="K44" i="39"/>
  <c r="E21" i="123"/>
  <c r="C20" i="123"/>
  <c r="J21" i="123"/>
  <c r="K21" i="123" s="1"/>
  <c r="C23" i="92"/>
  <c r="E24" i="92"/>
  <c r="J24" i="92"/>
  <c r="K24" i="92" s="1"/>
  <c r="I46" i="154"/>
  <c r="J45" i="154"/>
  <c r="K44" i="154" s="1"/>
  <c r="K43" i="36"/>
  <c r="I46" i="116"/>
  <c r="J45" i="116"/>
  <c r="I47" i="60"/>
  <c r="J46" i="60"/>
  <c r="I47" i="18"/>
  <c r="J46" i="18"/>
  <c r="I49" i="82"/>
  <c r="J48" i="82"/>
  <c r="E20" i="59"/>
  <c r="C19" i="59"/>
  <c r="J20" i="59"/>
  <c r="K20" i="59" s="1"/>
  <c r="I46" i="4"/>
  <c r="J45" i="4"/>
  <c r="E23" i="169"/>
  <c r="C22" i="169"/>
  <c r="HY23" i="2"/>
  <c r="J23" i="169"/>
  <c r="K23" i="169" s="1"/>
  <c r="I46" i="39"/>
  <c r="J45" i="39"/>
  <c r="J44" i="36"/>
  <c r="I45" i="36"/>
  <c r="K45" i="129"/>
  <c r="K45" i="60"/>
  <c r="J44" i="166"/>
  <c r="K43" i="166" s="1"/>
  <c r="I45" i="166"/>
  <c r="C23" i="174"/>
  <c r="E24" i="174"/>
  <c r="J24" i="174"/>
  <c r="K24" i="174" s="1"/>
  <c r="K46" i="82"/>
  <c r="C16" i="98"/>
  <c r="E17" i="98"/>
  <c r="J17" i="98"/>
  <c r="K17" i="98" s="1"/>
  <c r="K46" i="156"/>
  <c r="E22" i="99"/>
  <c r="C21" i="99"/>
  <c r="J22" i="99"/>
  <c r="K22" i="99" s="1"/>
  <c r="J44" i="96"/>
  <c r="I45" i="96"/>
  <c r="I46" i="20"/>
  <c r="J45" i="20"/>
  <c r="E24" i="28"/>
  <c r="C23" i="28"/>
  <c r="J24" i="28"/>
  <c r="K24" i="28" s="1"/>
  <c r="K45" i="63"/>
  <c r="J46" i="23"/>
  <c r="I47" i="23"/>
  <c r="I47" i="129"/>
  <c r="J46" i="129"/>
  <c r="J46" i="167"/>
  <c r="I47" i="167"/>
  <c r="E21" i="120"/>
  <c r="C20" i="120"/>
  <c r="J21" i="120"/>
  <c r="K21" i="120" s="1"/>
  <c r="I48" i="156"/>
  <c r="J47" i="156"/>
  <c r="J47" i="152"/>
  <c r="K46" i="152" s="1"/>
  <c r="I48" i="152"/>
  <c r="E22" i="118"/>
  <c r="C21" i="118"/>
  <c r="J22" i="118"/>
  <c r="K22" i="118" s="1"/>
  <c r="I49" i="24"/>
  <c r="E23" i="145"/>
  <c r="C22" i="145"/>
  <c r="J23" i="145"/>
  <c r="K23" i="145" s="1"/>
  <c r="J46" i="63"/>
  <c r="I47" i="63"/>
  <c r="K43" i="69"/>
  <c r="EP24" i="2"/>
  <c r="E22" i="11"/>
  <c r="C21" i="11"/>
  <c r="J22" i="11"/>
  <c r="K22" i="11" s="1"/>
  <c r="K43" i="11"/>
  <c r="E22" i="66"/>
  <c r="C21" i="66"/>
  <c r="J22" i="66"/>
  <c r="K22" i="66" s="1"/>
  <c r="E24" i="56"/>
  <c r="C23" i="56"/>
  <c r="J24" i="56"/>
  <c r="K24" i="56" s="1"/>
  <c r="K45" i="158"/>
  <c r="I50" i="145"/>
  <c r="J49" i="145"/>
  <c r="E22" i="94"/>
  <c r="C21" i="94"/>
  <c r="J22" i="94"/>
  <c r="K22" i="94" s="1"/>
  <c r="I47" i="115"/>
  <c r="J46" i="115"/>
  <c r="J45" i="131"/>
  <c r="I46" i="131"/>
  <c r="C23" i="55"/>
  <c r="E24" i="55"/>
  <c r="J24" i="55"/>
  <c r="K24" i="55" s="1"/>
  <c r="I48" i="77"/>
  <c r="J47" i="77"/>
  <c r="E22" i="75"/>
  <c r="C21" i="75"/>
  <c r="J22" i="75"/>
  <c r="K22" i="75" s="1"/>
  <c r="K46" i="29"/>
  <c r="J44" i="69"/>
  <c r="I45" i="69"/>
  <c r="E23" i="97"/>
  <c r="C22" i="97"/>
  <c r="J23" i="97"/>
  <c r="K23" i="97" s="1"/>
  <c r="K62" i="150"/>
  <c r="I45" i="11"/>
  <c r="J44" i="11"/>
  <c r="J44" i="147"/>
  <c r="I45" i="147"/>
  <c r="J46" i="158"/>
  <c r="I47" i="158"/>
  <c r="K47" i="145"/>
  <c r="C19" i="105"/>
  <c r="E20" i="105"/>
  <c r="J20" i="105"/>
  <c r="K20" i="105" s="1"/>
  <c r="J47" i="127"/>
  <c r="I48" i="127"/>
  <c r="K45" i="115"/>
  <c r="C19" i="45"/>
  <c r="E20" i="45"/>
  <c r="J20" i="45"/>
  <c r="K20" i="45" s="1"/>
  <c r="C23" i="100"/>
  <c r="E24" i="100"/>
  <c r="J24" i="100"/>
  <c r="K24" i="100" s="1"/>
  <c r="K45" i="92"/>
  <c r="C21" i="18"/>
  <c r="E22" i="18"/>
  <c r="J22" i="18"/>
  <c r="K22" i="18" s="1"/>
  <c r="K44" i="115"/>
  <c r="K45" i="113"/>
  <c r="C23" i="49"/>
  <c r="E24" i="49"/>
  <c r="J24" i="49"/>
  <c r="K24" i="49" s="1"/>
  <c r="J46" i="92"/>
  <c r="I47" i="92"/>
  <c r="I46" i="123"/>
  <c r="J45" i="123"/>
  <c r="J46" i="113"/>
  <c r="I47" i="113"/>
  <c r="I48" i="89"/>
  <c r="J47" i="89"/>
  <c r="K44" i="126"/>
  <c r="K44" i="131"/>
  <c r="K46" i="77"/>
  <c r="I48" i="29"/>
  <c r="J47" i="29"/>
  <c r="I64" i="150"/>
  <c r="J63" i="150"/>
  <c r="C21" i="64"/>
  <c r="E22" i="64"/>
  <c r="J22" i="64"/>
  <c r="K22" i="64" s="1"/>
  <c r="K43" i="147"/>
  <c r="K47" i="22"/>
  <c r="K46" i="127"/>
  <c r="E22" i="113"/>
  <c r="C21" i="113"/>
  <c r="J22" i="113"/>
  <c r="K22" i="113" s="1"/>
  <c r="K46" i="89"/>
  <c r="I46" i="85"/>
  <c r="J45" i="85"/>
  <c r="E17" i="82"/>
  <c r="C16" i="82"/>
  <c r="J17" i="82"/>
  <c r="K17" i="82" s="1"/>
  <c r="I46" i="126"/>
  <c r="J45" i="126"/>
  <c r="I45" i="100"/>
  <c r="J44" i="100"/>
  <c r="I49" i="32"/>
  <c r="J48" i="32"/>
  <c r="K47" i="32" s="1"/>
  <c r="C21" i="126"/>
  <c r="E22" i="126"/>
  <c r="J22" i="126"/>
  <c r="K22" i="126" s="1"/>
  <c r="C20" i="72"/>
  <c r="E21" i="72"/>
  <c r="J21" i="72"/>
  <c r="K21" i="72" s="1"/>
  <c r="C18" i="32"/>
  <c r="E19" i="32"/>
  <c r="J19" i="32"/>
  <c r="K19" i="32" s="1"/>
  <c r="E24" i="172"/>
  <c r="C23" i="172"/>
  <c r="J24" i="172"/>
  <c r="K24" i="172" s="1"/>
  <c r="I49" i="22"/>
  <c r="J48" i="22"/>
  <c r="K44" i="80"/>
  <c r="J45" i="70"/>
  <c r="I46" i="70"/>
  <c r="C20" i="73"/>
  <c r="E21" i="73"/>
  <c r="J21" i="73"/>
  <c r="K21" i="73" s="1"/>
  <c r="K44" i="20"/>
  <c r="I48" i="51"/>
  <c r="J47" i="51"/>
  <c r="I46" i="50"/>
  <c r="J45" i="50"/>
  <c r="E23" i="15"/>
  <c r="C22" i="15"/>
  <c r="J23" i="15"/>
  <c r="K23" i="15" s="1"/>
  <c r="HZ25" i="2"/>
  <c r="C23" i="53"/>
  <c r="E24" i="53"/>
  <c r="J24" i="53"/>
  <c r="K24" i="53" s="1"/>
  <c r="K43" i="100"/>
  <c r="K44" i="5"/>
  <c r="C23" i="155"/>
  <c r="E24" i="155"/>
  <c r="J24" i="155"/>
  <c r="K24" i="155" s="1"/>
  <c r="E23" i="154"/>
  <c r="C22" i="154"/>
  <c r="J23" i="154"/>
  <c r="K23" i="154" s="1"/>
  <c r="I46" i="80"/>
  <c r="J45" i="80"/>
  <c r="J47" i="62"/>
  <c r="K46" i="62" s="1"/>
  <c r="I48" i="62"/>
  <c r="K46" i="51"/>
  <c r="K45" i="83"/>
  <c r="J46" i="28"/>
  <c r="I47" i="28"/>
  <c r="Y25" i="2"/>
  <c r="E21" i="86"/>
  <c r="C20" i="86"/>
  <c r="J21" i="86"/>
  <c r="K21" i="86" s="1"/>
  <c r="I49" i="94"/>
  <c r="J48" i="94"/>
  <c r="E23" i="76"/>
  <c r="C22" i="76"/>
  <c r="J23" i="76"/>
  <c r="K23" i="76" s="1"/>
  <c r="I48" i="122"/>
  <c r="J47" i="122"/>
  <c r="I46" i="155"/>
  <c r="J45" i="155"/>
  <c r="K44" i="155" s="1"/>
  <c r="I46" i="5"/>
  <c r="J45" i="5"/>
  <c r="E21" i="168"/>
  <c r="C20" i="168"/>
  <c r="J21" i="168"/>
  <c r="K21" i="168" s="1"/>
  <c r="J47" i="117"/>
  <c r="K46" i="117" s="1"/>
  <c r="I48" i="117"/>
  <c r="C23" i="3"/>
  <c r="E24" i="3"/>
  <c r="J24" i="3"/>
  <c r="K24" i="3" s="1"/>
  <c r="C22" i="114"/>
  <c r="E23" i="114"/>
  <c r="J23" i="114"/>
  <c r="K23" i="114" s="1"/>
  <c r="J49" i="61"/>
  <c r="I50" i="61"/>
  <c r="I48" i="128"/>
  <c r="J47" i="128"/>
  <c r="C21" i="65"/>
  <c r="E22" i="65"/>
  <c r="J22" i="65"/>
  <c r="K22" i="65" s="1"/>
  <c r="E22" i="167"/>
  <c r="C21" i="167"/>
  <c r="J22" i="167"/>
  <c r="K22" i="167" s="1"/>
  <c r="E22" i="5"/>
  <c r="C21" i="5"/>
  <c r="J22" i="5"/>
  <c r="K22" i="5" s="1"/>
  <c r="I47" i="10"/>
  <c r="J46" i="10"/>
  <c r="K45" i="10" s="1"/>
  <c r="J47" i="132"/>
  <c r="K46" i="132" s="1"/>
  <c r="I48" i="132"/>
  <c r="I47" i="83"/>
  <c r="J46" i="83"/>
  <c r="C21" i="144"/>
  <c r="E22" i="144"/>
  <c r="J22" i="144"/>
  <c r="K22" i="144" s="1"/>
  <c r="C23" i="12"/>
  <c r="M24" i="1"/>
  <c r="E24" i="12"/>
  <c r="X24" i="2"/>
  <c r="J24" i="12"/>
  <c r="K24" i="12" s="1"/>
  <c r="K47" i="94"/>
  <c r="I46" i="111"/>
  <c r="J45" i="111"/>
  <c r="K46" i="122"/>
  <c r="J44" i="35"/>
  <c r="I45" i="35"/>
  <c r="E22" i="128"/>
  <c r="C21" i="128"/>
  <c r="J22" i="128"/>
  <c r="K22" i="128" s="1"/>
  <c r="CW23" i="2"/>
  <c r="K43" i="116"/>
  <c r="E22" i="130"/>
  <c r="C21" i="130"/>
  <c r="J22" i="130"/>
  <c r="K22" i="130" s="1"/>
  <c r="IV24" i="2"/>
  <c r="K44" i="111"/>
  <c r="C21" i="139"/>
  <c r="E22" i="139"/>
  <c r="J22" i="139"/>
  <c r="K22" i="139" s="1"/>
  <c r="C20" i="62"/>
  <c r="E21" i="62"/>
  <c r="J21" i="62"/>
  <c r="K21" i="62" s="1"/>
  <c r="J46" i="157"/>
  <c r="I47" i="157"/>
  <c r="K44" i="49"/>
  <c r="J45" i="33"/>
  <c r="K44" i="33" s="1"/>
  <c r="I46" i="33"/>
  <c r="J47" i="172"/>
  <c r="I48" i="172"/>
  <c r="E23" i="77"/>
  <c r="C22" i="77"/>
  <c r="J23" i="77"/>
  <c r="K23" i="77" s="1"/>
  <c r="K44" i="123"/>
  <c r="E19" i="138"/>
  <c r="C18" i="138"/>
  <c r="J19" i="138"/>
  <c r="K19" i="138" s="1"/>
  <c r="I45" i="130"/>
  <c r="J44" i="130"/>
  <c r="K43" i="56"/>
  <c r="I45" i="8"/>
  <c r="J44" i="8"/>
  <c r="K43" i="8" s="1"/>
  <c r="K44" i="92"/>
  <c r="I45" i="45"/>
  <c r="J44" i="45"/>
  <c r="K43" i="45" s="1"/>
  <c r="K43" i="130"/>
  <c r="N25" i="1"/>
  <c r="E22" i="22"/>
  <c r="C21" i="22"/>
  <c r="J22" i="22"/>
  <c r="K22" i="22" s="1"/>
  <c r="K45" i="101"/>
  <c r="E21" i="124"/>
  <c r="C20" i="124"/>
  <c r="J21" i="124"/>
  <c r="K21" i="124" s="1"/>
  <c r="K45" i="157"/>
  <c r="J45" i="49"/>
  <c r="I46" i="49"/>
  <c r="K45" i="139"/>
  <c r="DI24" i="2"/>
  <c r="C22" i="95"/>
  <c r="E23" i="95"/>
  <c r="J23" i="95"/>
  <c r="K23" i="95" s="1"/>
  <c r="BQ25" i="2"/>
  <c r="C20" i="47"/>
  <c r="E21" i="47"/>
  <c r="J21" i="47"/>
  <c r="K21" i="47" s="1"/>
  <c r="E22" i="112"/>
  <c r="C21" i="112"/>
  <c r="J22" i="112"/>
  <c r="K22" i="112" s="1"/>
  <c r="K44" i="86"/>
  <c r="I46" i="170"/>
  <c r="J45" i="170"/>
  <c r="K44" i="170" s="1"/>
  <c r="K44" i="50"/>
  <c r="C20" i="159"/>
  <c r="E21" i="159"/>
  <c r="J21" i="159"/>
  <c r="K21" i="159" s="1"/>
  <c r="FL24" i="2"/>
  <c r="K43" i="40"/>
  <c r="FW25" i="2"/>
  <c r="E23" i="13"/>
  <c r="C22" i="13"/>
  <c r="J23" i="13"/>
  <c r="K23" i="13" s="1"/>
  <c r="E23" i="44"/>
  <c r="C22" i="44"/>
  <c r="J23" i="44"/>
  <c r="K23" i="44" s="1"/>
  <c r="J47" i="101"/>
  <c r="I48" i="101"/>
  <c r="I46" i="97"/>
  <c r="J45" i="97"/>
  <c r="I45" i="64"/>
  <c r="J44" i="64"/>
  <c r="I47" i="139"/>
  <c r="J46" i="139"/>
  <c r="E20" i="34"/>
  <c r="C19" i="34"/>
  <c r="J20" i="34"/>
  <c r="K20" i="34" s="1"/>
  <c r="Y25" i="1"/>
  <c r="E22" i="67"/>
  <c r="C21" i="67"/>
  <c r="J22" i="67"/>
  <c r="K22" i="67" s="1"/>
  <c r="E21" i="37"/>
  <c r="C20" i="37"/>
  <c r="J21" i="37"/>
  <c r="K21" i="37" s="1"/>
  <c r="E24" i="52"/>
  <c r="C23" i="52"/>
  <c r="BP24" i="2"/>
  <c r="J24" i="52"/>
  <c r="K24" i="52" s="1"/>
  <c r="J45" i="86"/>
  <c r="I46" i="86"/>
  <c r="DT23" i="2"/>
  <c r="I45" i="91"/>
  <c r="J44" i="91"/>
  <c r="E23" i="147"/>
  <c r="C22" i="147"/>
  <c r="J23" i="147"/>
  <c r="K23" i="147" s="1"/>
  <c r="I45" i="40"/>
  <c r="J44" i="40"/>
  <c r="E24" i="14"/>
  <c r="C23" i="14"/>
  <c r="J24" i="14"/>
  <c r="K24" i="14" s="1"/>
  <c r="J45" i="169"/>
  <c r="I46" i="169"/>
  <c r="K44" i="97"/>
  <c r="K43" i="97"/>
  <c r="E23" i="10"/>
  <c r="C22" i="10"/>
  <c r="J23" i="10"/>
  <c r="K23" i="10" s="1"/>
  <c r="E20" i="102"/>
  <c r="C19" i="102"/>
  <c r="J20" i="102"/>
  <c r="K20" i="102" s="1"/>
  <c r="I48" i="98"/>
  <c r="J47" i="98"/>
  <c r="K46" i="98" s="1"/>
  <c r="C23" i="42"/>
  <c r="E24" i="42"/>
  <c r="J24" i="42"/>
  <c r="K24" i="42" s="1"/>
  <c r="FV24" i="2"/>
  <c r="J45" i="52"/>
  <c r="I46" i="52"/>
  <c r="E22" i="135"/>
  <c r="C21" i="135"/>
  <c r="J22" i="135"/>
  <c r="K22" i="135" s="1"/>
  <c r="C22" i="133"/>
  <c r="E23" i="133"/>
  <c r="J23" i="133"/>
  <c r="K23" i="133" s="1"/>
  <c r="DH23" i="2"/>
  <c r="E24" i="29"/>
  <c r="C23" i="29"/>
  <c r="J24" i="29"/>
  <c r="K24" i="29" s="1"/>
  <c r="X24" i="1"/>
  <c r="E23" i="119"/>
  <c r="C22" i="119"/>
  <c r="J23" i="119"/>
  <c r="K23" i="119" s="1"/>
  <c r="HN24" i="2"/>
  <c r="I50" i="75"/>
  <c r="J49" i="75"/>
  <c r="K48" i="75" s="1"/>
  <c r="I46" i="114"/>
  <c r="J45" i="114"/>
  <c r="K44" i="114" s="1"/>
  <c r="AI24" i="2"/>
  <c r="E22" i="129"/>
  <c r="C21" i="129"/>
  <c r="J22" i="129"/>
  <c r="K22" i="129" s="1"/>
  <c r="DS22" i="2"/>
  <c r="E22" i="17"/>
  <c r="C21" i="17"/>
  <c r="J22" i="17"/>
  <c r="K22" i="17" s="1"/>
  <c r="K43" i="96"/>
  <c r="E22" i="110"/>
  <c r="C21" i="110"/>
  <c r="J22" i="110"/>
  <c r="K22" i="110" s="1"/>
  <c r="K44" i="4"/>
  <c r="I46" i="56"/>
  <c r="J45" i="56"/>
  <c r="K44" i="56" s="1"/>
  <c r="C21" i="60"/>
  <c r="E22" i="60"/>
  <c r="J22" i="60"/>
  <c r="K22" i="60" s="1"/>
  <c r="J44" i="90"/>
  <c r="I45" i="90"/>
  <c r="K44" i="161"/>
  <c r="K44" i="162"/>
  <c r="K45" i="159"/>
  <c r="K44" i="83"/>
  <c r="E23" i="142"/>
  <c r="C22" i="142"/>
  <c r="J23" i="142"/>
  <c r="K23" i="142" s="1"/>
  <c r="C20" i="171"/>
  <c r="E21" i="171"/>
  <c r="J21" i="171"/>
  <c r="K21" i="171" s="1"/>
  <c r="C21" i="150"/>
  <c r="E22" i="150"/>
  <c r="J22" i="150"/>
  <c r="K22" i="150" s="1"/>
  <c r="I50" i="7"/>
  <c r="J49" i="7"/>
  <c r="E22" i="25"/>
  <c r="C21" i="25"/>
  <c r="J22" i="25"/>
  <c r="K22" i="25" s="1"/>
  <c r="K42" i="36"/>
  <c r="E20" i="111"/>
  <c r="C19" i="111"/>
  <c r="J20" i="111"/>
  <c r="K20" i="111" s="1"/>
  <c r="K44" i="103"/>
  <c r="E23" i="132"/>
  <c r="C22" i="132"/>
  <c r="J23" i="132"/>
  <c r="K23" i="132" s="1"/>
  <c r="K46" i="164"/>
  <c r="J45" i="162"/>
  <c r="I46" i="162"/>
  <c r="I45" i="171"/>
  <c r="J44" i="171"/>
  <c r="E24" i="107"/>
  <c r="C23" i="107"/>
  <c r="J24" i="107"/>
  <c r="K24" i="107" s="1"/>
  <c r="K43" i="143"/>
  <c r="E24" i="90"/>
  <c r="C23" i="90"/>
  <c r="J24" i="90"/>
  <c r="K24" i="90" s="1"/>
  <c r="K48" i="7"/>
  <c r="E19" i="157"/>
  <c r="C18" i="157"/>
  <c r="J19" i="157"/>
  <c r="K19" i="157" s="1"/>
  <c r="K44" i="19"/>
  <c r="I46" i="3"/>
  <c r="J45" i="3"/>
  <c r="I45" i="65"/>
  <c r="J44" i="65"/>
  <c r="K43" i="65" s="1"/>
  <c r="E21" i="26"/>
  <c r="C20" i="26"/>
  <c r="J21" i="26"/>
  <c r="K21" i="26" s="1"/>
  <c r="I46" i="103"/>
  <c r="J45" i="103"/>
  <c r="C22" i="140"/>
  <c r="E23" i="140"/>
  <c r="AI23" i="2"/>
  <c r="J23" i="140"/>
  <c r="K23" i="140" s="1"/>
  <c r="K45" i="172"/>
  <c r="E23" i="21"/>
  <c r="C22" i="21"/>
  <c r="J23" i="21"/>
  <c r="K23" i="21" s="1"/>
  <c r="I48" i="164"/>
  <c r="J47" i="164"/>
  <c r="K42" i="45"/>
  <c r="C23" i="121"/>
  <c r="E24" i="121"/>
  <c r="J24" i="121"/>
  <c r="K24" i="121" s="1"/>
  <c r="EE25" i="2"/>
  <c r="J47" i="107"/>
  <c r="K46" i="107" s="1"/>
  <c r="I48" i="107"/>
  <c r="C21" i="68"/>
  <c r="E22" i="68"/>
  <c r="J22" i="68"/>
  <c r="K22" i="68" s="1"/>
  <c r="I45" i="143"/>
  <c r="J44" i="143"/>
  <c r="J44" i="148"/>
  <c r="I45" i="148"/>
  <c r="I48" i="26"/>
  <c r="J47" i="26"/>
  <c r="K45" i="25"/>
  <c r="I46" i="19"/>
  <c r="J45" i="19"/>
  <c r="K44" i="3"/>
  <c r="J46" i="165"/>
  <c r="I47" i="165"/>
  <c r="C22" i="89"/>
  <c r="E23" i="89"/>
  <c r="J23" i="89"/>
  <c r="K23" i="89" s="1"/>
  <c r="HN23" i="2"/>
  <c r="C22" i="108"/>
  <c r="E23" i="108"/>
  <c r="J23" i="108"/>
  <c r="K23" i="108" s="1"/>
  <c r="K43" i="170"/>
  <c r="K42" i="96"/>
  <c r="J45" i="161"/>
  <c r="I46" i="161"/>
  <c r="J44" i="17"/>
  <c r="I45" i="17"/>
  <c r="I47" i="72"/>
  <c r="J46" i="72"/>
  <c r="I47" i="159"/>
  <c r="J46" i="159"/>
  <c r="K48" i="133"/>
  <c r="I45" i="38"/>
  <c r="J44" i="38"/>
  <c r="K43" i="38"/>
  <c r="K45" i="89"/>
  <c r="J45" i="104"/>
  <c r="I46" i="104"/>
  <c r="E23" i="78"/>
  <c r="C22" i="78"/>
  <c r="J23" i="78"/>
  <c r="K23" i="78" s="1"/>
  <c r="I47" i="99"/>
  <c r="J46" i="99"/>
  <c r="K43" i="148"/>
  <c r="K42" i="148"/>
  <c r="J46" i="25"/>
  <c r="I47" i="25"/>
  <c r="K45" i="122"/>
  <c r="K44" i="21"/>
  <c r="I47" i="93"/>
  <c r="J46" i="93"/>
  <c r="C20" i="85"/>
  <c r="E21" i="85"/>
  <c r="J21" i="85"/>
  <c r="K21" i="85" s="1"/>
  <c r="C23" i="136"/>
  <c r="E24" i="136"/>
  <c r="J24" i="136"/>
  <c r="K24" i="136" s="1"/>
  <c r="J45" i="119"/>
  <c r="I46" i="119"/>
  <c r="K43" i="119"/>
  <c r="J44" i="163"/>
  <c r="I45" i="163"/>
  <c r="I46" i="21"/>
  <c r="J45" i="21"/>
  <c r="K45" i="93"/>
  <c r="E23" i="122"/>
  <c r="C22" i="122"/>
  <c r="J23" i="122"/>
  <c r="K23" i="122" s="1"/>
  <c r="I46" i="88"/>
  <c r="J45" i="88"/>
  <c r="E21" i="84"/>
  <c r="C20" i="84"/>
  <c r="J21" i="84"/>
  <c r="K21" i="84" s="1"/>
  <c r="I47" i="41"/>
  <c r="J46" i="41"/>
  <c r="C22" i="70"/>
  <c r="E23" i="70"/>
  <c r="J23" i="70"/>
  <c r="K23" i="70" s="1"/>
  <c r="I45" i="43"/>
  <c r="J44" i="43"/>
  <c r="I46" i="144"/>
  <c r="J45" i="144"/>
  <c r="I48" i="78"/>
  <c r="J47" i="78"/>
  <c r="K42" i="130"/>
  <c r="E21" i="106"/>
  <c r="C20" i="106"/>
  <c r="J21" i="106"/>
  <c r="K21" i="106" s="1"/>
  <c r="K47" i="59"/>
  <c r="E20" i="165"/>
  <c r="C19" i="165"/>
  <c r="J20" i="165"/>
  <c r="K20" i="165" s="1"/>
  <c r="C22" i="80"/>
  <c r="E23" i="80"/>
  <c r="J23" i="80"/>
  <c r="K23" i="80" s="1"/>
  <c r="J49" i="12"/>
  <c r="I50" i="12"/>
  <c r="I46" i="73"/>
  <c r="J45" i="73"/>
  <c r="C19" i="43"/>
  <c r="E20" i="43"/>
  <c r="J20" i="43"/>
  <c r="K20" i="43" s="1"/>
  <c r="K45" i="149"/>
  <c r="K44" i="88"/>
  <c r="K45" i="41"/>
  <c r="I46" i="106"/>
  <c r="J45" i="106"/>
  <c r="E21" i="51"/>
  <c r="C20" i="51"/>
  <c r="J21" i="51"/>
  <c r="K21" i="51" s="1"/>
  <c r="AJ25" i="1"/>
  <c r="K43" i="111"/>
  <c r="C20" i="40"/>
  <c r="E21" i="40"/>
  <c r="J21" i="40"/>
  <c r="K21" i="40" s="1"/>
  <c r="K45" i="118"/>
  <c r="K48" i="12"/>
  <c r="K44" i="73"/>
  <c r="CB25" i="1"/>
  <c r="I45" i="81"/>
  <c r="J44" i="81"/>
  <c r="K43" i="81" s="1"/>
  <c r="I47" i="149"/>
  <c r="J46" i="149"/>
  <c r="J45" i="87"/>
  <c r="I46" i="87"/>
  <c r="K44" i="121"/>
  <c r="K44" i="106"/>
  <c r="K43" i="91"/>
  <c r="I46" i="84"/>
  <c r="J45" i="84"/>
  <c r="I49" i="14"/>
  <c r="J48" i="14"/>
  <c r="K47" i="14" s="1"/>
  <c r="K43" i="55"/>
  <c r="J44" i="112"/>
  <c r="I45" i="112"/>
  <c r="E21" i="127"/>
  <c r="C20" i="127"/>
  <c r="J21" i="127"/>
  <c r="K21" i="127" s="1"/>
  <c r="C21" i="103"/>
  <c r="E22" i="103"/>
  <c r="J22" i="103"/>
  <c r="K22" i="103" s="1"/>
  <c r="D63" i="2"/>
  <c r="DU63" i="2"/>
  <c r="AK63" i="2"/>
  <c r="HP63" i="2"/>
  <c r="CY63" i="2"/>
  <c r="O63" i="2"/>
  <c r="FB63" i="2"/>
  <c r="CN63" i="2"/>
  <c r="EQ63" i="2"/>
  <c r="IA63" i="2"/>
  <c r="CC63" i="2"/>
  <c r="IW63" i="2"/>
  <c r="DJ63" i="2"/>
  <c r="Z63" i="2"/>
  <c r="GT63" i="2"/>
  <c r="BG63" i="2"/>
  <c r="AV63" i="2"/>
  <c r="EF63" i="2"/>
  <c r="BR63" i="2"/>
  <c r="FX63" i="2"/>
  <c r="IL63" i="2"/>
  <c r="FM63" i="2"/>
  <c r="HE63" i="2"/>
  <c r="I47" i="118"/>
  <c r="J46" i="118"/>
  <c r="E19" i="87"/>
  <c r="C18" i="87"/>
  <c r="J19" i="87"/>
  <c r="K19" i="87" s="1"/>
  <c r="E24" i="6"/>
  <c r="C23" i="6"/>
  <c r="CA24" i="1"/>
  <c r="C18" i="146"/>
  <c r="E19" i="146"/>
  <c r="J19" i="146"/>
  <c r="K19" i="146" s="1"/>
  <c r="E24" i="27"/>
  <c r="C23" i="27"/>
  <c r="IJ23" i="2" s="1"/>
  <c r="J24" i="27"/>
  <c r="K24" i="27" s="1"/>
  <c r="K44" i="87"/>
  <c r="J45" i="121"/>
  <c r="I46" i="121"/>
  <c r="K44" i="129"/>
  <c r="GR24" i="2"/>
  <c r="K43" i="43"/>
  <c r="J45" i="151"/>
  <c r="I46" i="151"/>
  <c r="E19" i="30"/>
  <c r="C18" i="30"/>
  <c r="J19" i="30"/>
  <c r="K19" i="30" s="1"/>
  <c r="J46" i="66"/>
  <c r="I47" i="66"/>
  <c r="E21" i="115"/>
  <c r="C20" i="115"/>
  <c r="J21" i="115"/>
  <c r="K21" i="115" s="1"/>
  <c r="K42" i="143"/>
  <c r="C22" i="20"/>
  <c r="E23" i="20"/>
  <c r="J23" i="20"/>
  <c r="K23" i="20" s="1"/>
  <c r="I49" i="27"/>
  <c r="J48" i="27"/>
  <c r="D63" i="1"/>
  <c r="AV63" i="1"/>
  <c r="BR63" i="1"/>
  <c r="O63" i="1"/>
  <c r="CC63" i="1"/>
  <c r="Z63" i="1"/>
  <c r="AK63" i="1"/>
  <c r="BQ25" i="1"/>
  <c r="I46" i="31"/>
  <c r="J45" i="31"/>
  <c r="J47" i="142"/>
  <c r="K46" i="142" s="1"/>
  <c r="I48" i="142"/>
  <c r="K43" i="90"/>
  <c r="K46" i="48"/>
  <c r="C22" i="71"/>
  <c r="E23" i="71"/>
  <c r="J23" i="71"/>
  <c r="K23" i="71" s="1"/>
  <c r="K44" i="151"/>
  <c r="K42" i="38"/>
  <c r="E24" i="46"/>
  <c r="C23" i="46"/>
  <c r="J24" i="46"/>
  <c r="K24" i="46" s="1"/>
  <c r="K45" i="66"/>
  <c r="K43" i="58"/>
  <c r="I46" i="76"/>
  <c r="J45" i="76"/>
  <c r="I49" i="42"/>
  <c r="J48" i="42"/>
  <c r="I48" i="9"/>
  <c r="J47" i="9"/>
  <c r="K45" i="77"/>
  <c r="BG63" i="1"/>
  <c r="BF63" i="1"/>
  <c r="E21" i="163"/>
  <c r="C20" i="163"/>
  <c r="J21" i="163"/>
  <c r="K21" i="163" s="1"/>
  <c r="E24" i="58"/>
  <c r="C23" i="58"/>
  <c r="CA23" i="2" s="1"/>
  <c r="J24" i="58"/>
  <c r="K24" i="58" s="1"/>
  <c r="E22" i="16"/>
  <c r="C21" i="16"/>
  <c r="J22" i="16"/>
  <c r="K22" i="16" s="1"/>
  <c r="HD25" i="2"/>
  <c r="K42" i="147"/>
  <c r="C20" i="61"/>
  <c r="E21" i="61"/>
  <c r="J21" i="61"/>
  <c r="K21" i="61" s="1"/>
  <c r="K45" i="117"/>
  <c r="K43" i="31"/>
  <c r="E23" i="36"/>
  <c r="C22" i="36"/>
  <c r="J23" i="36"/>
  <c r="K23" i="36" s="1"/>
  <c r="J45" i="108"/>
  <c r="I46" i="108"/>
  <c r="E23" i="164"/>
  <c r="C22" i="164"/>
  <c r="J23" i="164"/>
  <c r="K23" i="164" s="1"/>
  <c r="K43" i="50"/>
  <c r="I45" i="160"/>
  <c r="J44" i="160"/>
  <c r="K43" i="160" s="1"/>
  <c r="C22" i="162"/>
  <c r="E23" i="162"/>
  <c r="J23" i="162"/>
  <c r="K23" i="162" s="1"/>
  <c r="BF24" i="2"/>
  <c r="K43" i="54"/>
  <c r="K44" i="72"/>
  <c r="I45" i="58"/>
  <c r="J44" i="58"/>
  <c r="E21" i="173"/>
  <c r="C20" i="173"/>
  <c r="J21" i="173"/>
  <c r="K21" i="173" s="1"/>
  <c r="K47" i="42"/>
  <c r="K46" i="9"/>
  <c r="E23" i="33"/>
  <c r="C22" i="33"/>
  <c r="J23" i="33"/>
  <c r="K23" i="33" s="1"/>
  <c r="K45" i="107"/>
  <c r="C21" i="104"/>
  <c r="E22" i="104"/>
  <c r="J22" i="104"/>
  <c r="K22" i="104" s="1"/>
  <c r="GH63" i="2"/>
  <c r="GI63" i="2"/>
  <c r="C23" i="158"/>
  <c r="E24" i="158"/>
  <c r="J24" i="158"/>
  <c r="K24" i="158" s="1"/>
  <c r="K46" i="16"/>
  <c r="K43" i="5"/>
  <c r="I49" i="71"/>
  <c r="J48" i="71"/>
  <c r="C21" i="4"/>
  <c r="E22" i="4"/>
  <c r="J22" i="4"/>
  <c r="K22" i="4" s="1"/>
  <c r="K42" i="166"/>
  <c r="CL24" i="2"/>
  <c r="K44" i="104"/>
  <c r="GS25" i="2"/>
  <c r="I45" i="55"/>
  <c r="J44" i="55"/>
  <c r="K46" i="78"/>
  <c r="K43" i="104"/>
  <c r="E20" i="131"/>
  <c r="C19" i="131"/>
  <c r="J20" i="131"/>
  <c r="K20" i="131" s="1"/>
  <c r="C61" i="24"/>
  <c r="E62" i="24"/>
  <c r="GG62" i="2"/>
  <c r="BE62" i="1"/>
  <c r="C62" i="2"/>
  <c r="C62" i="1"/>
  <c r="I48" i="16"/>
  <c r="J47" i="16"/>
  <c r="E23" i="35"/>
  <c r="C22" i="35"/>
  <c r="J23" i="35"/>
  <c r="K23" i="35" s="1"/>
  <c r="E22" i="81"/>
  <c r="C21" i="81"/>
  <c r="J22" i="81"/>
  <c r="K22" i="81" s="1"/>
  <c r="C23" i="8"/>
  <c r="E24" i="8"/>
  <c r="HC24" i="2"/>
  <c r="BP24" i="1"/>
  <c r="J24" i="8"/>
  <c r="K24" i="8" s="1"/>
  <c r="K47" i="71"/>
  <c r="K44" i="57"/>
  <c r="C18" i="166"/>
  <c r="E19" i="166"/>
  <c r="J19" i="166"/>
  <c r="K19" i="166" s="1"/>
  <c r="E22" i="137"/>
  <c r="C21" i="137"/>
  <c r="J22" i="137"/>
  <c r="K22" i="137" s="1"/>
  <c r="J44" i="34"/>
  <c r="K43" i="34" s="1"/>
  <c r="I45" i="34"/>
  <c r="I45" i="146"/>
  <c r="J44" i="146"/>
  <c r="C21" i="19"/>
  <c r="E22" i="19"/>
  <c r="J22" i="19"/>
  <c r="K22" i="19" s="1"/>
  <c r="C19" i="160"/>
  <c r="E20" i="160"/>
  <c r="J20" i="160"/>
  <c r="K20" i="160" s="1"/>
  <c r="I45" i="110"/>
  <c r="J44" i="110"/>
  <c r="E24" i="152"/>
  <c r="C23" i="152"/>
  <c r="J24" i="152"/>
  <c r="K24" i="152" s="1"/>
  <c r="E22" i="116"/>
  <c r="C21" i="116"/>
  <c r="J22" i="116"/>
  <c r="K22" i="116" s="1"/>
  <c r="J45" i="67"/>
  <c r="K44" i="67" s="1"/>
  <c r="I46" i="67"/>
  <c r="E23" i="88"/>
  <c r="C22" i="88"/>
  <c r="FK23" i="2"/>
  <c r="J23" i="88"/>
  <c r="K23" i="88" s="1"/>
  <c r="E24" i="93"/>
  <c r="C23" i="93"/>
  <c r="J24" i="93"/>
  <c r="K24" i="93" s="1"/>
  <c r="K43" i="120"/>
  <c r="K45" i="152"/>
  <c r="I50" i="46"/>
  <c r="J49" i="46"/>
  <c r="K48" i="46" s="1"/>
  <c r="C21" i="74"/>
  <c r="E22" i="74"/>
  <c r="J22" i="74"/>
  <c r="K22" i="74" s="1"/>
  <c r="I47" i="124"/>
  <c r="J46" i="124"/>
  <c r="K45" i="124" s="1"/>
  <c r="K48" i="74"/>
  <c r="J49" i="134"/>
  <c r="I50" i="134"/>
  <c r="I46" i="57"/>
  <c r="J45" i="57"/>
  <c r="E23" i="63"/>
  <c r="C22" i="63"/>
  <c r="J23" i="63"/>
  <c r="K23" i="63" s="1"/>
  <c r="CL23" i="2"/>
  <c r="E23" i="79"/>
  <c r="C22" i="79"/>
  <c r="J23" i="79"/>
  <c r="K23" i="79" s="1"/>
  <c r="K44" i="53"/>
  <c r="I45" i="125"/>
  <c r="J44" i="125"/>
  <c r="K43" i="125" s="1"/>
  <c r="AU25" i="1"/>
  <c r="J44" i="105"/>
  <c r="I45" i="105"/>
  <c r="K43" i="146"/>
  <c r="AI24" i="1"/>
  <c r="I45" i="120"/>
  <c r="J44" i="120"/>
  <c r="K42" i="8"/>
  <c r="C22" i="41"/>
  <c r="E23" i="41"/>
  <c r="BE23" i="2"/>
  <c r="J23" i="41"/>
  <c r="K23" i="41" s="1"/>
  <c r="K46" i="136"/>
  <c r="K42" i="55"/>
  <c r="K43" i="20"/>
  <c r="I47" i="37"/>
  <c r="J46" i="37"/>
  <c r="E22" i="148"/>
  <c r="C21" i="148"/>
  <c r="J22" i="148"/>
  <c r="K22" i="148" s="1"/>
  <c r="I47" i="30"/>
  <c r="J46" i="30"/>
  <c r="K45" i="30" s="1"/>
  <c r="I48" i="136"/>
  <c r="J47" i="136"/>
  <c r="I48" i="135"/>
  <c r="J47" i="135"/>
  <c r="K45" i="51"/>
  <c r="E23" i="125"/>
  <c r="C22" i="125"/>
  <c r="J23" i="125"/>
  <c r="K23" i="125" s="1"/>
  <c r="C20" i="69"/>
  <c r="E21" i="69"/>
  <c r="J21" i="69"/>
  <c r="K21" i="69" s="1"/>
  <c r="J47" i="13"/>
  <c r="K46" i="13" s="1"/>
  <c r="I48" i="13"/>
  <c r="K44" i="99"/>
  <c r="K42" i="100"/>
  <c r="I45" i="47"/>
  <c r="J44" i="47"/>
  <c r="K43" i="47" s="1"/>
  <c r="I50" i="74"/>
  <c r="J49" i="74"/>
  <c r="I45" i="95"/>
  <c r="J44" i="95"/>
  <c r="K43" i="102"/>
  <c r="I46" i="138"/>
  <c r="J45" i="138"/>
  <c r="I45" i="140"/>
  <c r="J44" i="140"/>
  <c r="GR23" i="2"/>
  <c r="I47" i="173"/>
  <c r="J46" i="173"/>
  <c r="K43" i="109"/>
  <c r="K44" i="149"/>
  <c r="I46" i="53"/>
  <c r="J45" i="53"/>
  <c r="K47" i="75"/>
  <c r="E24" i="7"/>
  <c r="AT24" i="1"/>
  <c r="C23" i="7"/>
  <c r="EO23" i="2" s="1"/>
  <c r="J24" i="7"/>
  <c r="K24" i="7" s="1"/>
  <c r="BF25" i="2"/>
  <c r="E23" i="23"/>
  <c r="C22" i="23"/>
  <c r="J23" i="23"/>
  <c r="K23" i="23" s="1"/>
  <c r="K43" i="112"/>
  <c r="E23" i="117"/>
  <c r="C22" i="117"/>
  <c r="J23" i="117"/>
  <c r="K23" i="117" s="1"/>
  <c r="E21" i="149"/>
  <c r="C20" i="149"/>
  <c r="J21" i="149"/>
  <c r="K21" i="149" s="1"/>
  <c r="E21" i="39"/>
  <c r="C20" i="39"/>
  <c r="J21" i="39"/>
  <c r="K21" i="39" s="1"/>
  <c r="K44" i="144"/>
  <c r="C18" i="156"/>
  <c r="E19" i="156"/>
  <c r="J19" i="156"/>
  <c r="K19" i="156" s="1"/>
  <c r="K46" i="135"/>
  <c r="E22" i="54"/>
  <c r="C21" i="54"/>
  <c r="J22" i="54"/>
  <c r="K22" i="54" s="1"/>
  <c r="FL25" i="2"/>
  <c r="K45" i="44"/>
  <c r="I45" i="174"/>
  <c r="J44" i="174"/>
  <c r="K43" i="174" s="1"/>
  <c r="K42" i="110"/>
  <c r="K43" i="95"/>
  <c r="I45" i="102"/>
  <c r="J44" i="102"/>
  <c r="K44" i="138"/>
  <c r="I45" i="141"/>
  <c r="J44" i="141"/>
  <c r="K43" i="141" s="1"/>
  <c r="C21" i="83"/>
  <c r="E22" i="83"/>
  <c r="J22" i="83"/>
  <c r="K22" i="83" s="1"/>
  <c r="CA24" i="2"/>
  <c r="J44" i="109"/>
  <c r="I45" i="109"/>
  <c r="K44" i="153"/>
  <c r="J48" i="79"/>
  <c r="I49" i="79"/>
  <c r="K43" i="108"/>
  <c r="IK23" i="2" l="1"/>
  <c r="CB23" i="2"/>
  <c r="EP23" i="2"/>
  <c r="E23" i="152"/>
  <c r="C22" i="152"/>
  <c r="J23" i="152"/>
  <c r="K23" i="152" s="1"/>
  <c r="E23" i="6"/>
  <c r="C22" i="6"/>
  <c r="CA23" i="1"/>
  <c r="IU23" i="2"/>
  <c r="J47" i="93"/>
  <c r="I48" i="93"/>
  <c r="K47" i="164"/>
  <c r="Y24" i="1"/>
  <c r="I48" i="139"/>
  <c r="J47" i="139"/>
  <c r="CX23" i="2"/>
  <c r="E21" i="167"/>
  <c r="C20" i="167"/>
  <c r="J21" i="167"/>
  <c r="K21" i="167" s="1"/>
  <c r="J49" i="94"/>
  <c r="I50" i="94"/>
  <c r="K44" i="100"/>
  <c r="J45" i="11"/>
  <c r="I46" i="11"/>
  <c r="I48" i="129"/>
  <c r="J47" i="129"/>
  <c r="I47" i="39"/>
  <c r="J46" i="39"/>
  <c r="K46" i="173"/>
  <c r="J48" i="164"/>
  <c r="I49" i="164"/>
  <c r="C19" i="47"/>
  <c r="E20" i="47"/>
  <c r="J20" i="47"/>
  <c r="K20" i="47" s="1"/>
  <c r="C21" i="15"/>
  <c r="E22" i="15"/>
  <c r="J22" i="15"/>
  <c r="K22" i="15" s="1"/>
  <c r="I46" i="100"/>
  <c r="J45" i="100"/>
  <c r="I47" i="123"/>
  <c r="J46" i="123"/>
  <c r="E21" i="66"/>
  <c r="C20" i="66"/>
  <c r="J21" i="66"/>
  <c r="K21" i="66" s="1"/>
  <c r="J47" i="23"/>
  <c r="I48" i="23"/>
  <c r="J46" i="144"/>
  <c r="I47" i="144"/>
  <c r="E22" i="108"/>
  <c r="C21" i="108"/>
  <c r="J22" i="108"/>
  <c r="K22" i="108" s="1"/>
  <c r="I48" i="173"/>
  <c r="J47" i="173"/>
  <c r="E22" i="35"/>
  <c r="C21" i="35"/>
  <c r="J22" i="35"/>
  <c r="K22" i="35" s="1"/>
  <c r="E22" i="164"/>
  <c r="C21" i="164"/>
  <c r="J22" i="164"/>
  <c r="K22" i="164" s="1"/>
  <c r="J49" i="27"/>
  <c r="I50" i="27"/>
  <c r="E20" i="51"/>
  <c r="C19" i="51"/>
  <c r="J20" i="51"/>
  <c r="K20" i="51" s="1"/>
  <c r="K44" i="43"/>
  <c r="J45" i="171"/>
  <c r="I46" i="171"/>
  <c r="C22" i="29"/>
  <c r="E23" i="29"/>
  <c r="J23" i="29"/>
  <c r="K23" i="29" s="1"/>
  <c r="X23" i="1"/>
  <c r="C22" i="14"/>
  <c r="E23" i="14"/>
  <c r="J23" i="14"/>
  <c r="K23" i="14" s="1"/>
  <c r="I46" i="64"/>
  <c r="J45" i="64"/>
  <c r="C20" i="128"/>
  <c r="E21" i="128"/>
  <c r="J21" i="128"/>
  <c r="K21" i="128" s="1"/>
  <c r="E20" i="86"/>
  <c r="C19" i="86"/>
  <c r="J20" i="86"/>
  <c r="K20" i="86" s="1"/>
  <c r="I48" i="92"/>
  <c r="J47" i="92"/>
  <c r="HZ23" i="2"/>
  <c r="C20" i="57"/>
  <c r="E21" i="57"/>
  <c r="J21" i="57"/>
  <c r="K21" i="57" s="1"/>
  <c r="E23" i="143"/>
  <c r="C22" i="143"/>
  <c r="J23" i="143"/>
  <c r="K23" i="143" s="1"/>
  <c r="J46" i="57"/>
  <c r="I47" i="57"/>
  <c r="I50" i="42"/>
  <c r="J49" i="42"/>
  <c r="E18" i="87"/>
  <c r="C17" i="87"/>
  <c r="J18" i="87"/>
  <c r="K18" i="87" s="1"/>
  <c r="E20" i="127"/>
  <c r="C19" i="127"/>
  <c r="J20" i="127"/>
  <c r="K20" i="127" s="1"/>
  <c r="J45" i="43"/>
  <c r="I46" i="43"/>
  <c r="I48" i="25"/>
  <c r="J47" i="25"/>
  <c r="HO23" i="2"/>
  <c r="C21" i="21"/>
  <c r="E22" i="21"/>
  <c r="J22" i="21"/>
  <c r="K22" i="21" s="1"/>
  <c r="E18" i="138"/>
  <c r="C17" i="138"/>
  <c r="J18" i="138"/>
  <c r="K18" i="138" s="1"/>
  <c r="I47" i="126"/>
  <c r="J46" i="126"/>
  <c r="K46" i="92"/>
  <c r="C21" i="169"/>
  <c r="E22" i="169"/>
  <c r="J22" i="169"/>
  <c r="K22" i="169" s="1"/>
  <c r="E23" i="91"/>
  <c r="C22" i="91"/>
  <c r="J23" i="91"/>
  <c r="K23" i="91" s="1"/>
  <c r="K48" i="27"/>
  <c r="GS23" i="2"/>
  <c r="E23" i="158"/>
  <c r="C22" i="158"/>
  <c r="J23" i="158"/>
  <c r="K23" i="158" s="1"/>
  <c r="I48" i="37"/>
  <c r="J47" i="37"/>
  <c r="K43" i="140"/>
  <c r="K45" i="76"/>
  <c r="K45" i="106"/>
  <c r="K46" i="25"/>
  <c r="J46" i="162"/>
  <c r="I47" i="162"/>
  <c r="I46" i="90"/>
  <c r="J45" i="90"/>
  <c r="DI23" i="2"/>
  <c r="J46" i="97"/>
  <c r="I47" i="97"/>
  <c r="E21" i="65"/>
  <c r="C20" i="65"/>
  <c r="J21" i="65"/>
  <c r="K21" i="65" s="1"/>
  <c r="J46" i="50"/>
  <c r="I47" i="50"/>
  <c r="E22" i="97"/>
  <c r="C21" i="97"/>
  <c r="J22" i="97"/>
  <c r="K22" i="97" s="1"/>
  <c r="J47" i="68"/>
  <c r="I48" i="68"/>
  <c r="K45" i="153"/>
  <c r="C20" i="103"/>
  <c r="E21" i="103"/>
  <c r="J21" i="103"/>
  <c r="K21" i="103" s="1"/>
  <c r="J45" i="110"/>
  <c r="I46" i="110"/>
  <c r="I46" i="140"/>
  <c r="J45" i="140"/>
  <c r="I51" i="134"/>
  <c r="J50" i="134"/>
  <c r="J48" i="16"/>
  <c r="I49" i="16"/>
  <c r="I47" i="108"/>
  <c r="J46" i="108"/>
  <c r="I47" i="76"/>
  <c r="J46" i="76"/>
  <c r="E22" i="20"/>
  <c r="C21" i="20"/>
  <c r="J22" i="20"/>
  <c r="K22" i="20" s="1"/>
  <c r="K46" i="118"/>
  <c r="J45" i="112"/>
  <c r="I46" i="112"/>
  <c r="I47" i="106"/>
  <c r="J46" i="106"/>
  <c r="K45" i="162"/>
  <c r="K44" i="90"/>
  <c r="I46" i="40"/>
  <c r="J45" i="40"/>
  <c r="I49" i="101"/>
  <c r="J48" i="101"/>
  <c r="I46" i="35"/>
  <c r="J45" i="35"/>
  <c r="K47" i="51"/>
  <c r="E16" i="82"/>
  <c r="C15" i="82"/>
  <c r="J16" i="82"/>
  <c r="K16" i="82" s="1"/>
  <c r="E21" i="11"/>
  <c r="C20" i="11"/>
  <c r="J21" i="11"/>
  <c r="K21" i="11" s="1"/>
  <c r="E23" i="28"/>
  <c r="C22" i="28"/>
  <c r="J23" i="28"/>
  <c r="K23" i="28" s="1"/>
  <c r="K45" i="4"/>
  <c r="J46" i="153"/>
  <c r="I47" i="153"/>
  <c r="E21" i="54"/>
  <c r="C20" i="54"/>
  <c r="J21" i="54"/>
  <c r="K21" i="54" s="1"/>
  <c r="J47" i="118"/>
  <c r="I48" i="118"/>
  <c r="K44" i="112"/>
  <c r="C21" i="70"/>
  <c r="E22" i="70"/>
  <c r="J22" i="70"/>
  <c r="K22" i="70" s="1"/>
  <c r="E22" i="89"/>
  <c r="C21" i="89"/>
  <c r="J22" i="89"/>
  <c r="K22" i="89" s="1"/>
  <c r="K47" i="101"/>
  <c r="E22" i="95"/>
  <c r="C21" i="95"/>
  <c r="J22" i="95"/>
  <c r="K22" i="95" s="1"/>
  <c r="K44" i="35"/>
  <c r="I49" i="128"/>
  <c r="J48" i="128"/>
  <c r="I48" i="28"/>
  <c r="J47" i="28"/>
  <c r="J48" i="51"/>
  <c r="I49" i="51"/>
  <c r="C22" i="49"/>
  <c r="E23" i="49"/>
  <c r="J23" i="49"/>
  <c r="K23" i="49" s="1"/>
  <c r="I46" i="69"/>
  <c r="J45" i="69"/>
  <c r="I47" i="4"/>
  <c r="J46" i="4"/>
  <c r="AU24" i="2"/>
  <c r="E19" i="160"/>
  <c r="C18" i="160"/>
  <c r="J19" i="160"/>
  <c r="K19" i="160" s="1"/>
  <c r="I48" i="165"/>
  <c r="J47" i="165"/>
  <c r="AJ23" i="2"/>
  <c r="E22" i="133"/>
  <c r="C21" i="133"/>
  <c r="J22" i="133"/>
  <c r="K22" i="133" s="1"/>
  <c r="DH22" i="2"/>
  <c r="C21" i="147"/>
  <c r="E22" i="147"/>
  <c r="J22" i="147"/>
  <c r="K22" i="147" s="1"/>
  <c r="I51" i="61"/>
  <c r="J50" i="61"/>
  <c r="K46" i="28"/>
  <c r="K44" i="69"/>
  <c r="K45" i="20"/>
  <c r="J46" i="168"/>
  <c r="I47" i="168"/>
  <c r="I49" i="9"/>
  <c r="J48" i="9"/>
  <c r="C17" i="156"/>
  <c r="E18" i="156"/>
  <c r="J18" i="156"/>
  <c r="K18" i="156" s="1"/>
  <c r="K45" i="108"/>
  <c r="J49" i="79"/>
  <c r="I50" i="79"/>
  <c r="K46" i="165"/>
  <c r="C20" i="60"/>
  <c r="E21" i="60"/>
  <c r="J21" i="60"/>
  <c r="K21" i="60" s="1"/>
  <c r="E22" i="44"/>
  <c r="C21" i="44"/>
  <c r="J22" i="44"/>
  <c r="K22" i="44" s="1"/>
  <c r="C21" i="77"/>
  <c r="E22" i="77"/>
  <c r="J22" i="77"/>
  <c r="K22" i="77" s="1"/>
  <c r="K49" i="61"/>
  <c r="J46" i="85"/>
  <c r="K45" i="85" s="1"/>
  <c r="I47" i="85"/>
  <c r="I47" i="20"/>
  <c r="J46" i="20"/>
  <c r="E19" i="59"/>
  <c r="C18" i="59"/>
  <c r="J19" i="59"/>
  <c r="K19" i="59" s="1"/>
  <c r="E23" i="50"/>
  <c r="C22" i="50"/>
  <c r="X22" i="1" s="1"/>
  <c r="AT23" i="2"/>
  <c r="J23" i="50"/>
  <c r="K23" i="50" s="1"/>
  <c r="E22" i="31"/>
  <c r="C21" i="31"/>
  <c r="J22" i="31"/>
  <c r="K22" i="31" s="1"/>
  <c r="E22" i="63"/>
  <c r="C21" i="63"/>
  <c r="J22" i="63"/>
  <c r="K22" i="63" s="1"/>
  <c r="D62" i="2"/>
  <c r="CY62" i="2"/>
  <c r="DU62" i="2"/>
  <c r="AK62" i="2"/>
  <c r="CN62" i="2"/>
  <c r="IW62" i="2"/>
  <c r="DJ62" i="2"/>
  <c r="FB62" i="2"/>
  <c r="IL62" i="2"/>
  <c r="HP62" i="2"/>
  <c r="EQ62" i="2"/>
  <c r="FM62" i="2"/>
  <c r="O62" i="2"/>
  <c r="GT62" i="2"/>
  <c r="FX62" i="2"/>
  <c r="BG62" i="2"/>
  <c r="CC62" i="2"/>
  <c r="Z62" i="2"/>
  <c r="EF62" i="2"/>
  <c r="IA62" i="2"/>
  <c r="BR62" i="2"/>
  <c r="AV62" i="2"/>
  <c r="HE62" i="2"/>
  <c r="K44" i="95"/>
  <c r="J47" i="124"/>
  <c r="I48" i="124"/>
  <c r="GI62" i="2"/>
  <c r="GH62" i="2"/>
  <c r="E23" i="46"/>
  <c r="C22" i="46"/>
  <c r="J23" i="46"/>
  <c r="K23" i="46" s="1"/>
  <c r="I50" i="14"/>
  <c r="J49" i="14"/>
  <c r="J47" i="99"/>
  <c r="K46" i="99" s="1"/>
  <c r="I48" i="99"/>
  <c r="E22" i="140"/>
  <c r="C21" i="140"/>
  <c r="J22" i="140"/>
  <c r="K22" i="140" s="1"/>
  <c r="E22" i="132"/>
  <c r="C21" i="132"/>
  <c r="J22" i="132"/>
  <c r="K22" i="132" s="1"/>
  <c r="E21" i="135"/>
  <c r="C20" i="135"/>
  <c r="J21" i="135"/>
  <c r="K21" i="135" s="1"/>
  <c r="K45" i="111"/>
  <c r="J45" i="96"/>
  <c r="I46" i="96"/>
  <c r="D62" i="1"/>
  <c r="O62" i="1"/>
  <c r="BR62" i="1"/>
  <c r="AK62" i="1"/>
  <c r="AV62" i="1"/>
  <c r="CC62" i="1"/>
  <c r="Z62" i="1"/>
  <c r="BG62" i="1"/>
  <c r="BF62" i="1"/>
  <c r="E21" i="104"/>
  <c r="C20" i="104"/>
  <c r="J21" i="104"/>
  <c r="K21" i="104" s="1"/>
  <c r="C21" i="36"/>
  <c r="E22" i="36"/>
  <c r="J22" i="36"/>
  <c r="K22" i="36" s="1"/>
  <c r="E20" i="115"/>
  <c r="C19" i="115"/>
  <c r="J20" i="115"/>
  <c r="K20" i="115" s="1"/>
  <c r="E21" i="19"/>
  <c r="C20" i="19"/>
  <c r="J21" i="19"/>
  <c r="K21" i="19" s="1"/>
  <c r="J47" i="66"/>
  <c r="I48" i="66"/>
  <c r="E20" i="84"/>
  <c r="C19" i="84"/>
  <c r="J20" i="84"/>
  <c r="K20" i="84" s="1"/>
  <c r="K45" i="19"/>
  <c r="K45" i="103"/>
  <c r="I47" i="56"/>
  <c r="J46" i="56"/>
  <c r="I46" i="91"/>
  <c r="J45" i="91"/>
  <c r="J46" i="49"/>
  <c r="I47" i="49"/>
  <c r="I49" i="172"/>
  <c r="J48" i="172"/>
  <c r="J46" i="111"/>
  <c r="I47" i="111"/>
  <c r="K46" i="128"/>
  <c r="E21" i="75"/>
  <c r="C20" i="75"/>
  <c r="J21" i="75"/>
  <c r="K21" i="75" s="1"/>
  <c r="J47" i="63"/>
  <c r="I48" i="63"/>
  <c r="K44" i="96"/>
  <c r="K48" i="14"/>
  <c r="I48" i="41"/>
  <c r="J47" i="41"/>
  <c r="K45" i="37"/>
  <c r="I46" i="109"/>
  <c r="J45" i="109"/>
  <c r="E61" i="24"/>
  <c r="C60" i="24"/>
  <c r="GG61" i="2"/>
  <c r="BE61" i="1"/>
  <c r="C61" i="1"/>
  <c r="C61" i="2"/>
  <c r="M23" i="2"/>
  <c r="K46" i="66"/>
  <c r="I47" i="84"/>
  <c r="J46" i="84"/>
  <c r="C18" i="43"/>
  <c r="E19" i="43"/>
  <c r="J19" i="43"/>
  <c r="K19" i="43" s="1"/>
  <c r="C21" i="78"/>
  <c r="E22" i="78"/>
  <c r="J22" i="78"/>
  <c r="K22" i="78" s="1"/>
  <c r="I47" i="19"/>
  <c r="J46" i="19"/>
  <c r="I47" i="103"/>
  <c r="J46" i="103"/>
  <c r="I47" i="52"/>
  <c r="J46" i="52"/>
  <c r="C21" i="13"/>
  <c r="E22" i="13"/>
  <c r="J22" i="13"/>
  <c r="K22" i="13" s="1"/>
  <c r="IU22" i="2"/>
  <c r="K47" i="172"/>
  <c r="C21" i="114"/>
  <c r="E22" i="114"/>
  <c r="J22" i="114"/>
  <c r="K22" i="114" s="1"/>
  <c r="K48" i="61"/>
  <c r="C19" i="73"/>
  <c r="E20" i="73"/>
  <c r="J20" i="73"/>
  <c r="K20" i="73" s="1"/>
  <c r="C20" i="113"/>
  <c r="E21" i="113"/>
  <c r="J21" i="113"/>
  <c r="K21" i="113" s="1"/>
  <c r="K46" i="63"/>
  <c r="I50" i="82"/>
  <c r="J49" i="82"/>
  <c r="C20" i="148"/>
  <c r="E21" i="148"/>
  <c r="J21" i="148"/>
  <c r="K21" i="148" s="1"/>
  <c r="J46" i="138"/>
  <c r="I47" i="138"/>
  <c r="K48" i="79"/>
  <c r="E20" i="39"/>
  <c r="C19" i="39"/>
  <c r="J20" i="39"/>
  <c r="K20" i="39" s="1"/>
  <c r="I46" i="95"/>
  <c r="J45" i="95"/>
  <c r="E20" i="149"/>
  <c r="C19" i="149"/>
  <c r="J20" i="149"/>
  <c r="K20" i="149" s="1"/>
  <c r="I51" i="74"/>
  <c r="J50" i="74"/>
  <c r="K49" i="74" s="1"/>
  <c r="BF23" i="2"/>
  <c r="I46" i="146"/>
  <c r="J45" i="146"/>
  <c r="K44" i="146" s="1"/>
  <c r="E22" i="33"/>
  <c r="C21" i="33"/>
  <c r="M22" i="2"/>
  <c r="J22" i="33"/>
  <c r="K22" i="33" s="1"/>
  <c r="K45" i="52"/>
  <c r="I47" i="33"/>
  <c r="J46" i="33"/>
  <c r="K45" i="33" s="1"/>
  <c r="I49" i="62"/>
  <c r="J48" i="62"/>
  <c r="E21" i="18"/>
  <c r="C20" i="18"/>
  <c r="J21" i="18"/>
  <c r="K21" i="18" s="1"/>
  <c r="E21" i="99"/>
  <c r="C20" i="99"/>
  <c r="J21" i="99"/>
  <c r="K21" i="99" s="1"/>
  <c r="E22" i="101"/>
  <c r="C21" i="101"/>
  <c r="J22" i="101"/>
  <c r="K22" i="101" s="1"/>
  <c r="J45" i="34"/>
  <c r="I46" i="34"/>
  <c r="C18" i="131"/>
  <c r="E19" i="131"/>
  <c r="J19" i="131"/>
  <c r="K19" i="131" s="1"/>
  <c r="C17" i="30"/>
  <c r="E18" i="30"/>
  <c r="J18" i="30"/>
  <c r="K18" i="30" s="1"/>
  <c r="J46" i="88"/>
  <c r="K45" i="88" s="1"/>
  <c r="I47" i="88"/>
  <c r="I47" i="104"/>
  <c r="J46" i="104"/>
  <c r="E20" i="26"/>
  <c r="C19" i="26"/>
  <c r="J20" i="26"/>
  <c r="K20" i="26" s="1"/>
  <c r="E19" i="111"/>
  <c r="C18" i="111"/>
  <c r="J19" i="111"/>
  <c r="K19" i="111" s="1"/>
  <c r="E21" i="110"/>
  <c r="C20" i="110"/>
  <c r="J21" i="110"/>
  <c r="K21" i="110" s="1"/>
  <c r="FW24" i="2"/>
  <c r="K44" i="169"/>
  <c r="Y24" i="2"/>
  <c r="J46" i="70"/>
  <c r="I47" i="70"/>
  <c r="J48" i="77"/>
  <c r="K47" i="77" s="1"/>
  <c r="I49" i="77"/>
  <c r="E22" i="145"/>
  <c r="C21" i="145"/>
  <c r="J22" i="145"/>
  <c r="K22" i="145" s="1"/>
  <c r="J47" i="18"/>
  <c r="I48" i="18"/>
  <c r="K45" i="137"/>
  <c r="J46" i="73"/>
  <c r="I47" i="73"/>
  <c r="J48" i="26"/>
  <c r="K47" i="26" s="1"/>
  <c r="I49" i="26"/>
  <c r="J46" i="86"/>
  <c r="I47" i="86"/>
  <c r="E20" i="124"/>
  <c r="C19" i="124"/>
  <c r="J20" i="124"/>
  <c r="K20" i="124" s="1"/>
  <c r="K43" i="35"/>
  <c r="K45" i="70"/>
  <c r="K44" i="70"/>
  <c r="J46" i="137"/>
  <c r="I47" i="137"/>
  <c r="E22" i="151"/>
  <c r="C21" i="151"/>
  <c r="J22" i="151"/>
  <c r="K22" i="151" s="1"/>
  <c r="E22" i="117"/>
  <c r="C21" i="117"/>
  <c r="J22" i="117"/>
  <c r="K22" i="117" s="1"/>
  <c r="I51" i="46"/>
  <c r="J50" i="46"/>
  <c r="C19" i="61"/>
  <c r="E20" i="61"/>
  <c r="J20" i="61"/>
  <c r="K20" i="61" s="1"/>
  <c r="J46" i="151"/>
  <c r="I47" i="151"/>
  <c r="E22" i="122"/>
  <c r="C21" i="122"/>
  <c r="J22" i="122"/>
  <c r="K22" i="122" s="1"/>
  <c r="J45" i="148"/>
  <c r="I46" i="148"/>
  <c r="K44" i="65"/>
  <c r="K45" i="86"/>
  <c r="N24" i="1"/>
  <c r="I47" i="80"/>
  <c r="J46" i="80"/>
  <c r="K45" i="80" s="1"/>
  <c r="I50" i="24"/>
  <c r="K44" i="168"/>
  <c r="C21" i="38"/>
  <c r="E22" i="38"/>
  <c r="J22" i="38"/>
  <c r="K22" i="38" s="1"/>
  <c r="I47" i="87"/>
  <c r="J46" i="87"/>
  <c r="I51" i="12"/>
  <c r="J50" i="12"/>
  <c r="K44" i="76"/>
  <c r="AI23" i="1"/>
  <c r="C21" i="71"/>
  <c r="E22" i="71"/>
  <c r="J22" i="71"/>
  <c r="K22" i="71" s="1"/>
  <c r="K45" i="151"/>
  <c r="K49" i="12"/>
  <c r="K44" i="148"/>
  <c r="I46" i="65"/>
  <c r="J45" i="65"/>
  <c r="E23" i="42"/>
  <c r="C22" i="42"/>
  <c r="J23" i="42"/>
  <c r="K23" i="42" s="1"/>
  <c r="FV23" i="2"/>
  <c r="I48" i="157"/>
  <c r="J47" i="157"/>
  <c r="E23" i="12"/>
  <c r="M23" i="1"/>
  <c r="C22" i="12"/>
  <c r="X23" i="2"/>
  <c r="J23" i="12"/>
  <c r="K23" i="12" s="1"/>
  <c r="E23" i="3"/>
  <c r="C22" i="3"/>
  <c r="J23" i="3"/>
  <c r="K23" i="3" s="1"/>
  <c r="K48" i="22"/>
  <c r="E23" i="100"/>
  <c r="C22" i="100"/>
  <c r="J23" i="100"/>
  <c r="K23" i="100" s="1"/>
  <c r="C22" i="55"/>
  <c r="E23" i="55"/>
  <c r="J23" i="55"/>
  <c r="K23" i="55" s="1"/>
  <c r="I49" i="48"/>
  <c r="J48" i="48"/>
  <c r="K47" i="48" s="1"/>
  <c r="E21" i="74"/>
  <c r="C20" i="74"/>
  <c r="J21" i="74"/>
  <c r="K21" i="74" s="1"/>
  <c r="I46" i="120"/>
  <c r="J45" i="120"/>
  <c r="C20" i="137"/>
  <c r="E21" i="137"/>
  <c r="J21" i="137"/>
  <c r="K21" i="137" s="1"/>
  <c r="K45" i="165"/>
  <c r="E21" i="25"/>
  <c r="C20" i="25"/>
  <c r="J21" i="25"/>
  <c r="K21" i="25" s="1"/>
  <c r="C20" i="17"/>
  <c r="E21" i="17"/>
  <c r="J21" i="17"/>
  <c r="K21" i="17" s="1"/>
  <c r="K47" i="98"/>
  <c r="BQ24" i="2"/>
  <c r="K46" i="101"/>
  <c r="K46" i="157"/>
  <c r="K45" i="28"/>
  <c r="J48" i="117"/>
  <c r="I49" i="117"/>
  <c r="I50" i="22"/>
  <c r="J49" i="22"/>
  <c r="I47" i="131"/>
  <c r="J46" i="131"/>
  <c r="E16" i="98"/>
  <c r="C15" i="98"/>
  <c r="J16" i="98"/>
  <c r="K16" i="98" s="1"/>
  <c r="I48" i="60"/>
  <c r="J47" i="60"/>
  <c r="E21" i="161"/>
  <c r="C20" i="161"/>
  <c r="J21" i="161"/>
  <c r="K21" i="161" s="1"/>
  <c r="AJ24" i="1"/>
  <c r="J45" i="55"/>
  <c r="I46" i="55"/>
  <c r="GS24" i="2"/>
  <c r="I48" i="149"/>
  <c r="J47" i="149"/>
  <c r="I46" i="38"/>
  <c r="J45" i="38"/>
  <c r="K44" i="38" s="1"/>
  <c r="I46" i="143"/>
  <c r="J45" i="143"/>
  <c r="J48" i="98"/>
  <c r="I49" i="98"/>
  <c r="C22" i="52"/>
  <c r="E23" i="52"/>
  <c r="BP23" i="2"/>
  <c r="J23" i="52"/>
  <c r="K23" i="52" s="1"/>
  <c r="K47" i="117"/>
  <c r="K45" i="131"/>
  <c r="E21" i="118"/>
  <c r="C20" i="118"/>
  <c r="J21" i="118"/>
  <c r="K21" i="118" s="1"/>
  <c r="E22" i="23"/>
  <c r="C21" i="23"/>
  <c r="J22" i="23"/>
  <c r="K22" i="23" s="1"/>
  <c r="C19" i="173"/>
  <c r="E20" i="173"/>
  <c r="J20" i="173"/>
  <c r="K20" i="173" s="1"/>
  <c r="I49" i="142"/>
  <c r="J48" i="142"/>
  <c r="K44" i="81"/>
  <c r="C21" i="80"/>
  <c r="E22" i="80"/>
  <c r="J22" i="80"/>
  <c r="K22" i="80" s="1"/>
  <c r="J46" i="21"/>
  <c r="K45" i="21" s="1"/>
  <c r="I47" i="21"/>
  <c r="K45" i="99"/>
  <c r="I47" i="3"/>
  <c r="J46" i="3"/>
  <c r="K45" i="3" s="1"/>
  <c r="DT22" i="2"/>
  <c r="C20" i="22"/>
  <c r="E21" i="22"/>
  <c r="J21" i="22"/>
  <c r="K21" i="22" s="1"/>
  <c r="C21" i="154"/>
  <c r="E22" i="154"/>
  <c r="J22" i="154"/>
  <c r="K22" i="154" s="1"/>
  <c r="C22" i="172"/>
  <c r="E23" i="172"/>
  <c r="J23" i="172"/>
  <c r="K23" i="172" s="1"/>
  <c r="E21" i="64"/>
  <c r="C20" i="64"/>
  <c r="J21" i="64"/>
  <c r="K21" i="64" s="1"/>
  <c r="E19" i="45"/>
  <c r="C18" i="45"/>
  <c r="J19" i="45"/>
  <c r="K19" i="45" s="1"/>
  <c r="K47" i="82"/>
  <c r="J46" i="116"/>
  <c r="I47" i="116"/>
  <c r="E22" i="153"/>
  <c r="C21" i="153"/>
  <c r="J22" i="153"/>
  <c r="K22" i="153" s="1"/>
  <c r="K46" i="44"/>
  <c r="K47" i="142"/>
  <c r="I46" i="81"/>
  <c r="J45" i="81"/>
  <c r="I46" i="163"/>
  <c r="J45" i="163"/>
  <c r="K44" i="163" s="1"/>
  <c r="J50" i="7"/>
  <c r="I51" i="7"/>
  <c r="E20" i="62"/>
  <c r="C19" i="62"/>
  <c r="J20" i="62"/>
  <c r="K20" i="62" s="1"/>
  <c r="E21" i="144"/>
  <c r="C20" i="144"/>
  <c r="J21" i="144"/>
  <c r="K21" i="144" s="1"/>
  <c r="C19" i="168"/>
  <c r="E20" i="168"/>
  <c r="J20" i="168"/>
  <c r="K20" i="168" s="1"/>
  <c r="K63" i="150"/>
  <c r="K46" i="115"/>
  <c r="I49" i="152"/>
  <c r="J48" i="152"/>
  <c r="E21" i="9"/>
  <c r="C20" i="9"/>
  <c r="J21" i="9"/>
  <c r="K21" i="9" s="1"/>
  <c r="K48" i="59"/>
  <c r="J47" i="44"/>
  <c r="I48" i="44"/>
  <c r="K44" i="108"/>
  <c r="J46" i="121"/>
  <c r="I47" i="121"/>
  <c r="C18" i="165"/>
  <c r="E19" i="165"/>
  <c r="J19" i="165"/>
  <c r="K19" i="165" s="1"/>
  <c r="J47" i="159"/>
  <c r="K46" i="159" s="1"/>
  <c r="I48" i="159"/>
  <c r="E21" i="129"/>
  <c r="C20" i="129"/>
  <c r="J21" i="129"/>
  <c r="K21" i="129" s="1"/>
  <c r="DS21" i="2"/>
  <c r="C19" i="37"/>
  <c r="E20" i="37"/>
  <c r="J20" i="37"/>
  <c r="K20" i="37" s="1"/>
  <c r="I65" i="150"/>
  <c r="J64" i="150"/>
  <c r="I49" i="127"/>
  <c r="J48" i="127"/>
  <c r="I48" i="115"/>
  <c r="J47" i="115"/>
  <c r="I50" i="59"/>
  <c r="J49" i="59"/>
  <c r="K44" i="105"/>
  <c r="C17" i="166"/>
  <c r="E18" i="166"/>
  <c r="J18" i="166"/>
  <c r="K18" i="166" s="1"/>
  <c r="I46" i="58"/>
  <c r="J45" i="58"/>
  <c r="K45" i="121"/>
  <c r="K46" i="72"/>
  <c r="C20" i="68"/>
  <c r="E21" i="68"/>
  <c r="J21" i="68"/>
  <c r="K21" i="68" s="1"/>
  <c r="C17" i="157"/>
  <c r="E18" i="157"/>
  <c r="J18" i="157"/>
  <c r="K18" i="157" s="1"/>
  <c r="C18" i="102"/>
  <c r="E19" i="102"/>
  <c r="J19" i="102"/>
  <c r="K19" i="102" s="1"/>
  <c r="C19" i="159"/>
  <c r="E20" i="159"/>
  <c r="J20" i="159"/>
  <c r="K20" i="159" s="1"/>
  <c r="I48" i="83"/>
  <c r="J47" i="83"/>
  <c r="K47" i="29"/>
  <c r="K47" i="127"/>
  <c r="K43" i="110"/>
  <c r="E23" i="174"/>
  <c r="C22" i="174"/>
  <c r="HY22" i="2" s="1"/>
  <c r="J23" i="174"/>
  <c r="K23" i="174" s="1"/>
  <c r="I47" i="154"/>
  <c r="J46" i="154"/>
  <c r="I51" i="133"/>
  <c r="J50" i="133"/>
  <c r="E22" i="96"/>
  <c r="C21" i="96"/>
  <c r="J22" i="96"/>
  <c r="K22" i="96" s="1"/>
  <c r="K45" i="173"/>
  <c r="J46" i="31"/>
  <c r="I47" i="31"/>
  <c r="K43" i="163"/>
  <c r="I47" i="119"/>
  <c r="J46" i="119"/>
  <c r="I48" i="72"/>
  <c r="J47" i="72"/>
  <c r="I49" i="107"/>
  <c r="J48" i="107"/>
  <c r="C20" i="150"/>
  <c r="E21" i="150"/>
  <c r="J21" i="150"/>
  <c r="K21" i="150" s="1"/>
  <c r="AJ24" i="2"/>
  <c r="E21" i="139"/>
  <c r="C20" i="139"/>
  <c r="J21" i="139"/>
  <c r="K21" i="139" s="1"/>
  <c r="J48" i="132"/>
  <c r="I49" i="132"/>
  <c r="J46" i="5"/>
  <c r="I47" i="5"/>
  <c r="C22" i="155"/>
  <c r="E23" i="155"/>
  <c r="J23" i="155"/>
  <c r="K23" i="155" s="1"/>
  <c r="E18" i="32"/>
  <c r="C17" i="32"/>
  <c r="J18" i="32"/>
  <c r="K18" i="32" s="1"/>
  <c r="I49" i="29"/>
  <c r="J48" i="29"/>
  <c r="E21" i="94"/>
  <c r="C20" i="94"/>
  <c r="J21" i="94"/>
  <c r="K21" i="94" s="1"/>
  <c r="K45" i="18"/>
  <c r="FA23" i="2"/>
  <c r="K49" i="133"/>
  <c r="J45" i="47"/>
  <c r="I46" i="47"/>
  <c r="C21" i="125"/>
  <c r="E22" i="125"/>
  <c r="J22" i="125"/>
  <c r="K22" i="125" s="1"/>
  <c r="FL23" i="2"/>
  <c r="CM24" i="2"/>
  <c r="K43" i="171"/>
  <c r="E21" i="67"/>
  <c r="C20" i="67"/>
  <c r="J21" i="67"/>
  <c r="K21" i="67" s="1"/>
  <c r="K44" i="45"/>
  <c r="K47" i="132"/>
  <c r="K45" i="155"/>
  <c r="J48" i="156"/>
  <c r="K47" i="156" s="1"/>
  <c r="I49" i="156"/>
  <c r="I46" i="166"/>
  <c r="J45" i="166"/>
  <c r="E23" i="7"/>
  <c r="C22" i="7"/>
  <c r="EO22" i="2" s="1"/>
  <c r="AT23" i="1"/>
  <c r="J23" i="7"/>
  <c r="K23" i="7" s="1"/>
  <c r="J45" i="125"/>
  <c r="I46" i="125"/>
  <c r="BQ24" i="1"/>
  <c r="I47" i="114"/>
  <c r="J46" i="114"/>
  <c r="E22" i="10"/>
  <c r="C21" i="10"/>
  <c r="J22" i="10"/>
  <c r="K22" i="10" s="1"/>
  <c r="I47" i="170"/>
  <c r="J46" i="170"/>
  <c r="I46" i="45"/>
  <c r="J45" i="45"/>
  <c r="J46" i="155"/>
  <c r="I47" i="155"/>
  <c r="C18" i="105"/>
  <c r="E19" i="105"/>
  <c r="J19" i="105"/>
  <c r="K19" i="105" s="1"/>
  <c r="K49" i="145"/>
  <c r="K48" i="145"/>
  <c r="K44" i="166"/>
  <c r="E23" i="92"/>
  <c r="C22" i="92"/>
  <c r="HN22" i="2" s="1"/>
  <c r="J23" i="92"/>
  <c r="K23" i="92" s="1"/>
  <c r="C21" i="134"/>
  <c r="E22" i="134"/>
  <c r="EZ22" i="2"/>
  <c r="J22" i="134"/>
  <c r="K22" i="134" s="1"/>
  <c r="EE24" i="2"/>
  <c r="I46" i="102"/>
  <c r="J45" i="102"/>
  <c r="E23" i="90"/>
  <c r="C22" i="90"/>
  <c r="J23" i="90"/>
  <c r="K23" i="90" s="1"/>
  <c r="J47" i="10"/>
  <c r="I48" i="10"/>
  <c r="C19" i="72"/>
  <c r="E20" i="72"/>
  <c r="J20" i="72"/>
  <c r="K20" i="72" s="1"/>
  <c r="J50" i="145"/>
  <c r="I51" i="145"/>
  <c r="E22" i="48"/>
  <c r="C21" i="48"/>
  <c r="J22" i="48"/>
  <c r="K22" i="48" s="1"/>
  <c r="K44" i="34"/>
  <c r="I49" i="13"/>
  <c r="J48" i="13"/>
  <c r="K47" i="13" s="1"/>
  <c r="J45" i="141"/>
  <c r="K44" i="141" s="1"/>
  <c r="I46" i="141"/>
  <c r="E23" i="93"/>
  <c r="C22" i="93"/>
  <c r="J23" i="93"/>
  <c r="K23" i="93" s="1"/>
  <c r="E22" i="88"/>
  <c r="C21" i="88"/>
  <c r="FK22" i="2"/>
  <c r="J22" i="88"/>
  <c r="K22" i="88" s="1"/>
  <c r="K47" i="107"/>
  <c r="C22" i="27"/>
  <c r="E23" i="27"/>
  <c r="J23" i="27"/>
  <c r="K23" i="27" s="1"/>
  <c r="C19" i="106"/>
  <c r="E20" i="106"/>
  <c r="J20" i="106"/>
  <c r="K20" i="106" s="1"/>
  <c r="I49" i="135"/>
  <c r="J48" i="135"/>
  <c r="K45" i="67"/>
  <c r="C19" i="163"/>
  <c r="E20" i="163"/>
  <c r="J20" i="163"/>
  <c r="K20" i="163" s="1"/>
  <c r="E23" i="136"/>
  <c r="C22" i="136"/>
  <c r="J23" i="136"/>
  <c r="K23" i="136" s="1"/>
  <c r="E20" i="171"/>
  <c r="C19" i="171"/>
  <c r="J20" i="171"/>
  <c r="K20" i="171" s="1"/>
  <c r="J50" i="75"/>
  <c r="K49" i="75" s="1"/>
  <c r="I51" i="75"/>
  <c r="K43" i="64"/>
  <c r="I49" i="122"/>
  <c r="J48" i="122"/>
  <c r="K47" i="122" s="1"/>
  <c r="K44" i="85"/>
  <c r="J47" i="158"/>
  <c r="K46" i="158" s="1"/>
  <c r="I48" i="158"/>
  <c r="E20" i="120"/>
  <c r="C19" i="120"/>
  <c r="J20" i="120"/>
  <c r="K20" i="120" s="1"/>
  <c r="E20" i="123"/>
  <c r="C19" i="123"/>
  <c r="J20" i="123"/>
  <c r="K20" i="123" s="1"/>
  <c r="E23" i="109"/>
  <c r="C22" i="109"/>
  <c r="ED23" i="2"/>
  <c r="J23" i="109"/>
  <c r="K23" i="109" s="1"/>
  <c r="C20" i="16"/>
  <c r="E21" i="16"/>
  <c r="J21" i="16"/>
  <c r="K21" i="16" s="1"/>
  <c r="K44" i="102"/>
  <c r="K43" i="105"/>
  <c r="E23" i="58"/>
  <c r="C22" i="58"/>
  <c r="J23" i="58"/>
  <c r="K23" i="58" s="1"/>
  <c r="K44" i="31"/>
  <c r="E22" i="79"/>
  <c r="C21" i="79"/>
  <c r="J22" i="79"/>
  <c r="K22" i="79" s="1"/>
  <c r="E23" i="8"/>
  <c r="C22" i="8"/>
  <c r="HC23" i="2"/>
  <c r="BP23" i="1"/>
  <c r="J23" i="8"/>
  <c r="K23" i="8" s="1"/>
  <c r="E21" i="4"/>
  <c r="C20" i="4"/>
  <c r="J21" i="4"/>
  <c r="K21" i="4" s="1"/>
  <c r="K46" i="26"/>
  <c r="K43" i="17"/>
  <c r="HO24" i="2"/>
  <c r="CW22" i="2"/>
  <c r="I46" i="8"/>
  <c r="J45" i="8"/>
  <c r="C20" i="130"/>
  <c r="E21" i="130"/>
  <c r="J21" i="130"/>
  <c r="K21" i="130" s="1"/>
  <c r="I46" i="36"/>
  <c r="J45" i="36"/>
  <c r="C19" i="141"/>
  <c r="E20" i="141"/>
  <c r="J20" i="141"/>
  <c r="K20" i="141" s="1"/>
  <c r="K47" i="79"/>
  <c r="E21" i="83"/>
  <c r="C20" i="83"/>
  <c r="J21" i="83"/>
  <c r="K21" i="83" s="1"/>
  <c r="I46" i="105"/>
  <c r="J45" i="105"/>
  <c r="AU24" i="1"/>
  <c r="K47" i="135"/>
  <c r="I47" i="67"/>
  <c r="J46" i="67"/>
  <c r="HD24" i="2"/>
  <c r="I47" i="161"/>
  <c r="J46" i="161"/>
  <c r="I46" i="174"/>
  <c r="J45" i="174"/>
  <c r="K44" i="174" s="1"/>
  <c r="J48" i="136"/>
  <c r="I49" i="136"/>
  <c r="C20" i="116"/>
  <c r="E21" i="116"/>
  <c r="J21" i="116"/>
  <c r="K21" i="116" s="1"/>
  <c r="K48" i="134"/>
  <c r="C21" i="162"/>
  <c r="E22" i="162"/>
  <c r="J22" i="162"/>
  <c r="K22" i="162" s="1"/>
  <c r="E20" i="40"/>
  <c r="C19" i="40"/>
  <c r="J20" i="40"/>
  <c r="K20" i="40" s="1"/>
  <c r="K47" i="78"/>
  <c r="E23" i="121"/>
  <c r="C22" i="121"/>
  <c r="J23" i="121"/>
  <c r="K23" i="121" s="1"/>
  <c r="C18" i="34"/>
  <c r="E19" i="34"/>
  <c r="J19" i="34"/>
  <c r="K19" i="34" s="1"/>
  <c r="E21" i="112"/>
  <c r="C20" i="112"/>
  <c r="CW21" i="2"/>
  <c r="J21" i="112"/>
  <c r="K21" i="112" s="1"/>
  <c r="C20" i="5"/>
  <c r="E21" i="5"/>
  <c r="J21" i="5"/>
  <c r="K21" i="5" s="1"/>
  <c r="E22" i="76"/>
  <c r="C21" i="76"/>
  <c r="J22" i="76"/>
  <c r="K22" i="76" s="1"/>
  <c r="C22" i="53"/>
  <c r="BE22" i="2" s="1"/>
  <c r="E23" i="53"/>
  <c r="J23" i="53"/>
  <c r="K23" i="53" s="1"/>
  <c r="E21" i="126"/>
  <c r="C20" i="126"/>
  <c r="J21" i="126"/>
  <c r="K21" i="126" s="1"/>
  <c r="I49" i="89"/>
  <c r="J48" i="89"/>
  <c r="K47" i="89" s="1"/>
  <c r="I46" i="147"/>
  <c r="J45" i="147"/>
  <c r="E23" i="56"/>
  <c r="C22" i="56"/>
  <c r="J23" i="56"/>
  <c r="K23" i="56" s="1"/>
  <c r="J47" i="167"/>
  <c r="K46" i="167" s="1"/>
  <c r="I48" i="167"/>
  <c r="K44" i="36"/>
  <c r="I51" i="15"/>
  <c r="J50" i="15"/>
  <c r="K49" i="15" s="1"/>
  <c r="K49" i="46"/>
  <c r="CM23" i="2"/>
  <c r="I50" i="71"/>
  <c r="J49" i="71"/>
  <c r="K48" i="71" s="1"/>
  <c r="K47" i="27"/>
  <c r="J48" i="78"/>
  <c r="I49" i="78"/>
  <c r="E20" i="85"/>
  <c r="C19" i="85"/>
  <c r="J20" i="85"/>
  <c r="K20" i="85" s="1"/>
  <c r="K44" i="119"/>
  <c r="E22" i="142"/>
  <c r="C21" i="142"/>
  <c r="J22" i="142"/>
  <c r="K22" i="142" s="1"/>
  <c r="E22" i="119"/>
  <c r="C21" i="119"/>
  <c r="J22" i="119"/>
  <c r="K22" i="119" s="1"/>
  <c r="K44" i="52"/>
  <c r="K46" i="172"/>
  <c r="K48" i="32"/>
  <c r="I48" i="113"/>
  <c r="J47" i="113"/>
  <c r="K45" i="23"/>
  <c r="I47" i="54"/>
  <c r="J46" i="54"/>
  <c r="K44" i="47"/>
  <c r="CB24" i="2"/>
  <c r="E22" i="41"/>
  <c r="C21" i="41"/>
  <c r="J22" i="41"/>
  <c r="K22" i="41" s="1"/>
  <c r="C19" i="69"/>
  <c r="E20" i="69"/>
  <c r="J20" i="69"/>
  <c r="K20" i="69" s="1"/>
  <c r="I46" i="17"/>
  <c r="J45" i="17"/>
  <c r="K44" i="17" s="1"/>
  <c r="I47" i="53"/>
  <c r="J46" i="53"/>
  <c r="K45" i="53" s="1"/>
  <c r="K44" i="160"/>
  <c r="E18" i="146"/>
  <c r="C17" i="146"/>
  <c r="J18" i="146"/>
  <c r="K18" i="146" s="1"/>
  <c r="J47" i="30"/>
  <c r="K46" i="30" s="1"/>
  <c r="I48" i="30"/>
  <c r="C20" i="81"/>
  <c r="E21" i="81"/>
  <c r="J21" i="81"/>
  <c r="K21" i="81" s="1"/>
  <c r="J45" i="160"/>
  <c r="I46" i="160"/>
  <c r="CB24" i="1"/>
  <c r="K44" i="84"/>
  <c r="K46" i="93"/>
  <c r="K45" i="72"/>
  <c r="C22" i="107"/>
  <c r="E23" i="107"/>
  <c r="J23" i="107"/>
  <c r="K23" i="107" s="1"/>
  <c r="I47" i="169"/>
  <c r="J46" i="169"/>
  <c r="K45" i="169" s="1"/>
  <c r="K46" i="139"/>
  <c r="I46" i="130"/>
  <c r="J45" i="130"/>
  <c r="K44" i="130" s="1"/>
  <c r="K48" i="94"/>
  <c r="I50" i="32"/>
  <c r="J49" i="32"/>
  <c r="K46" i="113"/>
  <c r="K44" i="11"/>
  <c r="K45" i="167"/>
  <c r="K46" i="129"/>
  <c r="K45" i="39"/>
  <c r="K45" i="54"/>
  <c r="C22" i="170"/>
  <c r="E23" i="170"/>
  <c r="J23" i="170"/>
  <c r="K23" i="170" s="1"/>
  <c r="Y22" i="1" l="1"/>
  <c r="BF22" i="2"/>
  <c r="HO22" i="2"/>
  <c r="EP22" i="2"/>
  <c r="HZ22" i="2"/>
  <c r="J47" i="3"/>
  <c r="I48" i="3"/>
  <c r="K45" i="147"/>
  <c r="E22" i="58"/>
  <c r="C21" i="58"/>
  <c r="J22" i="58"/>
  <c r="K22" i="58" s="1"/>
  <c r="E22" i="136"/>
  <c r="C21" i="136"/>
  <c r="J22" i="136"/>
  <c r="K22" i="136" s="1"/>
  <c r="I52" i="145"/>
  <c r="J51" i="145"/>
  <c r="K45" i="45"/>
  <c r="C18" i="62"/>
  <c r="E19" i="62"/>
  <c r="J19" i="62"/>
  <c r="K19" i="62" s="1"/>
  <c r="E20" i="22"/>
  <c r="C19" i="22"/>
  <c r="J20" i="22"/>
  <c r="K20" i="22" s="1"/>
  <c r="I50" i="98"/>
  <c r="J49" i="98"/>
  <c r="E22" i="100"/>
  <c r="C21" i="100"/>
  <c r="J22" i="100"/>
  <c r="K22" i="100" s="1"/>
  <c r="I52" i="12"/>
  <c r="J51" i="12"/>
  <c r="C19" i="99"/>
  <c r="E20" i="99"/>
  <c r="J20" i="99"/>
  <c r="K20" i="99" s="1"/>
  <c r="CA22" i="2"/>
  <c r="E17" i="156"/>
  <c r="C16" i="156"/>
  <c r="J17" i="156"/>
  <c r="K17" i="156" s="1"/>
  <c r="J48" i="113"/>
  <c r="I49" i="113"/>
  <c r="J46" i="147"/>
  <c r="I47" i="147"/>
  <c r="J46" i="36"/>
  <c r="K45" i="36" s="1"/>
  <c r="I47" i="36"/>
  <c r="I47" i="45"/>
  <c r="J46" i="45"/>
  <c r="E19" i="159"/>
  <c r="C18" i="159"/>
  <c r="J19" i="159"/>
  <c r="K19" i="159" s="1"/>
  <c r="E19" i="37"/>
  <c r="C18" i="37"/>
  <c r="J19" i="37"/>
  <c r="K19" i="37" s="1"/>
  <c r="K48" i="98"/>
  <c r="K46" i="87"/>
  <c r="C20" i="151"/>
  <c r="E21" i="151"/>
  <c r="J21" i="151"/>
  <c r="K21" i="151" s="1"/>
  <c r="I48" i="138"/>
  <c r="J47" i="138"/>
  <c r="C20" i="78"/>
  <c r="E21" i="78"/>
  <c r="J21" i="78"/>
  <c r="K21" i="78" s="1"/>
  <c r="I49" i="124"/>
  <c r="J48" i="124"/>
  <c r="C20" i="31"/>
  <c r="E21" i="31"/>
  <c r="J21" i="31"/>
  <c r="K21" i="31" s="1"/>
  <c r="K48" i="9"/>
  <c r="J46" i="69"/>
  <c r="I47" i="69"/>
  <c r="E22" i="28"/>
  <c r="C21" i="28"/>
  <c r="J22" i="28"/>
  <c r="K22" i="28" s="1"/>
  <c r="E21" i="21"/>
  <c r="C20" i="21"/>
  <c r="J21" i="21"/>
  <c r="K21" i="21" s="1"/>
  <c r="E21" i="108"/>
  <c r="C20" i="108"/>
  <c r="J21" i="108"/>
  <c r="K21" i="108" s="1"/>
  <c r="I51" i="94"/>
  <c r="J50" i="94"/>
  <c r="DT21" i="2"/>
  <c r="I52" i="7"/>
  <c r="J51" i="7"/>
  <c r="J47" i="87"/>
  <c r="I48" i="87"/>
  <c r="K46" i="138"/>
  <c r="I48" i="111"/>
  <c r="J47" i="111"/>
  <c r="I50" i="9"/>
  <c r="J49" i="9"/>
  <c r="I52" i="134"/>
  <c r="J51" i="134"/>
  <c r="K50" i="134" s="1"/>
  <c r="K49" i="94"/>
  <c r="E20" i="81"/>
  <c r="C19" i="81"/>
  <c r="J20" i="81"/>
  <c r="K20" i="81" s="1"/>
  <c r="E20" i="150"/>
  <c r="C19" i="150"/>
  <c r="J20" i="150"/>
  <c r="K20" i="150" s="1"/>
  <c r="I48" i="137"/>
  <c r="J47" i="137"/>
  <c r="K46" i="111"/>
  <c r="I48" i="168"/>
  <c r="J47" i="168"/>
  <c r="K45" i="140"/>
  <c r="K47" i="16"/>
  <c r="E20" i="128"/>
  <c r="C19" i="128"/>
  <c r="J20" i="128"/>
  <c r="K20" i="128" s="1"/>
  <c r="I48" i="144"/>
  <c r="J47" i="144"/>
  <c r="E21" i="162"/>
  <c r="C20" i="162"/>
  <c r="J21" i="162"/>
  <c r="K21" i="162" s="1"/>
  <c r="J49" i="89"/>
  <c r="I50" i="89"/>
  <c r="J47" i="170"/>
  <c r="K46" i="170" s="1"/>
  <c r="I48" i="170"/>
  <c r="K50" i="7"/>
  <c r="K49" i="7"/>
  <c r="I49" i="30"/>
  <c r="J48" i="30"/>
  <c r="C18" i="163"/>
  <c r="E19" i="163"/>
  <c r="J19" i="163"/>
  <c r="K19" i="163" s="1"/>
  <c r="E19" i="72"/>
  <c r="C18" i="72"/>
  <c r="J19" i="72"/>
  <c r="K19" i="72" s="1"/>
  <c r="C17" i="102"/>
  <c r="E18" i="102"/>
  <c r="J18" i="102"/>
  <c r="K18" i="102" s="1"/>
  <c r="C19" i="129"/>
  <c r="E20" i="129"/>
  <c r="J20" i="129"/>
  <c r="K20" i="129" s="1"/>
  <c r="DS20" i="2"/>
  <c r="K46" i="3"/>
  <c r="I47" i="143"/>
  <c r="J46" i="143"/>
  <c r="K46" i="137"/>
  <c r="C17" i="43"/>
  <c r="E18" i="43"/>
  <c r="J18" i="43"/>
  <c r="K18" i="43" s="1"/>
  <c r="AU23" i="2"/>
  <c r="C21" i="49"/>
  <c r="E22" i="49"/>
  <c r="J22" i="49"/>
  <c r="K22" i="49" s="1"/>
  <c r="E20" i="11"/>
  <c r="C19" i="11"/>
  <c r="J20" i="11"/>
  <c r="K20" i="11" s="1"/>
  <c r="I47" i="140"/>
  <c r="J46" i="140"/>
  <c r="K45" i="64"/>
  <c r="K46" i="144"/>
  <c r="C19" i="167"/>
  <c r="E20" i="167"/>
  <c r="J20" i="167"/>
  <c r="K20" i="167" s="1"/>
  <c r="E21" i="38"/>
  <c r="C20" i="38"/>
  <c r="J21" i="38"/>
  <c r="K21" i="38" s="1"/>
  <c r="C19" i="18"/>
  <c r="E20" i="18"/>
  <c r="J20" i="18"/>
  <c r="K20" i="18" s="1"/>
  <c r="E20" i="148"/>
  <c r="C19" i="148"/>
  <c r="J20" i="148"/>
  <c r="K20" i="148" s="1"/>
  <c r="K46" i="84"/>
  <c r="J49" i="172"/>
  <c r="I50" i="172"/>
  <c r="E22" i="50"/>
  <c r="C21" i="50"/>
  <c r="AT22" i="2"/>
  <c r="J22" i="50"/>
  <c r="K22" i="50" s="1"/>
  <c r="I50" i="51"/>
  <c r="J49" i="51"/>
  <c r="J46" i="110"/>
  <c r="I47" i="110"/>
  <c r="I49" i="25"/>
  <c r="J48" i="25"/>
  <c r="K47" i="25" s="1"/>
  <c r="I47" i="64"/>
  <c r="J46" i="64"/>
  <c r="I49" i="23"/>
  <c r="J48" i="23"/>
  <c r="E20" i="16"/>
  <c r="C19" i="16"/>
  <c r="J20" i="16"/>
  <c r="K20" i="16" s="1"/>
  <c r="I49" i="10"/>
  <c r="J48" i="10"/>
  <c r="I47" i="47"/>
  <c r="J46" i="47"/>
  <c r="I49" i="159"/>
  <c r="J48" i="159"/>
  <c r="I47" i="163"/>
  <c r="J46" i="163"/>
  <c r="J46" i="38"/>
  <c r="I47" i="38"/>
  <c r="I48" i="84"/>
  <c r="J47" i="84"/>
  <c r="I48" i="49"/>
  <c r="J47" i="49"/>
  <c r="K48" i="51"/>
  <c r="I49" i="37"/>
  <c r="J48" i="37"/>
  <c r="K47" i="37" s="1"/>
  <c r="I47" i="43"/>
  <c r="J46" i="43"/>
  <c r="K47" i="23"/>
  <c r="C19" i="110"/>
  <c r="E20" i="110"/>
  <c r="J20" i="110"/>
  <c r="K20" i="110" s="1"/>
  <c r="E17" i="146"/>
  <c r="C16" i="146"/>
  <c r="J17" i="146"/>
  <c r="K17" i="146" s="1"/>
  <c r="C20" i="119"/>
  <c r="E21" i="119"/>
  <c r="J21" i="119"/>
  <c r="K21" i="119" s="1"/>
  <c r="E20" i="116"/>
  <c r="C19" i="116"/>
  <c r="J20" i="116"/>
  <c r="K20" i="116" s="1"/>
  <c r="E20" i="130"/>
  <c r="C19" i="130"/>
  <c r="J20" i="130"/>
  <c r="K20" i="130" s="1"/>
  <c r="I50" i="135"/>
  <c r="J49" i="135"/>
  <c r="K47" i="10"/>
  <c r="K46" i="114"/>
  <c r="K45" i="47"/>
  <c r="J48" i="72"/>
  <c r="I49" i="72"/>
  <c r="C16" i="157"/>
  <c r="E17" i="157"/>
  <c r="J17" i="157"/>
  <c r="K17" i="157" s="1"/>
  <c r="K47" i="159"/>
  <c r="K45" i="81"/>
  <c r="I48" i="21"/>
  <c r="J47" i="21"/>
  <c r="K46" i="21" s="1"/>
  <c r="I51" i="82"/>
  <c r="J50" i="82"/>
  <c r="K49" i="82" s="1"/>
  <c r="K46" i="49"/>
  <c r="K47" i="28"/>
  <c r="C14" i="82"/>
  <c r="E15" i="82"/>
  <c r="J15" i="82"/>
  <c r="K15" i="82" s="1"/>
  <c r="K46" i="37"/>
  <c r="K44" i="140"/>
  <c r="K45" i="43"/>
  <c r="J49" i="136"/>
  <c r="I50" i="136"/>
  <c r="I48" i="114"/>
  <c r="J47" i="114"/>
  <c r="J46" i="81"/>
  <c r="I47" i="81"/>
  <c r="K47" i="149"/>
  <c r="E20" i="17"/>
  <c r="C19" i="17"/>
  <c r="J20" i="17"/>
  <c r="K20" i="17" s="1"/>
  <c r="C17" i="111"/>
  <c r="E18" i="111"/>
  <c r="J18" i="111"/>
  <c r="K18" i="111" s="1"/>
  <c r="I50" i="62"/>
  <c r="J49" i="62"/>
  <c r="K48" i="62" s="1"/>
  <c r="N23" i="2"/>
  <c r="K45" i="91"/>
  <c r="E18" i="59"/>
  <c r="C17" i="59"/>
  <c r="J18" i="59"/>
  <c r="K18" i="59" s="1"/>
  <c r="J48" i="28"/>
  <c r="I49" i="28"/>
  <c r="C21" i="14"/>
  <c r="E22" i="14"/>
  <c r="J22" i="14"/>
  <c r="K22" i="14" s="1"/>
  <c r="GR22" i="2"/>
  <c r="C19" i="66"/>
  <c r="E20" i="66"/>
  <c r="J20" i="66"/>
  <c r="K20" i="66" s="1"/>
  <c r="EE23" i="2"/>
  <c r="J47" i="119"/>
  <c r="K46" i="119" s="1"/>
  <c r="I48" i="119"/>
  <c r="Y23" i="2"/>
  <c r="I51" i="24"/>
  <c r="K46" i="33"/>
  <c r="D61" i="2"/>
  <c r="DU61" i="2"/>
  <c r="CY61" i="2"/>
  <c r="IL61" i="2"/>
  <c r="IA61" i="2"/>
  <c r="DJ61" i="2"/>
  <c r="O61" i="2"/>
  <c r="FB61" i="2"/>
  <c r="CC61" i="2"/>
  <c r="EQ61" i="2"/>
  <c r="HP61" i="2"/>
  <c r="BG61" i="2"/>
  <c r="IW61" i="2"/>
  <c r="FX61" i="2"/>
  <c r="AV61" i="2"/>
  <c r="EF61" i="2"/>
  <c r="FM61" i="2"/>
  <c r="CN61" i="2"/>
  <c r="Z61" i="2"/>
  <c r="BR61" i="2"/>
  <c r="HE61" i="2"/>
  <c r="AK61" i="2"/>
  <c r="GT61" i="2"/>
  <c r="I47" i="91"/>
  <c r="J46" i="91"/>
  <c r="J46" i="96"/>
  <c r="I47" i="96"/>
  <c r="K48" i="128"/>
  <c r="E22" i="158"/>
  <c r="C21" i="158"/>
  <c r="J22" i="158"/>
  <c r="K22" i="158" s="1"/>
  <c r="C18" i="127"/>
  <c r="E19" i="127"/>
  <c r="J19" i="127"/>
  <c r="K19" i="127" s="1"/>
  <c r="Y23" i="1"/>
  <c r="I49" i="139"/>
  <c r="J48" i="139"/>
  <c r="K47" i="139" s="1"/>
  <c r="E20" i="126"/>
  <c r="C19" i="126"/>
  <c r="J20" i="126"/>
  <c r="K20" i="126" s="1"/>
  <c r="J48" i="149"/>
  <c r="I49" i="149"/>
  <c r="C20" i="142"/>
  <c r="E21" i="142"/>
  <c r="J21" i="142"/>
  <c r="K21" i="142" s="1"/>
  <c r="CX22" i="2"/>
  <c r="E22" i="109"/>
  <c r="C21" i="109"/>
  <c r="ED22" i="2"/>
  <c r="J22" i="109"/>
  <c r="K22" i="109" s="1"/>
  <c r="C21" i="90"/>
  <c r="E22" i="90"/>
  <c r="J22" i="90"/>
  <c r="K22" i="90" s="1"/>
  <c r="C19" i="68"/>
  <c r="E20" i="68"/>
  <c r="J20" i="68"/>
  <c r="K20" i="68" s="1"/>
  <c r="C19" i="25"/>
  <c r="E20" i="25"/>
  <c r="J20" i="25"/>
  <c r="K20" i="25" s="1"/>
  <c r="E22" i="12"/>
  <c r="C21" i="12"/>
  <c r="M22" i="1"/>
  <c r="X22" i="2"/>
  <c r="J22" i="12"/>
  <c r="K22" i="12" s="1"/>
  <c r="E19" i="124"/>
  <c r="C18" i="124"/>
  <c r="J19" i="124"/>
  <c r="K19" i="124" s="1"/>
  <c r="J47" i="33"/>
  <c r="I48" i="33"/>
  <c r="D61" i="1"/>
  <c r="O61" i="1"/>
  <c r="Z61" i="1"/>
  <c r="AK61" i="1"/>
  <c r="CC61" i="1"/>
  <c r="AV61" i="1"/>
  <c r="BR61" i="1"/>
  <c r="K46" i="56"/>
  <c r="K46" i="20"/>
  <c r="I52" i="61"/>
  <c r="J51" i="61"/>
  <c r="K50" i="61" s="1"/>
  <c r="I50" i="128"/>
  <c r="J49" i="128"/>
  <c r="K47" i="128"/>
  <c r="C19" i="103"/>
  <c r="E20" i="103"/>
  <c r="J20" i="103"/>
  <c r="K20" i="103" s="1"/>
  <c r="E21" i="76"/>
  <c r="C20" i="76"/>
  <c r="J21" i="76"/>
  <c r="K21" i="76" s="1"/>
  <c r="N23" i="1"/>
  <c r="I48" i="80"/>
  <c r="J47" i="80"/>
  <c r="K46" i="80" s="1"/>
  <c r="E19" i="26"/>
  <c r="C18" i="26"/>
  <c r="J19" i="26"/>
  <c r="K19" i="26" s="1"/>
  <c r="E20" i="113"/>
  <c r="C19" i="113"/>
  <c r="J20" i="113"/>
  <c r="K20" i="113" s="1"/>
  <c r="BG61" i="1"/>
  <c r="BF61" i="1"/>
  <c r="J47" i="56"/>
  <c r="I48" i="56"/>
  <c r="J47" i="20"/>
  <c r="I48" i="20"/>
  <c r="I48" i="123"/>
  <c r="J47" i="123"/>
  <c r="K46" i="123" s="1"/>
  <c r="J47" i="31"/>
  <c r="K46" i="31" s="1"/>
  <c r="I48" i="31"/>
  <c r="K45" i="102"/>
  <c r="I47" i="125"/>
  <c r="J46" i="125"/>
  <c r="I48" i="121"/>
  <c r="J47" i="121"/>
  <c r="C20" i="153"/>
  <c r="E21" i="153"/>
  <c r="J21" i="153"/>
  <c r="K21" i="153" s="1"/>
  <c r="J46" i="55"/>
  <c r="I47" i="55"/>
  <c r="I48" i="86"/>
  <c r="J47" i="86"/>
  <c r="GI61" i="2"/>
  <c r="GH61" i="2"/>
  <c r="K44" i="91"/>
  <c r="I48" i="85"/>
  <c r="J47" i="85"/>
  <c r="J46" i="35"/>
  <c r="K45" i="35" s="1"/>
  <c r="I47" i="35"/>
  <c r="J48" i="68"/>
  <c r="I49" i="68"/>
  <c r="E17" i="87"/>
  <c r="C16" i="87"/>
  <c r="J17" i="87"/>
  <c r="K17" i="87" s="1"/>
  <c r="E22" i="29"/>
  <c r="C21" i="29"/>
  <c r="J22" i="29"/>
  <c r="K22" i="29" s="1"/>
  <c r="K45" i="163"/>
  <c r="K45" i="174"/>
  <c r="C17" i="165"/>
  <c r="E18" i="165"/>
  <c r="J18" i="165"/>
  <c r="K18" i="165" s="1"/>
  <c r="E21" i="80"/>
  <c r="C20" i="80"/>
  <c r="J21" i="80"/>
  <c r="K21" i="80" s="1"/>
  <c r="J47" i="53"/>
  <c r="I48" i="53"/>
  <c r="I47" i="174"/>
  <c r="J46" i="174"/>
  <c r="K46" i="161"/>
  <c r="C18" i="123"/>
  <c r="E19" i="123"/>
  <c r="J19" i="123"/>
  <c r="K19" i="123" s="1"/>
  <c r="I47" i="102"/>
  <c r="J46" i="102"/>
  <c r="K45" i="31"/>
  <c r="K44" i="143"/>
  <c r="K46" i="86"/>
  <c r="E60" i="24"/>
  <c r="C59" i="24"/>
  <c r="GG60" i="2"/>
  <c r="BE60" i="1"/>
  <c r="C60" i="2"/>
  <c r="C60" i="1"/>
  <c r="K46" i="85"/>
  <c r="E21" i="147"/>
  <c r="C20" i="147"/>
  <c r="J21" i="147"/>
  <c r="K21" i="147" s="1"/>
  <c r="C20" i="95"/>
  <c r="E21" i="95"/>
  <c r="J21" i="95"/>
  <c r="K21" i="95" s="1"/>
  <c r="K47" i="68"/>
  <c r="I47" i="171"/>
  <c r="J46" i="171"/>
  <c r="I47" i="100"/>
  <c r="J46" i="100"/>
  <c r="E19" i="106"/>
  <c r="C18" i="106"/>
  <c r="J19" i="106"/>
  <c r="K19" i="106" s="1"/>
  <c r="C19" i="94"/>
  <c r="E20" i="94"/>
  <c r="J20" i="94"/>
  <c r="K20" i="94" s="1"/>
  <c r="I49" i="157"/>
  <c r="J48" i="157"/>
  <c r="K47" i="157" s="1"/>
  <c r="E20" i="135"/>
  <c r="C19" i="135"/>
  <c r="J20" i="135"/>
  <c r="K20" i="135" s="1"/>
  <c r="DI22" i="2"/>
  <c r="J49" i="101"/>
  <c r="K48" i="101" s="1"/>
  <c r="I50" i="101"/>
  <c r="K49" i="42"/>
  <c r="I49" i="93"/>
  <c r="J48" i="93"/>
  <c r="K46" i="53"/>
  <c r="AU23" i="1"/>
  <c r="K46" i="149"/>
  <c r="FW23" i="2"/>
  <c r="J47" i="104"/>
  <c r="I48" i="104"/>
  <c r="C20" i="33"/>
  <c r="E21" i="33"/>
  <c r="M21" i="2"/>
  <c r="J21" i="33"/>
  <c r="K21" i="33" s="1"/>
  <c r="E19" i="84"/>
  <c r="C18" i="84"/>
  <c r="J19" i="84"/>
  <c r="K19" i="84" s="1"/>
  <c r="C21" i="91"/>
  <c r="E22" i="91"/>
  <c r="J22" i="91"/>
  <c r="K22" i="91" s="1"/>
  <c r="J50" i="42"/>
  <c r="I51" i="42"/>
  <c r="K47" i="30"/>
  <c r="J46" i="17"/>
  <c r="I47" i="17"/>
  <c r="E19" i="85"/>
  <c r="C18" i="85"/>
  <c r="J19" i="85"/>
  <c r="K19" i="85" s="1"/>
  <c r="J47" i="161"/>
  <c r="I48" i="161"/>
  <c r="J47" i="116"/>
  <c r="I48" i="116"/>
  <c r="I50" i="26"/>
  <c r="J49" i="26"/>
  <c r="K48" i="26" s="1"/>
  <c r="N22" i="2"/>
  <c r="E19" i="73"/>
  <c r="C18" i="73"/>
  <c r="J19" i="73"/>
  <c r="K19" i="73" s="1"/>
  <c r="K44" i="125"/>
  <c r="C20" i="96"/>
  <c r="E21" i="96"/>
  <c r="J21" i="96"/>
  <c r="K21" i="96" s="1"/>
  <c r="I47" i="58"/>
  <c r="J46" i="58"/>
  <c r="I49" i="44"/>
  <c r="J48" i="44"/>
  <c r="I51" i="32"/>
  <c r="J50" i="32"/>
  <c r="K49" i="32" s="1"/>
  <c r="I50" i="78"/>
  <c r="J49" i="78"/>
  <c r="C19" i="5"/>
  <c r="E20" i="5"/>
  <c r="J20" i="5"/>
  <c r="K20" i="5" s="1"/>
  <c r="E19" i="120"/>
  <c r="C18" i="120"/>
  <c r="J19" i="120"/>
  <c r="K19" i="120" s="1"/>
  <c r="E22" i="7"/>
  <c r="C21" i="7"/>
  <c r="AT22" i="1"/>
  <c r="J22" i="7"/>
  <c r="K22" i="7" s="1"/>
  <c r="K48" i="29"/>
  <c r="K47" i="44"/>
  <c r="K44" i="55"/>
  <c r="I47" i="148"/>
  <c r="J46" i="148"/>
  <c r="K45" i="104"/>
  <c r="I48" i="88"/>
  <c r="J47" i="88"/>
  <c r="K45" i="56"/>
  <c r="C20" i="133"/>
  <c r="E21" i="133"/>
  <c r="J21" i="133"/>
  <c r="K21" i="133" s="1"/>
  <c r="DH21" i="2"/>
  <c r="I47" i="40"/>
  <c r="J46" i="40"/>
  <c r="E21" i="97"/>
  <c r="C20" i="97"/>
  <c r="J21" i="97"/>
  <c r="K21" i="97" s="1"/>
  <c r="I48" i="57"/>
  <c r="J47" i="57"/>
  <c r="E21" i="15"/>
  <c r="C20" i="15"/>
  <c r="J21" i="15"/>
  <c r="K21" i="15" s="1"/>
  <c r="K45" i="144"/>
  <c r="C21" i="27"/>
  <c r="E22" i="27"/>
  <c r="J22" i="27"/>
  <c r="K22" i="27" s="1"/>
  <c r="I50" i="142"/>
  <c r="J49" i="142"/>
  <c r="K48" i="78"/>
  <c r="K46" i="67"/>
  <c r="FL22" i="2"/>
  <c r="FA22" i="2"/>
  <c r="J49" i="29"/>
  <c r="I50" i="29"/>
  <c r="C21" i="42"/>
  <c r="E22" i="42"/>
  <c r="J22" i="42"/>
  <c r="K22" i="42" s="1"/>
  <c r="FV22" i="2"/>
  <c r="K45" i="148"/>
  <c r="I48" i="73"/>
  <c r="J47" i="73"/>
  <c r="K46" i="88"/>
  <c r="K45" i="84"/>
  <c r="C20" i="77"/>
  <c r="E21" i="77"/>
  <c r="J21" i="77"/>
  <c r="K21" i="77" s="1"/>
  <c r="K46" i="68"/>
  <c r="K46" i="57"/>
  <c r="C18" i="51"/>
  <c r="E19" i="51"/>
  <c r="J19" i="51"/>
  <c r="K19" i="51" s="1"/>
  <c r="IV23" i="2"/>
  <c r="K48" i="136"/>
  <c r="K45" i="17"/>
  <c r="E20" i="4"/>
  <c r="C19" i="4"/>
  <c r="J20" i="4"/>
  <c r="K20" i="4" s="1"/>
  <c r="E19" i="69"/>
  <c r="C18" i="69"/>
  <c r="J19" i="69"/>
  <c r="K19" i="69" s="1"/>
  <c r="CX21" i="2"/>
  <c r="J47" i="67"/>
  <c r="I48" i="67"/>
  <c r="I49" i="158"/>
  <c r="J48" i="158"/>
  <c r="E21" i="88"/>
  <c r="C20" i="88"/>
  <c r="J21" i="88"/>
  <c r="K21" i="88" s="1"/>
  <c r="K45" i="166"/>
  <c r="J51" i="133"/>
  <c r="K50" i="133" s="1"/>
  <c r="I52" i="133"/>
  <c r="C16" i="166"/>
  <c r="E17" i="166"/>
  <c r="J17" i="166"/>
  <c r="K17" i="166" s="1"/>
  <c r="E18" i="45"/>
  <c r="C17" i="45"/>
  <c r="J18" i="45"/>
  <c r="K18" i="45" s="1"/>
  <c r="E19" i="173"/>
  <c r="C18" i="173"/>
  <c r="J19" i="173"/>
  <c r="K19" i="173" s="1"/>
  <c r="K46" i="73"/>
  <c r="K45" i="73"/>
  <c r="J46" i="146"/>
  <c r="I47" i="146"/>
  <c r="C20" i="114"/>
  <c r="E21" i="114"/>
  <c r="J21" i="114"/>
  <c r="K21" i="114" s="1"/>
  <c r="I47" i="109"/>
  <c r="J46" i="109"/>
  <c r="I49" i="66"/>
  <c r="J48" i="66"/>
  <c r="E21" i="132"/>
  <c r="C20" i="132"/>
  <c r="J21" i="132"/>
  <c r="K21" i="132" s="1"/>
  <c r="E21" i="89"/>
  <c r="C20" i="89"/>
  <c r="J21" i="89"/>
  <c r="K21" i="89" s="1"/>
  <c r="I48" i="50"/>
  <c r="J47" i="50"/>
  <c r="CB23" i="1"/>
  <c r="E22" i="170"/>
  <c r="C21" i="170"/>
  <c r="J22" i="170"/>
  <c r="K22" i="170" s="1"/>
  <c r="C20" i="134"/>
  <c r="E21" i="134"/>
  <c r="EZ21" i="2"/>
  <c r="J21" i="134"/>
  <c r="K21" i="134" s="1"/>
  <c r="J46" i="166"/>
  <c r="I47" i="166"/>
  <c r="E17" i="32"/>
  <c r="C16" i="32"/>
  <c r="J17" i="32"/>
  <c r="K17" i="32" s="1"/>
  <c r="K46" i="154"/>
  <c r="E20" i="9"/>
  <c r="C19" i="9"/>
  <c r="J20" i="9"/>
  <c r="K20" i="9" s="1"/>
  <c r="C19" i="161"/>
  <c r="E20" i="161"/>
  <c r="J20" i="161"/>
  <c r="K20" i="161" s="1"/>
  <c r="C19" i="137"/>
  <c r="E20" i="137"/>
  <c r="J20" i="137"/>
  <c r="K20" i="137" s="1"/>
  <c r="K45" i="65"/>
  <c r="C20" i="122"/>
  <c r="E21" i="122"/>
  <c r="J21" i="122"/>
  <c r="K21" i="122" s="1"/>
  <c r="C20" i="44"/>
  <c r="E21" i="44"/>
  <c r="J21" i="44"/>
  <c r="K21" i="44" s="1"/>
  <c r="K46" i="50"/>
  <c r="E22" i="143"/>
  <c r="C21" i="143"/>
  <c r="J22" i="143"/>
  <c r="K22" i="143" s="1"/>
  <c r="I51" i="27"/>
  <c r="J50" i="27"/>
  <c r="E19" i="47"/>
  <c r="C18" i="47"/>
  <c r="J19" i="47"/>
  <c r="K19" i="47" s="1"/>
  <c r="E22" i="6"/>
  <c r="C21" i="6"/>
  <c r="CA22" i="1"/>
  <c r="I51" i="71"/>
  <c r="J50" i="71"/>
  <c r="BQ23" i="1"/>
  <c r="K44" i="58"/>
  <c r="J49" i="156"/>
  <c r="I50" i="156"/>
  <c r="I48" i="154"/>
  <c r="J47" i="154"/>
  <c r="E21" i="23"/>
  <c r="C20" i="23"/>
  <c r="J21" i="23"/>
  <c r="K21" i="23" s="1"/>
  <c r="I47" i="65"/>
  <c r="J46" i="65"/>
  <c r="J48" i="18"/>
  <c r="K47" i="18" s="1"/>
  <c r="I49" i="18"/>
  <c r="K45" i="49"/>
  <c r="J47" i="106"/>
  <c r="I48" i="106"/>
  <c r="K49" i="27"/>
  <c r="K44" i="64"/>
  <c r="E22" i="92"/>
  <c r="C21" i="92"/>
  <c r="J22" i="92"/>
  <c r="K22" i="92" s="1"/>
  <c r="I51" i="59"/>
  <c r="J50" i="59"/>
  <c r="K49" i="59" s="1"/>
  <c r="E20" i="64"/>
  <c r="C19" i="64"/>
  <c r="J20" i="64"/>
  <c r="K20" i="64" s="1"/>
  <c r="I47" i="120"/>
  <c r="J46" i="120"/>
  <c r="K45" i="120" s="1"/>
  <c r="I48" i="151"/>
  <c r="J47" i="151"/>
  <c r="C16" i="30"/>
  <c r="E17" i="30"/>
  <c r="J17" i="30"/>
  <c r="K17" i="30" s="1"/>
  <c r="IV22" i="2"/>
  <c r="E20" i="19"/>
  <c r="C19" i="19"/>
  <c r="J20" i="19"/>
  <c r="K20" i="19" s="1"/>
  <c r="AI22" i="2"/>
  <c r="I49" i="165"/>
  <c r="J48" i="165"/>
  <c r="I47" i="112"/>
  <c r="J46" i="112"/>
  <c r="C19" i="65"/>
  <c r="E20" i="65"/>
  <c r="J20" i="65"/>
  <c r="K20" i="65" s="1"/>
  <c r="E21" i="169"/>
  <c r="C20" i="169"/>
  <c r="HY21" i="2"/>
  <c r="J21" i="169"/>
  <c r="K21" i="169" s="1"/>
  <c r="K48" i="42"/>
  <c r="K44" i="171"/>
  <c r="K47" i="9"/>
  <c r="J49" i="107"/>
  <c r="I50" i="107"/>
  <c r="C21" i="8"/>
  <c r="E22" i="8"/>
  <c r="BP22" i="1"/>
  <c r="HC22" i="2"/>
  <c r="J22" i="8"/>
  <c r="K22" i="8" s="1"/>
  <c r="I50" i="122"/>
  <c r="J49" i="122"/>
  <c r="E22" i="93"/>
  <c r="C21" i="93"/>
  <c r="J22" i="93"/>
  <c r="K22" i="93" s="1"/>
  <c r="E22" i="174"/>
  <c r="C21" i="174"/>
  <c r="J22" i="174"/>
  <c r="K22" i="174" s="1"/>
  <c r="K45" i="154"/>
  <c r="I50" i="152"/>
  <c r="J49" i="152"/>
  <c r="K48" i="152" s="1"/>
  <c r="K45" i="116"/>
  <c r="J48" i="60"/>
  <c r="K47" i="60" s="1"/>
  <c r="I49" i="60"/>
  <c r="K46" i="151"/>
  <c r="I52" i="74"/>
  <c r="J51" i="74"/>
  <c r="K50" i="74" s="1"/>
  <c r="I49" i="41"/>
  <c r="J48" i="41"/>
  <c r="C20" i="140"/>
  <c r="E21" i="140"/>
  <c r="J21" i="140"/>
  <c r="K21" i="140" s="1"/>
  <c r="K46" i="41"/>
  <c r="E21" i="70"/>
  <c r="C20" i="70"/>
  <c r="J21" i="70"/>
  <c r="K21" i="70" s="1"/>
  <c r="K45" i="112"/>
  <c r="I50" i="164"/>
  <c r="J49" i="164"/>
  <c r="C21" i="3"/>
  <c r="E22" i="3"/>
  <c r="J22" i="3"/>
  <c r="K22" i="3" s="1"/>
  <c r="E22" i="53"/>
  <c r="C21" i="53"/>
  <c r="J22" i="53"/>
  <c r="K22" i="53" s="1"/>
  <c r="J46" i="8"/>
  <c r="K45" i="8" s="1"/>
  <c r="I47" i="8"/>
  <c r="I47" i="130"/>
  <c r="J46" i="130"/>
  <c r="K45" i="130" s="1"/>
  <c r="K49" i="71"/>
  <c r="E20" i="112"/>
  <c r="C19" i="112"/>
  <c r="J20" i="112"/>
  <c r="K20" i="112" s="1"/>
  <c r="C20" i="41"/>
  <c r="E21" i="41"/>
  <c r="J21" i="41"/>
  <c r="K21" i="41" s="1"/>
  <c r="E22" i="155"/>
  <c r="C21" i="155"/>
  <c r="J22" i="155"/>
  <c r="K22" i="155" s="1"/>
  <c r="K47" i="152"/>
  <c r="E20" i="74"/>
  <c r="C19" i="74"/>
  <c r="J20" i="74"/>
  <c r="K20" i="74" s="1"/>
  <c r="K45" i="87"/>
  <c r="E21" i="145"/>
  <c r="C20" i="145"/>
  <c r="J21" i="145"/>
  <c r="K21" i="145" s="1"/>
  <c r="C19" i="60"/>
  <c r="E20" i="60"/>
  <c r="J20" i="60"/>
  <c r="K20" i="60" s="1"/>
  <c r="I48" i="97"/>
  <c r="J47" i="97"/>
  <c r="K46" i="126"/>
  <c r="C19" i="57"/>
  <c r="E20" i="57"/>
  <c r="J20" i="57"/>
  <c r="K20" i="57" s="1"/>
  <c r="C20" i="164"/>
  <c r="E21" i="164"/>
  <c r="J21" i="164"/>
  <c r="K21" i="164" s="1"/>
  <c r="K48" i="164"/>
  <c r="E22" i="152"/>
  <c r="C21" i="152"/>
  <c r="J22" i="152"/>
  <c r="K22" i="152" s="1"/>
  <c r="I47" i="141"/>
  <c r="J46" i="141"/>
  <c r="K45" i="141" s="1"/>
  <c r="I48" i="5"/>
  <c r="J47" i="5"/>
  <c r="K46" i="5" s="1"/>
  <c r="K47" i="115"/>
  <c r="E20" i="118"/>
  <c r="C19" i="118"/>
  <c r="J20" i="118"/>
  <c r="K20" i="118" s="1"/>
  <c r="C14" i="98"/>
  <c r="E15" i="98"/>
  <c r="J15" i="98"/>
  <c r="K15" i="98" s="1"/>
  <c r="E18" i="131"/>
  <c r="C17" i="131"/>
  <c r="J18" i="131"/>
  <c r="K18" i="131" s="1"/>
  <c r="C18" i="149"/>
  <c r="E19" i="149"/>
  <c r="J19" i="149"/>
  <c r="K19" i="149" s="1"/>
  <c r="C20" i="13"/>
  <c r="E21" i="13"/>
  <c r="J21" i="13"/>
  <c r="K21" i="13" s="1"/>
  <c r="K46" i="124"/>
  <c r="E19" i="115"/>
  <c r="C18" i="115"/>
  <c r="J19" i="115"/>
  <c r="K19" i="115" s="1"/>
  <c r="I49" i="99"/>
  <c r="J48" i="99"/>
  <c r="I49" i="118"/>
  <c r="J48" i="118"/>
  <c r="J47" i="126"/>
  <c r="I48" i="126"/>
  <c r="E21" i="79"/>
  <c r="C20" i="79"/>
  <c r="J21" i="79"/>
  <c r="K21" i="79" s="1"/>
  <c r="I52" i="75"/>
  <c r="J51" i="75"/>
  <c r="K45" i="170"/>
  <c r="J48" i="115"/>
  <c r="I49" i="115"/>
  <c r="C21" i="172"/>
  <c r="E22" i="172"/>
  <c r="J22" i="172"/>
  <c r="K22" i="172" s="1"/>
  <c r="I50" i="77"/>
  <c r="J49" i="77"/>
  <c r="J46" i="34"/>
  <c r="I47" i="34"/>
  <c r="K48" i="82"/>
  <c r="J50" i="79"/>
  <c r="I51" i="79"/>
  <c r="C17" i="160"/>
  <c r="E18" i="160"/>
  <c r="J18" i="160"/>
  <c r="K18" i="160" s="1"/>
  <c r="K47" i="118"/>
  <c r="E21" i="20"/>
  <c r="C20" i="20"/>
  <c r="J21" i="20"/>
  <c r="K21" i="20" s="1"/>
  <c r="K44" i="40"/>
  <c r="K45" i="50"/>
  <c r="C20" i="125"/>
  <c r="E21" i="125"/>
  <c r="J21" i="125"/>
  <c r="K21" i="125" s="1"/>
  <c r="E20" i="83"/>
  <c r="C19" i="83"/>
  <c r="J20" i="83"/>
  <c r="K20" i="83" s="1"/>
  <c r="K48" i="13"/>
  <c r="I50" i="132"/>
  <c r="J49" i="132"/>
  <c r="K48" i="132" s="1"/>
  <c r="IJ22" i="2"/>
  <c r="J49" i="48"/>
  <c r="I50" i="48"/>
  <c r="E19" i="61"/>
  <c r="C18" i="61"/>
  <c r="J19" i="61"/>
  <c r="K19" i="61" s="1"/>
  <c r="K44" i="109"/>
  <c r="I48" i="52"/>
  <c r="J47" i="52"/>
  <c r="K46" i="52" s="1"/>
  <c r="K49" i="79"/>
  <c r="K46" i="23"/>
  <c r="E21" i="35"/>
  <c r="C20" i="35"/>
  <c r="J21" i="35"/>
  <c r="K21" i="35" s="1"/>
  <c r="J47" i="39"/>
  <c r="K46" i="39" s="1"/>
  <c r="I48" i="39"/>
  <c r="C20" i="10"/>
  <c r="E21" i="10"/>
  <c r="J21" i="10"/>
  <c r="K21" i="10" s="1"/>
  <c r="I52" i="15"/>
  <c r="J51" i="15"/>
  <c r="C21" i="121"/>
  <c r="E22" i="121"/>
  <c r="J22" i="121"/>
  <c r="K22" i="121" s="1"/>
  <c r="K47" i="136"/>
  <c r="I50" i="13"/>
  <c r="J49" i="13"/>
  <c r="E20" i="67"/>
  <c r="C19" i="67"/>
  <c r="J20" i="67"/>
  <c r="K20" i="67" s="1"/>
  <c r="K45" i="5"/>
  <c r="J49" i="127"/>
  <c r="I50" i="127"/>
  <c r="E19" i="168"/>
  <c r="C18" i="168"/>
  <c r="J19" i="168"/>
  <c r="K19" i="168" s="1"/>
  <c r="J47" i="131"/>
  <c r="K46" i="131" s="1"/>
  <c r="I48" i="131"/>
  <c r="K46" i="60"/>
  <c r="E21" i="71"/>
  <c r="C20" i="71"/>
  <c r="J21" i="71"/>
  <c r="K21" i="71" s="1"/>
  <c r="I48" i="70"/>
  <c r="J47" i="70"/>
  <c r="J48" i="63"/>
  <c r="I49" i="63"/>
  <c r="I51" i="14"/>
  <c r="J50" i="14"/>
  <c r="CL22" i="2"/>
  <c r="C19" i="54"/>
  <c r="E20" i="54"/>
  <c r="J20" i="54"/>
  <c r="K20" i="54" s="1"/>
  <c r="K47" i="92"/>
  <c r="K45" i="38"/>
  <c r="C17" i="34"/>
  <c r="E18" i="34"/>
  <c r="J18" i="34"/>
  <c r="K18" i="34" s="1"/>
  <c r="I47" i="105"/>
  <c r="J46" i="105"/>
  <c r="K44" i="8"/>
  <c r="E19" i="171"/>
  <c r="C18" i="171"/>
  <c r="J19" i="171"/>
  <c r="K19" i="171" s="1"/>
  <c r="E18" i="105"/>
  <c r="C17" i="105"/>
  <c r="J18" i="105"/>
  <c r="K18" i="105" s="1"/>
  <c r="K64" i="150"/>
  <c r="AJ23" i="1"/>
  <c r="J51" i="46"/>
  <c r="I52" i="46"/>
  <c r="K46" i="70"/>
  <c r="C20" i="101"/>
  <c r="E21" i="101"/>
  <c r="J21" i="101"/>
  <c r="K21" i="101" s="1"/>
  <c r="J46" i="95"/>
  <c r="I47" i="95"/>
  <c r="J47" i="103"/>
  <c r="I48" i="103"/>
  <c r="K47" i="63"/>
  <c r="C20" i="36"/>
  <c r="E21" i="36"/>
  <c r="J21" i="36"/>
  <c r="K21" i="36" s="1"/>
  <c r="K49" i="134"/>
  <c r="I48" i="76"/>
  <c r="J47" i="76"/>
  <c r="K45" i="90"/>
  <c r="E17" i="138"/>
  <c r="C16" i="138"/>
  <c r="J17" i="138"/>
  <c r="K17" i="138" s="1"/>
  <c r="I49" i="92"/>
  <c r="J48" i="92"/>
  <c r="K44" i="110"/>
  <c r="J48" i="129"/>
  <c r="K47" i="129" s="1"/>
  <c r="I49" i="129"/>
  <c r="J47" i="169"/>
  <c r="K46" i="169" s="1"/>
  <c r="I48" i="169"/>
  <c r="J47" i="54"/>
  <c r="I48" i="54"/>
  <c r="K45" i="119"/>
  <c r="C19" i="139"/>
  <c r="E20" i="139"/>
  <c r="J20" i="139"/>
  <c r="K20" i="139" s="1"/>
  <c r="BQ23" i="2"/>
  <c r="I51" i="22"/>
  <c r="J50" i="22"/>
  <c r="K49" i="22" s="1"/>
  <c r="K47" i="62"/>
  <c r="E22" i="46"/>
  <c r="C21" i="46"/>
  <c r="CL21" i="2" s="1"/>
  <c r="J22" i="46"/>
  <c r="K22" i="46" s="1"/>
  <c r="E21" i="63"/>
  <c r="C20" i="63"/>
  <c r="J21" i="63"/>
  <c r="K21" i="63" s="1"/>
  <c r="K45" i="138"/>
  <c r="K45" i="168"/>
  <c r="I48" i="153"/>
  <c r="J47" i="153"/>
  <c r="K46" i="108"/>
  <c r="I47" i="90"/>
  <c r="J46" i="90"/>
  <c r="K45" i="126"/>
  <c r="K45" i="57"/>
  <c r="I47" i="11"/>
  <c r="J46" i="11"/>
  <c r="C21" i="107"/>
  <c r="BE21" i="2" s="1"/>
  <c r="E22" i="107"/>
  <c r="J22" i="107"/>
  <c r="K22" i="107" s="1"/>
  <c r="K46" i="54"/>
  <c r="I49" i="167"/>
  <c r="J48" i="167"/>
  <c r="AI22" i="1"/>
  <c r="I48" i="155"/>
  <c r="J47" i="155"/>
  <c r="K45" i="114"/>
  <c r="J48" i="83"/>
  <c r="K47" i="83" s="1"/>
  <c r="I49" i="83"/>
  <c r="I66" i="150"/>
  <c r="J65" i="150"/>
  <c r="C19" i="144"/>
  <c r="E20" i="144"/>
  <c r="J20" i="144"/>
  <c r="K20" i="144" s="1"/>
  <c r="E21" i="154"/>
  <c r="C20" i="154"/>
  <c r="J21" i="154"/>
  <c r="K21" i="154" s="1"/>
  <c r="IJ21" i="2"/>
  <c r="C21" i="56"/>
  <c r="E22" i="56"/>
  <c r="J22" i="56"/>
  <c r="K22" i="56" s="1"/>
  <c r="E19" i="40"/>
  <c r="C18" i="40"/>
  <c r="J19" i="40"/>
  <c r="K19" i="40" s="1"/>
  <c r="K45" i="161"/>
  <c r="E21" i="48"/>
  <c r="C20" i="48"/>
  <c r="J21" i="48"/>
  <c r="K21" i="48" s="1"/>
  <c r="K46" i="155"/>
  <c r="K46" i="83"/>
  <c r="I50" i="117"/>
  <c r="J49" i="117"/>
  <c r="C21" i="55"/>
  <c r="E22" i="55"/>
  <c r="J22" i="55"/>
  <c r="K22" i="55" s="1"/>
  <c r="K44" i="120"/>
  <c r="E21" i="117"/>
  <c r="C20" i="117"/>
  <c r="J21" i="117"/>
  <c r="K21" i="117" s="1"/>
  <c r="K46" i="18"/>
  <c r="E19" i="39"/>
  <c r="C18" i="39"/>
  <c r="J19" i="39"/>
  <c r="K19" i="39" s="1"/>
  <c r="I48" i="19"/>
  <c r="J47" i="19"/>
  <c r="C19" i="75"/>
  <c r="E20" i="75"/>
  <c r="J20" i="75"/>
  <c r="K20" i="75" s="1"/>
  <c r="E20" i="104"/>
  <c r="C19" i="104"/>
  <c r="J20" i="104"/>
  <c r="K20" i="104" s="1"/>
  <c r="K46" i="4"/>
  <c r="I48" i="108"/>
  <c r="J47" i="108"/>
  <c r="I48" i="162"/>
  <c r="J47" i="162"/>
  <c r="K45" i="97"/>
  <c r="K47" i="173"/>
  <c r="K45" i="11"/>
  <c r="HD23" i="2"/>
  <c r="K47" i="167"/>
  <c r="I47" i="160"/>
  <c r="J46" i="160"/>
  <c r="K45" i="160" s="1"/>
  <c r="K44" i="147"/>
  <c r="E19" i="141"/>
  <c r="C18" i="141"/>
  <c r="J19" i="141"/>
  <c r="K19" i="141" s="1"/>
  <c r="K46" i="10"/>
  <c r="E22" i="52"/>
  <c r="C21" i="52"/>
  <c r="BP22" i="2"/>
  <c r="J22" i="52"/>
  <c r="K22" i="52" s="1"/>
  <c r="K48" i="117"/>
  <c r="K50" i="12"/>
  <c r="I48" i="4"/>
  <c r="J47" i="4"/>
  <c r="I50" i="16"/>
  <c r="J49" i="16"/>
  <c r="K46" i="162"/>
  <c r="E19" i="86"/>
  <c r="C18" i="86"/>
  <c r="J19" i="86"/>
  <c r="K19" i="86" s="1"/>
  <c r="I49" i="173"/>
  <c r="J48" i="173"/>
  <c r="K45" i="123"/>
  <c r="CM21" i="2" l="1"/>
  <c r="BF21" i="2"/>
  <c r="C15" i="138"/>
  <c r="E16" i="138"/>
  <c r="J16" i="138"/>
  <c r="K16" i="138" s="1"/>
  <c r="K47" i="97"/>
  <c r="E21" i="93"/>
  <c r="C20" i="93"/>
  <c r="J21" i="93"/>
  <c r="K21" i="93" s="1"/>
  <c r="E20" i="88"/>
  <c r="C19" i="88"/>
  <c r="J20" i="88"/>
  <c r="K20" i="88" s="1"/>
  <c r="J47" i="40"/>
  <c r="I48" i="40"/>
  <c r="K46" i="58"/>
  <c r="C18" i="94"/>
  <c r="E19" i="94"/>
  <c r="J19" i="94"/>
  <c r="K19" i="94" s="1"/>
  <c r="I48" i="102"/>
  <c r="J47" i="102"/>
  <c r="J48" i="80"/>
  <c r="I49" i="80"/>
  <c r="Y22" i="2"/>
  <c r="E17" i="43"/>
  <c r="C16" i="43"/>
  <c r="J17" i="43"/>
  <c r="K17" i="43" s="1"/>
  <c r="I49" i="144"/>
  <c r="J48" i="144"/>
  <c r="I51" i="98"/>
  <c r="J50" i="98"/>
  <c r="I51" i="127"/>
  <c r="J50" i="127"/>
  <c r="J48" i="153"/>
  <c r="I49" i="153"/>
  <c r="K49" i="127"/>
  <c r="E18" i="61"/>
  <c r="C17" i="61"/>
  <c r="J18" i="61"/>
  <c r="K18" i="61" s="1"/>
  <c r="I49" i="97"/>
  <c r="J48" i="97"/>
  <c r="C19" i="122"/>
  <c r="E20" i="122"/>
  <c r="J20" i="122"/>
  <c r="K20" i="122" s="1"/>
  <c r="E20" i="89"/>
  <c r="C19" i="89"/>
  <c r="J20" i="89"/>
  <c r="K20" i="89" s="1"/>
  <c r="I49" i="73"/>
  <c r="J48" i="73"/>
  <c r="DI21" i="2"/>
  <c r="I48" i="58"/>
  <c r="J47" i="58"/>
  <c r="E18" i="84"/>
  <c r="C17" i="84"/>
  <c r="J18" i="84"/>
  <c r="K18" i="84" s="1"/>
  <c r="N22" i="1"/>
  <c r="C17" i="127"/>
  <c r="E18" i="127"/>
  <c r="J18" i="127"/>
  <c r="K18" i="127" s="1"/>
  <c r="C18" i="17"/>
  <c r="E19" i="17"/>
  <c r="J19" i="17"/>
  <c r="K19" i="17" s="1"/>
  <c r="I48" i="38"/>
  <c r="J47" i="38"/>
  <c r="C17" i="106"/>
  <c r="E18" i="106"/>
  <c r="J18" i="106"/>
  <c r="K18" i="106" s="1"/>
  <c r="I49" i="86"/>
  <c r="J48" i="86"/>
  <c r="E21" i="12"/>
  <c r="C20" i="12"/>
  <c r="X21" i="2"/>
  <c r="M21" i="1"/>
  <c r="J21" i="12"/>
  <c r="K21" i="12" s="1"/>
  <c r="K46" i="38"/>
  <c r="K46" i="143"/>
  <c r="C18" i="128"/>
  <c r="E19" i="128"/>
  <c r="J19" i="128"/>
  <c r="K19" i="128" s="1"/>
  <c r="K50" i="94"/>
  <c r="E18" i="37"/>
  <c r="C17" i="37"/>
  <c r="J18" i="37"/>
  <c r="K18" i="37" s="1"/>
  <c r="E19" i="22"/>
  <c r="C18" i="22"/>
  <c r="J19" i="22"/>
  <c r="K19" i="22" s="1"/>
  <c r="IK21" i="2"/>
  <c r="I51" i="48"/>
  <c r="J50" i="48"/>
  <c r="K46" i="34"/>
  <c r="E20" i="13"/>
  <c r="C19" i="13"/>
  <c r="J20" i="13"/>
  <c r="K20" i="13" s="1"/>
  <c r="I51" i="122"/>
  <c r="J50" i="122"/>
  <c r="I50" i="158"/>
  <c r="J49" i="158"/>
  <c r="FW22" i="2"/>
  <c r="E18" i="123"/>
  <c r="C17" i="123"/>
  <c r="J18" i="123"/>
  <c r="K18" i="123" s="1"/>
  <c r="I48" i="55"/>
  <c r="J47" i="55"/>
  <c r="E21" i="158"/>
  <c r="C20" i="158"/>
  <c r="J21" i="158"/>
  <c r="K21" i="158" s="1"/>
  <c r="K46" i="163"/>
  <c r="E19" i="148"/>
  <c r="C18" i="148"/>
  <c r="J19" i="148"/>
  <c r="K19" i="148" s="1"/>
  <c r="I48" i="143"/>
  <c r="J47" i="143"/>
  <c r="J51" i="94"/>
  <c r="I52" i="94"/>
  <c r="E16" i="30"/>
  <c r="C15" i="30"/>
  <c r="J16" i="30"/>
  <c r="K16" i="30" s="1"/>
  <c r="E20" i="132"/>
  <c r="C19" i="132"/>
  <c r="J20" i="132"/>
  <c r="K20" i="132" s="1"/>
  <c r="I49" i="67"/>
  <c r="J48" i="67"/>
  <c r="E20" i="133"/>
  <c r="C19" i="133"/>
  <c r="J20" i="133"/>
  <c r="K20" i="133" s="1"/>
  <c r="DH20" i="2"/>
  <c r="C19" i="96"/>
  <c r="E20" i="96"/>
  <c r="J20" i="96"/>
  <c r="K20" i="96" s="1"/>
  <c r="N21" i="2"/>
  <c r="K46" i="100"/>
  <c r="K46" i="55"/>
  <c r="E20" i="76"/>
  <c r="C19" i="76"/>
  <c r="J20" i="76"/>
  <c r="K20" i="76" s="1"/>
  <c r="I52" i="24"/>
  <c r="K49" i="135"/>
  <c r="I48" i="163"/>
  <c r="J47" i="163"/>
  <c r="J47" i="34"/>
  <c r="I48" i="34"/>
  <c r="E20" i="23"/>
  <c r="C19" i="23"/>
  <c r="J20" i="23"/>
  <c r="K20" i="23" s="1"/>
  <c r="E20" i="154"/>
  <c r="C19" i="154"/>
  <c r="J20" i="154"/>
  <c r="K20" i="154" s="1"/>
  <c r="C16" i="34"/>
  <c r="E17" i="34"/>
  <c r="J17" i="34"/>
  <c r="K17" i="34" s="1"/>
  <c r="E19" i="67"/>
  <c r="C18" i="67"/>
  <c r="J19" i="67"/>
  <c r="K19" i="67" s="1"/>
  <c r="I51" i="77"/>
  <c r="J50" i="77"/>
  <c r="E21" i="3"/>
  <c r="C20" i="3"/>
  <c r="J21" i="3"/>
  <c r="K21" i="3" s="1"/>
  <c r="HD22" i="2"/>
  <c r="E19" i="137"/>
  <c r="C18" i="137"/>
  <c r="J19" i="137"/>
  <c r="K19" i="137" s="1"/>
  <c r="J47" i="100"/>
  <c r="I48" i="100"/>
  <c r="I48" i="81"/>
  <c r="J47" i="81"/>
  <c r="I51" i="135"/>
  <c r="J50" i="135"/>
  <c r="K48" i="159"/>
  <c r="DT20" i="2"/>
  <c r="C19" i="108"/>
  <c r="E20" i="108"/>
  <c r="J20" i="108"/>
  <c r="K20" i="108" s="1"/>
  <c r="E21" i="56"/>
  <c r="C20" i="56"/>
  <c r="J21" i="56"/>
  <c r="K21" i="56" s="1"/>
  <c r="J47" i="105"/>
  <c r="I48" i="105"/>
  <c r="J50" i="16"/>
  <c r="I51" i="16"/>
  <c r="I49" i="76"/>
  <c r="J48" i="76"/>
  <c r="E19" i="60"/>
  <c r="C18" i="60"/>
  <c r="J19" i="60"/>
  <c r="K19" i="60" s="1"/>
  <c r="I49" i="4"/>
  <c r="J48" i="4"/>
  <c r="C18" i="75"/>
  <c r="E19" i="75"/>
  <c r="J19" i="75"/>
  <c r="K19" i="75" s="1"/>
  <c r="IK22" i="2"/>
  <c r="K48" i="48"/>
  <c r="C17" i="149"/>
  <c r="E18" i="149"/>
  <c r="J18" i="149"/>
  <c r="K18" i="149" s="1"/>
  <c r="E20" i="145"/>
  <c r="C19" i="145"/>
  <c r="J20" i="145"/>
  <c r="K20" i="145" s="1"/>
  <c r="BQ22" i="1"/>
  <c r="J48" i="154"/>
  <c r="K47" i="154" s="1"/>
  <c r="I49" i="154"/>
  <c r="K48" i="66"/>
  <c r="E21" i="42"/>
  <c r="C20" i="42"/>
  <c r="J21" i="42"/>
  <c r="K21" i="42" s="1"/>
  <c r="FV21" i="2"/>
  <c r="C19" i="33"/>
  <c r="E20" i="33"/>
  <c r="J20" i="33"/>
  <c r="K20" i="33" s="1"/>
  <c r="K46" i="171"/>
  <c r="I48" i="174"/>
  <c r="J47" i="174"/>
  <c r="C18" i="25"/>
  <c r="E19" i="25"/>
  <c r="J19" i="25"/>
  <c r="K19" i="25" s="1"/>
  <c r="K46" i="81"/>
  <c r="I50" i="159"/>
  <c r="J49" i="159"/>
  <c r="E18" i="159"/>
  <c r="C17" i="159"/>
  <c r="J18" i="159"/>
  <c r="K18" i="159" s="1"/>
  <c r="C17" i="62"/>
  <c r="E18" i="62"/>
  <c r="J18" i="62"/>
  <c r="K18" i="62" s="1"/>
  <c r="E20" i="63"/>
  <c r="C19" i="63"/>
  <c r="J20" i="63"/>
  <c r="K20" i="63" s="1"/>
  <c r="K47" i="19"/>
  <c r="K49" i="13"/>
  <c r="K48" i="127"/>
  <c r="I51" i="164"/>
  <c r="J50" i="164"/>
  <c r="I49" i="151"/>
  <c r="J48" i="151"/>
  <c r="I51" i="156"/>
  <c r="J50" i="156"/>
  <c r="J49" i="66"/>
  <c r="I50" i="66"/>
  <c r="J48" i="88"/>
  <c r="I49" i="88"/>
  <c r="I49" i="104"/>
  <c r="J48" i="104"/>
  <c r="I48" i="171"/>
  <c r="J47" i="171"/>
  <c r="I49" i="53"/>
  <c r="J48" i="53"/>
  <c r="E20" i="153"/>
  <c r="C19" i="153"/>
  <c r="J20" i="153"/>
  <c r="K20" i="153" s="1"/>
  <c r="I48" i="96"/>
  <c r="J47" i="96"/>
  <c r="K46" i="96" s="1"/>
  <c r="I49" i="119"/>
  <c r="J48" i="119"/>
  <c r="E19" i="130"/>
  <c r="C18" i="130"/>
  <c r="J19" i="130"/>
  <c r="K19" i="130" s="1"/>
  <c r="K47" i="72"/>
  <c r="I49" i="168"/>
  <c r="J48" i="168"/>
  <c r="C20" i="8"/>
  <c r="E21" i="8"/>
  <c r="HC21" i="2"/>
  <c r="BP21" i="1"/>
  <c r="J21" i="8"/>
  <c r="K21" i="8" s="1"/>
  <c r="K49" i="156"/>
  <c r="K46" i="109"/>
  <c r="I51" i="29"/>
  <c r="J50" i="29"/>
  <c r="C17" i="73"/>
  <c r="E18" i="73"/>
  <c r="J18" i="73"/>
  <c r="K18" i="73" s="1"/>
  <c r="K47" i="104"/>
  <c r="K47" i="53"/>
  <c r="K47" i="119"/>
  <c r="E19" i="18"/>
  <c r="C18" i="18"/>
  <c r="J19" i="18"/>
  <c r="K19" i="18" s="1"/>
  <c r="E19" i="129"/>
  <c r="C18" i="129"/>
  <c r="J19" i="129"/>
  <c r="K19" i="129" s="1"/>
  <c r="DS19" i="2"/>
  <c r="E20" i="21"/>
  <c r="C19" i="21"/>
  <c r="J20" i="21"/>
  <c r="K20" i="21" s="1"/>
  <c r="I49" i="19"/>
  <c r="J48" i="19"/>
  <c r="K46" i="76"/>
  <c r="J50" i="132"/>
  <c r="I51" i="132"/>
  <c r="E21" i="172"/>
  <c r="C20" i="172"/>
  <c r="J21" i="172"/>
  <c r="K21" i="172" s="1"/>
  <c r="K45" i="105"/>
  <c r="I48" i="120"/>
  <c r="J47" i="120"/>
  <c r="C18" i="161"/>
  <c r="E19" i="161"/>
  <c r="J19" i="161"/>
  <c r="K19" i="161" s="1"/>
  <c r="J47" i="109"/>
  <c r="I48" i="109"/>
  <c r="C17" i="69"/>
  <c r="E18" i="69"/>
  <c r="J18" i="69"/>
  <c r="K18" i="69" s="1"/>
  <c r="I49" i="121"/>
  <c r="J48" i="121"/>
  <c r="K47" i="121" s="1"/>
  <c r="C18" i="103"/>
  <c r="E19" i="103"/>
  <c r="J19" i="103"/>
  <c r="K19" i="103" s="1"/>
  <c r="E19" i="68"/>
  <c r="C18" i="68"/>
  <c r="J19" i="68"/>
  <c r="K19" i="68" s="1"/>
  <c r="I49" i="114"/>
  <c r="J48" i="114"/>
  <c r="J47" i="47"/>
  <c r="I48" i="47"/>
  <c r="K47" i="137"/>
  <c r="J47" i="45"/>
  <c r="I48" i="45"/>
  <c r="J52" i="145"/>
  <c r="I53" i="145"/>
  <c r="E19" i="144"/>
  <c r="C18" i="144"/>
  <c r="J19" i="144"/>
  <c r="K19" i="144" s="1"/>
  <c r="E20" i="70"/>
  <c r="C19" i="70"/>
  <c r="J20" i="70"/>
  <c r="K20" i="70" s="1"/>
  <c r="J50" i="107"/>
  <c r="I51" i="107"/>
  <c r="I48" i="148"/>
  <c r="J47" i="148"/>
  <c r="K46" i="148" s="1"/>
  <c r="E20" i="80"/>
  <c r="C19" i="80"/>
  <c r="J20" i="80"/>
  <c r="K20" i="80" s="1"/>
  <c r="I48" i="91"/>
  <c r="J47" i="91"/>
  <c r="K46" i="91" s="1"/>
  <c r="C18" i="116"/>
  <c r="E19" i="116"/>
  <c r="J19" i="116"/>
  <c r="K19" i="116" s="1"/>
  <c r="E20" i="38"/>
  <c r="C19" i="38"/>
  <c r="J20" i="38"/>
  <c r="K20" i="38" s="1"/>
  <c r="I49" i="137"/>
  <c r="J48" i="137"/>
  <c r="K50" i="145"/>
  <c r="E19" i="104"/>
  <c r="C18" i="104"/>
  <c r="J19" i="104"/>
  <c r="K19" i="104" s="1"/>
  <c r="E20" i="36"/>
  <c r="C19" i="36"/>
  <c r="J20" i="36"/>
  <c r="K20" i="36" s="1"/>
  <c r="J50" i="13"/>
  <c r="I51" i="13"/>
  <c r="E21" i="46"/>
  <c r="C20" i="46"/>
  <c r="AI20" i="1" s="1"/>
  <c r="J21" i="46"/>
  <c r="K21" i="46" s="1"/>
  <c r="AI21" i="1"/>
  <c r="BQ22" i="2"/>
  <c r="C17" i="39"/>
  <c r="E18" i="39"/>
  <c r="J18" i="39"/>
  <c r="K18" i="39" s="1"/>
  <c r="K65" i="150"/>
  <c r="I49" i="103"/>
  <c r="J48" i="103"/>
  <c r="I50" i="115"/>
  <c r="J49" i="115"/>
  <c r="C20" i="52"/>
  <c r="E21" i="52"/>
  <c r="BP21" i="2"/>
  <c r="J21" i="52"/>
  <c r="K21" i="52" s="1"/>
  <c r="J66" i="150"/>
  <c r="K66" i="150" s="1"/>
  <c r="I67" i="150"/>
  <c r="J67" i="150" s="1"/>
  <c r="K46" i="19"/>
  <c r="K47" i="103"/>
  <c r="K48" i="115"/>
  <c r="K49" i="107"/>
  <c r="C18" i="9"/>
  <c r="E19" i="9"/>
  <c r="J19" i="9"/>
  <c r="K19" i="9" s="1"/>
  <c r="K49" i="128"/>
  <c r="I51" i="136"/>
  <c r="J50" i="136"/>
  <c r="J49" i="10"/>
  <c r="I50" i="10"/>
  <c r="C16" i="102"/>
  <c r="E17" i="102"/>
  <c r="J17" i="102"/>
  <c r="K17" i="102" s="1"/>
  <c r="K45" i="143"/>
  <c r="I48" i="36"/>
  <c r="J47" i="36"/>
  <c r="C20" i="136"/>
  <c r="E21" i="136"/>
  <c r="J21" i="136"/>
  <c r="K21" i="136" s="1"/>
  <c r="C16" i="131"/>
  <c r="E17" i="131"/>
  <c r="J17" i="131"/>
  <c r="K17" i="131" s="1"/>
  <c r="E19" i="74"/>
  <c r="C18" i="74"/>
  <c r="J19" i="74"/>
  <c r="K19" i="74" s="1"/>
  <c r="J49" i="83"/>
  <c r="I50" i="83"/>
  <c r="J47" i="95"/>
  <c r="I48" i="95"/>
  <c r="C18" i="54"/>
  <c r="E19" i="54"/>
  <c r="J19" i="54"/>
  <c r="K19" i="54" s="1"/>
  <c r="C20" i="121"/>
  <c r="E21" i="121"/>
  <c r="J21" i="121"/>
  <c r="K21" i="121" s="1"/>
  <c r="C13" i="98"/>
  <c r="E14" i="98"/>
  <c r="J14" i="98"/>
  <c r="K14" i="98" s="1"/>
  <c r="E19" i="64"/>
  <c r="C18" i="64"/>
  <c r="J19" i="64"/>
  <c r="K19" i="64" s="1"/>
  <c r="K50" i="71"/>
  <c r="E20" i="114"/>
  <c r="C19" i="114"/>
  <c r="J20" i="114"/>
  <c r="K20" i="114" s="1"/>
  <c r="K46" i="104"/>
  <c r="E20" i="95"/>
  <c r="C19" i="95"/>
  <c r="J20" i="95"/>
  <c r="K20" i="95" s="1"/>
  <c r="J47" i="125"/>
  <c r="K46" i="125" s="1"/>
  <c r="I48" i="125"/>
  <c r="J50" i="128"/>
  <c r="I51" i="128"/>
  <c r="E21" i="90"/>
  <c r="C20" i="90"/>
  <c r="J21" i="90"/>
  <c r="K21" i="90" s="1"/>
  <c r="K49" i="136"/>
  <c r="K48" i="135"/>
  <c r="K48" i="107"/>
  <c r="E21" i="28"/>
  <c r="C20" i="28"/>
  <c r="J21" i="28"/>
  <c r="K21" i="28" s="1"/>
  <c r="K46" i="36"/>
  <c r="K46" i="95"/>
  <c r="CM22" i="2"/>
  <c r="K51" i="15"/>
  <c r="E19" i="83"/>
  <c r="C18" i="83"/>
  <c r="J19" i="83"/>
  <c r="K19" i="83" s="1"/>
  <c r="J51" i="71"/>
  <c r="I52" i="71"/>
  <c r="J47" i="146"/>
  <c r="I48" i="146"/>
  <c r="K51" i="61"/>
  <c r="E19" i="150"/>
  <c r="C18" i="150"/>
  <c r="J19" i="150"/>
  <c r="K19" i="150" s="1"/>
  <c r="J47" i="147"/>
  <c r="K46" i="147" s="1"/>
  <c r="I48" i="147"/>
  <c r="I52" i="22"/>
  <c r="J51" i="22"/>
  <c r="I53" i="15"/>
  <c r="J52" i="15"/>
  <c r="C18" i="118"/>
  <c r="E19" i="118"/>
  <c r="J19" i="118"/>
  <c r="K19" i="118" s="1"/>
  <c r="C20" i="155"/>
  <c r="CL20" i="2" s="1"/>
  <c r="E21" i="155"/>
  <c r="J21" i="155"/>
  <c r="K21" i="155" s="1"/>
  <c r="AI21" i="2"/>
  <c r="CB22" i="1"/>
  <c r="K46" i="146"/>
  <c r="E19" i="4"/>
  <c r="C18" i="4"/>
  <c r="J19" i="4"/>
  <c r="K19" i="4" s="1"/>
  <c r="I51" i="26"/>
  <c r="J50" i="26"/>
  <c r="K49" i="26" s="1"/>
  <c r="E20" i="147"/>
  <c r="C19" i="147"/>
  <c r="J20" i="147"/>
  <c r="K20" i="147" s="1"/>
  <c r="C16" i="165"/>
  <c r="E17" i="165"/>
  <c r="J17" i="165"/>
  <c r="K17" i="165" s="1"/>
  <c r="I49" i="31"/>
  <c r="J48" i="31"/>
  <c r="K47" i="31" s="1"/>
  <c r="J52" i="61"/>
  <c r="I53" i="61"/>
  <c r="EE22" i="2"/>
  <c r="E19" i="66"/>
  <c r="C18" i="66"/>
  <c r="J19" i="66"/>
  <c r="K19" i="66" s="1"/>
  <c r="E20" i="119"/>
  <c r="C19" i="119"/>
  <c r="J20" i="119"/>
  <c r="K20" i="119" s="1"/>
  <c r="C18" i="16"/>
  <c r="E19" i="16"/>
  <c r="J19" i="16"/>
  <c r="K19" i="16" s="1"/>
  <c r="E19" i="167"/>
  <c r="C18" i="167"/>
  <c r="J19" i="167"/>
  <c r="K19" i="167" s="1"/>
  <c r="E18" i="72"/>
  <c r="C17" i="72"/>
  <c r="J18" i="72"/>
  <c r="K18" i="72" s="1"/>
  <c r="I48" i="69"/>
  <c r="J47" i="69"/>
  <c r="C20" i="58"/>
  <c r="E21" i="58"/>
  <c r="J21" i="58"/>
  <c r="K21" i="58" s="1"/>
  <c r="AU22" i="1"/>
  <c r="I49" i="116"/>
  <c r="J48" i="116"/>
  <c r="E21" i="109"/>
  <c r="C20" i="109"/>
  <c r="ED21" i="2"/>
  <c r="J21" i="109"/>
  <c r="K21" i="109" s="1"/>
  <c r="GS22" i="2"/>
  <c r="I50" i="113"/>
  <c r="J49" i="113"/>
  <c r="E21" i="7"/>
  <c r="C20" i="7"/>
  <c r="AT21" i="1"/>
  <c r="J21" i="7"/>
  <c r="K21" i="7" s="1"/>
  <c r="K47" i="123"/>
  <c r="K45" i="96"/>
  <c r="E16" i="146"/>
  <c r="C15" i="146"/>
  <c r="J16" i="146"/>
  <c r="K16" i="146" s="1"/>
  <c r="E19" i="81"/>
  <c r="C18" i="81"/>
  <c r="J19" i="81"/>
  <c r="K19" i="81" s="1"/>
  <c r="K48" i="113"/>
  <c r="E20" i="140"/>
  <c r="C19" i="140"/>
  <c r="J20" i="140"/>
  <c r="K20" i="140" s="1"/>
  <c r="J51" i="59"/>
  <c r="I52" i="59"/>
  <c r="AJ22" i="1"/>
  <c r="K48" i="41"/>
  <c r="E20" i="169"/>
  <c r="C19" i="169"/>
  <c r="J20" i="169"/>
  <c r="K20" i="169" s="1"/>
  <c r="J50" i="142"/>
  <c r="K49" i="142" s="1"/>
  <c r="I51" i="142"/>
  <c r="J48" i="161"/>
  <c r="I49" i="161"/>
  <c r="I50" i="93"/>
  <c r="J49" i="93"/>
  <c r="K48" i="93" s="1"/>
  <c r="D60" i="1"/>
  <c r="O60" i="1"/>
  <c r="AK60" i="1"/>
  <c r="AV60" i="1"/>
  <c r="Z60" i="1"/>
  <c r="CC60" i="1"/>
  <c r="BR60" i="1"/>
  <c r="K45" i="100"/>
  <c r="J48" i="123"/>
  <c r="I49" i="123"/>
  <c r="I50" i="23"/>
  <c r="J49" i="23"/>
  <c r="K48" i="16"/>
  <c r="K50" i="59"/>
  <c r="C15" i="32"/>
  <c r="E16" i="32"/>
  <c r="J16" i="32"/>
  <c r="K16" i="32" s="1"/>
  <c r="HZ21" i="2"/>
  <c r="K48" i="63"/>
  <c r="E20" i="10"/>
  <c r="C19" i="10"/>
  <c r="J20" i="10"/>
  <c r="K20" i="10" s="1"/>
  <c r="E20" i="125"/>
  <c r="C19" i="125"/>
  <c r="J20" i="125"/>
  <c r="K20" i="125" s="1"/>
  <c r="K48" i="156"/>
  <c r="J47" i="166"/>
  <c r="I48" i="166"/>
  <c r="J52" i="46"/>
  <c r="I53" i="46"/>
  <c r="K46" i="103"/>
  <c r="I49" i="39"/>
  <c r="J48" i="39"/>
  <c r="K47" i="39" s="1"/>
  <c r="C19" i="79"/>
  <c r="E20" i="79"/>
  <c r="J20" i="79"/>
  <c r="K20" i="79" s="1"/>
  <c r="I49" i="5"/>
  <c r="J48" i="5"/>
  <c r="I50" i="41"/>
  <c r="J49" i="41"/>
  <c r="E18" i="47"/>
  <c r="C17" i="47"/>
  <c r="J18" i="47"/>
  <c r="K18" i="47" s="1"/>
  <c r="K46" i="166"/>
  <c r="K47" i="161"/>
  <c r="K45" i="171"/>
  <c r="D60" i="2"/>
  <c r="CY60" i="2"/>
  <c r="DU60" i="2"/>
  <c r="DJ60" i="2"/>
  <c r="IA60" i="2"/>
  <c r="FB60" i="2"/>
  <c r="CN60" i="2"/>
  <c r="BR60" i="2"/>
  <c r="EQ60" i="2"/>
  <c r="O60" i="2"/>
  <c r="FM60" i="2"/>
  <c r="AK60" i="2"/>
  <c r="IL60" i="2"/>
  <c r="AV60" i="2"/>
  <c r="HP60" i="2"/>
  <c r="IW60" i="2"/>
  <c r="FX60" i="2"/>
  <c r="HE60" i="2"/>
  <c r="CC60" i="2"/>
  <c r="BG60" i="2"/>
  <c r="Z60" i="2"/>
  <c r="EF60" i="2"/>
  <c r="GT60" i="2"/>
  <c r="E21" i="14"/>
  <c r="C20" i="14"/>
  <c r="J21" i="14"/>
  <c r="K21" i="14" s="1"/>
  <c r="GR21" i="2"/>
  <c r="C13" i="82"/>
  <c r="E14" i="82"/>
  <c r="J14" i="82"/>
  <c r="K14" i="82" s="1"/>
  <c r="K46" i="64"/>
  <c r="K46" i="140"/>
  <c r="E18" i="163"/>
  <c r="C17" i="163"/>
  <c r="J18" i="163"/>
  <c r="K18" i="163" s="1"/>
  <c r="CA21" i="2"/>
  <c r="K45" i="69"/>
  <c r="K47" i="113"/>
  <c r="E18" i="86"/>
  <c r="C17" i="86"/>
  <c r="J18" i="86"/>
  <c r="K18" i="86" s="1"/>
  <c r="E21" i="6"/>
  <c r="C20" i="6"/>
  <c r="CA21" i="1"/>
  <c r="E21" i="55"/>
  <c r="C20" i="55"/>
  <c r="FK20" i="2" s="1"/>
  <c r="J21" i="55"/>
  <c r="K21" i="55" s="1"/>
  <c r="E19" i="139"/>
  <c r="C18" i="139"/>
  <c r="J19" i="139"/>
  <c r="K19" i="139" s="1"/>
  <c r="K51" i="46"/>
  <c r="K45" i="95"/>
  <c r="K46" i="141"/>
  <c r="C19" i="41"/>
  <c r="E20" i="41"/>
  <c r="J20" i="41"/>
  <c r="K20" i="41" s="1"/>
  <c r="K51" i="74"/>
  <c r="E21" i="92"/>
  <c r="C20" i="92"/>
  <c r="HN20" i="2" s="1"/>
  <c r="J21" i="92"/>
  <c r="K21" i="92" s="1"/>
  <c r="C17" i="173"/>
  <c r="E18" i="173"/>
  <c r="J18" i="173"/>
  <c r="K18" i="173" s="1"/>
  <c r="C17" i="120"/>
  <c r="E18" i="120"/>
  <c r="J18" i="120"/>
  <c r="K18" i="120" s="1"/>
  <c r="BG60" i="1"/>
  <c r="BF60" i="1"/>
  <c r="E21" i="29"/>
  <c r="C20" i="29"/>
  <c r="X20" i="1" s="1"/>
  <c r="J21" i="29"/>
  <c r="K21" i="29" s="1"/>
  <c r="X21" i="1"/>
  <c r="I49" i="20"/>
  <c r="J48" i="20"/>
  <c r="I50" i="28"/>
  <c r="J49" i="28"/>
  <c r="K48" i="28" s="1"/>
  <c r="I48" i="64"/>
  <c r="J47" i="64"/>
  <c r="J47" i="140"/>
  <c r="I48" i="140"/>
  <c r="C19" i="117"/>
  <c r="E20" i="117"/>
  <c r="J20" i="117"/>
  <c r="K20" i="117" s="1"/>
  <c r="K47" i="155"/>
  <c r="J51" i="14"/>
  <c r="I52" i="14"/>
  <c r="K51" i="75"/>
  <c r="I50" i="167"/>
  <c r="J49" i="167"/>
  <c r="J47" i="160"/>
  <c r="I48" i="160"/>
  <c r="K50" i="15"/>
  <c r="I48" i="141"/>
  <c r="J47" i="141"/>
  <c r="J52" i="74"/>
  <c r="I53" i="74"/>
  <c r="K50" i="27"/>
  <c r="FA21" i="2"/>
  <c r="E21" i="27"/>
  <c r="C20" i="27"/>
  <c r="IJ20" i="2" s="1"/>
  <c r="J21" i="27"/>
  <c r="K21" i="27" s="1"/>
  <c r="C17" i="85"/>
  <c r="E18" i="85"/>
  <c r="J18" i="85"/>
  <c r="K18" i="85" s="1"/>
  <c r="I51" i="101"/>
  <c r="J50" i="101"/>
  <c r="GI60" i="2"/>
  <c r="GH60" i="2"/>
  <c r="K47" i="20"/>
  <c r="E19" i="110"/>
  <c r="C18" i="110"/>
  <c r="J19" i="110"/>
  <c r="K19" i="110" s="1"/>
  <c r="K48" i="25"/>
  <c r="I50" i="30"/>
  <c r="J49" i="30"/>
  <c r="K51" i="134"/>
  <c r="C19" i="31"/>
  <c r="E20" i="31"/>
  <c r="CA20" i="2"/>
  <c r="J20" i="31"/>
  <c r="K20" i="31" s="1"/>
  <c r="C15" i="156"/>
  <c r="E16" i="156"/>
  <c r="J16" i="156"/>
  <c r="K16" i="156" s="1"/>
  <c r="J48" i="3"/>
  <c r="I49" i="3"/>
  <c r="I49" i="54"/>
  <c r="J48" i="54"/>
  <c r="K47" i="54" s="1"/>
  <c r="E20" i="35"/>
  <c r="C19" i="35"/>
  <c r="J20" i="35"/>
  <c r="K20" i="35" s="1"/>
  <c r="I49" i="126"/>
  <c r="J48" i="126"/>
  <c r="C18" i="65"/>
  <c r="E19" i="65"/>
  <c r="J19" i="65"/>
  <c r="K19" i="65" s="1"/>
  <c r="K48" i="122"/>
  <c r="I52" i="27"/>
  <c r="J51" i="27"/>
  <c r="K49" i="101"/>
  <c r="C58" i="24"/>
  <c r="E59" i="24"/>
  <c r="GG59" i="2"/>
  <c r="BE59" i="1"/>
  <c r="C59" i="2"/>
  <c r="C59" i="1"/>
  <c r="I49" i="56"/>
  <c r="J48" i="56"/>
  <c r="E20" i="142"/>
  <c r="C19" i="142"/>
  <c r="J20" i="142"/>
  <c r="K20" i="142" s="1"/>
  <c r="J49" i="25"/>
  <c r="I50" i="25"/>
  <c r="C18" i="11"/>
  <c r="E19" i="11"/>
  <c r="J19" i="11"/>
  <c r="K19" i="11" s="1"/>
  <c r="J52" i="134"/>
  <c r="I53" i="134"/>
  <c r="K47" i="3"/>
  <c r="E18" i="141"/>
  <c r="C17" i="141"/>
  <c r="J18" i="141"/>
  <c r="K18" i="141" s="1"/>
  <c r="I49" i="155"/>
  <c r="J48" i="155"/>
  <c r="E20" i="101"/>
  <c r="C19" i="101"/>
  <c r="J20" i="101"/>
  <c r="K20" i="101" s="1"/>
  <c r="I50" i="63"/>
  <c r="J49" i="63"/>
  <c r="I53" i="75"/>
  <c r="J52" i="75"/>
  <c r="I51" i="117"/>
  <c r="J50" i="117"/>
  <c r="K49" i="117" s="1"/>
  <c r="I49" i="70"/>
  <c r="J48" i="70"/>
  <c r="K47" i="70" s="1"/>
  <c r="K50" i="46"/>
  <c r="C19" i="20"/>
  <c r="E20" i="20"/>
  <c r="J20" i="20"/>
  <c r="K20" i="20" s="1"/>
  <c r="K47" i="126"/>
  <c r="C20" i="152"/>
  <c r="E21" i="152"/>
  <c r="J21" i="152"/>
  <c r="K21" i="152" s="1"/>
  <c r="CW20" i="2"/>
  <c r="J49" i="60"/>
  <c r="I50" i="60"/>
  <c r="K46" i="112"/>
  <c r="E20" i="134"/>
  <c r="C19" i="134"/>
  <c r="EZ20" i="2"/>
  <c r="J20" i="134"/>
  <c r="K20" i="134" s="1"/>
  <c r="E17" i="45"/>
  <c r="C16" i="45"/>
  <c r="J17" i="45"/>
  <c r="K17" i="45" s="1"/>
  <c r="E18" i="51"/>
  <c r="C17" i="51"/>
  <c r="J18" i="51"/>
  <c r="K18" i="51" s="1"/>
  <c r="I48" i="17"/>
  <c r="J47" i="17"/>
  <c r="C15" i="87"/>
  <c r="E16" i="87"/>
  <c r="J16" i="87"/>
  <c r="K16" i="87" s="1"/>
  <c r="J49" i="149"/>
  <c r="I50" i="149"/>
  <c r="C16" i="59"/>
  <c r="E17" i="59"/>
  <c r="J17" i="59"/>
  <c r="K17" i="59" s="1"/>
  <c r="I52" i="82"/>
  <c r="J51" i="82"/>
  <c r="K50" i="82" s="1"/>
  <c r="K46" i="43"/>
  <c r="J49" i="124"/>
  <c r="I50" i="124"/>
  <c r="CB22" i="2"/>
  <c r="K46" i="97"/>
  <c r="C18" i="112"/>
  <c r="E19" i="112"/>
  <c r="CW19" i="2"/>
  <c r="J19" i="112"/>
  <c r="K19" i="112" s="1"/>
  <c r="K48" i="60"/>
  <c r="J47" i="112"/>
  <c r="I48" i="112"/>
  <c r="E21" i="143"/>
  <c r="C20" i="143"/>
  <c r="J21" i="143"/>
  <c r="K21" i="143" s="1"/>
  <c r="K47" i="158"/>
  <c r="E20" i="15"/>
  <c r="C19" i="15"/>
  <c r="J20" i="15"/>
  <c r="K20" i="15" s="1"/>
  <c r="K46" i="17"/>
  <c r="I48" i="43"/>
  <c r="J47" i="43"/>
  <c r="I48" i="110"/>
  <c r="J47" i="110"/>
  <c r="I49" i="170"/>
  <c r="J48" i="170"/>
  <c r="J50" i="9"/>
  <c r="K49" i="9" s="1"/>
  <c r="I51" i="9"/>
  <c r="K47" i="169"/>
  <c r="C19" i="71"/>
  <c r="E20" i="71"/>
  <c r="J20" i="71"/>
  <c r="K20" i="71" s="1"/>
  <c r="J48" i="106"/>
  <c r="I49" i="106"/>
  <c r="C18" i="5"/>
  <c r="E19" i="5"/>
  <c r="J19" i="5"/>
  <c r="K19" i="5" s="1"/>
  <c r="J49" i="68"/>
  <c r="I50" i="68"/>
  <c r="K46" i="110"/>
  <c r="K47" i="124"/>
  <c r="E21" i="107"/>
  <c r="C20" i="107"/>
  <c r="J21" i="107"/>
  <c r="K21" i="107" s="1"/>
  <c r="I49" i="169"/>
  <c r="J48" i="169"/>
  <c r="K49" i="14"/>
  <c r="J49" i="118"/>
  <c r="K48" i="118" s="1"/>
  <c r="I50" i="118"/>
  <c r="K49" i="152"/>
  <c r="J49" i="165"/>
  <c r="K48" i="165" s="1"/>
  <c r="I50" i="165"/>
  <c r="K47" i="106"/>
  <c r="E21" i="170"/>
  <c r="C20" i="170"/>
  <c r="AI20" i="2" s="1"/>
  <c r="J21" i="170"/>
  <c r="K21" i="170" s="1"/>
  <c r="K47" i="57"/>
  <c r="K47" i="93"/>
  <c r="E19" i="135"/>
  <c r="C18" i="135"/>
  <c r="J19" i="135"/>
  <c r="K19" i="135" s="1"/>
  <c r="K48" i="68"/>
  <c r="J48" i="33"/>
  <c r="I49" i="33"/>
  <c r="E19" i="126"/>
  <c r="C18" i="126"/>
  <c r="J19" i="126"/>
  <c r="K19" i="126" s="1"/>
  <c r="J48" i="21"/>
  <c r="I49" i="21"/>
  <c r="I50" i="37"/>
  <c r="J49" i="37"/>
  <c r="K49" i="51"/>
  <c r="E21" i="49"/>
  <c r="C20" i="49"/>
  <c r="J21" i="49"/>
  <c r="K21" i="49" s="1"/>
  <c r="I51" i="89"/>
  <c r="J50" i="89"/>
  <c r="K47" i="111"/>
  <c r="C19" i="78"/>
  <c r="E20" i="78"/>
  <c r="J20" i="78"/>
  <c r="K20" i="78" s="1"/>
  <c r="E19" i="99"/>
  <c r="C18" i="99"/>
  <c r="J19" i="99"/>
  <c r="K19" i="99" s="1"/>
  <c r="IU21" i="2"/>
  <c r="E20" i="48"/>
  <c r="C19" i="48"/>
  <c r="J20" i="48"/>
  <c r="K20" i="48" s="1"/>
  <c r="K46" i="11"/>
  <c r="I50" i="129"/>
  <c r="J49" i="129"/>
  <c r="J47" i="11"/>
  <c r="I48" i="11"/>
  <c r="K48" i="129"/>
  <c r="C16" i="105"/>
  <c r="E17" i="105"/>
  <c r="J17" i="105"/>
  <c r="K17" i="105" s="1"/>
  <c r="K47" i="52"/>
  <c r="K46" i="130"/>
  <c r="J50" i="152"/>
  <c r="I51" i="152"/>
  <c r="AJ22" i="2"/>
  <c r="K47" i="165"/>
  <c r="K46" i="106"/>
  <c r="E16" i="166"/>
  <c r="C15" i="166"/>
  <c r="J16" i="166"/>
  <c r="K16" i="166" s="1"/>
  <c r="J48" i="57"/>
  <c r="I49" i="57"/>
  <c r="I51" i="78"/>
  <c r="J50" i="78"/>
  <c r="K49" i="78" s="1"/>
  <c r="I52" i="42"/>
  <c r="J51" i="42"/>
  <c r="K45" i="55"/>
  <c r="I48" i="35"/>
  <c r="J47" i="35"/>
  <c r="K46" i="35" s="1"/>
  <c r="E19" i="113"/>
  <c r="C18" i="113"/>
  <c r="J19" i="113"/>
  <c r="K19" i="113" s="1"/>
  <c r="K47" i="33"/>
  <c r="K45" i="110"/>
  <c r="J50" i="51"/>
  <c r="I51" i="51"/>
  <c r="K46" i="168"/>
  <c r="K49" i="89"/>
  <c r="J48" i="111"/>
  <c r="I49" i="111"/>
  <c r="K48" i="83"/>
  <c r="K50" i="22"/>
  <c r="K47" i="162"/>
  <c r="K48" i="99"/>
  <c r="E20" i="164"/>
  <c r="C19" i="164"/>
  <c r="J20" i="164"/>
  <c r="K20" i="164" s="1"/>
  <c r="I53" i="133"/>
  <c r="J52" i="133"/>
  <c r="E20" i="77"/>
  <c r="C19" i="77"/>
  <c r="J20" i="77"/>
  <c r="K20" i="77" s="1"/>
  <c r="K50" i="42"/>
  <c r="K48" i="157"/>
  <c r="K48" i="142"/>
  <c r="I49" i="138"/>
  <c r="J48" i="138"/>
  <c r="I53" i="12"/>
  <c r="J52" i="12"/>
  <c r="I48" i="130"/>
  <c r="J47" i="130"/>
  <c r="J48" i="162"/>
  <c r="I49" i="162"/>
  <c r="K48" i="92"/>
  <c r="J49" i="99"/>
  <c r="I50" i="99"/>
  <c r="I48" i="8"/>
  <c r="J47" i="8"/>
  <c r="C18" i="19"/>
  <c r="E19" i="19"/>
  <c r="J19" i="19"/>
  <c r="K19" i="19" s="1"/>
  <c r="I50" i="18"/>
  <c r="J49" i="18"/>
  <c r="K48" i="18" s="1"/>
  <c r="K51" i="133"/>
  <c r="EO21" i="2"/>
  <c r="J51" i="32"/>
  <c r="K50" i="32" s="1"/>
  <c r="I52" i="32"/>
  <c r="J49" i="157"/>
  <c r="I50" i="157"/>
  <c r="K46" i="121"/>
  <c r="C17" i="124"/>
  <c r="E18" i="124"/>
  <c r="J18" i="124"/>
  <c r="K18" i="124" s="1"/>
  <c r="I50" i="139"/>
  <c r="J49" i="139"/>
  <c r="I51" i="62"/>
  <c r="J50" i="62"/>
  <c r="K47" i="49"/>
  <c r="AU22" i="2"/>
  <c r="C19" i="162"/>
  <c r="E20" i="162"/>
  <c r="J20" i="162"/>
  <c r="K20" i="162" s="1"/>
  <c r="I49" i="87"/>
  <c r="J48" i="87"/>
  <c r="K47" i="87" s="1"/>
  <c r="K47" i="131"/>
  <c r="E17" i="160"/>
  <c r="C16" i="160"/>
  <c r="J17" i="160"/>
  <c r="K17" i="160" s="1"/>
  <c r="C17" i="171"/>
  <c r="E18" i="171"/>
  <c r="J18" i="171"/>
  <c r="K18" i="171" s="1"/>
  <c r="K45" i="34"/>
  <c r="I52" i="79"/>
  <c r="J51" i="79"/>
  <c r="E20" i="44"/>
  <c r="C19" i="44"/>
  <c r="J20" i="44"/>
  <c r="K20" i="44" s="1"/>
  <c r="K47" i="50"/>
  <c r="K45" i="109"/>
  <c r="C19" i="97"/>
  <c r="E20" i="97"/>
  <c r="EO20" i="2"/>
  <c r="J20" i="97"/>
  <c r="K20" i="97" s="1"/>
  <c r="K46" i="116"/>
  <c r="K45" i="58"/>
  <c r="J48" i="85"/>
  <c r="K47" i="85" s="1"/>
  <c r="I49" i="85"/>
  <c r="C17" i="26"/>
  <c r="E18" i="26"/>
  <c r="J18" i="26"/>
  <c r="K18" i="26" s="1"/>
  <c r="I49" i="49"/>
  <c r="J48" i="49"/>
  <c r="C20" i="50"/>
  <c r="E21" i="50"/>
  <c r="AT21" i="2"/>
  <c r="J21" i="50"/>
  <c r="K21" i="50" s="1"/>
  <c r="K48" i="172"/>
  <c r="E21" i="100"/>
  <c r="C20" i="100"/>
  <c r="J21" i="100"/>
  <c r="K21" i="100" s="1"/>
  <c r="I49" i="131"/>
  <c r="J48" i="131"/>
  <c r="I50" i="92"/>
  <c r="J49" i="92"/>
  <c r="K46" i="8"/>
  <c r="C20" i="174"/>
  <c r="E21" i="174"/>
  <c r="J21" i="174"/>
  <c r="K21" i="174" s="1"/>
  <c r="J49" i="173"/>
  <c r="I50" i="173"/>
  <c r="I49" i="108"/>
  <c r="J48" i="108"/>
  <c r="C17" i="40"/>
  <c r="E18" i="40"/>
  <c r="J18" i="40"/>
  <c r="K18" i="40" s="1"/>
  <c r="J47" i="90"/>
  <c r="I48" i="90"/>
  <c r="E18" i="168"/>
  <c r="C17" i="168"/>
  <c r="J18" i="168"/>
  <c r="K18" i="168" s="1"/>
  <c r="K48" i="77"/>
  <c r="K50" i="79"/>
  <c r="E18" i="115"/>
  <c r="C17" i="115"/>
  <c r="J18" i="115"/>
  <c r="K18" i="115" s="1"/>
  <c r="E19" i="57"/>
  <c r="C18" i="57"/>
  <c r="J19" i="57"/>
  <c r="K19" i="57" s="1"/>
  <c r="K47" i="41"/>
  <c r="K46" i="65"/>
  <c r="K47" i="66"/>
  <c r="I49" i="50"/>
  <c r="J48" i="50"/>
  <c r="K45" i="146"/>
  <c r="E21" i="91"/>
  <c r="C20" i="91"/>
  <c r="J21" i="91"/>
  <c r="K21" i="91" s="1"/>
  <c r="K45" i="125"/>
  <c r="E16" i="157"/>
  <c r="C15" i="157"/>
  <c r="J16" i="157"/>
  <c r="K16" i="157" s="1"/>
  <c r="K48" i="89"/>
  <c r="E20" i="151"/>
  <c r="C19" i="151"/>
  <c r="J20" i="151"/>
  <c r="K20" i="151" s="1"/>
  <c r="J48" i="52"/>
  <c r="I49" i="52"/>
  <c r="K46" i="153"/>
  <c r="K50" i="75"/>
  <c r="K47" i="99"/>
  <c r="E21" i="53"/>
  <c r="C20" i="53"/>
  <c r="BE20" i="2" s="1"/>
  <c r="J21" i="53"/>
  <c r="K21" i="53" s="1"/>
  <c r="I48" i="65"/>
  <c r="J47" i="65"/>
  <c r="HN21" i="2"/>
  <c r="FK21" i="2"/>
  <c r="K46" i="40"/>
  <c r="J49" i="44"/>
  <c r="K48" i="44" s="1"/>
  <c r="I50" i="44"/>
  <c r="K45" i="40"/>
  <c r="K46" i="102"/>
  <c r="K47" i="80"/>
  <c r="E17" i="111"/>
  <c r="C16" i="111"/>
  <c r="J17" i="111"/>
  <c r="K17" i="111" s="1"/>
  <c r="J49" i="72"/>
  <c r="I50" i="72"/>
  <c r="J48" i="84"/>
  <c r="I49" i="84"/>
  <c r="J50" i="172"/>
  <c r="I51" i="172"/>
  <c r="K47" i="144"/>
  <c r="J52" i="7"/>
  <c r="I53" i="7"/>
  <c r="K49" i="98"/>
  <c r="FL20" i="2" l="1"/>
  <c r="Y20" i="1"/>
  <c r="AJ20" i="2"/>
  <c r="CM20" i="2"/>
  <c r="HO20" i="2"/>
  <c r="BF20" i="2"/>
  <c r="IK20" i="2"/>
  <c r="AJ20" i="1"/>
  <c r="E20" i="50"/>
  <c r="C19" i="50"/>
  <c r="AT20" i="2"/>
  <c r="J20" i="50"/>
  <c r="K20" i="50" s="1"/>
  <c r="E18" i="135"/>
  <c r="C17" i="135"/>
  <c r="J18" i="135"/>
  <c r="K18" i="135" s="1"/>
  <c r="I50" i="52"/>
  <c r="J49" i="52"/>
  <c r="I49" i="141"/>
  <c r="J48" i="141"/>
  <c r="E17" i="120"/>
  <c r="C16" i="120"/>
  <c r="J17" i="120"/>
  <c r="K17" i="120" s="1"/>
  <c r="I50" i="31"/>
  <c r="J49" i="31"/>
  <c r="C16" i="39"/>
  <c r="E17" i="39"/>
  <c r="J17" i="39"/>
  <c r="K17" i="39" s="1"/>
  <c r="I49" i="148"/>
  <c r="J48" i="148"/>
  <c r="I49" i="109"/>
  <c r="J48" i="109"/>
  <c r="E18" i="137"/>
  <c r="C17" i="137"/>
  <c r="J18" i="137"/>
  <c r="K18" i="137" s="1"/>
  <c r="I53" i="82"/>
  <c r="J52" i="82"/>
  <c r="E17" i="168"/>
  <c r="C16" i="168"/>
  <c r="J17" i="168"/>
  <c r="K17" i="168" s="1"/>
  <c r="J49" i="49"/>
  <c r="I50" i="49"/>
  <c r="K47" i="130"/>
  <c r="CX20" i="2"/>
  <c r="K48" i="52"/>
  <c r="J48" i="90"/>
  <c r="I49" i="90"/>
  <c r="E19" i="162"/>
  <c r="C18" i="162"/>
  <c r="J19" i="162"/>
  <c r="K19" i="162" s="1"/>
  <c r="J48" i="130"/>
  <c r="I49" i="130"/>
  <c r="J50" i="129"/>
  <c r="K49" i="129" s="1"/>
  <c r="I51" i="129"/>
  <c r="J50" i="124"/>
  <c r="I51" i="124"/>
  <c r="E18" i="11"/>
  <c r="C17" i="11"/>
  <c r="J18" i="11"/>
  <c r="K18" i="11" s="1"/>
  <c r="E17" i="163"/>
  <c r="C16" i="163"/>
  <c r="J17" i="163"/>
  <c r="K17" i="163" s="1"/>
  <c r="J52" i="59"/>
  <c r="I53" i="59"/>
  <c r="I49" i="36"/>
  <c r="J48" i="36"/>
  <c r="J51" i="107"/>
  <c r="I52" i="107"/>
  <c r="K47" i="109"/>
  <c r="I49" i="171"/>
  <c r="J48" i="171"/>
  <c r="I53" i="24"/>
  <c r="K49" i="124"/>
  <c r="I51" i="25"/>
  <c r="J50" i="25"/>
  <c r="E15" i="156"/>
  <c r="C14" i="156"/>
  <c r="J15" i="156"/>
  <c r="K15" i="156" s="1"/>
  <c r="K48" i="104"/>
  <c r="E18" i="75"/>
  <c r="C17" i="75"/>
  <c r="J18" i="75"/>
  <c r="K18" i="75" s="1"/>
  <c r="K48" i="73"/>
  <c r="I50" i="80"/>
  <c r="J49" i="80"/>
  <c r="E19" i="151"/>
  <c r="C18" i="151"/>
  <c r="J19" i="151"/>
  <c r="K19" i="151" s="1"/>
  <c r="E17" i="26"/>
  <c r="C16" i="26"/>
  <c r="J17" i="26"/>
  <c r="K17" i="26" s="1"/>
  <c r="I54" i="12"/>
  <c r="J53" i="12"/>
  <c r="C19" i="152"/>
  <c r="E20" i="152"/>
  <c r="J20" i="152"/>
  <c r="K20" i="152" s="1"/>
  <c r="K49" i="25"/>
  <c r="I50" i="116"/>
  <c r="J49" i="116"/>
  <c r="C15" i="165"/>
  <c r="E16" i="165"/>
  <c r="J16" i="165"/>
  <c r="K16" i="165" s="1"/>
  <c r="E19" i="114"/>
  <c r="C18" i="114"/>
  <c r="J19" i="114"/>
  <c r="K19" i="114" s="1"/>
  <c r="AJ21" i="1"/>
  <c r="I50" i="104"/>
  <c r="J49" i="104"/>
  <c r="E18" i="25"/>
  <c r="C17" i="25"/>
  <c r="J18" i="25"/>
  <c r="K18" i="25" s="1"/>
  <c r="K48" i="4"/>
  <c r="E20" i="158"/>
  <c r="C19" i="158"/>
  <c r="J20" i="158"/>
  <c r="K20" i="158" s="1"/>
  <c r="C17" i="128"/>
  <c r="E18" i="128"/>
  <c r="J18" i="128"/>
  <c r="K18" i="128" s="1"/>
  <c r="I50" i="73"/>
  <c r="J49" i="73"/>
  <c r="K48" i="80"/>
  <c r="C17" i="113"/>
  <c r="E18" i="113"/>
  <c r="J18" i="113"/>
  <c r="K18" i="113" s="1"/>
  <c r="C18" i="48"/>
  <c r="E19" i="48"/>
  <c r="J19" i="48"/>
  <c r="K19" i="48" s="1"/>
  <c r="E19" i="71"/>
  <c r="C18" i="71"/>
  <c r="J19" i="71"/>
  <c r="K19" i="71" s="1"/>
  <c r="CB20" i="2"/>
  <c r="I49" i="160"/>
  <c r="J48" i="160"/>
  <c r="C16" i="173"/>
  <c r="E17" i="173"/>
  <c r="J17" i="173"/>
  <c r="K17" i="173" s="1"/>
  <c r="E15" i="32"/>
  <c r="C14" i="32"/>
  <c r="J15" i="32"/>
  <c r="K15" i="32" s="1"/>
  <c r="I49" i="146"/>
  <c r="J48" i="146"/>
  <c r="E19" i="70"/>
  <c r="C18" i="70"/>
  <c r="J19" i="70"/>
  <c r="K19" i="70" s="1"/>
  <c r="I50" i="88"/>
  <c r="J49" i="88"/>
  <c r="J49" i="4"/>
  <c r="I50" i="4"/>
  <c r="C18" i="76"/>
  <c r="E19" i="76"/>
  <c r="J19" i="76"/>
  <c r="K19" i="76" s="1"/>
  <c r="K47" i="102"/>
  <c r="E19" i="140"/>
  <c r="C18" i="140"/>
  <c r="J19" i="140"/>
  <c r="K19" i="140" s="1"/>
  <c r="C18" i="147"/>
  <c r="E19" i="147"/>
  <c r="J19" i="147"/>
  <c r="K19" i="147" s="1"/>
  <c r="K47" i="146"/>
  <c r="C15" i="102"/>
  <c r="E16" i="102"/>
  <c r="J16" i="102"/>
  <c r="K16" i="102" s="1"/>
  <c r="E20" i="46"/>
  <c r="C19" i="46"/>
  <c r="J20" i="46"/>
  <c r="K20" i="46" s="1"/>
  <c r="C17" i="161"/>
  <c r="E18" i="161"/>
  <c r="J18" i="161"/>
  <c r="K18" i="161" s="1"/>
  <c r="I49" i="174"/>
  <c r="J48" i="174"/>
  <c r="K47" i="174" s="1"/>
  <c r="K47" i="55"/>
  <c r="I49" i="102"/>
  <c r="J48" i="102"/>
  <c r="E17" i="40"/>
  <c r="C16" i="40"/>
  <c r="J17" i="40"/>
  <c r="K17" i="40" s="1"/>
  <c r="C18" i="142"/>
  <c r="E19" i="142"/>
  <c r="J19" i="142"/>
  <c r="K19" i="142" s="1"/>
  <c r="E19" i="31"/>
  <c r="C18" i="31"/>
  <c r="J19" i="31"/>
  <c r="K19" i="31" s="1"/>
  <c r="C19" i="92"/>
  <c r="E20" i="92"/>
  <c r="J20" i="92"/>
  <c r="K20" i="92" s="1"/>
  <c r="J52" i="71"/>
  <c r="I53" i="71"/>
  <c r="J50" i="10"/>
  <c r="I51" i="10"/>
  <c r="J50" i="66"/>
  <c r="I51" i="66"/>
  <c r="E18" i="60"/>
  <c r="C17" i="60"/>
  <c r="J18" i="60"/>
  <c r="K18" i="60" s="1"/>
  <c r="I49" i="55"/>
  <c r="J48" i="55"/>
  <c r="E19" i="89"/>
  <c r="C18" i="89"/>
  <c r="J19" i="89"/>
  <c r="K19" i="89" s="1"/>
  <c r="E19" i="20"/>
  <c r="C18" i="20"/>
  <c r="J19" i="20"/>
  <c r="K19" i="20" s="1"/>
  <c r="I51" i="167"/>
  <c r="J50" i="167"/>
  <c r="K49" i="167" s="1"/>
  <c r="C12" i="82"/>
  <c r="E13" i="82"/>
  <c r="J13" i="82"/>
  <c r="K13" i="82" s="1"/>
  <c r="E17" i="47"/>
  <c r="C16" i="47"/>
  <c r="J17" i="47"/>
  <c r="K17" i="47" s="1"/>
  <c r="K49" i="23"/>
  <c r="E18" i="64"/>
  <c r="C17" i="64"/>
  <c r="J18" i="64"/>
  <c r="K18" i="64" s="1"/>
  <c r="K46" i="120"/>
  <c r="E18" i="144"/>
  <c r="C17" i="144"/>
  <c r="J18" i="144"/>
  <c r="K18" i="144" s="1"/>
  <c r="J48" i="120"/>
  <c r="I49" i="120"/>
  <c r="E17" i="73"/>
  <c r="C16" i="73"/>
  <c r="J17" i="73"/>
  <c r="K17" i="73" s="1"/>
  <c r="E20" i="3"/>
  <c r="C19" i="3"/>
  <c r="J20" i="3"/>
  <c r="K20" i="3" s="1"/>
  <c r="N21" i="1"/>
  <c r="K47" i="90"/>
  <c r="I54" i="7"/>
  <c r="J53" i="7"/>
  <c r="K52" i="7" s="1"/>
  <c r="I50" i="85"/>
  <c r="J49" i="85"/>
  <c r="K51" i="7"/>
  <c r="GS21" i="2"/>
  <c r="J50" i="23"/>
  <c r="I51" i="23"/>
  <c r="E20" i="58"/>
  <c r="C19" i="58"/>
  <c r="J20" i="58"/>
  <c r="K20" i="58" s="1"/>
  <c r="I52" i="26"/>
  <c r="J51" i="26"/>
  <c r="K50" i="136"/>
  <c r="I52" i="13"/>
  <c r="J51" i="13"/>
  <c r="M20" i="2"/>
  <c r="C16" i="123"/>
  <c r="E17" i="123"/>
  <c r="J17" i="123"/>
  <c r="K17" i="123" s="1"/>
  <c r="Y21" i="2"/>
  <c r="E18" i="94"/>
  <c r="C17" i="94"/>
  <c r="J18" i="94"/>
  <c r="K18" i="94" s="1"/>
  <c r="C19" i="170"/>
  <c r="E20" i="170"/>
  <c r="J20" i="170"/>
  <c r="K20" i="170" s="1"/>
  <c r="E18" i="99"/>
  <c r="C17" i="99"/>
  <c r="J18" i="99"/>
  <c r="K18" i="99" s="1"/>
  <c r="I51" i="165"/>
  <c r="J50" i="165"/>
  <c r="J49" i="84"/>
  <c r="I50" i="84"/>
  <c r="C14" i="157"/>
  <c r="E15" i="157"/>
  <c r="J15" i="157"/>
  <c r="K15" i="157" s="1"/>
  <c r="I51" i="173"/>
  <c r="J50" i="173"/>
  <c r="EP20" i="2"/>
  <c r="J49" i="170"/>
  <c r="K48" i="170" s="1"/>
  <c r="I50" i="170"/>
  <c r="E16" i="59"/>
  <c r="C15" i="59"/>
  <c r="J16" i="59"/>
  <c r="K16" i="59" s="1"/>
  <c r="I50" i="56"/>
  <c r="J49" i="56"/>
  <c r="K48" i="56" s="1"/>
  <c r="I51" i="30"/>
  <c r="J50" i="30"/>
  <c r="K49" i="30" s="1"/>
  <c r="I53" i="14"/>
  <c r="J52" i="14"/>
  <c r="I50" i="123"/>
  <c r="J49" i="123"/>
  <c r="K48" i="123" s="1"/>
  <c r="E18" i="81"/>
  <c r="C17" i="81"/>
  <c r="J18" i="81"/>
  <c r="K18" i="81" s="1"/>
  <c r="I52" i="136"/>
  <c r="J51" i="136"/>
  <c r="K50" i="13"/>
  <c r="I54" i="145"/>
  <c r="J53" i="145"/>
  <c r="J51" i="29"/>
  <c r="I52" i="29"/>
  <c r="I52" i="156"/>
  <c r="J51" i="156"/>
  <c r="I50" i="76"/>
  <c r="J49" i="76"/>
  <c r="C19" i="12"/>
  <c r="E20" i="12"/>
  <c r="X20" i="2"/>
  <c r="M20" i="1"/>
  <c r="J20" i="12"/>
  <c r="K20" i="12" s="1"/>
  <c r="I53" i="42"/>
  <c r="J52" i="42"/>
  <c r="K47" i="110"/>
  <c r="I51" i="149"/>
  <c r="J50" i="149"/>
  <c r="K48" i="70"/>
  <c r="D59" i="1"/>
  <c r="O59" i="1"/>
  <c r="BR59" i="1"/>
  <c r="Z59" i="1"/>
  <c r="AK59" i="1"/>
  <c r="AV59" i="1"/>
  <c r="CC59" i="1"/>
  <c r="K51" i="14"/>
  <c r="C19" i="14"/>
  <c r="E20" i="14"/>
  <c r="J20" i="14"/>
  <c r="K20" i="14" s="1"/>
  <c r="GR20" i="2"/>
  <c r="I51" i="41"/>
  <c r="J50" i="41"/>
  <c r="K47" i="69"/>
  <c r="C17" i="83"/>
  <c r="E18" i="83"/>
  <c r="J18" i="83"/>
  <c r="K18" i="83" s="1"/>
  <c r="K52" i="145"/>
  <c r="C19" i="172"/>
  <c r="E20" i="172"/>
  <c r="J20" i="172"/>
  <c r="K20" i="172" s="1"/>
  <c r="E19" i="33"/>
  <c r="C18" i="33"/>
  <c r="M19" i="2"/>
  <c r="J19" i="33"/>
  <c r="K19" i="33" s="1"/>
  <c r="J51" i="16"/>
  <c r="I52" i="16"/>
  <c r="E19" i="122"/>
  <c r="C18" i="122"/>
  <c r="J19" i="122"/>
  <c r="K19" i="122" s="1"/>
  <c r="J48" i="40"/>
  <c r="I49" i="40"/>
  <c r="I51" i="118"/>
  <c r="J50" i="118"/>
  <c r="J48" i="110"/>
  <c r="I49" i="110"/>
  <c r="K49" i="149"/>
  <c r="J49" i="70"/>
  <c r="I50" i="70"/>
  <c r="D59" i="2"/>
  <c r="CY59" i="2"/>
  <c r="DU59" i="2"/>
  <c r="HP59" i="2"/>
  <c r="FM59" i="2"/>
  <c r="IL59" i="2"/>
  <c r="EQ59" i="2"/>
  <c r="DJ59" i="2"/>
  <c r="IW59" i="2"/>
  <c r="IA59" i="2"/>
  <c r="FB59" i="2"/>
  <c r="O59" i="2"/>
  <c r="FX59" i="2"/>
  <c r="CC59" i="2"/>
  <c r="Z59" i="2"/>
  <c r="HE59" i="2"/>
  <c r="EF59" i="2"/>
  <c r="BR59" i="2"/>
  <c r="AK59" i="2"/>
  <c r="AV59" i="2"/>
  <c r="GT59" i="2"/>
  <c r="CN59" i="2"/>
  <c r="BG59" i="2"/>
  <c r="K48" i="23"/>
  <c r="J48" i="69"/>
  <c r="I49" i="69"/>
  <c r="E18" i="4"/>
  <c r="C17" i="4"/>
  <c r="J18" i="4"/>
  <c r="K18" i="4" s="1"/>
  <c r="E13" i="98"/>
  <c r="C12" i="98"/>
  <c r="J13" i="98"/>
  <c r="K13" i="98" s="1"/>
  <c r="E19" i="36"/>
  <c r="C18" i="36"/>
  <c r="J19" i="36"/>
  <c r="K19" i="36" s="1"/>
  <c r="I49" i="45"/>
  <c r="J48" i="45"/>
  <c r="I50" i="151"/>
  <c r="J49" i="151"/>
  <c r="K47" i="88"/>
  <c r="J51" i="77"/>
  <c r="K50" i="77" s="1"/>
  <c r="I52" i="77"/>
  <c r="K48" i="86"/>
  <c r="K47" i="40"/>
  <c r="I52" i="78"/>
  <c r="J51" i="78"/>
  <c r="E19" i="78"/>
  <c r="C18" i="78"/>
  <c r="J19" i="78"/>
  <c r="K19" i="78" s="1"/>
  <c r="K49" i="118"/>
  <c r="K47" i="56"/>
  <c r="BG59" i="1"/>
  <c r="BF59" i="1"/>
  <c r="E18" i="110"/>
  <c r="C17" i="110"/>
  <c r="J18" i="110"/>
  <c r="K18" i="110" s="1"/>
  <c r="E19" i="41"/>
  <c r="C18" i="41"/>
  <c r="J19" i="41"/>
  <c r="K19" i="41" s="1"/>
  <c r="I50" i="5"/>
  <c r="J49" i="5"/>
  <c r="J51" i="132"/>
  <c r="I52" i="132"/>
  <c r="FW21" i="2"/>
  <c r="I49" i="105"/>
  <c r="J48" i="105"/>
  <c r="C18" i="96"/>
  <c r="E19" i="96"/>
  <c r="J19" i="96"/>
  <c r="K19" i="96" s="1"/>
  <c r="I50" i="86"/>
  <c r="J49" i="86"/>
  <c r="I50" i="97"/>
  <c r="J49" i="97"/>
  <c r="K47" i="73"/>
  <c r="J48" i="35"/>
  <c r="I49" i="35"/>
  <c r="J48" i="43"/>
  <c r="I49" i="43"/>
  <c r="I52" i="117"/>
  <c r="J51" i="117"/>
  <c r="GI59" i="2"/>
  <c r="GH59" i="2"/>
  <c r="E15" i="146"/>
  <c r="C14" i="146"/>
  <c r="J15" i="146"/>
  <c r="K15" i="146" s="1"/>
  <c r="E17" i="72"/>
  <c r="C16" i="72"/>
  <c r="J17" i="72"/>
  <c r="K17" i="72" s="1"/>
  <c r="K50" i="132"/>
  <c r="BQ21" i="1"/>
  <c r="I52" i="164"/>
  <c r="J51" i="164"/>
  <c r="C17" i="67"/>
  <c r="E18" i="67"/>
  <c r="J18" i="67"/>
  <c r="K18" i="67" s="1"/>
  <c r="DI20" i="2"/>
  <c r="I51" i="158"/>
  <c r="J50" i="158"/>
  <c r="K51" i="82"/>
  <c r="I50" i="57"/>
  <c r="J49" i="57"/>
  <c r="C15" i="111"/>
  <c r="E16" i="111"/>
  <c r="J16" i="111"/>
  <c r="K16" i="111" s="1"/>
  <c r="C19" i="174"/>
  <c r="E20" i="174"/>
  <c r="J20" i="174"/>
  <c r="K20" i="174" s="1"/>
  <c r="I51" i="157"/>
  <c r="J50" i="157"/>
  <c r="K49" i="157" s="1"/>
  <c r="C18" i="77"/>
  <c r="E19" i="77"/>
  <c r="J19" i="77"/>
  <c r="K19" i="77" s="1"/>
  <c r="K48" i="57"/>
  <c r="K50" i="89"/>
  <c r="K48" i="149"/>
  <c r="K46" i="160"/>
  <c r="E19" i="117"/>
  <c r="C18" i="117"/>
  <c r="J19" i="117"/>
  <c r="K19" i="117" s="1"/>
  <c r="E20" i="121"/>
  <c r="C19" i="121"/>
  <c r="J20" i="121"/>
  <c r="K20" i="121" s="1"/>
  <c r="E18" i="9"/>
  <c r="C17" i="9"/>
  <c r="J18" i="9"/>
  <c r="K18" i="9" s="1"/>
  <c r="C17" i="104"/>
  <c r="E18" i="104"/>
  <c r="J18" i="104"/>
  <c r="K18" i="104" s="1"/>
  <c r="J48" i="47"/>
  <c r="K47" i="47" s="1"/>
  <c r="I49" i="47"/>
  <c r="HD21" i="2"/>
  <c r="C19" i="42"/>
  <c r="E20" i="42"/>
  <c r="J20" i="42"/>
  <c r="K20" i="42" s="1"/>
  <c r="FV20" i="2"/>
  <c r="K50" i="122"/>
  <c r="K48" i="84"/>
  <c r="I51" i="72"/>
  <c r="J50" i="72"/>
  <c r="E17" i="124"/>
  <c r="C16" i="124"/>
  <c r="J17" i="124"/>
  <c r="K17" i="124" s="1"/>
  <c r="K50" i="78"/>
  <c r="C19" i="91"/>
  <c r="E20" i="91"/>
  <c r="J20" i="91"/>
  <c r="K20" i="91" s="1"/>
  <c r="E15" i="87"/>
  <c r="C14" i="87"/>
  <c r="J15" i="87"/>
  <c r="K15" i="87" s="1"/>
  <c r="E58" i="24"/>
  <c r="C57" i="24"/>
  <c r="GG58" i="2"/>
  <c r="BE58" i="1"/>
  <c r="C58" i="2"/>
  <c r="C58" i="1"/>
  <c r="K48" i="30"/>
  <c r="C18" i="79"/>
  <c r="E19" i="79"/>
  <c r="J19" i="79"/>
  <c r="K19" i="79" s="1"/>
  <c r="E20" i="56"/>
  <c r="C19" i="56"/>
  <c r="J20" i="56"/>
  <c r="K20" i="56" s="1"/>
  <c r="E19" i="133"/>
  <c r="C18" i="133"/>
  <c r="J19" i="133"/>
  <c r="K19" i="133" s="1"/>
  <c r="DH19" i="2"/>
  <c r="I52" i="122"/>
  <c r="J51" i="122"/>
  <c r="C16" i="106"/>
  <c r="E17" i="106"/>
  <c r="J17" i="106"/>
  <c r="K17" i="106" s="1"/>
  <c r="E17" i="61"/>
  <c r="C16" i="61"/>
  <c r="J17" i="61"/>
  <c r="K17" i="61" s="1"/>
  <c r="C18" i="88"/>
  <c r="E19" i="88"/>
  <c r="J19" i="88"/>
  <c r="K19" i="88" s="1"/>
  <c r="C18" i="44"/>
  <c r="E19" i="44"/>
  <c r="J19" i="44"/>
  <c r="K19" i="44" s="1"/>
  <c r="J53" i="75"/>
  <c r="K52" i="75" s="1"/>
  <c r="I54" i="75"/>
  <c r="E18" i="167"/>
  <c r="C17" i="167"/>
  <c r="J18" i="167"/>
  <c r="K18" i="167" s="1"/>
  <c r="AJ21" i="2"/>
  <c r="J49" i="19"/>
  <c r="I50" i="19"/>
  <c r="E20" i="8"/>
  <c r="C19" i="8"/>
  <c r="BP20" i="1"/>
  <c r="HC20" i="2"/>
  <c r="J20" i="8"/>
  <c r="K20" i="8" s="1"/>
  <c r="K47" i="38"/>
  <c r="K47" i="35"/>
  <c r="I50" i="169"/>
  <c r="J49" i="169"/>
  <c r="I51" i="92"/>
  <c r="J50" i="92"/>
  <c r="J53" i="133"/>
  <c r="I54" i="133"/>
  <c r="C19" i="49"/>
  <c r="E20" i="49"/>
  <c r="J20" i="49"/>
  <c r="K20" i="49" s="1"/>
  <c r="C19" i="107"/>
  <c r="E20" i="107"/>
  <c r="J20" i="107"/>
  <c r="K20" i="107" s="1"/>
  <c r="E19" i="15"/>
  <c r="C18" i="15"/>
  <c r="J19" i="15"/>
  <c r="K19" i="15" s="1"/>
  <c r="I49" i="17"/>
  <c r="J48" i="17"/>
  <c r="K51" i="27"/>
  <c r="K47" i="140"/>
  <c r="I50" i="39"/>
  <c r="J49" i="39"/>
  <c r="K48" i="39" s="1"/>
  <c r="C17" i="54"/>
  <c r="E18" i="54"/>
  <c r="J18" i="54"/>
  <c r="K18" i="54" s="1"/>
  <c r="J49" i="114"/>
  <c r="I50" i="114"/>
  <c r="K51" i="145"/>
  <c r="K48" i="168"/>
  <c r="I50" i="154"/>
  <c r="J49" i="154"/>
  <c r="E16" i="34"/>
  <c r="C15" i="34"/>
  <c r="J16" i="34"/>
  <c r="K16" i="34" s="1"/>
  <c r="E19" i="13"/>
  <c r="C18" i="13"/>
  <c r="J19" i="13"/>
  <c r="K19" i="13" s="1"/>
  <c r="J48" i="38"/>
  <c r="I49" i="38"/>
  <c r="K49" i="173"/>
  <c r="E19" i="97"/>
  <c r="C18" i="97"/>
  <c r="EO19" i="2"/>
  <c r="J19" i="97"/>
  <c r="K19" i="97" s="1"/>
  <c r="J51" i="89"/>
  <c r="I52" i="89"/>
  <c r="I53" i="32"/>
  <c r="J52" i="32"/>
  <c r="K51" i="32" s="1"/>
  <c r="K52" i="133"/>
  <c r="E15" i="166"/>
  <c r="C14" i="166"/>
  <c r="J15" i="166"/>
  <c r="K15" i="166" s="1"/>
  <c r="I49" i="140"/>
  <c r="J48" i="140"/>
  <c r="K48" i="50"/>
  <c r="J49" i="50"/>
  <c r="I50" i="50"/>
  <c r="K46" i="90"/>
  <c r="I53" i="79"/>
  <c r="J52" i="79"/>
  <c r="K51" i="79" s="1"/>
  <c r="EP21" i="2"/>
  <c r="I51" i="63"/>
  <c r="J50" i="63"/>
  <c r="I53" i="27"/>
  <c r="J52" i="27"/>
  <c r="K47" i="64"/>
  <c r="E18" i="139"/>
  <c r="C17" i="139"/>
  <c r="J18" i="139"/>
  <c r="K18" i="139" s="1"/>
  <c r="K47" i="116"/>
  <c r="E20" i="28"/>
  <c r="C19" i="28"/>
  <c r="AI19" i="2" s="1"/>
  <c r="J20" i="28"/>
  <c r="K20" i="28" s="1"/>
  <c r="I49" i="95"/>
  <c r="J48" i="95"/>
  <c r="J49" i="137"/>
  <c r="K48" i="137" s="1"/>
  <c r="I50" i="137"/>
  <c r="K46" i="45"/>
  <c r="J49" i="168"/>
  <c r="I50" i="168"/>
  <c r="K48" i="154"/>
  <c r="J49" i="67"/>
  <c r="K48" i="67" s="1"/>
  <c r="I50" i="67"/>
  <c r="K46" i="105"/>
  <c r="E20" i="93"/>
  <c r="C19" i="93"/>
  <c r="J20" i="93"/>
  <c r="K20" i="93" s="1"/>
  <c r="K49" i="62"/>
  <c r="K48" i="173"/>
  <c r="E19" i="164"/>
  <c r="C18" i="164"/>
  <c r="J19" i="164"/>
  <c r="K19" i="164" s="1"/>
  <c r="I52" i="101"/>
  <c r="J51" i="101"/>
  <c r="K50" i="101" s="1"/>
  <c r="I49" i="64"/>
  <c r="J48" i="64"/>
  <c r="I54" i="46"/>
  <c r="J53" i="46"/>
  <c r="C19" i="155"/>
  <c r="E20" i="155"/>
  <c r="J20" i="155"/>
  <c r="K20" i="155" s="1"/>
  <c r="K47" i="95"/>
  <c r="E19" i="63"/>
  <c r="C18" i="63"/>
  <c r="J19" i="63"/>
  <c r="K19" i="63" s="1"/>
  <c r="K47" i="151"/>
  <c r="E19" i="108"/>
  <c r="C18" i="108"/>
  <c r="J19" i="108"/>
  <c r="K19" i="108" s="1"/>
  <c r="J49" i="153"/>
  <c r="K48" i="153" s="1"/>
  <c r="I50" i="153"/>
  <c r="K49" i="37"/>
  <c r="K47" i="170"/>
  <c r="E17" i="51"/>
  <c r="C16" i="51"/>
  <c r="J17" i="51"/>
  <c r="K17" i="51" s="1"/>
  <c r="C18" i="101"/>
  <c r="E19" i="101"/>
  <c r="J19" i="101"/>
  <c r="K19" i="101" s="1"/>
  <c r="K49" i="28"/>
  <c r="J50" i="93"/>
  <c r="I51" i="93"/>
  <c r="AU21" i="1"/>
  <c r="E18" i="16"/>
  <c r="C17" i="16"/>
  <c r="J18" i="16"/>
  <c r="K18" i="16" s="1"/>
  <c r="I51" i="83"/>
  <c r="J50" i="83"/>
  <c r="E19" i="38"/>
  <c r="C18" i="38"/>
  <c r="J19" i="38"/>
  <c r="K19" i="38" s="1"/>
  <c r="C17" i="68"/>
  <c r="E18" i="68"/>
  <c r="J18" i="68"/>
  <c r="K18" i="68" s="1"/>
  <c r="C18" i="21"/>
  <c r="E19" i="21"/>
  <c r="J19" i="21"/>
  <c r="K19" i="21" s="1"/>
  <c r="C18" i="154"/>
  <c r="E19" i="154"/>
  <c r="J19" i="154"/>
  <c r="K19" i="154" s="1"/>
  <c r="C18" i="132"/>
  <c r="E19" i="132"/>
  <c r="J19" i="132"/>
  <c r="K19" i="132" s="1"/>
  <c r="K50" i="48"/>
  <c r="E18" i="17"/>
  <c r="C17" i="17"/>
  <c r="J18" i="17"/>
  <c r="K18" i="17" s="1"/>
  <c r="I50" i="138"/>
  <c r="J49" i="138"/>
  <c r="IV21" i="2"/>
  <c r="K48" i="139"/>
  <c r="I51" i="37"/>
  <c r="J50" i="37"/>
  <c r="I51" i="28"/>
  <c r="J50" i="28"/>
  <c r="E20" i="55"/>
  <c r="C19" i="55"/>
  <c r="J20" i="55"/>
  <c r="K20" i="55" s="1"/>
  <c r="K48" i="167"/>
  <c r="I50" i="161"/>
  <c r="J49" i="161"/>
  <c r="E20" i="7"/>
  <c r="C19" i="7"/>
  <c r="AT20" i="1"/>
  <c r="J20" i="7"/>
  <c r="K20" i="7" s="1"/>
  <c r="K49" i="83"/>
  <c r="E18" i="130"/>
  <c r="C17" i="130"/>
  <c r="J18" i="130"/>
  <c r="K18" i="130" s="1"/>
  <c r="K49" i="77"/>
  <c r="I52" i="48"/>
  <c r="J51" i="48"/>
  <c r="J51" i="152"/>
  <c r="I52" i="152"/>
  <c r="J49" i="21"/>
  <c r="I50" i="21"/>
  <c r="K48" i="37"/>
  <c r="C16" i="85"/>
  <c r="E17" i="85"/>
  <c r="J17" i="85"/>
  <c r="K17" i="85" s="1"/>
  <c r="I49" i="166"/>
  <c r="J48" i="166"/>
  <c r="K48" i="161"/>
  <c r="C18" i="119"/>
  <c r="E19" i="119"/>
  <c r="J19" i="119"/>
  <c r="K19" i="119" s="1"/>
  <c r="E18" i="118"/>
  <c r="C17" i="118"/>
  <c r="J18" i="118"/>
  <c r="K18" i="118" s="1"/>
  <c r="BQ21" i="2"/>
  <c r="K48" i="10"/>
  <c r="DT19" i="2"/>
  <c r="K49" i="164"/>
  <c r="K47" i="4"/>
  <c r="K47" i="76"/>
  <c r="I52" i="127"/>
  <c r="J51" i="127"/>
  <c r="K50" i="127" s="1"/>
  <c r="J49" i="108"/>
  <c r="K48" i="108" s="1"/>
  <c r="I50" i="108"/>
  <c r="FL21" i="2"/>
  <c r="E18" i="65"/>
  <c r="C17" i="65"/>
  <c r="J18" i="65"/>
  <c r="K18" i="65" s="1"/>
  <c r="HO21" i="2"/>
  <c r="E18" i="57"/>
  <c r="C17" i="57"/>
  <c r="J18" i="57"/>
  <c r="K18" i="57" s="1"/>
  <c r="E20" i="100"/>
  <c r="C19" i="100"/>
  <c r="J20" i="100"/>
  <c r="K20" i="100" s="1"/>
  <c r="K47" i="108"/>
  <c r="K48" i="21"/>
  <c r="K47" i="21"/>
  <c r="J48" i="112"/>
  <c r="K47" i="112" s="1"/>
  <c r="I49" i="112"/>
  <c r="E16" i="45"/>
  <c r="C15" i="45"/>
  <c r="J16" i="45"/>
  <c r="K16" i="45" s="1"/>
  <c r="I50" i="155"/>
  <c r="J49" i="155"/>
  <c r="K48" i="155" s="1"/>
  <c r="K48" i="126"/>
  <c r="I50" i="20"/>
  <c r="J49" i="20"/>
  <c r="K48" i="20" s="1"/>
  <c r="CB21" i="1"/>
  <c r="K47" i="166"/>
  <c r="J51" i="142"/>
  <c r="I52" i="142"/>
  <c r="E18" i="74"/>
  <c r="C17" i="74"/>
  <c r="J18" i="74"/>
  <c r="K18" i="74" s="1"/>
  <c r="K50" i="135"/>
  <c r="K48" i="158"/>
  <c r="E15" i="30"/>
  <c r="C14" i="30"/>
  <c r="J15" i="30"/>
  <c r="K15" i="30" s="1"/>
  <c r="E17" i="127"/>
  <c r="C16" i="127"/>
  <c r="J17" i="127"/>
  <c r="K17" i="127" s="1"/>
  <c r="I51" i="44"/>
  <c r="J50" i="44"/>
  <c r="J50" i="68"/>
  <c r="I51" i="68"/>
  <c r="J49" i="126"/>
  <c r="I50" i="126"/>
  <c r="E20" i="27"/>
  <c r="C19" i="27"/>
  <c r="IJ19" i="2" s="1"/>
  <c r="J20" i="27"/>
  <c r="K20" i="27" s="1"/>
  <c r="Y21" i="1"/>
  <c r="C19" i="6"/>
  <c r="CA20" i="1"/>
  <c r="E20" i="6"/>
  <c r="IU20" i="2"/>
  <c r="K50" i="142"/>
  <c r="K49" i="113"/>
  <c r="I54" i="15"/>
  <c r="J53" i="15"/>
  <c r="K52" i="15" s="1"/>
  <c r="E20" i="90"/>
  <c r="C19" i="90"/>
  <c r="J20" i="90"/>
  <c r="K20" i="90" s="1"/>
  <c r="C19" i="52"/>
  <c r="E20" i="52"/>
  <c r="BP20" i="2"/>
  <c r="J20" i="52"/>
  <c r="K20" i="52" s="1"/>
  <c r="C17" i="103"/>
  <c r="E18" i="103"/>
  <c r="J18" i="103"/>
  <c r="K18" i="103" s="1"/>
  <c r="C17" i="129"/>
  <c r="E18" i="129"/>
  <c r="J18" i="129"/>
  <c r="K18" i="129" s="1"/>
  <c r="DS18" i="2"/>
  <c r="I50" i="119"/>
  <c r="J49" i="119"/>
  <c r="K48" i="119" s="1"/>
  <c r="E17" i="62"/>
  <c r="C16" i="62"/>
  <c r="J17" i="62"/>
  <c r="K17" i="62" s="1"/>
  <c r="E19" i="145"/>
  <c r="C18" i="145"/>
  <c r="J19" i="145"/>
  <c r="K19" i="145" s="1"/>
  <c r="J51" i="135"/>
  <c r="I52" i="135"/>
  <c r="J51" i="98"/>
  <c r="K50" i="98" s="1"/>
  <c r="I52" i="98"/>
  <c r="C14" i="138"/>
  <c r="E15" i="138"/>
  <c r="J15" i="138"/>
  <c r="K15" i="138" s="1"/>
  <c r="K48" i="85"/>
  <c r="J51" i="9"/>
  <c r="K50" i="9" s="1"/>
  <c r="I52" i="9"/>
  <c r="I52" i="172"/>
  <c r="J51" i="172"/>
  <c r="K50" i="172" s="1"/>
  <c r="E17" i="171"/>
  <c r="C16" i="171"/>
  <c r="J17" i="171"/>
  <c r="K17" i="171" s="1"/>
  <c r="K47" i="65"/>
  <c r="E18" i="19"/>
  <c r="C17" i="19"/>
  <c r="J18" i="19"/>
  <c r="K18" i="19" s="1"/>
  <c r="I49" i="65"/>
  <c r="J48" i="65"/>
  <c r="K51" i="12"/>
  <c r="E18" i="126"/>
  <c r="C17" i="126"/>
  <c r="J18" i="126"/>
  <c r="K18" i="126" s="1"/>
  <c r="K49" i="68"/>
  <c r="E17" i="141"/>
  <c r="C16" i="141"/>
  <c r="J17" i="141"/>
  <c r="K17" i="141" s="1"/>
  <c r="I51" i="113"/>
  <c r="J50" i="113"/>
  <c r="C17" i="66"/>
  <c r="E18" i="66"/>
  <c r="J18" i="66"/>
  <c r="K18" i="66" s="1"/>
  <c r="K50" i="14"/>
  <c r="K49" i="115"/>
  <c r="C17" i="116"/>
  <c r="E18" i="116"/>
  <c r="J18" i="116"/>
  <c r="K18" i="116" s="1"/>
  <c r="K47" i="81"/>
  <c r="E19" i="23"/>
  <c r="C18" i="23"/>
  <c r="J19" i="23"/>
  <c r="K19" i="23" s="1"/>
  <c r="K49" i="48"/>
  <c r="K49" i="16"/>
  <c r="K48" i="144"/>
  <c r="K47" i="153"/>
  <c r="J51" i="62"/>
  <c r="I52" i="62"/>
  <c r="I51" i="139"/>
  <c r="J50" i="139"/>
  <c r="K49" i="139" s="1"/>
  <c r="K49" i="44"/>
  <c r="I50" i="131"/>
  <c r="J49" i="131"/>
  <c r="J50" i="18"/>
  <c r="K49" i="18" s="1"/>
  <c r="I51" i="18"/>
  <c r="C15" i="160"/>
  <c r="E16" i="160"/>
  <c r="J16" i="160"/>
  <c r="K16" i="160" s="1"/>
  <c r="K47" i="138"/>
  <c r="FA20" i="2"/>
  <c r="E19" i="35"/>
  <c r="C18" i="35"/>
  <c r="J19" i="35"/>
  <c r="K19" i="35" s="1"/>
  <c r="C19" i="29"/>
  <c r="E20" i="29"/>
  <c r="J20" i="29"/>
  <c r="K20" i="29" s="1"/>
  <c r="E19" i="125"/>
  <c r="C18" i="125"/>
  <c r="J19" i="125"/>
  <c r="K19" i="125" s="1"/>
  <c r="HY20" i="2"/>
  <c r="K46" i="69"/>
  <c r="J51" i="128"/>
  <c r="I52" i="128"/>
  <c r="J50" i="115"/>
  <c r="I51" i="115"/>
  <c r="I50" i="121"/>
  <c r="J49" i="121"/>
  <c r="K48" i="121" s="1"/>
  <c r="J48" i="96"/>
  <c r="K47" i="96" s="1"/>
  <c r="I49" i="96"/>
  <c r="J48" i="81"/>
  <c r="I49" i="81"/>
  <c r="I53" i="94"/>
  <c r="J52" i="94"/>
  <c r="K47" i="86"/>
  <c r="I50" i="144"/>
  <c r="J49" i="144"/>
  <c r="E20" i="143"/>
  <c r="C19" i="143"/>
  <c r="J20" i="143"/>
  <c r="K20" i="143" s="1"/>
  <c r="C16" i="115"/>
  <c r="E17" i="115"/>
  <c r="J17" i="115"/>
  <c r="K17" i="115" s="1"/>
  <c r="I49" i="8"/>
  <c r="J48" i="8"/>
  <c r="E20" i="53"/>
  <c r="C19" i="53"/>
  <c r="BE19" i="2" s="1"/>
  <c r="J20" i="53"/>
  <c r="K20" i="53" s="1"/>
  <c r="I51" i="99"/>
  <c r="J50" i="99"/>
  <c r="I50" i="111"/>
  <c r="J49" i="111"/>
  <c r="I50" i="33"/>
  <c r="J49" i="33"/>
  <c r="CX19" i="2"/>
  <c r="E19" i="134"/>
  <c r="C18" i="134"/>
  <c r="EZ19" i="2"/>
  <c r="J19" i="134"/>
  <c r="K19" i="134" s="1"/>
  <c r="C16" i="86"/>
  <c r="E17" i="86"/>
  <c r="J17" i="86"/>
  <c r="K17" i="86" s="1"/>
  <c r="C18" i="169"/>
  <c r="E19" i="169"/>
  <c r="HY19" i="2"/>
  <c r="J19" i="169"/>
  <c r="K19" i="169" s="1"/>
  <c r="I53" i="22"/>
  <c r="J52" i="22"/>
  <c r="K51" i="22" s="1"/>
  <c r="K50" i="128"/>
  <c r="C15" i="131"/>
  <c r="E16" i="131"/>
  <c r="J16" i="131"/>
  <c r="K16" i="131" s="1"/>
  <c r="I49" i="91"/>
  <c r="J48" i="91"/>
  <c r="E17" i="159"/>
  <c r="C16" i="159"/>
  <c r="J17" i="159"/>
  <c r="K17" i="159" s="1"/>
  <c r="K46" i="174"/>
  <c r="K49" i="122"/>
  <c r="K51" i="94"/>
  <c r="C17" i="22"/>
  <c r="E18" i="22"/>
  <c r="J18" i="22"/>
  <c r="K18" i="22" s="1"/>
  <c r="AU21" i="2"/>
  <c r="E16" i="105"/>
  <c r="C15" i="105"/>
  <c r="J16" i="105"/>
  <c r="K16" i="105" s="1"/>
  <c r="K48" i="124"/>
  <c r="I49" i="147"/>
  <c r="J48" i="147"/>
  <c r="I49" i="125"/>
  <c r="J48" i="125"/>
  <c r="K47" i="125" s="1"/>
  <c r="K49" i="132"/>
  <c r="J49" i="103"/>
  <c r="K48" i="103" s="1"/>
  <c r="I50" i="103"/>
  <c r="K49" i="29"/>
  <c r="E18" i="18"/>
  <c r="C17" i="18"/>
  <c r="J18" i="18"/>
  <c r="K18" i="18" s="1"/>
  <c r="E19" i="153"/>
  <c r="C18" i="153"/>
  <c r="J19" i="153"/>
  <c r="K19" i="153" s="1"/>
  <c r="C16" i="149"/>
  <c r="E17" i="149"/>
  <c r="J17" i="149"/>
  <c r="K17" i="149" s="1"/>
  <c r="J48" i="100"/>
  <c r="I49" i="100"/>
  <c r="I49" i="34"/>
  <c r="J48" i="34"/>
  <c r="K47" i="143"/>
  <c r="C16" i="84"/>
  <c r="E17" i="84"/>
  <c r="J17" i="84"/>
  <c r="K17" i="84" s="1"/>
  <c r="E16" i="43"/>
  <c r="C15" i="43"/>
  <c r="J16" i="43"/>
  <c r="K16" i="43" s="1"/>
  <c r="E18" i="5"/>
  <c r="C17" i="5"/>
  <c r="J18" i="5"/>
  <c r="K18" i="5" s="1"/>
  <c r="C17" i="112"/>
  <c r="E18" i="112"/>
  <c r="CW18" i="2"/>
  <c r="J18" i="112"/>
  <c r="K18" i="112" s="1"/>
  <c r="J53" i="134"/>
  <c r="I54" i="134"/>
  <c r="I50" i="54"/>
  <c r="J49" i="54"/>
  <c r="I54" i="74"/>
  <c r="J53" i="74"/>
  <c r="C18" i="10"/>
  <c r="E19" i="10"/>
  <c r="J19" i="10"/>
  <c r="K19" i="10" s="1"/>
  <c r="I54" i="61"/>
  <c r="J53" i="61"/>
  <c r="E19" i="80"/>
  <c r="C18" i="80"/>
  <c r="J19" i="80"/>
  <c r="K19" i="80" s="1"/>
  <c r="K47" i="168"/>
  <c r="J48" i="143"/>
  <c r="I49" i="143"/>
  <c r="I49" i="11"/>
  <c r="J48" i="11"/>
  <c r="K47" i="11" s="1"/>
  <c r="I50" i="106"/>
  <c r="J49" i="106"/>
  <c r="K48" i="106" s="1"/>
  <c r="I51" i="60"/>
  <c r="J50" i="60"/>
  <c r="K52" i="134"/>
  <c r="J49" i="3"/>
  <c r="K48" i="3" s="1"/>
  <c r="I50" i="3"/>
  <c r="K52" i="74"/>
  <c r="K47" i="5"/>
  <c r="EE21" i="2"/>
  <c r="K52" i="61"/>
  <c r="K46" i="47"/>
  <c r="K48" i="53"/>
  <c r="K49" i="159"/>
  <c r="K47" i="67"/>
  <c r="K47" i="163"/>
  <c r="E17" i="37"/>
  <c r="C16" i="37"/>
  <c r="J17" i="37"/>
  <c r="K17" i="37" s="1"/>
  <c r="K49" i="172"/>
  <c r="K47" i="84"/>
  <c r="J49" i="87"/>
  <c r="I50" i="87"/>
  <c r="J49" i="162"/>
  <c r="I50" i="162"/>
  <c r="I52" i="51"/>
  <c r="J51" i="51"/>
  <c r="K50" i="51" s="1"/>
  <c r="K47" i="141"/>
  <c r="CB21" i="2"/>
  <c r="E20" i="109"/>
  <c r="C19" i="109"/>
  <c r="ED20" i="2"/>
  <c r="J20" i="109"/>
  <c r="K20" i="109" s="1"/>
  <c r="K48" i="31"/>
  <c r="C17" i="150"/>
  <c r="J18" i="150"/>
  <c r="K18" i="150" s="1"/>
  <c r="E18" i="150"/>
  <c r="E19" i="95"/>
  <c r="C18" i="95"/>
  <c r="J19" i="95"/>
  <c r="K19" i="95" s="1"/>
  <c r="E20" i="136"/>
  <c r="C19" i="136"/>
  <c r="J20" i="136"/>
  <c r="K20" i="136" s="1"/>
  <c r="K47" i="148"/>
  <c r="E17" i="69"/>
  <c r="C16" i="69"/>
  <c r="J17" i="69"/>
  <c r="K17" i="69" s="1"/>
  <c r="K47" i="114"/>
  <c r="J49" i="53"/>
  <c r="I50" i="53"/>
  <c r="I51" i="159"/>
  <c r="J50" i="159"/>
  <c r="I49" i="163"/>
  <c r="J48" i="163"/>
  <c r="C17" i="148"/>
  <c r="E18" i="148"/>
  <c r="J18" i="148"/>
  <c r="K18" i="148" s="1"/>
  <c r="J48" i="58"/>
  <c r="K47" i="58" s="1"/>
  <c r="I49" i="58"/>
  <c r="K48" i="72"/>
  <c r="IK19" i="2" l="1"/>
  <c r="BF19" i="2"/>
  <c r="AJ19" i="2"/>
  <c r="I51" i="103"/>
  <c r="J50" i="103"/>
  <c r="E19" i="109"/>
  <c r="C18" i="109"/>
  <c r="ED19" i="2"/>
  <c r="J19" i="109"/>
  <c r="K19" i="109" s="1"/>
  <c r="I52" i="115"/>
  <c r="J51" i="115"/>
  <c r="I50" i="65"/>
  <c r="J49" i="65"/>
  <c r="E17" i="129"/>
  <c r="C16" i="129"/>
  <c r="J17" i="129"/>
  <c r="K17" i="129" s="1"/>
  <c r="DS17" i="2"/>
  <c r="J51" i="28"/>
  <c r="I52" i="28"/>
  <c r="E18" i="13"/>
  <c r="C17" i="13"/>
  <c r="J18" i="13"/>
  <c r="K18" i="13" s="1"/>
  <c r="I55" i="133"/>
  <c r="J54" i="133"/>
  <c r="E18" i="44"/>
  <c r="C17" i="44"/>
  <c r="J18" i="44"/>
  <c r="K18" i="44" s="1"/>
  <c r="E57" i="24"/>
  <c r="C56" i="24"/>
  <c r="GG57" i="2"/>
  <c r="BE57" i="1"/>
  <c r="C57" i="2"/>
  <c r="C57" i="1"/>
  <c r="E19" i="121"/>
  <c r="C18" i="121"/>
  <c r="J19" i="121"/>
  <c r="K19" i="121" s="1"/>
  <c r="K50" i="164"/>
  <c r="E19" i="12"/>
  <c r="C18" i="12"/>
  <c r="X19" i="2"/>
  <c r="M19" i="1"/>
  <c r="J19" i="12"/>
  <c r="K19" i="12" s="1"/>
  <c r="I53" i="13"/>
  <c r="J52" i="13"/>
  <c r="I52" i="66"/>
  <c r="J51" i="66"/>
  <c r="I50" i="90"/>
  <c r="J49" i="90"/>
  <c r="E16" i="120"/>
  <c r="C15" i="120"/>
  <c r="J16" i="120"/>
  <c r="K16" i="120" s="1"/>
  <c r="K50" i="159"/>
  <c r="J51" i="159"/>
  <c r="I52" i="159"/>
  <c r="I51" i="87"/>
  <c r="J50" i="87"/>
  <c r="C17" i="119"/>
  <c r="E18" i="119"/>
  <c r="J18" i="119"/>
  <c r="K18" i="119" s="1"/>
  <c r="C16" i="16"/>
  <c r="E17" i="16"/>
  <c r="J17" i="16"/>
  <c r="K17" i="16" s="1"/>
  <c r="J54" i="46"/>
  <c r="K53" i="46" s="1"/>
  <c r="I55" i="46"/>
  <c r="K53" i="133"/>
  <c r="K50" i="62"/>
  <c r="I53" i="164"/>
  <c r="J52" i="164"/>
  <c r="I53" i="132"/>
  <c r="J52" i="132"/>
  <c r="I51" i="151"/>
  <c r="J50" i="151"/>
  <c r="K50" i="66"/>
  <c r="C18" i="46"/>
  <c r="E19" i="46"/>
  <c r="J19" i="46"/>
  <c r="K19" i="46" s="1"/>
  <c r="E14" i="156"/>
  <c r="C13" i="156"/>
  <c r="J14" i="156"/>
  <c r="K14" i="156" s="1"/>
  <c r="J50" i="53"/>
  <c r="I51" i="53"/>
  <c r="E17" i="19"/>
  <c r="C16" i="19"/>
  <c r="J17" i="19"/>
  <c r="K17" i="19" s="1"/>
  <c r="E16" i="127"/>
  <c r="C15" i="127"/>
  <c r="J16" i="127"/>
  <c r="K16" i="127" s="1"/>
  <c r="C18" i="100"/>
  <c r="E19" i="100"/>
  <c r="J19" i="100"/>
  <c r="K19" i="100" s="1"/>
  <c r="I52" i="37"/>
  <c r="J51" i="37"/>
  <c r="K52" i="27"/>
  <c r="K51" i="132"/>
  <c r="J50" i="76"/>
  <c r="K49" i="76" s="1"/>
  <c r="I51" i="76"/>
  <c r="J51" i="173"/>
  <c r="K50" i="173" s="1"/>
  <c r="I52" i="173"/>
  <c r="C16" i="144"/>
  <c r="E17" i="144"/>
  <c r="J17" i="144"/>
  <c r="K17" i="144" s="1"/>
  <c r="K47" i="120"/>
  <c r="C13" i="138"/>
  <c r="E14" i="138"/>
  <c r="J14" i="138"/>
  <c r="K14" i="138" s="1"/>
  <c r="J49" i="100"/>
  <c r="I50" i="100"/>
  <c r="C16" i="22"/>
  <c r="E17" i="22"/>
  <c r="J17" i="22"/>
  <c r="K17" i="22" s="1"/>
  <c r="I51" i="33"/>
  <c r="J50" i="33"/>
  <c r="K49" i="33" s="1"/>
  <c r="C16" i="103"/>
  <c r="E17" i="103"/>
  <c r="J17" i="103"/>
  <c r="K17" i="103" s="1"/>
  <c r="I50" i="64"/>
  <c r="J49" i="64"/>
  <c r="K48" i="64" s="1"/>
  <c r="J53" i="27"/>
  <c r="I54" i="27"/>
  <c r="FK19" i="2"/>
  <c r="E18" i="117"/>
  <c r="C17" i="117"/>
  <c r="J18" i="117"/>
  <c r="K18" i="117" s="1"/>
  <c r="K47" i="45"/>
  <c r="J49" i="45"/>
  <c r="I50" i="45"/>
  <c r="I53" i="26"/>
  <c r="J52" i="26"/>
  <c r="I52" i="10"/>
  <c r="J51" i="10"/>
  <c r="E16" i="173"/>
  <c r="C15" i="173"/>
  <c r="J16" i="173"/>
  <c r="K16" i="173" s="1"/>
  <c r="E18" i="114"/>
  <c r="C17" i="114"/>
  <c r="J18" i="114"/>
  <c r="K18" i="114" s="1"/>
  <c r="J49" i="141"/>
  <c r="K48" i="141" s="1"/>
  <c r="I50" i="141"/>
  <c r="J49" i="166"/>
  <c r="K48" i="166" s="1"/>
  <c r="I50" i="166"/>
  <c r="E15" i="34"/>
  <c r="C14" i="34"/>
  <c r="J15" i="34"/>
  <c r="K15" i="34" s="1"/>
  <c r="E14" i="87"/>
  <c r="C13" i="87"/>
  <c r="J14" i="87"/>
  <c r="K14" i="87" s="1"/>
  <c r="C16" i="83"/>
  <c r="E17" i="83"/>
  <c r="J17" i="83"/>
  <c r="K17" i="83" s="1"/>
  <c r="I53" i="156"/>
  <c r="J52" i="156"/>
  <c r="K51" i="156" s="1"/>
  <c r="K50" i="10"/>
  <c r="K48" i="160"/>
  <c r="I52" i="25"/>
  <c r="J51" i="25"/>
  <c r="J54" i="74"/>
  <c r="I55" i="74"/>
  <c r="C17" i="132"/>
  <c r="E18" i="132"/>
  <c r="J18" i="132"/>
  <c r="K18" i="132" s="1"/>
  <c r="K51" i="101"/>
  <c r="J50" i="111"/>
  <c r="I51" i="111"/>
  <c r="BQ20" i="2"/>
  <c r="E14" i="30"/>
  <c r="C13" i="30"/>
  <c r="J14" i="30"/>
  <c r="K14" i="30" s="1"/>
  <c r="E17" i="57"/>
  <c r="C16" i="57"/>
  <c r="J17" i="57"/>
  <c r="K17" i="57" s="1"/>
  <c r="I52" i="93"/>
  <c r="J51" i="93"/>
  <c r="J52" i="101"/>
  <c r="I53" i="101"/>
  <c r="I52" i="63"/>
  <c r="J51" i="63"/>
  <c r="J51" i="92"/>
  <c r="I52" i="92"/>
  <c r="C17" i="88"/>
  <c r="E18" i="88"/>
  <c r="J18" i="88"/>
  <c r="K18" i="88" s="1"/>
  <c r="I51" i="5"/>
  <c r="J50" i="5"/>
  <c r="C17" i="36"/>
  <c r="E18" i="36"/>
  <c r="J18" i="36"/>
  <c r="K18" i="36" s="1"/>
  <c r="AI19" i="1"/>
  <c r="I53" i="29"/>
  <c r="J52" i="29"/>
  <c r="E14" i="157"/>
  <c r="C13" i="157"/>
  <c r="J14" i="157"/>
  <c r="K14" i="157" s="1"/>
  <c r="E19" i="58"/>
  <c r="C18" i="58"/>
  <c r="J19" i="58"/>
  <c r="K19" i="58" s="1"/>
  <c r="K49" i="10"/>
  <c r="J53" i="71"/>
  <c r="I54" i="71"/>
  <c r="E15" i="102"/>
  <c r="C14" i="102"/>
  <c r="J15" i="102"/>
  <c r="K15" i="102" s="1"/>
  <c r="J49" i="160"/>
  <c r="I50" i="160"/>
  <c r="I53" i="128"/>
  <c r="J52" i="128"/>
  <c r="K48" i="100"/>
  <c r="K49" i="111"/>
  <c r="K50" i="63"/>
  <c r="K47" i="147"/>
  <c r="E16" i="69"/>
  <c r="C15" i="69"/>
  <c r="J16" i="69"/>
  <c r="K16" i="69" s="1"/>
  <c r="HZ20" i="2"/>
  <c r="E18" i="23"/>
  <c r="C17" i="23"/>
  <c r="J18" i="23"/>
  <c r="K18" i="23" s="1"/>
  <c r="C15" i="171"/>
  <c r="E16" i="171"/>
  <c r="J16" i="171"/>
  <c r="K16" i="171" s="1"/>
  <c r="E16" i="72"/>
  <c r="C15" i="72"/>
  <c r="J16" i="72"/>
  <c r="K16" i="72" s="1"/>
  <c r="K51" i="29"/>
  <c r="I51" i="84"/>
  <c r="J50" i="84"/>
  <c r="K52" i="71"/>
  <c r="I51" i="52"/>
  <c r="J50" i="52"/>
  <c r="K49" i="52" s="1"/>
  <c r="E17" i="150"/>
  <c r="C16" i="150"/>
  <c r="K49" i="87"/>
  <c r="E18" i="80"/>
  <c r="C17" i="80"/>
  <c r="J18" i="80"/>
  <c r="K18" i="80" s="1"/>
  <c r="I50" i="34"/>
  <c r="J49" i="34"/>
  <c r="I55" i="61"/>
  <c r="J54" i="61"/>
  <c r="K53" i="61" s="1"/>
  <c r="E16" i="149"/>
  <c r="C15" i="149"/>
  <c r="J16" i="149"/>
  <c r="K16" i="149" s="1"/>
  <c r="I52" i="99"/>
  <c r="J51" i="99"/>
  <c r="C18" i="52"/>
  <c r="E19" i="52"/>
  <c r="BP19" i="2"/>
  <c r="J19" i="52"/>
  <c r="K19" i="52" s="1"/>
  <c r="E16" i="85"/>
  <c r="C15" i="85"/>
  <c r="J16" i="85"/>
  <c r="K16" i="85" s="1"/>
  <c r="K52" i="46"/>
  <c r="E18" i="164"/>
  <c r="C17" i="164"/>
  <c r="J18" i="164"/>
  <c r="K18" i="164" s="1"/>
  <c r="J50" i="154"/>
  <c r="I51" i="154"/>
  <c r="K49" i="169"/>
  <c r="K48" i="169"/>
  <c r="K49" i="84"/>
  <c r="I52" i="23"/>
  <c r="J51" i="23"/>
  <c r="E17" i="64"/>
  <c r="C16" i="64"/>
  <c r="J17" i="64"/>
  <c r="K17" i="64" s="1"/>
  <c r="E15" i="165"/>
  <c r="C14" i="165"/>
  <c r="J15" i="165"/>
  <c r="K15" i="165" s="1"/>
  <c r="I54" i="24"/>
  <c r="I51" i="49"/>
  <c r="J50" i="49"/>
  <c r="I51" i="108"/>
  <c r="J50" i="108"/>
  <c r="I51" i="138"/>
  <c r="J50" i="138"/>
  <c r="I51" i="169"/>
  <c r="J50" i="169"/>
  <c r="C15" i="61"/>
  <c r="E16" i="61"/>
  <c r="J16" i="61"/>
  <c r="K16" i="61" s="1"/>
  <c r="C18" i="91"/>
  <c r="E19" i="91"/>
  <c r="J19" i="91"/>
  <c r="K19" i="91" s="1"/>
  <c r="E18" i="41"/>
  <c r="C17" i="41"/>
  <c r="J18" i="41"/>
  <c r="K18" i="41" s="1"/>
  <c r="E12" i="98"/>
  <c r="C11" i="98"/>
  <c r="J12" i="98"/>
  <c r="K12" i="98" s="1"/>
  <c r="I55" i="145"/>
  <c r="J54" i="145"/>
  <c r="K50" i="23"/>
  <c r="K48" i="171"/>
  <c r="K49" i="49"/>
  <c r="E17" i="135"/>
  <c r="C16" i="135"/>
  <c r="J17" i="135"/>
  <c r="K17" i="135" s="1"/>
  <c r="C15" i="37"/>
  <c r="E16" i="37"/>
  <c r="J16" i="37"/>
  <c r="K16" i="37" s="1"/>
  <c r="E18" i="125"/>
  <c r="C17" i="125"/>
  <c r="J18" i="125"/>
  <c r="K18" i="125" s="1"/>
  <c r="K51" i="172"/>
  <c r="C17" i="153"/>
  <c r="E18" i="153"/>
  <c r="J18" i="153"/>
  <c r="K18" i="153" s="1"/>
  <c r="E16" i="159"/>
  <c r="C15" i="159"/>
  <c r="J16" i="159"/>
  <c r="K16" i="159" s="1"/>
  <c r="I53" i="172"/>
  <c r="J52" i="172"/>
  <c r="E19" i="90"/>
  <c r="C18" i="90"/>
  <c r="J19" i="90"/>
  <c r="K19" i="90" s="1"/>
  <c r="I51" i="21"/>
  <c r="J50" i="21"/>
  <c r="E14" i="146"/>
  <c r="C13" i="146"/>
  <c r="J14" i="146"/>
  <c r="K14" i="146" s="1"/>
  <c r="I52" i="41"/>
  <c r="J51" i="41"/>
  <c r="K51" i="71"/>
  <c r="E19" i="92"/>
  <c r="C18" i="92"/>
  <c r="J19" i="92"/>
  <c r="K19" i="92" s="1"/>
  <c r="E18" i="147"/>
  <c r="C17" i="147"/>
  <c r="J18" i="147"/>
  <c r="K18" i="147" s="1"/>
  <c r="C17" i="71"/>
  <c r="E18" i="71"/>
  <c r="J18" i="71"/>
  <c r="K18" i="71" s="1"/>
  <c r="J50" i="116"/>
  <c r="I51" i="116"/>
  <c r="I50" i="171"/>
  <c r="J49" i="171"/>
  <c r="K49" i="53"/>
  <c r="E19" i="53"/>
  <c r="C18" i="53"/>
  <c r="BE18" i="2" s="1"/>
  <c r="J19" i="53"/>
  <c r="K19" i="53" s="1"/>
  <c r="J53" i="79"/>
  <c r="K52" i="79" s="1"/>
  <c r="I54" i="79"/>
  <c r="I51" i="70"/>
  <c r="J50" i="70"/>
  <c r="E19" i="136"/>
  <c r="C18" i="136"/>
  <c r="J19" i="136"/>
  <c r="K19" i="136" s="1"/>
  <c r="E18" i="10"/>
  <c r="C17" i="10"/>
  <c r="J18" i="10"/>
  <c r="K18" i="10" s="1"/>
  <c r="J52" i="9"/>
  <c r="I53" i="9"/>
  <c r="K49" i="21"/>
  <c r="I51" i="114"/>
  <c r="J50" i="114"/>
  <c r="K49" i="70"/>
  <c r="GS20" i="2"/>
  <c r="K50" i="26"/>
  <c r="K48" i="49"/>
  <c r="K48" i="162"/>
  <c r="E17" i="17"/>
  <c r="C16" i="17"/>
  <c r="J17" i="17"/>
  <c r="K17" i="17" s="1"/>
  <c r="C17" i="101"/>
  <c r="E18" i="101"/>
  <c r="J18" i="101"/>
  <c r="K18" i="101" s="1"/>
  <c r="I51" i="50"/>
  <c r="J50" i="50"/>
  <c r="K49" i="114"/>
  <c r="C15" i="124"/>
  <c r="E16" i="124"/>
  <c r="J16" i="124"/>
  <c r="K16" i="124" s="1"/>
  <c r="E17" i="110"/>
  <c r="C16" i="110"/>
  <c r="J17" i="110"/>
  <c r="K17" i="110" s="1"/>
  <c r="C16" i="4"/>
  <c r="E17" i="4"/>
  <c r="J17" i="4"/>
  <c r="K17" i="4" s="1"/>
  <c r="I53" i="136"/>
  <c r="J52" i="136"/>
  <c r="K51" i="136" s="1"/>
  <c r="I53" i="107"/>
  <c r="J52" i="107"/>
  <c r="I50" i="8"/>
  <c r="J49" i="8"/>
  <c r="I55" i="15"/>
  <c r="J54" i="15"/>
  <c r="C18" i="93"/>
  <c r="E19" i="93"/>
  <c r="J19" i="93"/>
  <c r="K19" i="93" s="1"/>
  <c r="K49" i="50"/>
  <c r="E16" i="106"/>
  <c r="C15" i="106"/>
  <c r="J16" i="106"/>
  <c r="K16" i="106" s="1"/>
  <c r="C17" i="77"/>
  <c r="E18" i="77"/>
  <c r="J18" i="77"/>
  <c r="K18" i="77" s="1"/>
  <c r="J49" i="110"/>
  <c r="I50" i="110"/>
  <c r="I52" i="165"/>
  <c r="J51" i="165"/>
  <c r="K50" i="165" s="1"/>
  <c r="CA19" i="2"/>
  <c r="E18" i="140"/>
  <c r="C17" i="140"/>
  <c r="J18" i="140"/>
  <c r="K18" i="140" s="1"/>
  <c r="E16" i="168"/>
  <c r="C15" i="168"/>
  <c r="J16" i="168"/>
  <c r="K16" i="168" s="1"/>
  <c r="AU20" i="2"/>
  <c r="K51" i="9"/>
  <c r="E17" i="65"/>
  <c r="C16" i="65"/>
  <c r="J17" i="65"/>
  <c r="K17" i="65" s="1"/>
  <c r="E18" i="95"/>
  <c r="C17" i="95"/>
  <c r="J18" i="95"/>
  <c r="K18" i="95" s="1"/>
  <c r="C15" i="51"/>
  <c r="E16" i="51"/>
  <c r="J16" i="51"/>
  <c r="K16" i="51" s="1"/>
  <c r="K51" i="122"/>
  <c r="K50" i="72"/>
  <c r="K51" i="117"/>
  <c r="K48" i="110"/>
  <c r="E19" i="14"/>
  <c r="C18" i="14"/>
  <c r="GR18" i="2" s="1"/>
  <c r="J19" i="14"/>
  <c r="K19" i="14" s="1"/>
  <c r="GR19" i="2"/>
  <c r="E17" i="81"/>
  <c r="C16" i="81"/>
  <c r="J17" i="81"/>
  <c r="K17" i="81" s="1"/>
  <c r="K48" i="138"/>
  <c r="E16" i="47"/>
  <c r="C15" i="47"/>
  <c r="J16" i="47"/>
  <c r="K16" i="47" s="1"/>
  <c r="E18" i="31"/>
  <c r="C17" i="31"/>
  <c r="J18" i="31"/>
  <c r="K18" i="31" s="1"/>
  <c r="E18" i="48"/>
  <c r="C17" i="48"/>
  <c r="J18" i="48"/>
  <c r="K18" i="48" s="1"/>
  <c r="E19" i="152"/>
  <c r="C18" i="152"/>
  <c r="J19" i="152"/>
  <c r="K19" i="152" s="1"/>
  <c r="K48" i="36"/>
  <c r="E19" i="50"/>
  <c r="C18" i="50"/>
  <c r="AT19" i="2"/>
  <c r="J19" i="50"/>
  <c r="K19" i="50" s="1"/>
  <c r="C16" i="18"/>
  <c r="E17" i="18"/>
  <c r="J17" i="18"/>
  <c r="K17" i="18" s="1"/>
  <c r="E18" i="35"/>
  <c r="C17" i="35"/>
  <c r="J18" i="35"/>
  <c r="K18" i="35" s="1"/>
  <c r="I53" i="142"/>
  <c r="J52" i="142"/>
  <c r="K51" i="48"/>
  <c r="HD20" i="2"/>
  <c r="I53" i="122"/>
  <c r="J52" i="122"/>
  <c r="J51" i="72"/>
  <c r="I52" i="72"/>
  <c r="I52" i="157"/>
  <c r="J51" i="157"/>
  <c r="K50" i="157" s="1"/>
  <c r="J52" i="117"/>
  <c r="I53" i="117"/>
  <c r="J49" i="69"/>
  <c r="I50" i="69"/>
  <c r="E17" i="99"/>
  <c r="C16" i="99"/>
  <c r="J17" i="99"/>
  <c r="K17" i="99" s="1"/>
  <c r="K49" i="85"/>
  <c r="K47" i="160"/>
  <c r="I50" i="36"/>
  <c r="J49" i="36"/>
  <c r="E19" i="29"/>
  <c r="C18" i="29"/>
  <c r="J19" i="29"/>
  <c r="K19" i="29" s="1"/>
  <c r="X19" i="1"/>
  <c r="I50" i="91"/>
  <c r="J49" i="91"/>
  <c r="E17" i="116"/>
  <c r="C16" i="116"/>
  <c r="J17" i="116"/>
  <c r="K17" i="116" s="1"/>
  <c r="I51" i="54"/>
  <c r="J50" i="54"/>
  <c r="K49" i="54" s="1"/>
  <c r="I55" i="134"/>
  <c r="J54" i="134"/>
  <c r="E16" i="115"/>
  <c r="C15" i="115"/>
  <c r="J16" i="115"/>
  <c r="K16" i="115" s="1"/>
  <c r="IV20" i="2"/>
  <c r="K51" i="142"/>
  <c r="J52" i="48"/>
  <c r="I53" i="48"/>
  <c r="I51" i="67"/>
  <c r="J50" i="67"/>
  <c r="I50" i="140"/>
  <c r="J49" i="140"/>
  <c r="E17" i="54"/>
  <c r="C16" i="54"/>
  <c r="J17" i="54"/>
  <c r="K17" i="54" s="1"/>
  <c r="BQ20" i="1"/>
  <c r="DI19" i="2"/>
  <c r="I50" i="43"/>
  <c r="J49" i="43"/>
  <c r="K50" i="117"/>
  <c r="K48" i="69"/>
  <c r="I52" i="118"/>
  <c r="J51" i="118"/>
  <c r="I51" i="85"/>
  <c r="J50" i="85"/>
  <c r="I55" i="12"/>
  <c r="J54" i="12"/>
  <c r="K53" i="12" s="1"/>
  <c r="J53" i="59"/>
  <c r="I54" i="59"/>
  <c r="K49" i="99"/>
  <c r="C18" i="8"/>
  <c r="BP19" i="1"/>
  <c r="E19" i="8"/>
  <c r="HC19" i="2"/>
  <c r="J19" i="8"/>
  <c r="K19" i="8" s="1"/>
  <c r="I50" i="40"/>
  <c r="J49" i="40"/>
  <c r="I51" i="123"/>
  <c r="J50" i="123"/>
  <c r="K53" i="7"/>
  <c r="E17" i="113"/>
  <c r="C16" i="113"/>
  <c r="J17" i="113"/>
  <c r="K17" i="113" s="1"/>
  <c r="K52" i="59"/>
  <c r="I54" i="82"/>
  <c r="J53" i="82"/>
  <c r="K48" i="91"/>
  <c r="K53" i="134"/>
  <c r="K49" i="103"/>
  <c r="E15" i="131"/>
  <c r="C14" i="131"/>
  <c r="J15" i="131"/>
  <c r="K15" i="131" s="1"/>
  <c r="E19" i="143"/>
  <c r="C18" i="143"/>
  <c r="J19" i="143"/>
  <c r="K19" i="143" s="1"/>
  <c r="I53" i="98"/>
  <c r="J52" i="98"/>
  <c r="CB20" i="1"/>
  <c r="K49" i="108"/>
  <c r="I51" i="153"/>
  <c r="J50" i="153"/>
  <c r="E14" i="166"/>
  <c r="C13" i="166"/>
  <c r="J14" i="166"/>
  <c r="K14" i="166" s="1"/>
  <c r="J50" i="39"/>
  <c r="I51" i="39"/>
  <c r="E18" i="133"/>
  <c r="C17" i="133"/>
  <c r="J18" i="133"/>
  <c r="K18" i="133" s="1"/>
  <c r="DH18" i="2"/>
  <c r="FW20" i="2"/>
  <c r="E19" i="174"/>
  <c r="C18" i="174"/>
  <c r="J19" i="174"/>
  <c r="K19" i="174" s="1"/>
  <c r="I50" i="35"/>
  <c r="J49" i="35"/>
  <c r="K47" i="43"/>
  <c r="K48" i="5"/>
  <c r="K48" i="40"/>
  <c r="K49" i="41"/>
  <c r="I55" i="7"/>
  <c r="J54" i="7"/>
  <c r="E12" i="82"/>
  <c r="C11" i="82"/>
  <c r="J12" i="82"/>
  <c r="K12" i="82" s="1"/>
  <c r="C17" i="142"/>
  <c r="E18" i="142"/>
  <c r="J18" i="142"/>
  <c r="K18" i="142" s="1"/>
  <c r="E16" i="26"/>
  <c r="C15" i="26"/>
  <c r="J16" i="26"/>
  <c r="K16" i="26" s="1"/>
  <c r="K53" i="74"/>
  <c r="E17" i="74"/>
  <c r="C16" i="74"/>
  <c r="J17" i="74"/>
  <c r="K17" i="74" s="1"/>
  <c r="E17" i="66"/>
  <c r="C16" i="66"/>
  <c r="J17" i="66"/>
  <c r="K17" i="66" s="1"/>
  <c r="K51" i="98"/>
  <c r="E19" i="6"/>
  <c r="C18" i="6"/>
  <c r="CA19" i="1"/>
  <c r="K51" i="127"/>
  <c r="C16" i="130"/>
  <c r="E17" i="130"/>
  <c r="J17" i="130"/>
  <c r="K17" i="130" s="1"/>
  <c r="K49" i="153"/>
  <c r="J50" i="168"/>
  <c r="I51" i="168"/>
  <c r="J50" i="19"/>
  <c r="I51" i="19"/>
  <c r="K48" i="35"/>
  <c r="K52" i="14"/>
  <c r="E19" i="170"/>
  <c r="C18" i="170"/>
  <c r="J19" i="170"/>
  <c r="K19" i="170" s="1"/>
  <c r="K52" i="12"/>
  <c r="E18" i="76"/>
  <c r="C17" i="76"/>
  <c r="J18" i="76"/>
  <c r="K18" i="76" s="1"/>
  <c r="K49" i="73"/>
  <c r="C15" i="163"/>
  <c r="E16" i="163"/>
  <c r="J16" i="163"/>
  <c r="K16" i="163" s="1"/>
  <c r="E17" i="137"/>
  <c r="C16" i="137"/>
  <c r="J17" i="137"/>
  <c r="K17" i="137" s="1"/>
  <c r="I53" i="135"/>
  <c r="J52" i="135"/>
  <c r="I53" i="127"/>
  <c r="J52" i="127"/>
  <c r="K49" i="19"/>
  <c r="E18" i="122"/>
  <c r="C17" i="122"/>
  <c r="J18" i="122"/>
  <c r="K18" i="122" s="1"/>
  <c r="J53" i="14"/>
  <c r="I54" i="14"/>
  <c r="I52" i="167"/>
  <c r="J51" i="167"/>
  <c r="I51" i="4"/>
  <c r="J50" i="4"/>
  <c r="I51" i="73"/>
  <c r="J50" i="73"/>
  <c r="EE20" i="2"/>
  <c r="E17" i="112"/>
  <c r="C16" i="112"/>
  <c r="J17" i="112"/>
  <c r="K17" i="112" s="1"/>
  <c r="I50" i="125"/>
  <c r="J49" i="125"/>
  <c r="I54" i="22"/>
  <c r="J53" i="22"/>
  <c r="J50" i="144"/>
  <c r="I51" i="144"/>
  <c r="I52" i="113"/>
  <c r="J51" i="113"/>
  <c r="J50" i="20"/>
  <c r="K49" i="20" s="1"/>
  <c r="I51" i="20"/>
  <c r="C17" i="154"/>
  <c r="E18" i="154"/>
  <c r="J18" i="154"/>
  <c r="K18" i="154" s="1"/>
  <c r="IJ18" i="2"/>
  <c r="E18" i="108"/>
  <c r="C17" i="108"/>
  <c r="J18" i="108"/>
  <c r="K18" i="108" s="1"/>
  <c r="K49" i="63"/>
  <c r="K48" i="114"/>
  <c r="C18" i="56"/>
  <c r="E19" i="56"/>
  <c r="J19" i="56"/>
  <c r="K19" i="56" s="1"/>
  <c r="E19" i="42"/>
  <c r="C18" i="42"/>
  <c r="J19" i="42"/>
  <c r="K19" i="42" s="1"/>
  <c r="FV19" i="2"/>
  <c r="C14" i="111"/>
  <c r="E15" i="111"/>
  <c r="J15" i="111"/>
  <c r="K15" i="111" s="1"/>
  <c r="K49" i="97"/>
  <c r="E18" i="78"/>
  <c r="C17" i="78"/>
  <c r="J18" i="78"/>
  <c r="K18" i="78" s="1"/>
  <c r="C16" i="94"/>
  <c r="E17" i="94"/>
  <c r="J17" i="94"/>
  <c r="K17" i="94" s="1"/>
  <c r="E16" i="40"/>
  <c r="C15" i="40"/>
  <c r="J16" i="40"/>
  <c r="K16" i="40" s="1"/>
  <c r="K49" i="4"/>
  <c r="C17" i="151"/>
  <c r="E18" i="151"/>
  <c r="J18" i="151"/>
  <c r="K18" i="151" s="1"/>
  <c r="K47" i="171"/>
  <c r="I51" i="137"/>
  <c r="J50" i="137"/>
  <c r="I54" i="32"/>
  <c r="J53" i="32"/>
  <c r="K48" i="17"/>
  <c r="K49" i="57"/>
  <c r="I51" i="97"/>
  <c r="J50" i="97"/>
  <c r="I52" i="30"/>
  <c r="J51" i="30"/>
  <c r="K50" i="30" s="1"/>
  <c r="E18" i="20"/>
  <c r="C17" i="20"/>
  <c r="J18" i="20"/>
  <c r="K18" i="20" s="1"/>
  <c r="C16" i="11"/>
  <c r="E17" i="11"/>
  <c r="J17" i="11"/>
  <c r="K17" i="11" s="1"/>
  <c r="AU20" i="1"/>
  <c r="I53" i="89"/>
  <c r="J52" i="89"/>
  <c r="K51" i="89" s="1"/>
  <c r="J49" i="17"/>
  <c r="I50" i="17"/>
  <c r="K48" i="19"/>
  <c r="J50" i="57"/>
  <c r="I51" i="57"/>
  <c r="K49" i="86"/>
  <c r="I53" i="16"/>
  <c r="J52" i="16"/>
  <c r="K51" i="16" s="1"/>
  <c r="K48" i="102"/>
  <c r="E17" i="128"/>
  <c r="C16" i="128"/>
  <c r="J17" i="128"/>
  <c r="K17" i="128" s="1"/>
  <c r="K49" i="80"/>
  <c r="J49" i="109"/>
  <c r="I50" i="109"/>
  <c r="K48" i="8"/>
  <c r="I53" i="152"/>
  <c r="J52" i="152"/>
  <c r="K51" i="152" s="1"/>
  <c r="K49" i="155"/>
  <c r="IU19" i="2"/>
  <c r="K48" i="54"/>
  <c r="J53" i="94"/>
  <c r="I54" i="94"/>
  <c r="I52" i="18"/>
  <c r="J51" i="18"/>
  <c r="I51" i="155"/>
  <c r="J50" i="155"/>
  <c r="C18" i="7"/>
  <c r="E19" i="7"/>
  <c r="AT19" i="1"/>
  <c r="J19" i="7"/>
  <c r="K19" i="7" s="1"/>
  <c r="E18" i="21"/>
  <c r="C17" i="21"/>
  <c r="J18" i="21"/>
  <c r="K18" i="21" s="1"/>
  <c r="CL19" i="2"/>
  <c r="I50" i="47"/>
  <c r="J49" i="47"/>
  <c r="J50" i="86"/>
  <c r="I51" i="86"/>
  <c r="I53" i="78"/>
  <c r="J52" i="78"/>
  <c r="K50" i="149"/>
  <c r="I51" i="56"/>
  <c r="J50" i="56"/>
  <c r="HN19" i="2"/>
  <c r="J49" i="102"/>
  <c r="I50" i="102"/>
  <c r="I51" i="88"/>
  <c r="J50" i="88"/>
  <c r="K49" i="88" s="1"/>
  <c r="J50" i="80"/>
  <c r="I51" i="80"/>
  <c r="I52" i="124"/>
  <c r="J51" i="124"/>
  <c r="I50" i="95"/>
  <c r="J49" i="95"/>
  <c r="K48" i="95" s="1"/>
  <c r="C17" i="15"/>
  <c r="E18" i="15"/>
  <c r="J18" i="15"/>
  <c r="K18" i="15" s="1"/>
  <c r="C16" i="167"/>
  <c r="E17" i="167"/>
  <c r="J17" i="167"/>
  <c r="K17" i="167" s="1"/>
  <c r="K48" i="47"/>
  <c r="K50" i="158"/>
  <c r="K49" i="158"/>
  <c r="K49" i="72"/>
  <c r="I52" i="149"/>
  <c r="J51" i="149"/>
  <c r="E19" i="3"/>
  <c r="C18" i="3"/>
  <c r="J19" i="3"/>
  <c r="K19" i="3" s="1"/>
  <c r="C18" i="158"/>
  <c r="E19" i="158"/>
  <c r="J19" i="158"/>
  <c r="K19" i="158" s="1"/>
  <c r="J49" i="148"/>
  <c r="K48" i="148" s="1"/>
  <c r="I50" i="148"/>
  <c r="K53" i="15"/>
  <c r="K52" i="94"/>
  <c r="I52" i="60"/>
  <c r="J51" i="60"/>
  <c r="K50" i="60" s="1"/>
  <c r="K48" i="33"/>
  <c r="E16" i="62"/>
  <c r="C15" i="62"/>
  <c r="J16" i="62"/>
  <c r="K16" i="62" s="1"/>
  <c r="C14" i="45"/>
  <c r="E15" i="45"/>
  <c r="J15" i="45"/>
  <c r="K15" i="45" s="1"/>
  <c r="K49" i="161"/>
  <c r="C17" i="63"/>
  <c r="E18" i="63"/>
  <c r="J18" i="63"/>
  <c r="K18" i="63" s="1"/>
  <c r="CL18" i="2"/>
  <c r="EP19" i="2"/>
  <c r="I52" i="158"/>
  <c r="J51" i="158"/>
  <c r="N19" i="2"/>
  <c r="C14" i="59"/>
  <c r="E15" i="59"/>
  <c r="J15" i="59"/>
  <c r="K15" i="59" s="1"/>
  <c r="E18" i="89"/>
  <c r="C17" i="89"/>
  <c r="J18" i="89"/>
  <c r="K18" i="89" s="1"/>
  <c r="HN18" i="2"/>
  <c r="K48" i="174"/>
  <c r="C17" i="70"/>
  <c r="E18" i="70"/>
  <c r="J18" i="70"/>
  <c r="K18" i="70" s="1"/>
  <c r="I52" i="129"/>
  <c r="J51" i="129"/>
  <c r="K52" i="22"/>
  <c r="J50" i="106"/>
  <c r="I51" i="106"/>
  <c r="K48" i="87"/>
  <c r="K48" i="11"/>
  <c r="I51" i="131"/>
  <c r="J50" i="131"/>
  <c r="C16" i="126"/>
  <c r="E17" i="126"/>
  <c r="J17" i="126"/>
  <c r="K17" i="126" s="1"/>
  <c r="I51" i="161"/>
  <c r="J50" i="161"/>
  <c r="E17" i="68"/>
  <c r="C16" i="68"/>
  <c r="J17" i="68"/>
  <c r="K17" i="68" s="1"/>
  <c r="C18" i="28"/>
  <c r="E19" i="28"/>
  <c r="J19" i="28"/>
  <c r="K19" i="28" s="1"/>
  <c r="E18" i="97"/>
  <c r="C17" i="97"/>
  <c r="EO18" i="2"/>
  <c r="J18" i="97"/>
  <c r="K18" i="97" s="1"/>
  <c r="I55" i="75"/>
  <c r="J54" i="75"/>
  <c r="K53" i="75" s="1"/>
  <c r="E18" i="79"/>
  <c r="C17" i="79"/>
  <c r="J18" i="79"/>
  <c r="K18" i="79" s="1"/>
  <c r="K48" i="97"/>
  <c r="E18" i="33"/>
  <c r="C17" i="33"/>
  <c r="J18" i="33"/>
  <c r="K18" i="33" s="1"/>
  <c r="K52" i="42"/>
  <c r="E16" i="123"/>
  <c r="C15" i="123"/>
  <c r="J16" i="123"/>
  <c r="K16" i="123" s="1"/>
  <c r="J49" i="174"/>
  <c r="I50" i="174"/>
  <c r="C16" i="75"/>
  <c r="E17" i="75"/>
  <c r="J17" i="75"/>
  <c r="K17" i="75" s="1"/>
  <c r="K50" i="129"/>
  <c r="K49" i="67"/>
  <c r="HZ19" i="2"/>
  <c r="E17" i="5"/>
  <c r="C16" i="5"/>
  <c r="J17" i="5"/>
  <c r="K17" i="5" s="1"/>
  <c r="C14" i="105"/>
  <c r="E15" i="105"/>
  <c r="J15" i="105"/>
  <c r="K15" i="105" s="1"/>
  <c r="E16" i="86"/>
  <c r="C15" i="86"/>
  <c r="J16" i="86"/>
  <c r="K16" i="86" s="1"/>
  <c r="I50" i="96"/>
  <c r="J49" i="96"/>
  <c r="K48" i="96" s="1"/>
  <c r="I52" i="68"/>
  <c r="J51" i="68"/>
  <c r="K50" i="68" s="1"/>
  <c r="I50" i="112"/>
  <c r="J49" i="112"/>
  <c r="C16" i="104"/>
  <c r="E17" i="104"/>
  <c r="J17" i="104"/>
  <c r="K17" i="104" s="1"/>
  <c r="E18" i="96"/>
  <c r="C17" i="96"/>
  <c r="J18" i="96"/>
  <c r="K18" i="96" s="1"/>
  <c r="J53" i="42"/>
  <c r="I54" i="42"/>
  <c r="I51" i="170"/>
  <c r="J50" i="170"/>
  <c r="K48" i="76"/>
  <c r="K49" i="66"/>
  <c r="K48" i="88"/>
  <c r="I50" i="130"/>
  <c r="J49" i="130"/>
  <c r="E16" i="39"/>
  <c r="C15" i="39"/>
  <c r="J16" i="39"/>
  <c r="K16" i="39" s="1"/>
  <c r="K49" i="3"/>
  <c r="J49" i="147"/>
  <c r="K48" i="147" s="1"/>
  <c r="I50" i="147"/>
  <c r="I51" i="126"/>
  <c r="J50" i="126"/>
  <c r="K49" i="126" s="1"/>
  <c r="I50" i="58"/>
  <c r="J49" i="58"/>
  <c r="K48" i="58" s="1"/>
  <c r="J50" i="119"/>
  <c r="I51" i="119"/>
  <c r="E19" i="107"/>
  <c r="C18" i="107"/>
  <c r="J19" i="107"/>
  <c r="K19" i="107" s="1"/>
  <c r="K47" i="17"/>
  <c r="D58" i="1"/>
  <c r="Z58" i="1"/>
  <c r="AK58" i="1"/>
  <c r="CC58" i="1"/>
  <c r="O58" i="1"/>
  <c r="AV58" i="1"/>
  <c r="BR58" i="1"/>
  <c r="K48" i="105"/>
  <c r="I53" i="77"/>
  <c r="J52" i="77"/>
  <c r="K48" i="151"/>
  <c r="K49" i="170"/>
  <c r="N20" i="2"/>
  <c r="J49" i="55"/>
  <c r="I50" i="55"/>
  <c r="I50" i="146"/>
  <c r="J49" i="146"/>
  <c r="E17" i="25"/>
  <c r="C16" i="25"/>
  <c r="J17" i="25"/>
  <c r="K17" i="25" s="1"/>
  <c r="K47" i="36"/>
  <c r="C14" i="160"/>
  <c r="E15" i="160"/>
  <c r="J15" i="160"/>
  <c r="K15" i="160" s="1"/>
  <c r="K48" i="111"/>
  <c r="FA19" i="2"/>
  <c r="K50" i="139"/>
  <c r="K47" i="8"/>
  <c r="DT18" i="2"/>
  <c r="K48" i="131"/>
  <c r="E17" i="118"/>
  <c r="C16" i="118"/>
  <c r="J17" i="118"/>
  <c r="K17" i="118" s="1"/>
  <c r="E19" i="55"/>
  <c r="C18" i="55"/>
  <c r="J19" i="55"/>
  <c r="K19" i="55" s="1"/>
  <c r="I50" i="38"/>
  <c r="J49" i="38"/>
  <c r="K49" i="92"/>
  <c r="D58" i="2"/>
  <c r="CY58" i="2"/>
  <c r="DU58" i="2"/>
  <c r="EQ58" i="2"/>
  <c r="AK58" i="2"/>
  <c r="IL58" i="2"/>
  <c r="FB58" i="2"/>
  <c r="O58" i="2"/>
  <c r="DJ58" i="2"/>
  <c r="IW58" i="2"/>
  <c r="CC58" i="2"/>
  <c r="BR58" i="2"/>
  <c r="IA58" i="2"/>
  <c r="CN58" i="2"/>
  <c r="FM58" i="2"/>
  <c r="FX58" i="2"/>
  <c r="BG58" i="2"/>
  <c r="AV58" i="2"/>
  <c r="HP58" i="2"/>
  <c r="HE58" i="2"/>
  <c r="EF58" i="2"/>
  <c r="GT58" i="2"/>
  <c r="Z58" i="2"/>
  <c r="E17" i="9"/>
  <c r="C16" i="9"/>
  <c r="J17" i="9"/>
  <c r="K17" i="9" s="1"/>
  <c r="I50" i="105"/>
  <c r="J49" i="105"/>
  <c r="K51" i="77"/>
  <c r="N20" i="1"/>
  <c r="K49" i="165"/>
  <c r="K50" i="156"/>
  <c r="E16" i="73"/>
  <c r="C15" i="73"/>
  <c r="J16" i="73"/>
  <c r="K16" i="73" s="1"/>
  <c r="K50" i="107"/>
  <c r="CX18" i="2"/>
  <c r="I51" i="3"/>
  <c r="J50" i="3"/>
  <c r="K48" i="125"/>
  <c r="K50" i="113"/>
  <c r="C17" i="145"/>
  <c r="E18" i="145"/>
  <c r="J18" i="145"/>
  <c r="K18" i="145" s="1"/>
  <c r="E19" i="27"/>
  <c r="C18" i="27"/>
  <c r="J19" i="27"/>
  <c r="K19" i="27" s="1"/>
  <c r="J49" i="81"/>
  <c r="I50" i="81"/>
  <c r="K48" i="112"/>
  <c r="C17" i="38"/>
  <c r="E18" i="38"/>
  <c r="J18" i="38"/>
  <c r="K18" i="38" s="1"/>
  <c r="C16" i="148"/>
  <c r="E17" i="148"/>
  <c r="J17" i="148"/>
  <c r="K17" i="148" s="1"/>
  <c r="J52" i="51"/>
  <c r="I53" i="51"/>
  <c r="K47" i="34"/>
  <c r="C17" i="134"/>
  <c r="E18" i="134"/>
  <c r="EZ18" i="2"/>
  <c r="J18" i="134"/>
  <c r="K18" i="134" s="1"/>
  <c r="E19" i="155"/>
  <c r="C18" i="155"/>
  <c r="J19" i="155"/>
  <c r="K19" i="155" s="1"/>
  <c r="E17" i="139"/>
  <c r="C16" i="139"/>
  <c r="J17" i="139"/>
  <c r="K17" i="139" s="1"/>
  <c r="BF58" i="1"/>
  <c r="BG58" i="1"/>
  <c r="E17" i="67"/>
  <c r="C16" i="67"/>
  <c r="J17" i="67"/>
  <c r="K17" i="67" s="1"/>
  <c r="K50" i="16"/>
  <c r="Y20" i="2"/>
  <c r="K51" i="42"/>
  <c r="K50" i="29"/>
  <c r="E17" i="60"/>
  <c r="C16" i="60"/>
  <c r="J17" i="60"/>
  <c r="K17" i="60" s="1"/>
  <c r="C13" i="32"/>
  <c r="E14" i="32"/>
  <c r="J14" i="32"/>
  <c r="K14" i="32" s="1"/>
  <c r="K48" i="116"/>
  <c r="C17" i="162"/>
  <c r="E18" i="162"/>
  <c r="J18" i="162"/>
  <c r="K18" i="162" s="1"/>
  <c r="I51" i="31"/>
  <c r="J50" i="31"/>
  <c r="E16" i="141"/>
  <c r="C15" i="141"/>
  <c r="J16" i="141"/>
  <c r="K16" i="141" s="1"/>
  <c r="K49" i="106"/>
  <c r="C17" i="169"/>
  <c r="E18" i="169"/>
  <c r="HY18" i="2"/>
  <c r="J18" i="169"/>
  <c r="K18" i="169" s="1"/>
  <c r="K50" i="18"/>
  <c r="K49" i="60"/>
  <c r="J49" i="11"/>
  <c r="I50" i="11"/>
  <c r="E15" i="43"/>
  <c r="C14" i="43"/>
  <c r="J15" i="43"/>
  <c r="K15" i="43" s="1"/>
  <c r="I50" i="143"/>
  <c r="J49" i="143"/>
  <c r="I51" i="121"/>
  <c r="J50" i="121"/>
  <c r="J51" i="139"/>
  <c r="I52" i="139"/>
  <c r="K50" i="44"/>
  <c r="J49" i="163"/>
  <c r="K48" i="163" s="1"/>
  <c r="I50" i="163"/>
  <c r="J50" i="162"/>
  <c r="I51" i="162"/>
  <c r="K47" i="100"/>
  <c r="C15" i="84"/>
  <c r="E16" i="84"/>
  <c r="J16" i="84"/>
  <c r="K16" i="84" s="1"/>
  <c r="K47" i="91"/>
  <c r="I53" i="62"/>
  <c r="J52" i="62"/>
  <c r="K48" i="65"/>
  <c r="J51" i="44"/>
  <c r="I52" i="44"/>
  <c r="K50" i="152"/>
  <c r="K50" i="28"/>
  <c r="I52" i="83"/>
  <c r="J51" i="83"/>
  <c r="K50" i="83" s="1"/>
  <c r="K49" i="93"/>
  <c r="C18" i="49"/>
  <c r="E19" i="49"/>
  <c r="J19" i="49"/>
  <c r="K19" i="49" s="1"/>
  <c r="GI58" i="2"/>
  <c r="GH58" i="2"/>
  <c r="K47" i="105"/>
  <c r="E19" i="172"/>
  <c r="C18" i="172"/>
  <c r="J19" i="172"/>
  <c r="K19" i="172" s="1"/>
  <c r="K51" i="13"/>
  <c r="J49" i="120"/>
  <c r="K48" i="120" s="1"/>
  <c r="I50" i="120"/>
  <c r="C16" i="161"/>
  <c r="E17" i="161"/>
  <c r="J17" i="161"/>
  <c r="K17" i="161" s="1"/>
  <c r="J50" i="104"/>
  <c r="K49" i="104" s="1"/>
  <c r="I51" i="104"/>
  <c r="K51" i="59"/>
  <c r="BF18" i="2" l="1"/>
  <c r="GS18" i="2"/>
  <c r="EP18" i="2"/>
  <c r="HO19" i="2"/>
  <c r="I53" i="30"/>
  <c r="J52" i="30"/>
  <c r="I52" i="73"/>
  <c r="J51" i="73"/>
  <c r="I56" i="7"/>
  <c r="J55" i="7"/>
  <c r="E14" i="131"/>
  <c r="C13" i="131"/>
  <c r="J14" i="131"/>
  <c r="K14" i="131" s="1"/>
  <c r="C16" i="35"/>
  <c r="E17" i="35"/>
  <c r="J17" i="35"/>
  <c r="K17" i="35" s="1"/>
  <c r="C16" i="153"/>
  <c r="E17" i="153"/>
  <c r="J17" i="153"/>
  <c r="K17" i="153" s="1"/>
  <c r="C12" i="157"/>
  <c r="E13" i="157"/>
  <c r="J13" i="157"/>
  <c r="K13" i="157" s="1"/>
  <c r="K54" i="133"/>
  <c r="I54" i="62"/>
  <c r="J53" i="62"/>
  <c r="E15" i="141"/>
  <c r="C14" i="141"/>
  <c r="J15" i="141"/>
  <c r="K15" i="141" s="1"/>
  <c r="C14" i="73"/>
  <c r="E15" i="73"/>
  <c r="J15" i="73"/>
  <c r="K15" i="73" s="1"/>
  <c r="K49" i="146"/>
  <c r="E17" i="97"/>
  <c r="C16" i="97"/>
  <c r="J17" i="97"/>
  <c r="K17" i="97" s="1"/>
  <c r="K50" i="56"/>
  <c r="J50" i="109"/>
  <c r="K49" i="109" s="1"/>
  <c r="I51" i="109"/>
  <c r="I53" i="118"/>
  <c r="J52" i="118"/>
  <c r="J50" i="91"/>
  <c r="I51" i="91"/>
  <c r="E17" i="77"/>
  <c r="C16" i="77"/>
  <c r="J17" i="77"/>
  <c r="K17" i="77" s="1"/>
  <c r="I51" i="171"/>
  <c r="J50" i="171"/>
  <c r="J51" i="169"/>
  <c r="I52" i="169"/>
  <c r="C14" i="171"/>
  <c r="E15" i="171"/>
  <c r="J15" i="171"/>
  <c r="K15" i="171" s="1"/>
  <c r="E13" i="156"/>
  <c r="C12" i="156"/>
  <c r="J13" i="156"/>
  <c r="K13" i="156" s="1"/>
  <c r="I56" i="133"/>
  <c r="J55" i="133"/>
  <c r="J50" i="146"/>
  <c r="I51" i="146"/>
  <c r="E15" i="39"/>
  <c r="C14" i="39"/>
  <c r="J15" i="39"/>
  <c r="K15" i="39" s="1"/>
  <c r="E14" i="105"/>
  <c r="C13" i="105"/>
  <c r="J14" i="105"/>
  <c r="K14" i="105" s="1"/>
  <c r="C17" i="158"/>
  <c r="E18" i="158"/>
  <c r="J18" i="158"/>
  <c r="K18" i="158" s="1"/>
  <c r="J51" i="56"/>
  <c r="I52" i="56"/>
  <c r="J51" i="97"/>
  <c r="I52" i="97"/>
  <c r="J51" i="4"/>
  <c r="I52" i="4"/>
  <c r="I52" i="19"/>
  <c r="J51" i="19"/>
  <c r="Y19" i="1"/>
  <c r="E17" i="101"/>
  <c r="C16" i="101"/>
  <c r="J17" i="101"/>
  <c r="K17" i="101" s="1"/>
  <c r="I52" i="116"/>
  <c r="J51" i="116"/>
  <c r="BQ19" i="2"/>
  <c r="E15" i="173"/>
  <c r="C14" i="173"/>
  <c r="J15" i="173"/>
  <c r="K15" i="173" s="1"/>
  <c r="C13" i="59"/>
  <c r="E14" i="59"/>
  <c r="J14" i="59"/>
  <c r="K14" i="59" s="1"/>
  <c r="E18" i="56"/>
  <c r="C17" i="56"/>
  <c r="J18" i="56"/>
  <c r="K18" i="56" s="1"/>
  <c r="K50" i="19"/>
  <c r="C14" i="106"/>
  <c r="E15" i="106"/>
  <c r="J15" i="106"/>
  <c r="K15" i="106" s="1"/>
  <c r="E17" i="125"/>
  <c r="C16" i="125"/>
  <c r="J17" i="125"/>
  <c r="K17" i="125" s="1"/>
  <c r="C16" i="23"/>
  <c r="E17" i="23"/>
  <c r="J17" i="23"/>
  <c r="K17" i="23" s="1"/>
  <c r="I54" i="29"/>
  <c r="J53" i="29"/>
  <c r="E17" i="132"/>
  <c r="C16" i="132"/>
  <c r="J17" i="132"/>
  <c r="K17" i="132" s="1"/>
  <c r="E13" i="138"/>
  <c r="C12" i="138"/>
  <c r="J13" i="138"/>
  <c r="K13" i="138" s="1"/>
  <c r="E15" i="120"/>
  <c r="C14" i="120"/>
  <c r="J15" i="120"/>
  <c r="K15" i="120" s="1"/>
  <c r="C16" i="13"/>
  <c r="E17" i="13"/>
  <c r="J17" i="13"/>
  <c r="K17" i="13" s="1"/>
  <c r="K49" i="130"/>
  <c r="J52" i="167"/>
  <c r="K51" i="167" s="1"/>
  <c r="I53" i="167"/>
  <c r="J51" i="168"/>
  <c r="K50" i="168" s="1"/>
  <c r="I52" i="168"/>
  <c r="E18" i="29"/>
  <c r="C17" i="29"/>
  <c r="J18" i="29"/>
  <c r="K18" i="29" s="1"/>
  <c r="X18" i="1"/>
  <c r="C15" i="17"/>
  <c r="E16" i="17"/>
  <c r="J16" i="17"/>
  <c r="K16" i="17" s="1"/>
  <c r="J51" i="138"/>
  <c r="I52" i="138"/>
  <c r="C17" i="52"/>
  <c r="E18" i="52"/>
  <c r="BP18" i="2"/>
  <c r="J18" i="52"/>
  <c r="K18" i="52" s="1"/>
  <c r="AJ19" i="1"/>
  <c r="J55" i="74"/>
  <c r="I56" i="74"/>
  <c r="I51" i="130"/>
  <c r="J50" i="130"/>
  <c r="C15" i="5"/>
  <c r="E16" i="5"/>
  <c r="J16" i="5"/>
  <c r="K16" i="5" s="1"/>
  <c r="E16" i="128"/>
  <c r="C15" i="128"/>
  <c r="J16" i="128"/>
  <c r="K16" i="128" s="1"/>
  <c r="J54" i="14"/>
  <c r="I55" i="14"/>
  <c r="K49" i="35"/>
  <c r="I51" i="43"/>
  <c r="J50" i="43"/>
  <c r="C15" i="18"/>
  <c r="E16" i="18"/>
  <c r="J16" i="18"/>
  <c r="K16" i="18" s="1"/>
  <c r="K50" i="108"/>
  <c r="K51" i="99"/>
  <c r="K54" i="74"/>
  <c r="J52" i="10"/>
  <c r="I53" i="10"/>
  <c r="E18" i="46"/>
  <c r="C17" i="46"/>
  <c r="J18" i="46"/>
  <c r="K18" i="46" s="1"/>
  <c r="AI18" i="1"/>
  <c r="E18" i="28"/>
  <c r="C17" i="28"/>
  <c r="J18" i="28"/>
  <c r="K18" i="28" s="1"/>
  <c r="I52" i="104"/>
  <c r="J51" i="104"/>
  <c r="J50" i="38"/>
  <c r="I51" i="38"/>
  <c r="K48" i="146"/>
  <c r="K51" i="158"/>
  <c r="C17" i="3"/>
  <c r="E18" i="3"/>
  <c r="J18" i="3"/>
  <c r="K18" i="3" s="1"/>
  <c r="I54" i="78"/>
  <c r="J53" i="78"/>
  <c r="I55" i="32"/>
  <c r="J54" i="32"/>
  <c r="K52" i="32"/>
  <c r="K53" i="14"/>
  <c r="I51" i="35"/>
  <c r="J50" i="35"/>
  <c r="I55" i="82"/>
  <c r="J54" i="82"/>
  <c r="C16" i="71"/>
  <c r="E17" i="71"/>
  <c r="J17" i="71"/>
  <c r="K17" i="71" s="1"/>
  <c r="J51" i="108"/>
  <c r="I52" i="108"/>
  <c r="J52" i="99"/>
  <c r="I53" i="99"/>
  <c r="I51" i="90"/>
  <c r="J50" i="90"/>
  <c r="J52" i="28"/>
  <c r="I53" i="28"/>
  <c r="K52" i="62"/>
  <c r="E16" i="68"/>
  <c r="C15" i="68"/>
  <c r="J16" i="68"/>
  <c r="K16" i="68" s="1"/>
  <c r="J52" i="158"/>
  <c r="I53" i="158"/>
  <c r="J51" i="86"/>
  <c r="I52" i="86"/>
  <c r="I51" i="36"/>
  <c r="J50" i="36"/>
  <c r="K49" i="36" s="1"/>
  <c r="AU19" i="2"/>
  <c r="E15" i="51"/>
  <c r="C14" i="51"/>
  <c r="J15" i="51"/>
  <c r="K15" i="51" s="1"/>
  <c r="C14" i="37"/>
  <c r="E15" i="37"/>
  <c r="J15" i="37"/>
  <c r="K15" i="37" s="1"/>
  <c r="K50" i="99"/>
  <c r="E17" i="36"/>
  <c r="C16" i="36"/>
  <c r="J17" i="36"/>
  <c r="K17" i="36" s="1"/>
  <c r="I53" i="25"/>
  <c r="J52" i="25"/>
  <c r="K51" i="25" s="1"/>
  <c r="J53" i="26"/>
  <c r="K52" i="26" s="1"/>
  <c r="I54" i="26"/>
  <c r="E17" i="162"/>
  <c r="C16" i="162"/>
  <c r="J17" i="162"/>
  <c r="K17" i="162" s="1"/>
  <c r="K50" i="162"/>
  <c r="K52" i="51"/>
  <c r="K49" i="105"/>
  <c r="C17" i="55"/>
  <c r="E18" i="55"/>
  <c r="J18" i="55"/>
  <c r="K18" i="55" s="1"/>
  <c r="K48" i="55"/>
  <c r="K51" i="149"/>
  <c r="K50" i="86"/>
  <c r="I52" i="137"/>
  <c r="J51" i="137"/>
  <c r="E17" i="108"/>
  <c r="C16" i="108"/>
  <c r="J17" i="108"/>
  <c r="K17" i="108" s="1"/>
  <c r="E17" i="122"/>
  <c r="C16" i="122"/>
  <c r="J17" i="122"/>
  <c r="K17" i="122" s="1"/>
  <c r="C17" i="174"/>
  <c r="E18" i="174"/>
  <c r="J18" i="174"/>
  <c r="K18" i="174" s="1"/>
  <c r="C17" i="50"/>
  <c r="E18" i="50"/>
  <c r="AT18" i="2"/>
  <c r="J18" i="50"/>
  <c r="K18" i="50" s="1"/>
  <c r="E18" i="93"/>
  <c r="C17" i="93"/>
  <c r="J18" i="93"/>
  <c r="K18" i="93" s="1"/>
  <c r="E17" i="147"/>
  <c r="C16" i="147"/>
  <c r="J17" i="147"/>
  <c r="K17" i="147" s="1"/>
  <c r="J51" i="49"/>
  <c r="K50" i="49" s="1"/>
  <c r="I52" i="49"/>
  <c r="E15" i="149"/>
  <c r="C14" i="149"/>
  <c r="J15" i="149"/>
  <c r="K15" i="149" s="1"/>
  <c r="E16" i="144"/>
  <c r="C15" i="144"/>
  <c r="J16" i="144"/>
  <c r="K16" i="144" s="1"/>
  <c r="I53" i="66"/>
  <c r="J52" i="66"/>
  <c r="DT17" i="2"/>
  <c r="E15" i="84"/>
  <c r="C14" i="84"/>
  <c r="J15" i="84"/>
  <c r="K15" i="84" s="1"/>
  <c r="J51" i="162"/>
  <c r="I52" i="162"/>
  <c r="J53" i="51"/>
  <c r="I54" i="51"/>
  <c r="I51" i="163"/>
  <c r="J50" i="163"/>
  <c r="I51" i="105"/>
  <c r="J50" i="105"/>
  <c r="I53" i="149"/>
  <c r="J52" i="149"/>
  <c r="K49" i="56"/>
  <c r="E16" i="130"/>
  <c r="C15" i="130"/>
  <c r="J16" i="130"/>
  <c r="K16" i="130" s="1"/>
  <c r="E16" i="113"/>
  <c r="C15" i="113"/>
  <c r="J16" i="113"/>
  <c r="K16" i="113" s="1"/>
  <c r="E16" i="135"/>
  <c r="C15" i="135"/>
  <c r="J16" i="135"/>
  <c r="K16" i="135" s="1"/>
  <c r="I55" i="24"/>
  <c r="J51" i="5"/>
  <c r="I52" i="5"/>
  <c r="I51" i="45"/>
  <c r="J50" i="45"/>
  <c r="K51" i="26"/>
  <c r="K50" i="151"/>
  <c r="J50" i="55"/>
  <c r="I51" i="55"/>
  <c r="IK18" i="2"/>
  <c r="E17" i="95"/>
  <c r="C16" i="95"/>
  <c r="J17" i="95"/>
  <c r="K17" i="95" s="1"/>
  <c r="K54" i="61"/>
  <c r="C14" i="69"/>
  <c r="E15" i="69"/>
  <c r="J15" i="69"/>
  <c r="K15" i="69" s="1"/>
  <c r="J52" i="173"/>
  <c r="I53" i="173"/>
  <c r="I52" i="151"/>
  <c r="J51" i="151"/>
  <c r="K52" i="13"/>
  <c r="E16" i="129"/>
  <c r="C15" i="129"/>
  <c r="J16" i="129"/>
  <c r="K16" i="129" s="1"/>
  <c r="DS16" i="2"/>
  <c r="K50" i="170"/>
  <c r="I54" i="16"/>
  <c r="J53" i="16"/>
  <c r="K49" i="168"/>
  <c r="CB19" i="1"/>
  <c r="E16" i="54"/>
  <c r="C15" i="54"/>
  <c r="J16" i="54"/>
  <c r="K16" i="54" s="1"/>
  <c r="I56" i="15"/>
  <c r="J55" i="15"/>
  <c r="K54" i="15" s="1"/>
  <c r="C17" i="92"/>
  <c r="E18" i="92"/>
  <c r="J18" i="92"/>
  <c r="K18" i="92" s="1"/>
  <c r="I56" i="61"/>
  <c r="J55" i="61"/>
  <c r="FK18" i="2"/>
  <c r="J53" i="156"/>
  <c r="K52" i="156" s="1"/>
  <c r="I54" i="156"/>
  <c r="K51" i="173"/>
  <c r="I54" i="13"/>
  <c r="J53" i="13"/>
  <c r="FA18" i="2"/>
  <c r="J51" i="161"/>
  <c r="I52" i="161"/>
  <c r="C15" i="118"/>
  <c r="E16" i="118"/>
  <c r="J16" i="118"/>
  <c r="K16" i="118" s="1"/>
  <c r="C15" i="99"/>
  <c r="E16" i="99"/>
  <c r="J16" i="99"/>
  <c r="K16" i="99" s="1"/>
  <c r="E18" i="152"/>
  <c r="C17" i="152"/>
  <c r="J18" i="152"/>
  <c r="K18" i="152" s="1"/>
  <c r="K49" i="8"/>
  <c r="E14" i="165"/>
  <c r="C13" i="165"/>
  <c r="J14" i="165"/>
  <c r="K14" i="165" s="1"/>
  <c r="K49" i="34"/>
  <c r="I52" i="76"/>
  <c r="J51" i="76"/>
  <c r="J53" i="132"/>
  <c r="I54" i="132"/>
  <c r="J51" i="170"/>
  <c r="I52" i="170"/>
  <c r="K51" i="78"/>
  <c r="E17" i="151"/>
  <c r="C16" i="151"/>
  <c r="J17" i="151"/>
  <c r="K17" i="151" s="1"/>
  <c r="E18" i="6"/>
  <c r="C17" i="6"/>
  <c r="CA18" i="1"/>
  <c r="DI18" i="2"/>
  <c r="K50" i="123"/>
  <c r="I55" i="42"/>
  <c r="J54" i="42"/>
  <c r="K53" i="42" s="1"/>
  <c r="E16" i="126"/>
  <c r="C15" i="126"/>
  <c r="J16" i="126"/>
  <c r="K16" i="126" s="1"/>
  <c r="E17" i="63"/>
  <c r="C16" i="63"/>
  <c r="J17" i="63"/>
  <c r="K17" i="63" s="1"/>
  <c r="CM19" i="2"/>
  <c r="E17" i="154"/>
  <c r="C16" i="154"/>
  <c r="J17" i="154"/>
  <c r="K17" i="154" s="1"/>
  <c r="I54" i="127"/>
  <c r="J53" i="127"/>
  <c r="I52" i="123"/>
  <c r="J51" i="123"/>
  <c r="E16" i="65"/>
  <c r="C15" i="65"/>
  <c r="J16" i="65"/>
  <c r="K16" i="65" s="1"/>
  <c r="J50" i="8"/>
  <c r="I51" i="8"/>
  <c r="K49" i="116"/>
  <c r="J50" i="34"/>
  <c r="I51" i="34"/>
  <c r="E17" i="88"/>
  <c r="C16" i="88"/>
  <c r="J17" i="88"/>
  <c r="K17" i="88" s="1"/>
  <c r="E17" i="117"/>
  <c r="C16" i="117"/>
  <c r="J17" i="117"/>
  <c r="K17" i="117" s="1"/>
  <c r="N19" i="1"/>
  <c r="J50" i="65"/>
  <c r="K49" i="65" s="1"/>
  <c r="I51" i="65"/>
  <c r="K50" i="121"/>
  <c r="E16" i="60"/>
  <c r="C15" i="60"/>
  <c r="J16" i="60"/>
  <c r="K16" i="60" s="1"/>
  <c r="C16" i="38"/>
  <c r="E17" i="38"/>
  <c r="J17" i="38"/>
  <c r="K17" i="38" s="1"/>
  <c r="E16" i="75"/>
  <c r="C15" i="75"/>
  <c r="J16" i="75"/>
  <c r="K16" i="75" s="1"/>
  <c r="K50" i="131"/>
  <c r="I52" i="57"/>
  <c r="J51" i="57"/>
  <c r="I52" i="20"/>
  <c r="J51" i="20"/>
  <c r="E17" i="133"/>
  <c r="C16" i="133"/>
  <c r="J17" i="133"/>
  <c r="K17" i="133" s="1"/>
  <c r="DH17" i="2"/>
  <c r="K49" i="40"/>
  <c r="I51" i="140"/>
  <c r="J50" i="140"/>
  <c r="K50" i="118"/>
  <c r="K52" i="107"/>
  <c r="I52" i="114"/>
  <c r="J51" i="114"/>
  <c r="I53" i="92"/>
  <c r="J52" i="92"/>
  <c r="K51" i="92" s="1"/>
  <c r="K48" i="45"/>
  <c r="I54" i="164"/>
  <c r="J53" i="164"/>
  <c r="Y19" i="2"/>
  <c r="K51" i="62"/>
  <c r="E16" i="9"/>
  <c r="C15" i="9"/>
  <c r="J16" i="9"/>
  <c r="K16" i="9" s="1"/>
  <c r="J50" i="174"/>
  <c r="I51" i="174"/>
  <c r="I52" i="131"/>
  <c r="J51" i="131"/>
  <c r="E17" i="21"/>
  <c r="C16" i="21"/>
  <c r="J17" i="21"/>
  <c r="K17" i="21" s="1"/>
  <c r="K50" i="57"/>
  <c r="K50" i="20"/>
  <c r="I51" i="40"/>
  <c r="J50" i="40"/>
  <c r="K50" i="67"/>
  <c r="J50" i="69"/>
  <c r="I51" i="69"/>
  <c r="E17" i="48"/>
  <c r="C16" i="48"/>
  <c r="J17" i="48"/>
  <c r="K17" i="48" s="1"/>
  <c r="J53" i="107"/>
  <c r="I54" i="107"/>
  <c r="J52" i="41"/>
  <c r="I53" i="41"/>
  <c r="K54" i="145"/>
  <c r="C15" i="64"/>
  <c r="E16" i="64"/>
  <c r="J16" i="64"/>
  <c r="K16" i="64" s="1"/>
  <c r="C16" i="80"/>
  <c r="E17" i="80"/>
  <c r="J17" i="80"/>
  <c r="K17" i="80" s="1"/>
  <c r="E16" i="83"/>
  <c r="C15" i="83"/>
  <c r="J16" i="83"/>
  <c r="K16" i="83" s="1"/>
  <c r="FL19" i="2"/>
  <c r="C17" i="12"/>
  <c r="E18" i="12"/>
  <c r="X18" i="2"/>
  <c r="M18" i="1"/>
  <c r="J18" i="12"/>
  <c r="K18" i="12" s="1"/>
  <c r="CM18" i="2"/>
  <c r="C15" i="148"/>
  <c r="E16" i="148"/>
  <c r="J16" i="148"/>
  <c r="K16" i="148" s="1"/>
  <c r="C17" i="172"/>
  <c r="E18" i="172"/>
  <c r="J18" i="172"/>
  <c r="K18" i="172" s="1"/>
  <c r="I51" i="81"/>
  <c r="J50" i="81"/>
  <c r="E17" i="96"/>
  <c r="C16" i="96"/>
  <c r="J17" i="96"/>
  <c r="K17" i="96" s="1"/>
  <c r="K49" i="174"/>
  <c r="IU18" i="2"/>
  <c r="E16" i="167"/>
  <c r="C15" i="167"/>
  <c r="J16" i="167"/>
  <c r="K16" i="167" s="1"/>
  <c r="C14" i="40"/>
  <c r="E15" i="40"/>
  <c r="J15" i="40"/>
  <c r="K15" i="40" s="1"/>
  <c r="K51" i="135"/>
  <c r="J53" i="135"/>
  <c r="K52" i="135" s="1"/>
  <c r="I54" i="135"/>
  <c r="E16" i="66"/>
  <c r="C15" i="66"/>
  <c r="J16" i="66"/>
  <c r="K16" i="66" s="1"/>
  <c r="I52" i="39"/>
  <c r="J51" i="39"/>
  <c r="K50" i="39" s="1"/>
  <c r="K48" i="43"/>
  <c r="J51" i="67"/>
  <c r="I52" i="67"/>
  <c r="J53" i="9"/>
  <c r="I54" i="9"/>
  <c r="I56" i="145"/>
  <c r="J55" i="145"/>
  <c r="K49" i="5"/>
  <c r="I55" i="27"/>
  <c r="J54" i="27"/>
  <c r="I53" i="115"/>
  <c r="J52" i="115"/>
  <c r="K51" i="115" s="1"/>
  <c r="J50" i="47"/>
  <c r="I51" i="47"/>
  <c r="I51" i="120"/>
  <c r="J50" i="120"/>
  <c r="J52" i="139"/>
  <c r="I53" i="139"/>
  <c r="E13" i="32"/>
  <c r="C12" i="32"/>
  <c r="J13" i="32"/>
  <c r="K13" i="32" s="1"/>
  <c r="J51" i="121"/>
  <c r="I52" i="121"/>
  <c r="E14" i="45"/>
  <c r="C13" i="45"/>
  <c r="J14" i="45"/>
  <c r="K14" i="45" s="1"/>
  <c r="J50" i="17"/>
  <c r="K49" i="17" s="1"/>
  <c r="I51" i="17"/>
  <c r="J53" i="48"/>
  <c r="I54" i="48"/>
  <c r="I54" i="117"/>
  <c r="J53" i="117"/>
  <c r="K52" i="117" s="1"/>
  <c r="K52" i="9"/>
  <c r="C12" i="146"/>
  <c r="E13" i="146"/>
  <c r="J13" i="146"/>
  <c r="K13" i="146" s="1"/>
  <c r="K50" i="41"/>
  <c r="J53" i="128"/>
  <c r="I54" i="128"/>
  <c r="J52" i="63"/>
  <c r="I53" i="63"/>
  <c r="K53" i="27"/>
  <c r="I56" i="46"/>
  <c r="J55" i="46"/>
  <c r="K49" i="151"/>
  <c r="K49" i="162"/>
  <c r="J51" i="31"/>
  <c r="I52" i="31"/>
  <c r="I54" i="77"/>
  <c r="J53" i="77"/>
  <c r="K52" i="77" s="1"/>
  <c r="K49" i="121"/>
  <c r="E15" i="123"/>
  <c r="C14" i="123"/>
  <c r="J15" i="123"/>
  <c r="K15" i="123" s="1"/>
  <c r="AU19" i="1"/>
  <c r="I53" i="113"/>
  <c r="J52" i="113"/>
  <c r="C15" i="137"/>
  <c r="E16" i="137"/>
  <c r="J16" i="137"/>
  <c r="K16" i="137" s="1"/>
  <c r="HD19" i="2"/>
  <c r="K52" i="48"/>
  <c r="CA18" i="2"/>
  <c r="J53" i="136"/>
  <c r="I54" i="136"/>
  <c r="I53" i="23"/>
  <c r="J52" i="23"/>
  <c r="E16" i="150"/>
  <c r="C15" i="150"/>
  <c r="J16" i="150"/>
  <c r="K16" i="150" s="1"/>
  <c r="J53" i="101"/>
  <c r="I54" i="101"/>
  <c r="E13" i="87"/>
  <c r="C12" i="87"/>
  <c r="J13" i="87"/>
  <c r="K13" i="87" s="1"/>
  <c r="I51" i="143"/>
  <c r="J50" i="143"/>
  <c r="C17" i="27"/>
  <c r="IJ17" i="2" s="1"/>
  <c r="E18" i="27"/>
  <c r="J18" i="27"/>
  <c r="K18" i="27" s="1"/>
  <c r="C16" i="15"/>
  <c r="E17" i="15"/>
  <c r="J17" i="15"/>
  <c r="K17" i="15" s="1"/>
  <c r="I52" i="144"/>
  <c r="J51" i="144"/>
  <c r="C15" i="74"/>
  <c r="E16" i="74"/>
  <c r="J16" i="74"/>
  <c r="K16" i="74" s="1"/>
  <c r="C12" i="166"/>
  <c r="E13" i="166"/>
  <c r="J13" i="166"/>
  <c r="K13" i="166" s="1"/>
  <c r="K51" i="157"/>
  <c r="E17" i="31"/>
  <c r="C16" i="31"/>
  <c r="J17" i="31"/>
  <c r="K17" i="31" s="1"/>
  <c r="E15" i="168"/>
  <c r="C14" i="168"/>
  <c r="J15" i="168"/>
  <c r="K15" i="168" s="1"/>
  <c r="E17" i="10"/>
  <c r="C16" i="10"/>
  <c r="J17" i="10"/>
  <c r="K17" i="10" s="1"/>
  <c r="C10" i="98"/>
  <c r="E11" i="98"/>
  <c r="J11" i="98"/>
  <c r="K11" i="98" s="1"/>
  <c r="I51" i="64"/>
  <c r="J50" i="64"/>
  <c r="K49" i="64" s="1"/>
  <c r="J52" i="37"/>
  <c r="I53" i="37"/>
  <c r="K51" i="164"/>
  <c r="EE19" i="2"/>
  <c r="K50" i="104"/>
  <c r="J51" i="106"/>
  <c r="I52" i="106"/>
  <c r="K50" i="144"/>
  <c r="BQ19" i="1"/>
  <c r="I53" i="157"/>
  <c r="J52" i="157"/>
  <c r="J51" i="21"/>
  <c r="K50" i="21" s="1"/>
  <c r="I52" i="21"/>
  <c r="K53" i="145"/>
  <c r="K50" i="52"/>
  <c r="I51" i="160"/>
  <c r="J50" i="160"/>
  <c r="K49" i="160" s="1"/>
  <c r="K51" i="93"/>
  <c r="K50" i="92"/>
  <c r="C17" i="109"/>
  <c r="E18" i="109"/>
  <c r="ED18" i="2"/>
  <c r="J18" i="109"/>
  <c r="K18" i="109" s="1"/>
  <c r="C15" i="104"/>
  <c r="E16" i="104"/>
  <c r="J16" i="104"/>
  <c r="K16" i="104" s="1"/>
  <c r="C17" i="7"/>
  <c r="EO17" i="2" s="1"/>
  <c r="E18" i="7"/>
  <c r="AT18" i="1"/>
  <c r="J18" i="7"/>
  <c r="K18" i="7" s="1"/>
  <c r="E14" i="43"/>
  <c r="C13" i="43"/>
  <c r="J14" i="43"/>
  <c r="K14" i="43" s="1"/>
  <c r="E18" i="107"/>
  <c r="C17" i="107"/>
  <c r="J18" i="107"/>
  <c r="K18" i="107" s="1"/>
  <c r="K50" i="106"/>
  <c r="J50" i="95"/>
  <c r="I51" i="95"/>
  <c r="K49" i="137"/>
  <c r="E18" i="8"/>
  <c r="C17" i="8"/>
  <c r="HC18" i="2"/>
  <c r="BP18" i="1"/>
  <c r="J18" i="8"/>
  <c r="K18" i="8" s="1"/>
  <c r="I53" i="72"/>
  <c r="J52" i="72"/>
  <c r="K51" i="107"/>
  <c r="J51" i="52"/>
  <c r="I52" i="52"/>
  <c r="J52" i="93"/>
  <c r="I53" i="93"/>
  <c r="E16" i="16"/>
  <c r="C15" i="16"/>
  <c r="J16" i="16"/>
  <c r="K16" i="16" s="1"/>
  <c r="E18" i="121"/>
  <c r="C17" i="121"/>
  <c r="J18" i="121"/>
  <c r="K18" i="121" s="1"/>
  <c r="I53" i="68"/>
  <c r="J52" i="68"/>
  <c r="K49" i="163"/>
  <c r="E15" i="62"/>
  <c r="C14" i="62"/>
  <c r="J15" i="62"/>
  <c r="K15" i="62" s="1"/>
  <c r="C15" i="94"/>
  <c r="E16" i="94"/>
  <c r="J16" i="94"/>
  <c r="K16" i="94" s="1"/>
  <c r="I55" i="22"/>
  <c r="J54" i="22"/>
  <c r="E15" i="163"/>
  <c r="C14" i="163"/>
  <c r="J15" i="163"/>
  <c r="K15" i="163" s="1"/>
  <c r="J51" i="153"/>
  <c r="K50" i="153" s="1"/>
  <c r="I52" i="153"/>
  <c r="K49" i="39"/>
  <c r="K51" i="72"/>
  <c r="C14" i="47"/>
  <c r="E15" i="47"/>
  <c r="J15" i="47"/>
  <c r="K15" i="47" s="1"/>
  <c r="E16" i="4"/>
  <c r="C15" i="4"/>
  <c r="J16" i="4"/>
  <c r="K16" i="4" s="1"/>
  <c r="E18" i="136"/>
  <c r="C17" i="136"/>
  <c r="J18" i="136"/>
  <c r="K18" i="136" s="1"/>
  <c r="E18" i="90"/>
  <c r="C17" i="90"/>
  <c r="AI17" i="1" s="1"/>
  <c r="J18" i="90"/>
  <c r="K18" i="90" s="1"/>
  <c r="E14" i="34"/>
  <c r="C13" i="34"/>
  <c r="J14" i="34"/>
  <c r="K14" i="34" s="1"/>
  <c r="C17" i="100"/>
  <c r="FK17" i="2" s="1"/>
  <c r="E18" i="100"/>
  <c r="J18" i="100"/>
  <c r="K18" i="100" s="1"/>
  <c r="K50" i="37"/>
  <c r="K50" i="103"/>
  <c r="C16" i="134"/>
  <c r="E17" i="134"/>
  <c r="EZ17" i="2"/>
  <c r="J17" i="134"/>
  <c r="K17" i="134" s="1"/>
  <c r="K52" i="16"/>
  <c r="E16" i="161"/>
  <c r="C15" i="161"/>
  <c r="J16" i="161"/>
  <c r="K16" i="161" s="1"/>
  <c r="J53" i="89"/>
  <c r="I54" i="89"/>
  <c r="M18" i="2"/>
  <c r="K49" i="131"/>
  <c r="K49" i="144"/>
  <c r="C17" i="49"/>
  <c r="E18" i="49"/>
  <c r="J18" i="49"/>
  <c r="K18" i="49" s="1"/>
  <c r="E17" i="145"/>
  <c r="C16" i="145"/>
  <c r="J17" i="145"/>
  <c r="K17" i="145" s="1"/>
  <c r="K51" i="51"/>
  <c r="J50" i="112"/>
  <c r="I51" i="112"/>
  <c r="C16" i="33"/>
  <c r="E17" i="33"/>
  <c r="M17" i="2"/>
  <c r="J17" i="33"/>
  <c r="K17" i="33" s="1"/>
  <c r="K51" i="129"/>
  <c r="K48" i="81"/>
  <c r="K51" i="18"/>
  <c r="E17" i="78"/>
  <c r="C16" i="78"/>
  <c r="J17" i="78"/>
  <c r="K17" i="78" s="1"/>
  <c r="K49" i="125"/>
  <c r="C14" i="26"/>
  <c r="E15" i="26"/>
  <c r="J15" i="26"/>
  <c r="K15" i="26" s="1"/>
  <c r="E15" i="115"/>
  <c r="C14" i="115"/>
  <c r="J15" i="115"/>
  <c r="K15" i="115" s="1"/>
  <c r="K52" i="122"/>
  <c r="AI18" i="2"/>
  <c r="C16" i="41"/>
  <c r="E17" i="41"/>
  <c r="BE17" i="2"/>
  <c r="J17" i="41"/>
  <c r="K17" i="41" s="1"/>
  <c r="I52" i="154"/>
  <c r="J51" i="154"/>
  <c r="E14" i="102"/>
  <c r="C13" i="102"/>
  <c r="J14" i="102"/>
  <c r="K14" i="102" s="1"/>
  <c r="E16" i="57"/>
  <c r="C15" i="57"/>
  <c r="J16" i="57"/>
  <c r="K16" i="57" s="1"/>
  <c r="E16" i="103"/>
  <c r="C15" i="103"/>
  <c r="J16" i="103"/>
  <c r="K16" i="103" s="1"/>
  <c r="D57" i="1"/>
  <c r="O57" i="1"/>
  <c r="BR57" i="1"/>
  <c r="CC57" i="1"/>
  <c r="Z57" i="1"/>
  <c r="AK57" i="1"/>
  <c r="AV57" i="1"/>
  <c r="I52" i="103"/>
  <c r="J51" i="103"/>
  <c r="E16" i="67"/>
  <c r="C15" i="67"/>
  <c r="J16" i="67"/>
  <c r="K16" i="67" s="1"/>
  <c r="K48" i="143"/>
  <c r="K49" i="112"/>
  <c r="I52" i="155"/>
  <c r="J51" i="155"/>
  <c r="J50" i="11"/>
  <c r="I51" i="11"/>
  <c r="I52" i="119"/>
  <c r="J51" i="119"/>
  <c r="K51" i="68"/>
  <c r="J52" i="129"/>
  <c r="I53" i="129"/>
  <c r="I53" i="18"/>
  <c r="J52" i="18"/>
  <c r="K48" i="109"/>
  <c r="I51" i="125"/>
  <c r="J50" i="125"/>
  <c r="K52" i="82"/>
  <c r="J53" i="122"/>
  <c r="I54" i="122"/>
  <c r="E17" i="140"/>
  <c r="C16" i="140"/>
  <c r="J17" i="140"/>
  <c r="K17" i="140" s="1"/>
  <c r="C15" i="110"/>
  <c r="E16" i="110"/>
  <c r="J16" i="110"/>
  <c r="K16" i="110" s="1"/>
  <c r="K50" i="70"/>
  <c r="K50" i="154"/>
  <c r="I52" i="84"/>
  <c r="J51" i="84"/>
  <c r="K50" i="84" s="1"/>
  <c r="I51" i="166"/>
  <c r="J50" i="166"/>
  <c r="K51" i="128"/>
  <c r="E15" i="127"/>
  <c r="C14" i="127"/>
  <c r="J15" i="127"/>
  <c r="K15" i="127" s="1"/>
  <c r="D57" i="2"/>
  <c r="DU57" i="2"/>
  <c r="EQ57" i="2"/>
  <c r="O57" i="2"/>
  <c r="GT57" i="2"/>
  <c r="CY57" i="2"/>
  <c r="IL57" i="2"/>
  <c r="AK57" i="2"/>
  <c r="IW57" i="2"/>
  <c r="FM57" i="2"/>
  <c r="IA57" i="2"/>
  <c r="HP57" i="2"/>
  <c r="FB57" i="2"/>
  <c r="CC57" i="2"/>
  <c r="DJ57" i="2"/>
  <c r="FX57" i="2"/>
  <c r="AV57" i="2"/>
  <c r="BG57" i="2"/>
  <c r="Z57" i="2"/>
  <c r="BR57" i="2"/>
  <c r="HE57" i="2"/>
  <c r="CN57" i="2"/>
  <c r="EF57" i="2"/>
  <c r="K51" i="60"/>
  <c r="I55" i="94"/>
  <c r="J54" i="94"/>
  <c r="E17" i="76"/>
  <c r="C16" i="76"/>
  <c r="J17" i="76"/>
  <c r="K17" i="76" s="1"/>
  <c r="I55" i="59"/>
  <c r="J54" i="59"/>
  <c r="K54" i="134"/>
  <c r="I52" i="70"/>
  <c r="J51" i="70"/>
  <c r="I54" i="172"/>
  <c r="J53" i="172"/>
  <c r="I55" i="71"/>
  <c r="J54" i="71"/>
  <c r="E17" i="119"/>
  <c r="C16" i="119"/>
  <c r="J17" i="119"/>
  <c r="K17" i="119" s="1"/>
  <c r="BG57" i="1"/>
  <c r="BF57" i="1"/>
  <c r="I53" i="124"/>
  <c r="J52" i="124"/>
  <c r="I53" i="83"/>
  <c r="J52" i="83"/>
  <c r="K48" i="38"/>
  <c r="K49" i="58"/>
  <c r="K49" i="119"/>
  <c r="I53" i="60"/>
  <c r="J52" i="60"/>
  <c r="I52" i="80"/>
  <c r="J51" i="80"/>
  <c r="K53" i="94"/>
  <c r="CW17" i="2"/>
  <c r="K52" i="98"/>
  <c r="J55" i="134"/>
  <c r="I56" i="134"/>
  <c r="E16" i="81"/>
  <c r="C15" i="81"/>
  <c r="J16" i="81"/>
  <c r="K16" i="81" s="1"/>
  <c r="CB19" i="2"/>
  <c r="I55" i="79"/>
  <c r="J54" i="79"/>
  <c r="E17" i="164"/>
  <c r="C16" i="164"/>
  <c r="J17" i="164"/>
  <c r="K17" i="164" s="1"/>
  <c r="K53" i="71"/>
  <c r="E13" i="30"/>
  <c r="C12" i="30"/>
  <c r="J13" i="30"/>
  <c r="K13" i="30" s="1"/>
  <c r="I51" i="141"/>
  <c r="J50" i="141"/>
  <c r="I52" i="33"/>
  <c r="J51" i="33"/>
  <c r="K50" i="115"/>
  <c r="GI57" i="2"/>
  <c r="GH57" i="2"/>
  <c r="I51" i="58"/>
  <c r="J50" i="58"/>
  <c r="E16" i="112"/>
  <c r="C15" i="112"/>
  <c r="CW16" i="2"/>
  <c r="J16" i="112"/>
  <c r="K16" i="112" s="1"/>
  <c r="K50" i="167"/>
  <c r="E17" i="142"/>
  <c r="C16" i="142"/>
  <c r="J17" i="142"/>
  <c r="K17" i="142" s="1"/>
  <c r="I54" i="98"/>
  <c r="J53" i="98"/>
  <c r="K48" i="140"/>
  <c r="K53" i="79"/>
  <c r="C17" i="91"/>
  <c r="E18" i="91"/>
  <c r="J18" i="91"/>
  <c r="K18" i="91" s="1"/>
  <c r="E15" i="72"/>
  <c r="C14" i="72"/>
  <c r="J15" i="72"/>
  <c r="K15" i="72" s="1"/>
  <c r="C15" i="19"/>
  <c r="E16" i="19"/>
  <c r="J16" i="19"/>
  <c r="K16" i="19" s="1"/>
  <c r="K48" i="34"/>
  <c r="C55" i="24"/>
  <c r="E56" i="24"/>
  <c r="GG56" i="2"/>
  <c r="BE56" i="1"/>
  <c r="C56" i="1"/>
  <c r="C56" i="2"/>
  <c r="C15" i="11"/>
  <c r="E16" i="11"/>
  <c r="J16" i="11"/>
  <c r="K16" i="11" s="1"/>
  <c r="HZ18" i="2"/>
  <c r="C13" i="111"/>
  <c r="E14" i="111"/>
  <c r="J14" i="111"/>
  <c r="K14" i="111" s="1"/>
  <c r="I56" i="12"/>
  <c r="J55" i="12"/>
  <c r="J51" i="54"/>
  <c r="I52" i="54"/>
  <c r="GS19" i="2"/>
  <c r="I53" i="165"/>
  <c r="J52" i="165"/>
  <c r="K51" i="165" s="1"/>
  <c r="E15" i="124"/>
  <c r="C14" i="124"/>
  <c r="J15" i="124"/>
  <c r="K15" i="124" s="1"/>
  <c r="C14" i="159"/>
  <c r="E15" i="159"/>
  <c r="J15" i="159"/>
  <c r="K15" i="159" s="1"/>
  <c r="K50" i="25"/>
  <c r="K49" i="96"/>
  <c r="E17" i="79"/>
  <c r="C16" i="79"/>
  <c r="J17" i="79"/>
  <c r="K17" i="79" s="1"/>
  <c r="E17" i="70"/>
  <c r="C16" i="70"/>
  <c r="J17" i="70"/>
  <c r="K17" i="70" s="1"/>
  <c r="E16" i="139"/>
  <c r="C15" i="139"/>
  <c r="J16" i="139"/>
  <c r="K16" i="139" s="1"/>
  <c r="K48" i="130"/>
  <c r="I52" i="126"/>
  <c r="J51" i="126"/>
  <c r="K50" i="126" s="1"/>
  <c r="E11" i="82"/>
  <c r="C10" i="82"/>
  <c r="J11" i="82"/>
  <c r="K11" i="82" s="1"/>
  <c r="K52" i="142"/>
  <c r="I51" i="110"/>
  <c r="J50" i="110"/>
  <c r="C17" i="53"/>
  <c r="E18" i="53"/>
  <c r="J18" i="53"/>
  <c r="K18" i="53" s="1"/>
  <c r="K49" i="138"/>
  <c r="K49" i="154"/>
  <c r="E18" i="58"/>
  <c r="C17" i="58"/>
  <c r="CA17" i="2" s="1"/>
  <c r="J18" i="58"/>
  <c r="K18" i="58" s="1"/>
  <c r="E16" i="22"/>
  <c r="C15" i="22"/>
  <c r="J16" i="22"/>
  <c r="K16" i="22" s="1"/>
  <c r="J51" i="53"/>
  <c r="K50" i="53" s="1"/>
  <c r="I52" i="53"/>
  <c r="I52" i="87"/>
  <c r="J51" i="87"/>
  <c r="J51" i="3"/>
  <c r="I52" i="3"/>
  <c r="J50" i="96"/>
  <c r="I51" i="96"/>
  <c r="HO18" i="2"/>
  <c r="J50" i="148"/>
  <c r="I51" i="148"/>
  <c r="I52" i="88"/>
  <c r="J51" i="88"/>
  <c r="K50" i="88" s="1"/>
  <c r="C16" i="20"/>
  <c r="E17" i="20"/>
  <c r="J17" i="20"/>
  <c r="K17" i="20" s="1"/>
  <c r="FW19" i="2"/>
  <c r="C17" i="143"/>
  <c r="E18" i="143"/>
  <c r="J18" i="143"/>
  <c r="K18" i="143" s="1"/>
  <c r="E17" i="169"/>
  <c r="C16" i="169"/>
  <c r="HY17" i="2"/>
  <c r="J17" i="169"/>
  <c r="K17" i="169" s="1"/>
  <c r="K49" i="31"/>
  <c r="I51" i="147"/>
  <c r="J50" i="147"/>
  <c r="K49" i="147" s="1"/>
  <c r="E15" i="86"/>
  <c r="C14" i="86"/>
  <c r="J15" i="86"/>
  <c r="K15" i="86" s="1"/>
  <c r="I56" i="75"/>
  <c r="J55" i="75"/>
  <c r="K54" i="75" s="1"/>
  <c r="I51" i="102"/>
  <c r="J50" i="102"/>
  <c r="K52" i="152"/>
  <c r="C17" i="170"/>
  <c r="AI17" i="2" s="1"/>
  <c r="E18" i="170"/>
  <c r="J18" i="170"/>
  <c r="K18" i="170" s="1"/>
  <c r="I52" i="85"/>
  <c r="J51" i="85"/>
  <c r="K50" i="85" s="1"/>
  <c r="E16" i="116"/>
  <c r="C15" i="116"/>
  <c r="J16" i="116"/>
  <c r="K16" i="116" s="1"/>
  <c r="J53" i="142"/>
  <c r="I54" i="142"/>
  <c r="E18" i="14"/>
  <c r="C17" i="14"/>
  <c r="J18" i="14"/>
  <c r="K18" i="14" s="1"/>
  <c r="K49" i="110"/>
  <c r="K50" i="93"/>
  <c r="I52" i="111"/>
  <c r="J51" i="111"/>
  <c r="C16" i="114"/>
  <c r="E17" i="114"/>
  <c r="J17" i="114"/>
  <c r="K17" i="114" s="1"/>
  <c r="I51" i="100"/>
  <c r="J50" i="100"/>
  <c r="I53" i="159"/>
  <c r="J52" i="159"/>
  <c r="K51" i="159" s="1"/>
  <c r="E17" i="44"/>
  <c r="C16" i="44"/>
  <c r="J17" i="44"/>
  <c r="K17" i="44" s="1"/>
  <c r="C13" i="160"/>
  <c r="E14" i="160"/>
  <c r="J14" i="160"/>
  <c r="K14" i="160" s="1"/>
  <c r="IV19" i="2"/>
  <c r="J52" i="44"/>
  <c r="K51" i="44" s="1"/>
  <c r="I53" i="44"/>
  <c r="C17" i="155"/>
  <c r="CL17" i="2" s="1"/>
  <c r="E18" i="155"/>
  <c r="J18" i="155"/>
  <c r="K18" i="155" s="1"/>
  <c r="E16" i="25"/>
  <c r="C15" i="25"/>
  <c r="J16" i="25"/>
  <c r="K16" i="25" s="1"/>
  <c r="E17" i="89"/>
  <c r="C16" i="89"/>
  <c r="J17" i="89"/>
  <c r="K17" i="89" s="1"/>
  <c r="HN17" i="2"/>
  <c r="K50" i="124"/>
  <c r="I54" i="152"/>
  <c r="J53" i="152"/>
  <c r="K51" i="30"/>
  <c r="E18" i="42"/>
  <c r="C17" i="42"/>
  <c r="J18" i="42"/>
  <c r="K18" i="42" s="1"/>
  <c r="FV18" i="2"/>
  <c r="K50" i="73"/>
  <c r="K54" i="7"/>
  <c r="K49" i="123"/>
  <c r="J51" i="50"/>
  <c r="I52" i="50"/>
  <c r="E15" i="61"/>
  <c r="C14" i="61"/>
  <c r="J15" i="61"/>
  <c r="K15" i="61" s="1"/>
  <c r="E15" i="85"/>
  <c r="C14" i="85"/>
  <c r="J15" i="85"/>
  <c r="K15" i="85" s="1"/>
  <c r="K50" i="111"/>
  <c r="K49" i="100"/>
  <c r="K48" i="90"/>
  <c r="IU17" i="2"/>
  <c r="AJ17" i="1" l="1"/>
  <c r="CM17" i="2"/>
  <c r="EP17" i="2"/>
  <c r="AJ17" i="2"/>
  <c r="IK17" i="2"/>
  <c r="FL17" i="2"/>
  <c r="CB17" i="2"/>
  <c r="I55" i="89"/>
  <c r="J54" i="89"/>
  <c r="E14" i="85"/>
  <c r="C13" i="85"/>
  <c r="J14" i="85"/>
  <c r="K14" i="85" s="1"/>
  <c r="K51" i="155"/>
  <c r="I52" i="166"/>
  <c r="J51" i="166"/>
  <c r="E16" i="119"/>
  <c r="C15" i="119"/>
  <c r="J16" i="119"/>
  <c r="K16" i="119" s="1"/>
  <c r="E17" i="14"/>
  <c r="C16" i="14"/>
  <c r="J17" i="14"/>
  <c r="K17" i="14" s="1"/>
  <c r="J55" i="79"/>
  <c r="I56" i="79"/>
  <c r="I56" i="71"/>
  <c r="J55" i="71"/>
  <c r="I54" i="129"/>
  <c r="J53" i="129"/>
  <c r="E15" i="104"/>
  <c r="C14" i="104"/>
  <c r="J15" i="104"/>
  <c r="K15" i="104" s="1"/>
  <c r="E10" i="98"/>
  <c r="C9" i="98"/>
  <c r="J10" i="98"/>
  <c r="K10" i="98" s="1"/>
  <c r="I55" i="77"/>
  <c r="J54" i="77"/>
  <c r="K51" i="123"/>
  <c r="I53" i="170"/>
  <c r="J52" i="170"/>
  <c r="K55" i="61"/>
  <c r="I52" i="105"/>
  <c r="J51" i="105"/>
  <c r="E17" i="50"/>
  <c r="C16" i="50"/>
  <c r="AT17" i="2"/>
  <c r="J17" i="50"/>
  <c r="K17" i="50" s="1"/>
  <c r="I55" i="62"/>
  <c r="J54" i="62"/>
  <c r="E16" i="142"/>
  <c r="C15" i="142"/>
  <c r="J16" i="142"/>
  <c r="K16" i="142" s="1"/>
  <c r="C15" i="44"/>
  <c r="E16" i="44"/>
  <c r="J16" i="44"/>
  <c r="K16" i="44" s="1"/>
  <c r="E55" i="24"/>
  <c r="C54" i="24"/>
  <c r="GG55" i="2"/>
  <c r="BE55" i="1"/>
  <c r="C55" i="1"/>
  <c r="C55" i="2"/>
  <c r="I53" i="111"/>
  <c r="J52" i="111"/>
  <c r="I54" i="165"/>
  <c r="J53" i="165"/>
  <c r="C16" i="91"/>
  <c r="E17" i="91"/>
  <c r="J17" i="91"/>
  <c r="K17" i="91" s="1"/>
  <c r="K53" i="172"/>
  <c r="K52" i="129"/>
  <c r="C14" i="4"/>
  <c r="E15" i="4"/>
  <c r="J15" i="4"/>
  <c r="K15" i="4" s="1"/>
  <c r="J52" i="31"/>
  <c r="I53" i="31"/>
  <c r="E15" i="83"/>
  <c r="C14" i="83"/>
  <c r="J15" i="83"/>
  <c r="K15" i="83" s="1"/>
  <c r="J52" i="123"/>
  <c r="I53" i="123"/>
  <c r="K51" i="170"/>
  <c r="I57" i="61"/>
  <c r="J56" i="61"/>
  <c r="C16" i="46"/>
  <c r="AI16" i="1" s="1"/>
  <c r="E17" i="46"/>
  <c r="J17" i="46"/>
  <c r="K17" i="46" s="1"/>
  <c r="I52" i="148"/>
  <c r="J51" i="148"/>
  <c r="I55" i="128"/>
  <c r="J54" i="128"/>
  <c r="E14" i="124"/>
  <c r="C13" i="124"/>
  <c r="J14" i="124"/>
  <c r="K14" i="124" s="1"/>
  <c r="C15" i="89"/>
  <c r="E16" i="89"/>
  <c r="J16" i="89"/>
  <c r="K16" i="89" s="1"/>
  <c r="HN16" i="2"/>
  <c r="I55" i="172"/>
  <c r="J54" i="172"/>
  <c r="K51" i="154"/>
  <c r="J52" i="52"/>
  <c r="I53" i="52"/>
  <c r="K51" i="31"/>
  <c r="E12" i="32"/>
  <c r="C11" i="32"/>
  <c r="J12" i="32"/>
  <c r="K12" i="32" s="1"/>
  <c r="C14" i="9"/>
  <c r="E15" i="9"/>
  <c r="J15" i="9"/>
  <c r="K15" i="9" s="1"/>
  <c r="E16" i="95"/>
  <c r="C15" i="95"/>
  <c r="J16" i="95"/>
  <c r="K16" i="95" s="1"/>
  <c r="J51" i="163"/>
  <c r="I52" i="163"/>
  <c r="E16" i="71"/>
  <c r="C15" i="71"/>
  <c r="J16" i="71"/>
  <c r="K16" i="71" s="1"/>
  <c r="C15" i="132"/>
  <c r="E16" i="132"/>
  <c r="J16" i="132"/>
  <c r="K16" i="132" s="1"/>
  <c r="I53" i="116"/>
  <c r="J52" i="116"/>
  <c r="E16" i="134"/>
  <c r="C15" i="134"/>
  <c r="EZ16" i="2"/>
  <c r="J16" i="134"/>
  <c r="K16" i="134" s="1"/>
  <c r="I52" i="112"/>
  <c r="J51" i="112"/>
  <c r="J51" i="110"/>
  <c r="K50" i="110" s="1"/>
  <c r="I52" i="110"/>
  <c r="I53" i="54"/>
  <c r="J52" i="54"/>
  <c r="K51" i="54" s="1"/>
  <c r="IV17" i="2"/>
  <c r="E15" i="25"/>
  <c r="C14" i="25"/>
  <c r="J15" i="25"/>
  <c r="K15" i="25" s="1"/>
  <c r="J54" i="142"/>
  <c r="I55" i="142"/>
  <c r="K50" i="54"/>
  <c r="EE18" i="2"/>
  <c r="E12" i="87"/>
  <c r="C11" i="87"/>
  <c r="J12" i="87"/>
  <c r="K12" i="87" s="1"/>
  <c r="K54" i="12"/>
  <c r="I53" i="154"/>
  <c r="J52" i="154"/>
  <c r="C16" i="49"/>
  <c r="E17" i="49"/>
  <c r="J17" i="49"/>
  <c r="K17" i="49" s="1"/>
  <c r="K51" i="52"/>
  <c r="C15" i="10"/>
  <c r="E16" i="10"/>
  <c r="J16" i="10"/>
  <c r="K16" i="10" s="1"/>
  <c r="C15" i="38"/>
  <c r="E16" i="38"/>
  <c r="J16" i="38"/>
  <c r="K16" i="38" s="1"/>
  <c r="I55" i="127"/>
  <c r="J54" i="127"/>
  <c r="K53" i="127" s="1"/>
  <c r="J54" i="132"/>
  <c r="I55" i="132"/>
  <c r="I55" i="51"/>
  <c r="J54" i="51"/>
  <c r="C16" i="174"/>
  <c r="E17" i="174"/>
  <c r="J17" i="174"/>
  <c r="K17" i="174" s="1"/>
  <c r="I54" i="10"/>
  <c r="J53" i="10"/>
  <c r="C13" i="171"/>
  <c r="E14" i="171"/>
  <c r="J14" i="171"/>
  <c r="K14" i="171" s="1"/>
  <c r="C15" i="20"/>
  <c r="E16" i="20"/>
  <c r="J16" i="20"/>
  <c r="K16" i="20" s="1"/>
  <c r="I57" i="12"/>
  <c r="J56" i="12"/>
  <c r="C14" i="81"/>
  <c r="E15" i="81"/>
  <c r="J15" i="81"/>
  <c r="K15" i="81" s="1"/>
  <c r="I53" i="70"/>
  <c r="J52" i="70"/>
  <c r="J52" i="119"/>
  <c r="I53" i="119"/>
  <c r="C16" i="109"/>
  <c r="E17" i="109"/>
  <c r="ED17" i="2"/>
  <c r="J17" i="109"/>
  <c r="K17" i="109" s="1"/>
  <c r="I55" i="101"/>
  <c r="J54" i="101"/>
  <c r="I54" i="139"/>
  <c r="J53" i="139"/>
  <c r="E14" i="40"/>
  <c r="C13" i="40"/>
  <c r="J14" i="40"/>
  <c r="K14" i="40" s="1"/>
  <c r="K53" i="132"/>
  <c r="C16" i="92"/>
  <c r="E17" i="92"/>
  <c r="J17" i="92"/>
  <c r="K17" i="92" s="1"/>
  <c r="K53" i="51"/>
  <c r="BQ18" i="2"/>
  <c r="C15" i="101"/>
  <c r="E16" i="101"/>
  <c r="J16" i="101"/>
  <c r="K16" i="101" s="1"/>
  <c r="I53" i="169"/>
  <c r="J52" i="169"/>
  <c r="E12" i="157"/>
  <c r="C11" i="157"/>
  <c r="J12" i="157"/>
  <c r="K12" i="157" s="1"/>
  <c r="K53" i="101"/>
  <c r="C14" i="60"/>
  <c r="E15" i="60"/>
  <c r="J15" i="60"/>
  <c r="K15" i="60" s="1"/>
  <c r="K55" i="15"/>
  <c r="I53" i="162"/>
  <c r="J52" i="162"/>
  <c r="C15" i="122"/>
  <c r="E16" i="122"/>
  <c r="J16" i="122"/>
  <c r="K16" i="122" s="1"/>
  <c r="E14" i="37"/>
  <c r="C13" i="37"/>
  <c r="J14" i="37"/>
  <c r="K14" i="37" s="1"/>
  <c r="J55" i="82"/>
  <c r="K54" i="82" s="1"/>
  <c r="I56" i="82"/>
  <c r="J54" i="29"/>
  <c r="I55" i="29"/>
  <c r="K50" i="169"/>
  <c r="E14" i="127"/>
  <c r="C13" i="127"/>
  <c r="J14" i="127"/>
  <c r="K14" i="127" s="1"/>
  <c r="I52" i="11"/>
  <c r="J51" i="11"/>
  <c r="N18" i="2"/>
  <c r="E14" i="47"/>
  <c r="C13" i="47"/>
  <c r="J14" i="47"/>
  <c r="K14" i="47" s="1"/>
  <c r="K52" i="72"/>
  <c r="C13" i="168"/>
  <c r="E14" i="168"/>
  <c r="J14" i="168"/>
  <c r="K14" i="168" s="1"/>
  <c r="I57" i="46"/>
  <c r="J56" i="46"/>
  <c r="C14" i="167"/>
  <c r="E15" i="167"/>
  <c r="J15" i="167"/>
  <c r="K15" i="167" s="1"/>
  <c r="E16" i="80"/>
  <c r="C15" i="80"/>
  <c r="J16" i="80"/>
  <c r="K16" i="80" s="1"/>
  <c r="C15" i="154"/>
  <c r="E16" i="154"/>
  <c r="J16" i="154"/>
  <c r="K16" i="154" s="1"/>
  <c r="J52" i="76"/>
  <c r="I53" i="76"/>
  <c r="I57" i="15"/>
  <c r="J56" i="15"/>
  <c r="I52" i="55"/>
  <c r="J51" i="55"/>
  <c r="K50" i="55" s="1"/>
  <c r="K50" i="35"/>
  <c r="E17" i="52"/>
  <c r="C16" i="52"/>
  <c r="BP17" i="2"/>
  <c r="J17" i="52"/>
  <c r="K17" i="52" s="1"/>
  <c r="J51" i="120"/>
  <c r="K50" i="120" s="1"/>
  <c r="I52" i="120"/>
  <c r="K53" i="164"/>
  <c r="C13" i="51"/>
  <c r="E14" i="51"/>
  <c r="J14" i="51"/>
  <c r="K14" i="51" s="1"/>
  <c r="I52" i="35"/>
  <c r="J51" i="35"/>
  <c r="J52" i="138"/>
  <c r="I53" i="138"/>
  <c r="I52" i="171"/>
  <c r="J51" i="171"/>
  <c r="J51" i="160"/>
  <c r="I52" i="160"/>
  <c r="J53" i="63"/>
  <c r="I54" i="63"/>
  <c r="J51" i="47"/>
  <c r="I52" i="47"/>
  <c r="IV18" i="2"/>
  <c r="I55" i="164"/>
  <c r="J54" i="164"/>
  <c r="I52" i="65"/>
  <c r="J51" i="65"/>
  <c r="K50" i="65" s="1"/>
  <c r="E15" i="54"/>
  <c r="C14" i="54"/>
  <c r="J15" i="54"/>
  <c r="K15" i="54" s="1"/>
  <c r="E14" i="84"/>
  <c r="C13" i="84"/>
  <c r="J14" i="84"/>
  <c r="K14" i="84" s="1"/>
  <c r="E16" i="108"/>
  <c r="C15" i="108"/>
  <c r="J16" i="108"/>
  <c r="K16" i="108" s="1"/>
  <c r="C15" i="23"/>
  <c r="E16" i="23"/>
  <c r="J16" i="23"/>
  <c r="K16" i="23" s="1"/>
  <c r="C15" i="153"/>
  <c r="E16" i="153"/>
  <c r="J16" i="153"/>
  <c r="K16" i="153" s="1"/>
  <c r="E16" i="41"/>
  <c r="C15" i="41"/>
  <c r="J16" i="41"/>
  <c r="K16" i="41" s="1"/>
  <c r="I53" i="85"/>
  <c r="J52" i="85"/>
  <c r="E16" i="76"/>
  <c r="C15" i="76"/>
  <c r="J16" i="76"/>
  <c r="K16" i="76" s="1"/>
  <c r="K50" i="166"/>
  <c r="I53" i="155"/>
  <c r="J52" i="155"/>
  <c r="I53" i="153"/>
  <c r="J52" i="153"/>
  <c r="BQ18" i="1"/>
  <c r="K50" i="47"/>
  <c r="E15" i="64"/>
  <c r="C14" i="64"/>
  <c r="J15" i="64"/>
  <c r="K15" i="64" s="1"/>
  <c r="C12" i="165"/>
  <c r="E13" i="165"/>
  <c r="J13" i="165"/>
  <c r="K13" i="165" s="1"/>
  <c r="K50" i="138"/>
  <c r="J52" i="19"/>
  <c r="I53" i="19"/>
  <c r="E16" i="77"/>
  <c r="C15" i="77"/>
  <c r="J16" i="77"/>
  <c r="K16" i="77" s="1"/>
  <c r="K49" i="171"/>
  <c r="I57" i="134"/>
  <c r="J56" i="134"/>
  <c r="J53" i="44"/>
  <c r="K52" i="44" s="1"/>
  <c r="I54" i="44"/>
  <c r="K50" i="45"/>
  <c r="I53" i="4"/>
  <c r="J52" i="4"/>
  <c r="I54" i="72"/>
  <c r="J53" i="72"/>
  <c r="K50" i="148"/>
  <c r="K53" i="59"/>
  <c r="K53" i="89"/>
  <c r="E15" i="139"/>
  <c r="C14" i="139"/>
  <c r="J15" i="139"/>
  <c r="K15" i="139" s="1"/>
  <c r="CX16" i="2"/>
  <c r="K54" i="94"/>
  <c r="C13" i="115"/>
  <c r="E14" i="115"/>
  <c r="J14" i="115"/>
  <c r="K14" i="115" s="1"/>
  <c r="C14" i="161"/>
  <c r="E15" i="161"/>
  <c r="J15" i="161"/>
  <c r="K15" i="161" s="1"/>
  <c r="E17" i="8"/>
  <c r="C16" i="8"/>
  <c r="HC17" i="2"/>
  <c r="BP17" i="1"/>
  <c r="J17" i="8"/>
  <c r="K17" i="8" s="1"/>
  <c r="I53" i="21"/>
  <c r="J52" i="21"/>
  <c r="J54" i="136"/>
  <c r="I55" i="136"/>
  <c r="K53" i="128"/>
  <c r="I54" i="115"/>
  <c r="J53" i="115"/>
  <c r="E16" i="96"/>
  <c r="C15" i="96"/>
  <c r="J16" i="96"/>
  <c r="K16" i="96" s="1"/>
  <c r="I54" i="41"/>
  <c r="J53" i="41"/>
  <c r="K52" i="41" s="1"/>
  <c r="I54" i="92"/>
  <c r="J53" i="92"/>
  <c r="I52" i="45"/>
  <c r="J51" i="45"/>
  <c r="J52" i="137"/>
  <c r="K51" i="137" s="1"/>
  <c r="I53" i="137"/>
  <c r="I56" i="32"/>
  <c r="J55" i="32"/>
  <c r="K54" i="32" s="1"/>
  <c r="E15" i="18"/>
  <c r="C14" i="18"/>
  <c r="J15" i="18"/>
  <c r="K15" i="18" s="1"/>
  <c r="E15" i="17"/>
  <c r="C14" i="17"/>
  <c r="J15" i="17"/>
  <c r="K15" i="17" s="1"/>
  <c r="C15" i="125"/>
  <c r="E16" i="125"/>
  <c r="J16" i="125"/>
  <c r="K16" i="125" s="1"/>
  <c r="K51" i="4"/>
  <c r="I52" i="91"/>
  <c r="J51" i="91"/>
  <c r="K50" i="11"/>
  <c r="K50" i="160"/>
  <c r="E15" i="150"/>
  <c r="C14" i="150"/>
  <c r="J15" i="150"/>
  <c r="K15" i="150" s="1"/>
  <c r="I53" i="126"/>
  <c r="J52" i="126"/>
  <c r="K53" i="136"/>
  <c r="K51" i="23"/>
  <c r="K51" i="41"/>
  <c r="K52" i="164"/>
  <c r="C15" i="63"/>
  <c r="E16" i="63"/>
  <c r="J16" i="63"/>
  <c r="K16" i="63" s="1"/>
  <c r="I53" i="5"/>
  <c r="J52" i="5"/>
  <c r="J51" i="36"/>
  <c r="I52" i="36"/>
  <c r="K53" i="78"/>
  <c r="Y18" i="1"/>
  <c r="J52" i="97"/>
  <c r="I53" i="97"/>
  <c r="K50" i="91"/>
  <c r="E16" i="35"/>
  <c r="C15" i="35"/>
  <c r="J16" i="35"/>
  <c r="K16" i="35" s="1"/>
  <c r="E15" i="11"/>
  <c r="C14" i="11"/>
  <c r="J15" i="11"/>
  <c r="K15" i="11" s="1"/>
  <c r="I53" i="80"/>
  <c r="J52" i="80"/>
  <c r="E15" i="67"/>
  <c r="C14" i="67"/>
  <c r="J15" i="67"/>
  <c r="K15" i="67" s="1"/>
  <c r="CB18" i="2"/>
  <c r="J55" i="27"/>
  <c r="I56" i="27"/>
  <c r="K50" i="81"/>
  <c r="I55" i="107"/>
  <c r="J54" i="107"/>
  <c r="K50" i="76"/>
  <c r="C16" i="152"/>
  <c r="E17" i="152"/>
  <c r="J17" i="152"/>
  <c r="K17" i="152" s="1"/>
  <c r="K51" i="5"/>
  <c r="I54" i="66"/>
  <c r="J53" i="66"/>
  <c r="K50" i="137"/>
  <c r="J54" i="78"/>
  <c r="I55" i="78"/>
  <c r="I52" i="43"/>
  <c r="J51" i="43"/>
  <c r="K50" i="116"/>
  <c r="K51" i="97"/>
  <c r="K49" i="91"/>
  <c r="K51" i="85"/>
  <c r="E15" i="112"/>
  <c r="C14" i="112"/>
  <c r="J15" i="112"/>
  <c r="K15" i="112" s="1"/>
  <c r="K51" i="80"/>
  <c r="I56" i="94"/>
  <c r="J55" i="94"/>
  <c r="I53" i="84"/>
  <c r="J52" i="84"/>
  <c r="K51" i="84" s="1"/>
  <c r="C13" i="163"/>
  <c r="E14" i="163"/>
  <c r="J14" i="163"/>
  <c r="K14" i="163" s="1"/>
  <c r="I53" i="50"/>
  <c r="J52" i="50"/>
  <c r="E13" i="160"/>
  <c r="C12" i="160"/>
  <c r="J13" i="160"/>
  <c r="K13" i="160" s="1"/>
  <c r="I52" i="102"/>
  <c r="J51" i="102"/>
  <c r="K50" i="102" s="1"/>
  <c r="C15" i="70"/>
  <c r="E16" i="70"/>
  <c r="J16" i="70"/>
  <c r="K16" i="70" s="1"/>
  <c r="D56" i="2"/>
  <c r="CY56" i="2"/>
  <c r="DU56" i="2"/>
  <c r="IW56" i="2"/>
  <c r="IL56" i="2"/>
  <c r="EQ56" i="2"/>
  <c r="BG56" i="2"/>
  <c r="DJ56" i="2"/>
  <c r="FB56" i="2"/>
  <c r="IA56" i="2"/>
  <c r="AK56" i="2"/>
  <c r="HP56" i="2"/>
  <c r="FM56" i="2"/>
  <c r="CN56" i="2"/>
  <c r="O56" i="2"/>
  <c r="HE56" i="2"/>
  <c r="CC56" i="2"/>
  <c r="FX56" i="2"/>
  <c r="Z56" i="2"/>
  <c r="AV56" i="2"/>
  <c r="BR56" i="2"/>
  <c r="EF56" i="2"/>
  <c r="GT56" i="2"/>
  <c r="K50" i="80"/>
  <c r="K52" i="60"/>
  <c r="K52" i="172"/>
  <c r="K53" i="22"/>
  <c r="J53" i="157"/>
  <c r="I54" i="157"/>
  <c r="J51" i="81"/>
  <c r="I52" i="81"/>
  <c r="K53" i="107"/>
  <c r="I53" i="114"/>
  <c r="J52" i="114"/>
  <c r="I55" i="16"/>
  <c r="J54" i="16"/>
  <c r="J52" i="86"/>
  <c r="I53" i="86"/>
  <c r="K53" i="82"/>
  <c r="E17" i="29"/>
  <c r="C16" i="29"/>
  <c r="J17" i="29"/>
  <c r="K17" i="29" s="1"/>
  <c r="X17" i="1"/>
  <c r="J53" i="118"/>
  <c r="K52" i="118" s="1"/>
  <c r="I54" i="118"/>
  <c r="K51" i="118"/>
  <c r="K49" i="148"/>
  <c r="I53" i="3"/>
  <c r="J52" i="3"/>
  <c r="K51" i="3" s="1"/>
  <c r="D56" i="1"/>
  <c r="AV56" i="1"/>
  <c r="CC56" i="1"/>
  <c r="Z56" i="1"/>
  <c r="O56" i="1"/>
  <c r="AK56" i="1"/>
  <c r="BR56" i="1"/>
  <c r="I54" i="60"/>
  <c r="J53" i="60"/>
  <c r="K51" i="103"/>
  <c r="E14" i="26"/>
  <c r="C13" i="26"/>
  <c r="J14" i="26"/>
  <c r="K14" i="26" s="1"/>
  <c r="FA17" i="2"/>
  <c r="J55" i="22"/>
  <c r="I56" i="22"/>
  <c r="E12" i="166"/>
  <c r="C11" i="166"/>
  <c r="J12" i="166"/>
  <c r="K12" i="166" s="1"/>
  <c r="K51" i="63"/>
  <c r="E16" i="117"/>
  <c r="C15" i="117"/>
  <c r="J16" i="117"/>
  <c r="K16" i="117" s="1"/>
  <c r="E15" i="126"/>
  <c r="C14" i="126"/>
  <c r="J15" i="126"/>
  <c r="K15" i="126" s="1"/>
  <c r="I56" i="24"/>
  <c r="J55" i="24"/>
  <c r="E15" i="144"/>
  <c r="C14" i="144"/>
  <c r="J15" i="144"/>
  <c r="K15" i="144" s="1"/>
  <c r="J52" i="56"/>
  <c r="I53" i="56"/>
  <c r="K50" i="4"/>
  <c r="BG56" i="1"/>
  <c r="BF56" i="1"/>
  <c r="I52" i="58"/>
  <c r="J51" i="58"/>
  <c r="I53" i="103"/>
  <c r="J52" i="103"/>
  <c r="K50" i="155"/>
  <c r="E12" i="146"/>
  <c r="C11" i="146"/>
  <c r="J12" i="146"/>
  <c r="K12" i="146" s="1"/>
  <c r="K52" i="128"/>
  <c r="E16" i="48"/>
  <c r="C15" i="48"/>
  <c r="J16" i="48"/>
  <c r="K16" i="48" s="1"/>
  <c r="K50" i="119"/>
  <c r="I54" i="158"/>
  <c r="J53" i="158"/>
  <c r="K49" i="43"/>
  <c r="E14" i="106"/>
  <c r="C13" i="106"/>
  <c r="J14" i="106"/>
  <c r="K14" i="106" s="1"/>
  <c r="K50" i="97"/>
  <c r="C12" i="131"/>
  <c r="E13" i="131"/>
  <c r="J13" i="131"/>
  <c r="K13" i="131" s="1"/>
  <c r="J51" i="95"/>
  <c r="I52" i="95"/>
  <c r="E17" i="172"/>
  <c r="C16" i="172"/>
  <c r="J17" i="172"/>
  <c r="K17" i="172" s="1"/>
  <c r="GR17" i="2"/>
  <c r="C14" i="99"/>
  <c r="E15" i="99"/>
  <c r="J15" i="99"/>
  <c r="K15" i="99" s="1"/>
  <c r="DT16" i="2"/>
  <c r="E15" i="135"/>
  <c r="C14" i="135"/>
  <c r="J15" i="135"/>
  <c r="K15" i="135" s="1"/>
  <c r="K50" i="5"/>
  <c r="E17" i="55"/>
  <c r="C16" i="55"/>
  <c r="J17" i="55"/>
  <c r="K17" i="55" s="1"/>
  <c r="K52" i="158"/>
  <c r="I56" i="14"/>
  <c r="J55" i="14"/>
  <c r="I53" i="168"/>
  <c r="J52" i="168"/>
  <c r="K51" i="168" s="1"/>
  <c r="I52" i="109"/>
  <c r="J51" i="109"/>
  <c r="K50" i="109" s="1"/>
  <c r="C16" i="155"/>
  <c r="CL16" i="2" s="1"/>
  <c r="E17" i="155"/>
  <c r="J17" i="155"/>
  <c r="K17" i="155" s="1"/>
  <c r="E16" i="31"/>
  <c r="C15" i="31"/>
  <c r="J16" i="31"/>
  <c r="K16" i="31" s="1"/>
  <c r="K52" i="92"/>
  <c r="I52" i="96"/>
  <c r="J51" i="96"/>
  <c r="C14" i="110"/>
  <c r="E15" i="110"/>
  <c r="J15" i="110"/>
  <c r="K15" i="110" s="1"/>
  <c r="C15" i="78"/>
  <c r="E16" i="78"/>
  <c r="J16" i="78"/>
  <c r="K16" i="78" s="1"/>
  <c r="C14" i="94"/>
  <c r="E15" i="94"/>
  <c r="J15" i="94"/>
  <c r="K15" i="94" s="1"/>
  <c r="K50" i="95"/>
  <c r="K49" i="95"/>
  <c r="E15" i="74"/>
  <c r="C14" i="74"/>
  <c r="J15" i="74"/>
  <c r="K15" i="74" s="1"/>
  <c r="K52" i="136"/>
  <c r="J56" i="145"/>
  <c r="K55" i="145" s="1"/>
  <c r="I57" i="145"/>
  <c r="I52" i="69"/>
  <c r="J51" i="69"/>
  <c r="J51" i="140"/>
  <c r="K50" i="140" s="1"/>
  <c r="I52" i="140"/>
  <c r="I56" i="42"/>
  <c r="J55" i="42"/>
  <c r="K54" i="42" s="1"/>
  <c r="E17" i="3"/>
  <c r="C16" i="3"/>
  <c r="J17" i="3"/>
  <c r="K17" i="3" s="1"/>
  <c r="K54" i="14"/>
  <c r="K55" i="7"/>
  <c r="FW18" i="2"/>
  <c r="E14" i="86"/>
  <c r="C13" i="86"/>
  <c r="J14" i="86"/>
  <c r="K14" i="86" s="1"/>
  <c r="J52" i="53"/>
  <c r="I53" i="53"/>
  <c r="I53" i="106"/>
  <c r="J52" i="106"/>
  <c r="K51" i="144"/>
  <c r="J54" i="9"/>
  <c r="I55" i="9"/>
  <c r="K50" i="69"/>
  <c r="K51" i="139"/>
  <c r="E15" i="129"/>
  <c r="C14" i="129"/>
  <c r="J15" i="129"/>
  <c r="K15" i="129" s="1"/>
  <c r="DS15" i="2"/>
  <c r="E14" i="149"/>
  <c r="C13" i="149"/>
  <c r="J14" i="149"/>
  <c r="K14" i="149" s="1"/>
  <c r="C14" i="68"/>
  <c r="E15" i="68"/>
  <c r="J15" i="68"/>
  <c r="K15" i="68" s="1"/>
  <c r="I54" i="167"/>
  <c r="J53" i="167"/>
  <c r="E17" i="158"/>
  <c r="C16" i="158"/>
  <c r="J17" i="158"/>
  <c r="K17" i="158" s="1"/>
  <c r="J56" i="7"/>
  <c r="I57" i="7"/>
  <c r="C13" i="62"/>
  <c r="E14" i="62"/>
  <c r="J14" i="62"/>
  <c r="K14" i="62" s="1"/>
  <c r="J52" i="144"/>
  <c r="I53" i="144"/>
  <c r="C14" i="137"/>
  <c r="E15" i="137"/>
  <c r="J15" i="137"/>
  <c r="K15" i="137" s="1"/>
  <c r="J54" i="117"/>
  <c r="I55" i="117"/>
  <c r="K53" i="9"/>
  <c r="E15" i="148"/>
  <c r="C14" i="148"/>
  <c r="J15" i="148"/>
  <c r="K15" i="148" s="1"/>
  <c r="DI17" i="2"/>
  <c r="E16" i="88"/>
  <c r="C15" i="88"/>
  <c r="J16" i="88"/>
  <c r="K16" i="88" s="1"/>
  <c r="K49" i="120"/>
  <c r="E15" i="118"/>
  <c r="C14" i="118"/>
  <c r="J15" i="118"/>
  <c r="K15" i="118" s="1"/>
  <c r="C14" i="113"/>
  <c r="E15" i="113"/>
  <c r="J15" i="113"/>
  <c r="K15" i="113" s="1"/>
  <c r="C14" i="128"/>
  <c r="E15" i="128"/>
  <c r="J15" i="128"/>
  <c r="K15" i="128" s="1"/>
  <c r="K52" i="167"/>
  <c r="E17" i="56"/>
  <c r="C16" i="56"/>
  <c r="J17" i="56"/>
  <c r="K17" i="56" s="1"/>
  <c r="K51" i="50"/>
  <c r="K50" i="147"/>
  <c r="J52" i="33"/>
  <c r="I53" i="33"/>
  <c r="J53" i="83"/>
  <c r="I54" i="83"/>
  <c r="E16" i="140"/>
  <c r="C15" i="140"/>
  <c r="J16" i="140"/>
  <c r="K16" i="140" s="1"/>
  <c r="C16" i="107"/>
  <c r="E17" i="107"/>
  <c r="J17" i="107"/>
  <c r="K17" i="107" s="1"/>
  <c r="K52" i="89"/>
  <c r="J54" i="48"/>
  <c r="K53" i="48" s="1"/>
  <c r="I55" i="48"/>
  <c r="K49" i="69"/>
  <c r="K50" i="40"/>
  <c r="I53" i="161"/>
  <c r="J52" i="161"/>
  <c r="I53" i="49"/>
  <c r="J52" i="49"/>
  <c r="J51" i="38"/>
  <c r="I52" i="38"/>
  <c r="C12" i="105"/>
  <c r="E13" i="105"/>
  <c r="J13" i="105"/>
  <c r="K13" i="105" s="1"/>
  <c r="I53" i="73"/>
  <c r="J52" i="73"/>
  <c r="K51" i="73" s="1"/>
  <c r="K50" i="87"/>
  <c r="E17" i="100"/>
  <c r="C16" i="100"/>
  <c r="J17" i="100"/>
  <c r="K17" i="100" s="1"/>
  <c r="J53" i="113"/>
  <c r="I54" i="113"/>
  <c r="J52" i="67"/>
  <c r="I53" i="67"/>
  <c r="I52" i="40"/>
  <c r="J51" i="40"/>
  <c r="E16" i="133"/>
  <c r="C15" i="133"/>
  <c r="J16" i="133"/>
  <c r="K16" i="133" s="1"/>
  <c r="DH16" i="2"/>
  <c r="J51" i="34"/>
  <c r="I52" i="34"/>
  <c r="K51" i="161"/>
  <c r="C15" i="162"/>
  <c r="E16" i="162"/>
  <c r="J16" i="162"/>
  <c r="K16" i="162" s="1"/>
  <c r="I54" i="28"/>
  <c r="J53" i="28"/>
  <c r="K50" i="38"/>
  <c r="K52" i="78"/>
  <c r="K49" i="55"/>
  <c r="E16" i="97"/>
  <c r="C15" i="97"/>
  <c r="J16" i="97"/>
  <c r="K16" i="97" s="1"/>
  <c r="K52" i="30"/>
  <c r="K51" i="126"/>
  <c r="C14" i="19"/>
  <c r="E15" i="19"/>
  <c r="J15" i="19"/>
  <c r="K15" i="19" s="1"/>
  <c r="I52" i="141"/>
  <c r="J51" i="141"/>
  <c r="J53" i="124"/>
  <c r="I54" i="124"/>
  <c r="I55" i="122"/>
  <c r="J54" i="122"/>
  <c r="J52" i="151"/>
  <c r="K51" i="151" s="1"/>
  <c r="I53" i="151"/>
  <c r="E15" i="130"/>
  <c r="C14" i="130"/>
  <c r="J15" i="130"/>
  <c r="K15" i="130" s="1"/>
  <c r="K52" i="28"/>
  <c r="K51" i="104"/>
  <c r="I54" i="30"/>
  <c r="J53" i="30"/>
  <c r="GI56" i="2"/>
  <c r="GH56" i="2"/>
  <c r="I52" i="100"/>
  <c r="J51" i="100"/>
  <c r="K50" i="100" s="1"/>
  <c r="K49" i="141"/>
  <c r="K53" i="122"/>
  <c r="N17" i="2"/>
  <c r="C12" i="34"/>
  <c r="E13" i="34"/>
  <c r="J13" i="34"/>
  <c r="K13" i="34" s="1"/>
  <c r="I54" i="68"/>
  <c r="J53" i="68"/>
  <c r="C12" i="43"/>
  <c r="E13" i="43"/>
  <c r="J13" i="43"/>
  <c r="K13" i="43" s="1"/>
  <c r="C15" i="15"/>
  <c r="E16" i="15"/>
  <c r="J16" i="15"/>
  <c r="K16" i="15" s="1"/>
  <c r="K51" i="113"/>
  <c r="K51" i="20"/>
  <c r="CB18" i="1"/>
  <c r="I54" i="173"/>
  <c r="J53" i="173"/>
  <c r="C15" i="147"/>
  <c r="E16" i="147"/>
  <c r="J16" i="147"/>
  <c r="K16" i="147" s="1"/>
  <c r="K51" i="28"/>
  <c r="K50" i="90"/>
  <c r="I53" i="104"/>
  <c r="J52" i="104"/>
  <c r="C12" i="59"/>
  <c r="E13" i="59"/>
  <c r="J13" i="59"/>
  <c r="K13" i="59" s="1"/>
  <c r="C13" i="39"/>
  <c r="E14" i="39"/>
  <c r="J14" i="39"/>
  <c r="K14" i="39" s="1"/>
  <c r="E15" i="116"/>
  <c r="C14" i="116"/>
  <c r="J15" i="116"/>
  <c r="K15" i="116" s="1"/>
  <c r="E10" i="82"/>
  <c r="C9" i="82"/>
  <c r="J10" i="82"/>
  <c r="K10" i="82" s="1"/>
  <c r="I53" i="88"/>
  <c r="J52" i="88"/>
  <c r="HD18" i="2"/>
  <c r="C15" i="114"/>
  <c r="E16" i="114"/>
  <c r="J16" i="114"/>
  <c r="K16" i="114" s="1"/>
  <c r="HZ17" i="2"/>
  <c r="C13" i="159"/>
  <c r="E14" i="159"/>
  <c r="J14" i="159"/>
  <c r="K14" i="159" s="1"/>
  <c r="C11" i="30"/>
  <c r="E12" i="30"/>
  <c r="J12" i="30"/>
  <c r="K12" i="30" s="1"/>
  <c r="J53" i="37"/>
  <c r="I54" i="37"/>
  <c r="I52" i="17"/>
  <c r="J51" i="17"/>
  <c r="K51" i="39"/>
  <c r="N18" i="1"/>
  <c r="I53" i="20"/>
  <c r="J52" i="20"/>
  <c r="K50" i="114"/>
  <c r="C16" i="6"/>
  <c r="CA17" i="1"/>
  <c r="E17" i="6"/>
  <c r="K52" i="173"/>
  <c r="K51" i="66"/>
  <c r="I52" i="90"/>
  <c r="J51" i="90"/>
  <c r="K53" i="32"/>
  <c r="E16" i="13"/>
  <c r="C15" i="13"/>
  <c r="J16" i="13"/>
  <c r="K16" i="13" s="1"/>
  <c r="IU16" i="2"/>
  <c r="K50" i="31"/>
  <c r="J53" i="23"/>
  <c r="K52" i="23" s="1"/>
  <c r="I54" i="23"/>
  <c r="J56" i="75"/>
  <c r="K55" i="75" s="1"/>
  <c r="I57" i="75"/>
  <c r="I52" i="147"/>
  <c r="J51" i="147"/>
  <c r="E15" i="22"/>
  <c r="C14" i="22"/>
  <c r="J15" i="22"/>
  <c r="K15" i="22" s="1"/>
  <c r="I55" i="152"/>
  <c r="J54" i="152"/>
  <c r="C16" i="58"/>
  <c r="E17" i="58"/>
  <c r="J17" i="58"/>
  <c r="K17" i="58" s="1"/>
  <c r="E15" i="103"/>
  <c r="C14" i="103"/>
  <c r="J15" i="103"/>
  <c r="K15" i="103" s="1"/>
  <c r="K49" i="102"/>
  <c r="K51" i="111"/>
  <c r="E16" i="169"/>
  <c r="C15" i="169"/>
  <c r="HY16" i="2"/>
  <c r="J16" i="169"/>
  <c r="K16" i="169" s="1"/>
  <c r="C13" i="72"/>
  <c r="E14" i="72"/>
  <c r="J14" i="72"/>
  <c r="K14" i="72" s="1"/>
  <c r="E16" i="33"/>
  <c r="C15" i="33"/>
  <c r="M16" i="2"/>
  <c r="J16" i="33"/>
  <c r="K16" i="33" s="1"/>
  <c r="E17" i="121"/>
  <c r="C16" i="121"/>
  <c r="J17" i="121"/>
  <c r="K17" i="121" s="1"/>
  <c r="J52" i="39"/>
  <c r="I53" i="39"/>
  <c r="Y18" i="2"/>
  <c r="K51" i="57"/>
  <c r="I52" i="8"/>
  <c r="J51" i="8"/>
  <c r="I55" i="13"/>
  <c r="J54" i="13"/>
  <c r="K53" i="13" s="1"/>
  <c r="K49" i="45"/>
  <c r="K49" i="47"/>
  <c r="I55" i="26"/>
  <c r="J54" i="26"/>
  <c r="C14" i="5"/>
  <c r="E15" i="5"/>
  <c r="J15" i="5"/>
  <c r="K15" i="5" s="1"/>
  <c r="J51" i="146"/>
  <c r="I52" i="146"/>
  <c r="K51" i="53"/>
  <c r="AU18" i="1"/>
  <c r="C16" i="27"/>
  <c r="IJ16" i="2" s="1"/>
  <c r="E17" i="27"/>
  <c r="J17" i="27"/>
  <c r="K17" i="27" s="1"/>
  <c r="C13" i="123"/>
  <c r="E14" i="123"/>
  <c r="J14" i="123"/>
  <c r="K14" i="123" s="1"/>
  <c r="C15" i="21"/>
  <c r="E16" i="21"/>
  <c r="J16" i="21"/>
  <c r="K16" i="21" s="1"/>
  <c r="J52" i="57"/>
  <c r="I53" i="57"/>
  <c r="K52" i="127"/>
  <c r="K52" i="132"/>
  <c r="C16" i="93"/>
  <c r="E17" i="93"/>
  <c r="J17" i="93"/>
  <c r="K17" i="93" s="1"/>
  <c r="E17" i="28"/>
  <c r="C16" i="28"/>
  <c r="AI16" i="2" s="1"/>
  <c r="J17" i="28"/>
  <c r="K17" i="28" s="1"/>
  <c r="K50" i="130"/>
  <c r="E14" i="120"/>
  <c r="C13" i="120"/>
  <c r="J14" i="120"/>
  <c r="K14" i="120" s="1"/>
  <c r="K50" i="146"/>
  <c r="E14" i="73"/>
  <c r="C13" i="73"/>
  <c r="J14" i="73"/>
  <c r="K14" i="73" s="1"/>
  <c r="CX17" i="2"/>
  <c r="K51" i="153"/>
  <c r="E14" i="61"/>
  <c r="C13" i="61"/>
  <c r="J14" i="61"/>
  <c r="K14" i="61" s="1"/>
  <c r="C14" i="57"/>
  <c r="E15" i="57"/>
  <c r="J15" i="57"/>
  <c r="K15" i="57" s="1"/>
  <c r="K50" i="112"/>
  <c r="I52" i="64"/>
  <c r="J51" i="64"/>
  <c r="E13" i="45"/>
  <c r="C12" i="45"/>
  <c r="J13" i="45"/>
  <c r="K13" i="45" s="1"/>
  <c r="E15" i="66"/>
  <c r="C14" i="66"/>
  <c r="J15" i="66"/>
  <c r="K15" i="66" s="1"/>
  <c r="C16" i="12"/>
  <c r="E17" i="12"/>
  <c r="X17" i="2"/>
  <c r="M17" i="1"/>
  <c r="J17" i="12"/>
  <c r="K17" i="12" s="1"/>
  <c r="I54" i="149"/>
  <c r="J53" i="149"/>
  <c r="K52" i="25"/>
  <c r="I54" i="99"/>
  <c r="J53" i="99"/>
  <c r="I52" i="130"/>
  <c r="J51" i="130"/>
  <c r="E14" i="173"/>
  <c r="C13" i="173"/>
  <c r="J14" i="173"/>
  <c r="K14" i="173" s="1"/>
  <c r="E13" i="111"/>
  <c r="C12" i="111"/>
  <c r="J13" i="111"/>
  <c r="K13" i="111" s="1"/>
  <c r="K52" i="115"/>
  <c r="C16" i="170"/>
  <c r="E17" i="170"/>
  <c r="J17" i="170"/>
  <c r="K17" i="170" s="1"/>
  <c r="C15" i="79"/>
  <c r="E16" i="79"/>
  <c r="J16" i="79"/>
  <c r="K16" i="79" s="1"/>
  <c r="I53" i="87"/>
  <c r="J52" i="87"/>
  <c r="K51" i="87" s="1"/>
  <c r="K50" i="3"/>
  <c r="I54" i="159"/>
  <c r="J53" i="159"/>
  <c r="K52" i="159" s="1"/>
  <c r="C16" i="42"/>
  <c r="E17" i="42"/>
  <c r="J17" i="42"/>
  <c r="K17" i="42" s="1"/>
  <c r="FV17" i="2"/>
  <c r="K50" i="50"/>
  <c r="K52" i="165"/>
  <c r="E16" i="164"/>
  <c r="C15" i="164"/>
  <c r="J16" i="164"/>
  <c r="K16" i="164" s="1"/>
  <c r="K50" i="33"/>
  <c r="K52" i="18"/>
  <c r="E15" i="16"/>
  <c r="C14" i="16"/>
  <c r="J15" i="16"/>
  <c r="K15" i="16" s="1"/>
  <c r="C16" i="7"/>
  <c r="EO16" i="2" s="1"/>
  <c r="E17" i="7"/>
  <c r="AT17" i="1"/>
  <c r="J17" i="7"/>
  <c r="K17" i="7" s="1"/>
  <c r="K52" i="101"/>
  <c r="J51" i="143"/>
  <c r="K50" i="143" s="1"/>
  <c r="I52" i="143"/>
  <c r="C14" i="65"/>
  <c r="E15" i="65"/>
  <c r="J15" i="65"/>
  <c r="K15" i="65" s="1"/>
  <c r="E16" i="151"/>
  <c r="C15" i="151"/>
  <c r="J16" i="151"/>
  <c r="K16" i="151" s="1"/>
  <c r="I55" i="156"/>
  <c r="J54" i="156"/>
  <c r="K53" i="156" s="1"/>
  <c r="K50" i="161"/>
  <c r="I54" i="25"/>
  <c r="J53" i="25"/>
  <c r="K49" i="38"/>
  <c r="K51" i="83"/>
  <c r="I57" i="133"/>
  <c r="J56" i="133"/>
  <c r="E14" i="141"/>
  <c r="C13" i="141"/>
  <c r="J14" i="141"/>
  <c r="K14" i="141" s="1"/>
  <c r="J54" i="98"/>
  <c r="I55" i="98"/>
  <c r="K49" i="11"/>
  <c r="BF17" i="2"/>
  <c r="J55" i="59"/>
  <c r="K54" i="59" s="1"/>
  <c r="I56" i="59"/>
  <c r="HO17" i="2"/>
  <c r="K49" i="166"/>
  <c r="E17" i="136"/>
  <c r="C16" i="136"/>
  <c r="J17" i="136"/>
  <c r="K17" i="136" s="1"/>
  <c r="K54" i="46"/>
  <c r="K49" i="143"/>
  <c r="K49" i="81"/>
  <c r="I55" i="135"/>
  <c r="J54" i="135"/>
  <c r="I53" i="131"/>
  <c r="J52" i="131"/>
  <c r="C14" i="75"/>
  <c r="E15" i="75"/>
  <c r="J15" i="75"/>
  <c r="K15" i="75" s="1"/>
  <c r="C13" i="69"/>
  <c r="E14" i="69"/>
  <c r="J14" i="69"/>
  <c r="K14" i="69" s="1"/>
  <c r="AU18" i="2"/>
  <c r="J52" i="108"/>
  <c r="I53" i="108"/>
  <c r="K49" i="90"/>
  <c r="K51" i="10"/>
  <c r="K52" i="29"/>
  <c r="K55" i="134"/>
  <c r="AJ18" i="2"/>
  <c r="J51" i="125"/>
  <c r="I52" i="125"/>
  <c r="E17" i="90"/>
  <c r="C16" i="90"/>
  <c r="J17" i="90"/>
  <c r="K17" i="90" s="1"/>
  <c r="I54" i="18"/>
  <c r="J53" i="18"/>
  <c r="E17" i="143"/>
  <c r="C16" i="143"/>
  <c r="J17" i="143"/>
  <c r="K17" i="143" s="1"/>
  <c r="C16" i="53"/>
  <c r="BE16" i="2" s="1"/>
  <c r="E17" i="53"/>
  <c r="J17" i="53"/>
  <c r="K17" i="53" s="1"/>
  <c r="K54" i="79"/>
  <c r="K54" i="71"/>
  <c r="K51" i="124"/>
  <c r="C12" i="102"/>
  <c r="E13" i="102"/>
  <c r="J13" i="102"/>
  <c r="K13" i="102" s="1"/>
  <c r="E16" i="145"/>
  <c r="C15" i="145"/>
  <c r="J16" i="145"/>
  <c r="K16" i="145" s="1"/>
  <c r="I54" i="93"/>
  <c r="J53" i="93"/>
  <c r="K51" i="37"/>
  <c r="K53" i="77"/>
  <c r="J52" i="121"/>
  <c r="K51" i="121" s="1"/>
  <c r="I53" i="121"/>
  <c r="I52" i="174"/>
  <c r="J51" i="174"/>
  <c r="K50" i="174" s="1"/>
  <c r="K49" i="140"/>
  <c r="FL18" i="2"/>
  <c r="K50" i="105"/>
  <c r="C15" i="36"/>
  <c r="CW15" i="2" s="1"/>
  <c r="E16" i="36"/>
  <c r="J16" i="36"/>
  <c r="K16" i="36" s="1"/>
  <c r="AJ18" i="1"/>
  <c r="J56" i="74"/>
  <c r="K55" i="74" s="1"/>
  <c r="I57" i="74"/>
  <c r="E12" i="138"/>
  <c r="C11" i="138"/>
  <c r="J12" i="138"/>
  <c r="K12" i="138" s="1"/>
  <c r="E12" i="156"/>
  <c r="C11" i="156"/>
  <c r="J12" i="156"/>
  <c r="K12" i="156" s="1"/>
  <c r="K53" i="62"/>
  <c r="AJ16" i="2" l="1"/>
  <c r="CX15" i="2"/>
  <c r="CM16" i="2"/>
  <c r="AJ16" i="1"/>
  <c r="EP16" i="2"/>
  <c r="IK16" i="2"/>
  <c r="BF16" i="2"/>
  <c r="I53" i="130"/>
  <c r="J52" i="130"/>
  <c r="C12" i="73"/>
  <c r="E13" i="73"/>
  <c r="J13" i="73"/>
  <c r="K13" i="73" s="1"/>
  <c r="E13" i="72"/>
  <c r="C12" i="72"/>
  <c r="J13" i="72"/>
  <c r="K13" i="72" s="1"/>
  <c r="J53" i="67"/>
  <c r="I54" i="67"/>
  <c r="E14" i="148"/>
  <c r="C13" i="148"/>
  <c r="J14" i="148"/>
  <c r="K14" i="148" s="1"/>
  <c r="J53" i="4"/>
  <c r="I54" i="4"/>
  <c r="J53" i="155"/>
  <c r="I54" i="155"/>
  <c r="I54" i="76"/>
  <c r="J53" i="76"/>
  <c r="I56" i="29"/>
  <c r="J55" i="29"/>
  <c r="K54" i="29" s="1"/>
  <c r="K56" i="61"/>
  <c r="E15" i="44"/>
  <c r="C14" i="44"/>
  <c r="J15" i="44"/>
  <c r="K15" i="44" s="1"/>
  <c r="I57" i="79"/>
  <c r="J56" i="79"/>
  <c r="C13" i="11"/>
  <c r="E14" i="11"/>
  <c r="J14" i="11"/>
  <c r="K14" i="11" s="1"/>
  <c r="C13" i="150"/>
  <c r="E14" i="150"/>
  <c r="J14" i="150"/>
  <c r="K14" i="150" s="1"/>
  <c r="I55" i="115"/>
  <c r="J54" i="115"/>
  <c r="K52" i="76"/>
  <c r="C12" i="171"/>
  <c r="E13" i="171"/>
  <c r="J13" i="171"/>
  <c r="K13" i="171" s="1"/>
  <c r="C14" i="95"/>
  <c r="E15" i="95"/>
  <c r="J15" i="95"/>
  <c r="K15" i="95" s="1"/>
  <c r="I58" i="61"/>
  <c r="J57" i="61"/>
  <c r="K51" i="141"/>
  <c r="E15" i="140"/>
  <c r="C14" i="140"/>
  <c r="J15" i="140"/>
  <c r="K15" i="140" s="1"/>
  <c r="C15" i="55"/>
  <c r="E16" i="55"/>
  <c r="J16" i="55"/>
  <c r="K16" i="55" s="1"/>
  <c r="I54" i="86"/>
  <c r="J53" i="86"/>
  <c r="I54" i="108"/>
  <c r="J53" i="108"/>
  <c r="K52" i="108" s="1"/>
  <c r="E13" i="141"/>
  <c r="C12" i="141"/>
  <c r="J13" i="141"/>
  <c r="K13" i="141" s="1"/>
  <c r="E15" i="164"/>
  <c r="C14" i="164"/>
  <c r="J15" i="164"/>
  <c r="K15" i="164" s="1"/>
  <c r="I55" i="99"/>
  <c r="J54" i="99"/>
  <c r="HZ16" i="2"/>
  <c r="J52" i="90"/>
  <c r="I53" i="90"/>
  <c r="C11" i="43"/>
  <c r="E12" i="43"/>
  <c r="J12" i="43"/>
  <c r="K12" i="43" s="1"/>
  <c r="I53" i="141"/>
  <c r="J52" i="141"/>
  <c r="I56" i="9"/>
  <c r="J55" i="9"/>
  <c r="E14" i="74"/>
  <c r="C13" i="74"/>
  <c r="J14" i="74"/>
  <c r="K14" i="74" s="1"/>
  <c r="E15" i="48"/>
  <c r="C14" i="48"/>
  <c r="J15" i="48"/>
  <c r="K15" i="48" s="1"/>
  <c r="E11" i="166"/>
  <c r="C10" i="166"/>
  <c r="J11" i="166"/>
  <c r="K11" i="166" s="1"/>
  <c r="K52" i="86"/>
  <c r="I53" i="47"/>
  <c r="J52" i="47"/>
  <c r="J56" i="82"/>
  <c r="I57" i="82"/>
  <c r="K53" i="10"/>
  <c r="C14" i="142"/>
  <c r="E15" i="142"/>
  <c r="J15" i="142"/>
  <c r="K15" i="142" s="1"/>
  <c r="I53" i="146"/>
  <c r="J52" i="146"/>
  <c r="C14" i="169"/>
  <c r="E15" i="169"/>
  <c r="J15" i="169"/>
  <c r="K15" i="169" s="1"/>
  <c r="J53" i="88"/>
  <c r="I54" i="88"/>
  <c r="J54" i="113"/>
  <c r="I55" i="113"/>
  <c r="I55" i="83"/>
  <c r="J54" i="83"/>
  <c r="I56" i="117"/>
  <c r="J55" i="117"/>
  <c r="K54" i="117" s="1"/>
  <c r="K54" i="9"/>
  <c r="J55" i="136"/>
  <c r="I56" i="136"/>
  <c r="E15" i="76"/>
  <c r="C14" i="76"/>
  <c r="J15" i="76"/>
  <c r="K15" i="76" s="1"/>
  <c r="K51" i="47"/>
  <c r="K55" i="82"/>
  <c r="I55" i="10"/>
  <c r="J54" i="10"/>
  <c r="I54" i="123"/>
  <c r="J53" i="123"/>
  <c r="J54" i="68"/>
  <c r="I55" i="68"/>
  <c r="K53" i="113"/>
  <c r="K53" i="83"/>
  <c r="K53" i="117"/>
  <c r="I57" i="22"/>
  <c r="J56" i="22"/>
  <c r="I56" i="16"/>
  <c r="J55" i="16"/>
  <c r="K54" i="136"/>
  <c r="I55" i="63"/>
  <c r="J54" i="63"/>
  <c r="E16" i="92"/>
  <c r="C15" i="92"/>
  <c r="J16" i="92"/>
  <c r="K16" i="92" s="1"/>
  <c r="C15" i="14"/>
  <c r="GR15" i="2" s="1"/>
  <c r="E16" i="14"/>
  <c r="J16" i="14"/>
  <c r="K16" i="14" s="1"/>
  <c r="GR16" i="2"/>
  <c r="K56" i="133"/>
  <c r="K53" i="149"/>
  <c r="C12" i="120"/>
  <c r="E13" i="120"/>
  <c r="J13" i="120"/>
  <c r="K13" i="120" s="1"/>
  <c r="I55" i="93"/>
  <c r="J54" i="93"/>
  <c r="I58" i="133"/>
  <c r="J57" i="133"/>
  <c r="I55" i="149"/>
  <c r="J54" i="149"/>
  <c r="E9" i="82"/>
  <c r="C8" i="82"/>
  <c r="J9" i="82"/>
  <c r="K9" i="82" s="1"/>
  <c r="E14" i="19"/>
  <c r="C13" i="19"/>
  <c r="J14" i="19"/>
  <c r="K14" i="19" s="1"/>
  <c r="J53" i="33"/>
  <c r="I54" i="33"/>
  <c r="C13" i="135"/>
  <c r="E14" i="135"/>
  <c r="J14" i="135"/>
  <c r="K14" i="135" s="1"/>
  <c r="E15" i="35"/>
  <c r="C14" i="35"/>
  <c r="J15" i="35"/>
  <c r="K15" i="35" s="1"/>
  <c r="I55" i="44"/>
  <c r="J54" i="44"/>
  <c r="K53" i="63"/>
  <c r="E15" i="154"/>
  <c r="C14" i="154"/>
  <c r="J15" i="154"/>
  <c r="K15" i="154" s="1"/>
  <c r="E13" i="37"/>
  <c r="C12" i="37"/>
  <c r="J13" i="37"/>
  <c r="K13" i="37" s="1"/>
  <c r="J55" i="142"/>
  <c r="I56" i="142"/>
  <c r="I56" i="62"/>
  <c r="J55" i="62"/>
  <c r="K53" i="93"/>
  <c r="FW17" i="2"/>
  <c r="E16" i="100"/>
  <c r="C15" i="100"/>
  <c r="J16" i="100"/>
  <c r="K16" i="100" s="1"/>
  <c r="C10" i="146"/>
  <c r="E11" i="146"/>
  <c r="J11" i="146"/>
  <c r="K11" i="146" s="1"/>
  <c r="I54" i="114"/>
  <c r="J53" i="114"/>
  <c r="I53" i="91"/>
  <c r="J52" i="91"/>
  <c r="K51" i="91" s="1"/>
  <c r="I54" i="21"/>
  <c r="J53" i="21"/>
  <c r="K53" i="44"/>
  <c r="I54" i="85"/>
  <c r="J53" i="85"/>
  <c r="J52" i="160"/>
  <c r="I53" i="160"/>
  <c r="E16" i="174"/>
  <c r="C15" i="174"/>
  <c r="HY15" i="2" s="1"/>
  <c r="J16" i="174"/>
  <c r="K16" i="174" s="1"/>
  <c r="E14" i="9"/>
  <c r="C13" i="9"/>
  <c r="J14" i="9"/>
  <c r="K14" i="9" s="1"/>
  <c r="C11" i="34"/>
  <c r="E12" i="34"/>
  <c r="J12" i="34"/>
  <c r="K12" i="34" s="1"/>
  <c r="C13" i="137"/>
  <c r="E14" i="137"/>
  <c r="J14" i="137"/>
  <c r="K14" i="137" s="1"/>
  <c r="I54" i="106"/>
  <c r="J53" i="106"/>
  <c r="K52" i="106" s="1"/>
  <c r="I53" i="43"/>
  <c r="J52" i="43"/>
  <c r="C14" i="80"/>
  <c r="E15" i="80"/>
  <c r="J15" i="80"/>
  <c r="K15" i="80" s="1"/>
  <c r="E14" i="83"/>
  <c r="C13" i="83"/>
  <c r="J14" i="83"/>
  <c r="K14" i="83" s="1"/>
  <c r="E15" i="119"/>
  <c r="C14" i="119"/>
  <c r="J15" i="119"/>
  <c r="K15" i="119" s="1"/>
  <c r="C13" i="5"/>
  <c r="E14" i="5"/>
  <c r="J14" i="5"/>
  <c r="K14" i="5" s="1"/>
  <c r="E16" i="28"/>
  <c r="C15" i="28"/>
  <c r="J16" i="28"/>
  <c r="K16" i="28" s="1"/>
  <c r="I56" i="26"/>
  <c r="J55" i="26"/>
  <c r="E14" i="103"/>
  <c r="C13" i="103"/>
  <c r="J14" i="103"/>
  <c r="K14" i="103" s="1"/>
  <c r="E16" i="6"/>
  <c r="CA16" i="1"/>
  <c r="C15" i="6"/>
  <c r="E14" i="116"/>
  <c r="C13" i="116"/>
  <c r="J14" i="116"/>
  <c r="K14" i="116" s="1"/>
  <c r="K50" i="141"/>
  <c r="I54" i="144"/>
  <c r="J53" i="144"/>
  <c r="I54" i="53"/>
  <c r="J53" i="53"/>
  <c r="E14" i="94"/>
  <c r="C13" i="94"/>
  <c r="J14" i="94"/>
  <c r="K14" i="94" s="1"/>
  <c r="I53" i="81"/>
  <c r="J52" i="81"/>
  <c r="K51" i="81" s="1"/>
  <c r="J55" i="78"/>
  <c r="K54" i="78" s="1"/>
  <c r="I56" i="78"/>
  <c r="I54" i="97"/>
  <c r="J53" i="97"/>
  <c r="K52" i="97" s="1"/>
  <c r="BQ17" i="1"/>
  <c r="J57" i="134"/>
  <c r="K56" i="134" s="1"/>
  <c r="I58" i="134"/>
  <c r="E13" i="40"/>
  <c r="C12" i="40"/>
  <c r="J13" i="40"/>
  <c r="K13" i="40" s="1"/>
  <c r="J55" i="51"/>
  <c r="I56" i="51"/>
  <c r="E14" i="25"/>
  <c r="C13" i="25"/>
  <c r="J14" i="25"/>
  <c r="K14" i="25" s="1"/>
  <c r="C10" i="32"/>
  <c r="E11" i="32"/>
  <c r="J11" i="32"/>
  <c r="K11" i="32" s="1"/>
  <c r="AU17" i="2"/>
  <c r="K52" i="33"/>
  <c r="E15" i="145"/>
  <c r="C14" i="145"/>
  <c r="J15" i="145"/>
  <c r="K15" i="145" s="1"/>
  <c r="N17" i="1"/>
  <c r="Y17" i="2"/>
  <c r="K53" i="25"/>
  <c r="C15" i="42"/>
  <c r="E16" i="42"/>
  <c r="J16" i="42"/>
  <c r="K16" i="42" s="1"/>
  <c r="FV16" i="2"/>
  <c r="K52" i="144"/>
  <c r="K52" i="53"/>
  <c r="K52" i="103"/>
  <c r="E13" i="26"/>
  <c r="C12" i="26"/>
  <c r="J13" i="26"/>
  <c r="K13" i="26" s="1"/>
  <c r="HD17" i="2"/>
  <c r="C14" i="41"/>
  <c r="E15" i="41"/>
  <c r="J15" i="41"/>
  <c r="K15" i="41" s="1"/>
  <c r="I53" i="171"/>
  <c r="J52" i="171"/>
  <c r="C14" i="122"/>
  <c r="E15" i="122"/>
  <c r="J15" i="122"/>
  <c r="K15" i="122" s="1"/>
  <c r="I56" i="132"/>
  <c r="J55" i="132"/>
  <c r="I54" i="31"/>
  <c r="J53" i="31"/>
  <c r="K52" i="31" s="1"/>
  <c r="E16" i="50"/>
  <c r="C15" i="50"/>
  <c r="AT16" i="2"/>
  <c r="J16" i="50"/>
  <c r="K16" i="50" s="1"/>
  <c r="CB17" i="1"/>
  <c r="C12" i="69"/>
  <c r="E13" i="69"/>
  <c r="J13" i="69"/>
  <c r="K13" i="69" s="1"/>
  <c r="K52" i="99"/>
  <c r="I55" i="25"/>
  <c r="J54" i="25"/>
  <c r="K51" i="33"/>
  <c r="C15" i="12"/>
  <c r="E16" i="12"/>
  <c r="X16" i="2"/>
  <c r="M16" i="1"/>
  <c r="J16" i="12"/>
  <c r="K16" i="12" s="1"/>
  <c r="K53" i="26"/>
  <c r="K52" i="20"/>
  <c r="K51" i="106"/>
  <c r="J53" i="103"/>
  <c r="I54" i="103"/>
  <c r="J54" i="157"/>
  <c r="I55" i="157"/>
  <c r="E15" i="70"/>
  <c r="C14" i="70"/>
  <c r="J15" i="70"/>
  <c r="K15" i="70" s="1"/>
  <c r="C14" i="125"/>
  <c r="E15" i="125"/>
  <c r="J15" i="125"/>
  <c r="K15" i="125" s="1"/>
  <c r="HC16" i="2"/>
  <c r="C15" i="8"/>
  <c r="E16" i="8"/>
  <c r="BP16" i="1"/>
  <c r="J16" i="8"/>
  <c r="K16" i="8" s="1"/>
  <c r="J53" i="138"/>
  <c r="I54" i="138"/>
  <c r="K52" i="162"/>
  <c r="K53" i="139"/>
  <c r="K54" i="132"/>
  <c r="J52" i="166"/>
  <c r="I53" i="166"/>
  <c r="I54" i="20"/>
  <c r="J53" i="20"/>
  <c r="C14" i="97"/>
  <c r="E15" i="97"/>
  <c r="J15" i="97"/>
  <c r="K15" i="97" s="1"/>
  <c r="E13" i="86"/>
  <c r="C12" i="86"/>
  <c r="J13" i="86"/>
  <c r="K13" i="86" s="1"/>
  <c r="C14" i="78"/>
  <c r="E15" i="78"/>
  <c r="J15" i="78"/>
  <c r="K15" i="78" s="1"/>
  <c r="E14" i="99"/>
  <c r="C13" i="99"/>
  <c r="J14" i="99"/>
  <c r="K14" i="99" s="1"/>
  <c r="K53" i="157"/>
  <c r="K51" i="102"/>
  <c r="K53" i="66"/>
  <c r="E15" i="77"/>
  <c r="C14" i="77"/>
  <c r="J15" i="77"/>
  <c r="K15" i="77" s="1"/>
  <c r="K52" i="138"/>
  <c r="E14" i="167"/>
  <c r="C13" i="167"/>
  <c r="J14" i="167"/>
  <c r="K14" i="167" s="1"/>
  <c r="I54" i="162"/>
  <c r="J53" i="162"/>
  <c r="J54" i="139"/>
  <c r="I55" i="139"/>
  <c r="I54" i="52"/>
  <c r="J53" i="52"/>
  <c r="K51" i="105"/>
  <c r="C13" i="75"/>
  <c r="E14" i="75"/>
  <c r="J14" i="75"/>
  <c r="K14" i="75" s="1"/>
  <c r="K54" i="156"/>
  <c r="I55" i="159"/>
  <c r="J54" i="159"/>
  <c r="C13" i="66"/>
  <c r="E14" i="66"/>
  <c r="J14" i="66"/>
  <c r="K14" i="66" s="1"/>
  <c r="J55" i="13"/>
  <c r="I56" i="13"/>
  <c r="C15" i="58"/>
  <c r="E16" i="58"/>
  <c r="J16" i="58"/>
  <c r="K16" i="58" s="1"/>
  <c r="E13" i="39"/>
  <c r="C12" i="39"/>
  <c r="J13" i="39"/>
  <c r="K13" i="39" s="1"/>
  <c r="I54" i="73"/>
  <c r="J53" i="73"/>
  <c r="K52" i="73" s="1"/>
  <c r="E16" i="56"/>
  <c r="C15" i="56"/>
  <c r="J16" i="56"/>
  <c r="K16" i="56" s="1"/>
  <c r="I53" i="58"/>
  <c r="J52" i="58"/>
  <c r="I53" i="102"/>
  <c r="J52" i="102"/>
  <c r="J54" i="66"/>
  <c r="I55" i="66"/>
  <c r="K50" i="43"/>
  <c r="E14" i="17"/>
  <c r="C13" i="17"/>
  <c r="J14" i="17"/>
  <c r="K14" i="17" s="1"/>
  <c r="K54" i="101"/>
  <c r="I56" i="127"/>
  <c r="J55" i="127"/>
  <c r="K52" i="52"/>
  <c r="I53" i="105"/>
  <c r="J52" i="105"/>
  <c r="I56" i="156"/>
  <c r="J55" i="156"/>
  <c r="C15" i="93"/>
  <c r="E16" i="93"/>
  <c r="J16" i="93"/>
  <c r="K16" i="93" s="1"/>
  <c r="K54" i="152"/>
  <c r="I53" i="100"/>
  <c r="J52" i="100"/>
  <c r="E13" i="62"/>
  <c r="C12" i="62"/>
  <c r="J13" i="62"/>
  <c r="K13" i="62" s="1"/>
  <c r="GS17" i="2"/>
  <c r="I55" i="60"/>
  <c r="J54" i="60"/>
  <c r="K54" i="22"/>
  <c r="I54" i="19"/>
  <c r="J53" i="19"/>
  <c r="C14" i="153"/>
  <c r="E15" i="153"/>
  <c r="J15" i="153"/>
  <c r="K15" i="153" s="1"/>
  <c r="I53" i="35"/>
  <c r="J52" i="35"/>
  <c r="K56" i="46"/>
  <c r="K51" i="76"/>
  <c r="I56" i="101"/>
  <c r="J55" i="101"/>
  <c r="J53" i="54"/>
  <c r="I54" i="54"/>
  <c r="C12" i="85"/>
  <c r="E13" i="85"/>
  <c r="J13" i="85"/>
  <c r="K13" i="85" s="1"/>
  <c r="K52" i="149"/>
  <c r="J52" i="8"/>
  <c r="K51" i="8" s="1"/>
  <c r="I53" i="8"/>
  <c r="J55" i="152"/>
  <c r="I56" i="152"/>
  <c r="K52" i="83"/>
  <c r="E14" i="110"/>
  <c r="C13" i="110"/>
  <c r="J14" i="110"/>
  <c r="K14" i="110" s="1"/>
  <c r="K50" i="58"/>
  <c r="K53" i="16"/>
  <c r="I53" i="36"/>
  <c r="J52" i="36"/>
  <c r="K51" i="36" s="1"/>
  <c r="K51" i="19"/>
  <c r="J57" i="46"/>
  <c r="I58" i="46"/>
  <c r="J52" i="110"/>
  <c r="I53" i="110"/>
  <c r="K54" i="172"/>
  <c r="E14" i="4"/>
  <c r="C13" i="4"/>
  <c r="J14" i="4"/>
  <c r="K14" i="4" s="1"/>
  <c r="K53" i="159"/>
  <c r="J53" i="131"/>
  <c r="K52" i="131" s="1"/>
  <c r="I54" i="131"/>
  <c r="E11" i="138"/>
  <c r="C10" i="138"/>
  <c r="J11" i="138"/>
  <c r="K11" i="138" s="1"/>
  <c r="E15" i="151"/>
  <c r="C14" i="151"/>
  <c r="J15" i="151"/>
  <c r="K15" i="151" s="1"/>
  <c r="J53" i="87"/>
  <c r="I54" i="87"/>
  <c r="E12" i="45"/>
  <c r="C11" i="45"/>
  <c r="J12" i="45"/>
  <c r="K12" i="45" s="1"/>
  <c r="K53" i="152"/>
  <c r="C11" i="59"/>
  <c r="E12" i="59"/>
  <c r="J12" i="59"/>
  <c r="K12" i="59" s="1"/>
  <c r="E12" i="105"/>
  <c r="C11" i="105"/>
  <c r="J12" i="105"/>
  <c r="K12" i="105" s="1"/>
  <c r="I58" i="7"/>
  <c r="J57" i="7"/>
  <c r="E12" i="160"/>
  <c r="C11" i="160"/>
  <c r="J12" i="160"/>
  <c r="K12" i="160" s="1"/>
  <c r="E14" i="161"/>
  <c r="C13" i="161"/>
  <c r="J14" i="161"/>
  <c r="K14" i="161" s="1"/>
  <c r="EE17" i="2"/>
  <c r="C14" i="38"/>
  <c r="E15" i="38"/>
  <c r="J15" i="38"/>
  <c r="K15" i="38" s="1"/>
  <c r="K51" i="110"/>
  <c r="J55" i="172"/>
  <c r="I56" i="172"/>
  <c r="I54" i="170"/>
  <c r="J53" i="170"/>
  <c r="K52" i="170" s="1"/>
  <c r="J55" i="135"/>
  <c r="I56" i="135"/>
  <c r="J52" i="17"/>
  <c r="I53" i="17"/>
  <c r="K51" i="88"/>
  <c r="I53" i="38"/>
  <c r="J52" i="38"/>
  <c r="K56" i="7"/>
  <c r="I53" i="96"/>
  <c r="J52" i="96"/>
  <c r="C15" i="172"/>
  <c r="E16" i="172"/>
  <c r="J16" i="172"/>
  <c r="K16" i="172" s="1"/>
  <c r="K52" i="66"/>
  <c r="C13" i="18"/>
  <c r="E14" i="18"/>
  <c r="J14" i="18"/>
  <c r="K14" i="18" s="1"/>
  <c r="E13" i="51"/>
  <c r="C12" i="51"/>
  <c r="J13" i="51"/>
  <c r="K13" i="51" s="1"/>
  <c r="C13" i="60"/>
  <c r="E14" i="60"/>
  <c r="J14" i="60"/>
  <c r="K14" i="60" s="1"/>
  <c r="K51" i="112"/>
  <c r="HO16" i="2"/>
  <c r="I56" i="89"/>
  <c r="J55" i="89"/>
  <c r="K54" i="89" s="1"/>
  <c r="K54" i="135"/>
  <c r="J57" i="74"/>
  <c r="I58" i="74"/>
  <c r="E16" i="53"/>
  <c r="C15" i="53"/>
  <c r="BE15" i="2" s="1"/>
  <c r="J16" i="53"/>
  <c r="K16" i="53" s="1"/>
  <c r="K50" i="8"/>
  <c r="I55" i="37"/>
  <c r="J54" i="37"/>
  <c r="I54" i="104"/>
  <c r="J53" i="104"/>
  <c r="I55" i="28"/>
  <c r="J54" i="28"/>
  <c r="K51" i="38"/>
  <c r="E14" i="128"/>
  <c r="C13" i="128"/>
  <c r="J14" i="128"/>
  <c r="K14" i="128" s="1"/>
  <c r="E16" i="152"/>
  <c r="C15" i="152"/>
  <c r="J16" i="152"/>
  <c r="K16" i="152" s="1"/>
  <c r="K52" i="5"/>
  <c r="E15" i="23"/>
  <c r="C14" i="23"/>
  <c r="J15" i="23"/>
  <c r="K15" i="23" s="1"/>
  <c r="C12" i="168"/>
  <c r="E13" i="168"/>
  <c r="J13" i="168"/>
  <c r="K13" i="168" s="1"/>
  <c r="K52" i="139"/>
  <c r="C15" i="109"/>
  <c r="E16" i="109"/>
  <c r="ED16" i="2"/>
  <c r="J16" i="109"/>
  <c r="K16" i="109" s="1"/>
  <c r="I53" i="112"/>
  <c r="J52" i="112"/>
  <c r="J53" i="39"/>
  <c r="I54" i="39"/>
  <c r="C13" i="22"/>
  <c r="E14" i="22"/>
  <c r="J14" i="22"/>
  <c r="K14" i="22" s="1"/>
  <c r="K53" i="37"/>
  <c r="J54" i="30"/>
  <c r="K53" i="30" s="1"/>
  <c r="I55" i="30"/>
  <c r="E16" i="158"/>
  <c r="C15" i="158"/>
  <c r="J16" i="158"/>
  <c r="K16" i="158" s="1"/>
  <c r="I54" i="56"/>
  <c r="J53" i="56"/>
  <c r="I54" i="50"/>
  <c r="J53" i="50"/>
  <c r="I54" i="5"/>
  <c r="J53" i="5"/>
  <c r="E13" i="115"/>
  <c r="C12" i="115"/>
  <c r="J13" i="115"/>
  <c r="K13" i="115" s="1"/>
  <c r="K51" i="138"/>
  <c r="K55" i="46"/>
  <c r="I54" i="119"/>
  <c r="J53" i="119"/>
  <c r="K52" i="119" s="1"/>
  <c r="E15" i="10"/>
  <c r="C14" i="10"/>
  <c r="J15" i="10"/>
  <c r="K15" i="10" s="1"/>
  <c r="C15" i="143"/>
  <c r="E16" i="143"/>
  <c r="J16" i="143"/>
  <c r="K16" i="143" s="1"/>
  <c r="J53" i="49"/>
  <c r="K52" i="49" s="1"/>
  <c r="I54" i="49"/>
  <c r="CA16" i="2"/>
  <c r="J52" i="95"/>
  <c r="I53" i="95"/>
  <c r="K52" i="56"/>
  <c r="K52" i="157"/>
  <c r="K51" i="114"/>
  <c r="I57" i="32"/>
  <c r="J56" i="32"/>
  <c r="K55" i="32" s="1"/>
  <c r="C11" i="165"/>
  <c r="E12" i="165"/>
  <c r="J12" i="165"/>
  <c r="K12" i="165" s="1"/>
  <c r="I53" i="120"/>
  <c r="J52" i="120"/>
  <c r="FA16" i="2"/>
  <c r="C14" i="89"/>
  <c r="E15" i="89"/>
  <c r="J15" i="89"/>
  <c r="K15" i="89" s="1"/>
  <c r="HN15" i="2"/>
  <c r="C15" i="91"/>
  <c r="E16" i="91"/>
  <c r="J16" i="91"/>
  <c r="K16" i="91" s="1"/>
  <c r="C14" i="79"/>
  <c r="E15" i="79"/>
  <c r="J15" i="79"/>
  <c r="K15" i="79" s="1"/>
  <c r="I54" i="57"/>
  <c r="J53" i="57"/>
  <c r="E14" i="65"/>
  <c r="C13" i="65"/>
  <c r="J14" i="65"/>
  <c r="K14" i="65" s="1"/>
  <c r="J52" i="64"/>
  <c r="I53" i="64"/>
  <c r="K52" i="39"/>
  <c r="K50" i="17"/>
  <c r="K51" i="147"/>
  <c r="C14" i="162"/>
  <c r="E15" i="162"/>
  <c r="J15" i="162"/>
  <c r="K15" i="162" s="1"/>
  <c r="E14" i="113"/>
  <c r="C13" i="113"/>
  <c r="J14" i="113"/>
  <c r="K14" i="113" s="1"/>
  <c r="C14" i="31"/>
  <c r="E15" i="31"/>
  <c r="J15" i="31"/>
  <c r="K15" i="31" s="1"/>
  <c r="K51" i="95"/>
  <c r="K51" i="86"/>
  <c r="K50" i="96"/>
  <c r="K54" i="107"/>
  <c r="K50" i="36"/>
  <c r="E15" i="108"/>
  <c r="C14" i="108"/>
  <c r="J15" i="108"/>
  <c r="K15" i="108" s="1"/>
  <c r="E13" i="47"/>
  <c r="C12" i="47"/>
  <c r="J13" i="47"/>
  <c r="K13" i="47" s="1"/>
  <c r="K52" i="70"/>
  <c r="C14" i="134"/>
  <c r="E15" i="134"/>
  <c r="EZ15" i="2"/>
  <c r="J15" i="134"/>
  <c r="K15" i="134" s="1"/>
  <c r="I56" i="77"/>
  <c r="J55" i="77"/>
  <c r="K56" i="74"/>
  <c r="K51" i="131"/>
  <c r="K51" i="108"/>
  <c r="E16" i="136"/>
  <c r="C15" i="136"/>
  <c r="J16" i="136"/>
  <c r="K16" i="136" s="1"/>
  <c r="I53" i="143"/>
  <c r="J52" i="143"/>
  <c r="E16" i="170"/>
  <c r="C15" i="170"/>
  <c r="AI15" i="2" s="1"/>
  <c r="J16" i="170"/>
  <c r="K16" i="170" s="1"/>
  <c r="K52" i="37"/>
  <c r="J52" i="147"/>
  <c r="I53" i="147"/>
  <c r="C10" i="30"/>
  <c r="E11" i="30"/>
  <c r="J11" i="30"/>
  <c r="K11" i="30" s="1"/>
  <c r="K51" i="49"/>
  <c r="I54" i="161"/>
  <c r="J53" i="161"/>
  <c r="K52" i="161" s="1"/>
  <c r="I55" i="167"/>
  <c r="J54" i="167"/>
  <c r="K53" i="167" s="1"/>
  <c r="I56" i="107"/>
  <c r="J55" i="107"/>
  <c r="I54" i="137"/>
  <c r="J53" i="137"/>
  <c r="K52" i="137" s="1"/>
  <c r="K50" i="171"/>
  <c r="C10" i="157"/>
  <c r="E11" i="157"/>
  <c r="J11" i="157"/>
  <c r="K11" i="157" s="1"/>
  <c r="I54" i="70"/>
  <c r="J53" i="70"/>
  <c r="E13" i="124"/>
  <c r="C12" i="124"/>
  <c r="J13" i="124"/>
  <c r="K13" i="124" s="1"/>
  <c r="I55" i="165"/>
  <c r="J54" i="165"/>
  <c r="I55" i="18"/>
  <c r="J54" i="18"/>
  <c r="K51" i="143"/>
  <c r="E15" i="21"/>
  <c r="C14" i="21"/>
  <c r="J15" i="21"/>
  <c r="K15" i="21" s="1"/>
  <c r="E15" i="147"/>
  <c r="C14" i="147"/>
  <c r="J15" i="147"/>
  <c r="K15" i="147" s="1"/>
  <c r="C13" i="130"/>
  <c r="E14" i="130"/>
  <c r="J14" i="130"/>
  <c r="K14" i="130" s="1"/>
  <c r="C13" i="118"/>
  <c r="E14" i="118"/>
  <c r="J14" i="118"/>
  <c r="K14" i="118" s="1"/>
  <c r="E16" i="3"/>
  <c r="C15" i="3"/>
  <c r="J16" i="3"/>
  <c r="K16" i="3" s="1"/>
  <c r="C13" i="144"/>
  <c r="E14" i="144"/>
  <c r="J14" i="144"/>
  <c r="K14" i="144" s="1"/>
  <c r="E15" i="63"/>
  <c r="C14" i="63"/>
  <c r="J15" i="63"/>
  <c r="K15" i="63" s="1"/>
  <c r="C13" i="64"/>
  <c r="E14" i="64"/>
  <c r="J14" i="64"/>
  <c r="K14" i="64" s="1"/>
  <c r="E16" i="49"/>
  <c r="C15" i="49"/>
  <c r="J16" i="49"/>
  <c r="K16" i="49" s="1"/>
  <c r="E9" i="98"/>
  <c r="C8" i="98"/>
  <c r="J9" i="98"/>
  <c r="K9" i="98" s="1"/>
  <c r="J57" i="75"/>
  <c r="K56" i="75" s="1"/>
  <c r="I58" i="75"/>
  <c r="E14" i="57"/>
  <c r="C13" i="57"/>
  <c r="J14" i="57"/>
  <c r="K14" i="57" s="1"/>
  <c r="E16" i="121"/>
  <c r="C15" i="121"/>
  <c r="J16" i="121"/>
  <c r="K16" i="121" s="1"/>
  <c r="K53" i="173"/>
  <c r="C11" i="131"/>
  <c r="E12" i="131"/>
  <c r="J12" i="131"/>
  <c r="K12" i="131" s="1"/>
  <c r="I54" i="3"/>
  <c r="J53" i="3"/>
  <c r="K52" i="3" s="1"/>
  <c r="C12" i="163"/>
  <c r="E13" i="163"/>
  <c r="J13" i="163"/>
  <c r="K13" i="163" s="1"/>
  <c r="I57" i="27"/>
  <c r="J56" i="27"/>
  <c r="K55" i="27" s="1"/>
  <c r="E13" i="84"/>
  <c r="C12" i="84"/>
  <c r="J13" i="84"/>
  <c r="K13" i="84" s="1"/>
  <c r="BQ17" i="2"/>
  <c r="I54" i="116"/>
  <c r="J53" i="116"/>
  <c r="K54" i="128"/>
  <c r="I54" i="111"/>
  <c r="J53" i="111"/>
  <c r="J54" i="23"/>
  <c r="K53" i="23" s="1"/>
  <c r="I55" i="23"/>
  <c r="I55" i="173"/>
  <c r="J54" i="173"/>
  <c r="I54" i="151"/>
  <c r="J53" i="151"/>
  <c r="J52" i="34"/>
  <c r="I53" i="34"/>
  <c r="J55" i="48"/>
  <c r="I56" i="48"/>
  <c r="E14" i="68"/>
  <c r="C13" i="68"/>
  <c r="J14" i="68"/>
  <c r="K14" i="68" s="1"/>
  <c r="K55" i="42"/>
  <c r="C15" i="155"/>
  <c r="E16" i="155"/>
  <c r="J16" i="155"/>
  <c r="K16" i="155" s="1"/>
  <c r="J52" i="45"/>
  <c r="I53" i="45"/>
  <c r="C13" i="139"/>
  <c r="E14" i="139"/>
  <c r="J14" i="139"/>
  <c r="K14" i="139" s="1"/>
  <c r="E16" i="52"/>
  <c r="C15" i="52"/>
  <c r="BP16" i="2"/>
  <c r="J16" i="52"/>
  <c r="K16" i="52" s="1"/>
  <c r="I54" i="169"/>
  <c r="J53" i="169"/>
  <c r="K52" i="169" s="1"/>
  <c r="E14" i="81"/>
  <c r="C13" i="81"/>
  <c r="J14" i="81"/>
  <c r="K14" i="81" s="1"/>
  <c r="J53" i="154"/>
  <c r="I54" i="154"/>
  <c r="I56" i="128"/>
  <c r="J55" i="128"/>
  <c r="D55" i="2"/>
  <c r="DU55" i="2"/>
  <c r="O55" i="2"/>
  <c r="FB55" i="2"/>
  <c r="IL55" i="2"/>
  <c r="DJ55" i="2"/>
  <c r="CY55" i="2"/>
  <c r="AK55" i="2"/>
  <c r="CC55" i="2"/>
  <c r="FM55" i="2"/>
  <c r="IW55" i="2"/>
  <c r="EF55" i="2"/>
  <c r="EQ55" i="2"/>
  <c r="AV55" i="2"/>
  <c r="IA55" i="2"/>
  <c r="Z55" i="2"/>
  <c r="CN55" i="2"/>
  <c r="BR55" i="2"/>
  <c r="BG55" i="2"/>
  <c r="FX55" i="2"/>
  <c r="GT55" i="2"/>
  <c r="HE55" i="2"/>
  <c r="HP55" i="2"/>
  <c r="K52" i="151"/>
  <c r="K51" i="34"/>
  <c r="K54" i="48"/>
  <c r="J56" i="42"/>
  <c r="I57" i="42"/>
  <c r="K51" i="56"/>
  <c r="I57" i="24"/>
  <c r="J56" i="24"/>
  <c r="K55" i="24" s="1"/>
  <c r="I54" i="84"/>
  <c r="J53" i="84"/>
  <c r="K52" i="84" s="1"/>
  <c r="K53" i="92"/>
  <c r="K52" i="63"/>
  <c r="J52" i="11"/>
  <c r="I53" i="11"/>
  <c r="K53" i="98"/>
  <c r="K51" i="119"/>
  <c r="D55" i="1"/>
  <c r="BR55" i="1"/>
  <c r="AV55" i="1"/>
  <c r="Z55" i="1"/>
  <c r="O55" i="1"/>
  <c r="AK55" i="1"/>
  <c r="CC55" i="1"/>
  <c r="E14" i="104"/>
  <c r="C13" i="104"/>
  <c r="J14" i="104"/>
  <c r="K14" i="104" s="1"/>
  <c r="I53" i="125"/>
  <c r="J52" i="125"/>
  <c r="I57" i="59"/>
  <c r="J56" i="59"/>
  <c r="K55" i="133"/>
  <c r="E13" i="61"/>
  <c r="C12" i="61"/>
  <c r="J13" i="61"/>
  <c r="K13" i="61" s="1"/>
  <c r="N16" i="2"/>
  <c r="K50" i="34"/>
  <c r="DI16" i="2"/>
  <c r="K52" i="113"/>
  <c r="FK16" i="2"/>
  <c r="C12" i="149"/>
  <c r="E13" i="149"/>
  <c r="J13" i="149"/>
  <c r="K13" i="149" s="1"/>
  <c r="I53" i="140"/>
  <c r="J52" i="140"/>
  <c r="I53" i="109"/>
  <c r="J52" i="109"/>
  <c r="I55" i="118"/>
  <c r="J54" i="118"/>
  <c r="K54" i="27"/>
  <c r="I55" i="92"/>
  <c r="J54" i="92"/>
  <c r="E14" i="54"/>
  <c r="C13" i="54"/>
  <c r="J14" i="54"/>
  <c r="K14" i="54" s="1"/>
  <c r="K51" i="70"/>
  <c r="E15" i="132"/>
  <c r="C14" i="132"/>
  <c r="J15" i="132"/>
  <c r="K15" i="132" s="1"/>
  <c r="I53" i="148"/>
  <c r="J52" i="148"/>
  <c r="BF55" i="1"/>
  <c r="BG55" i="1"/>
  <c r="AU17" i="1"/>
  <c r="C12" i="123"/>
  <c r="E13" i="123"/>
  <c r="J13" i="123"/>
  <c r="K13" i="123" s="1"/>
  <c r="C14" i="33"/>
  <c r="E15" i="33"/>
  <c r="M15" i="2"/>
  <c r="J15" i="33"/>
  <c r="K15" i="33" s="1"/>
  <c r="IV16" i="2"/>
  <c r="K51" i="67"/>
  <c r="E15" i="88"/>
  <c r="C14" i="88"/>
  <c r="FK15" i="2"/>
  <c r="J15" i="88"/>
  <c r="K15" i="88" s="1"/>
  <c r="K51" i="140"/>
  <c r="E13" i="106"/>
  <c r="C12" i="106"/>
  <c r="J13" i="106"/>
  <c r="K13" i="106" s="1"/>
  <c r="C13" i="126"/>
  <c r="E14" i="126"/>
  <c r="J14" i="126"/>
  <c r="K14" i="126" s="1"/>
  <c r="I57" i="94"/>
  <c r="J56" i="94"/>
  <c r="K55" i="94" s="1"/>
  <c r="K53" i="41"/>
  <c r="K51" i="162"/>
  <c r="C12" i="127"/>
  <c r="E13" i="127"/>
  <c r="J13" i="127"/>
  <c r="K13" i="127" s="1"/>
  <c r="C14" i="101"/>
  <c r="E15" i="101"/>
  <c r="J15" i="101"/>
  <c r="K15" i="101" s="1"/>
  <c r="J57" i="12"/>
  <c r="I58" i="12"/>
  <c r="K51" i="116"/>
  <c r="GI55" i="2"/>
  <c r="GH55" i="2"/>
  <c r="K52" i="93"/>
  <c r="E12" i="102"/>
  <c r="C11" i="102"/>
  <c r="J12" i="102"/>
  <c r="K12" i="102" s="1"/>
  <c r="E13" i="159"/>
  <c r="C12" i="159"/>
  <c r="J13" i="159"/>
  <c r="K13" i="159" s="1"/>
  <c r="C15" i="27"/>
  <c r="E16" i="27"/>
  <c r="J16" i="27"/>
  <c r="K16" i="27" s="1"/>
  <c r="K52" i="68"/>
  <c r="C14" i="133"/>
  <c r="E15" i="133"/>
  <c r="J15" i="133"/>
  <c r="K15" i="133" s="1"/>
  <c r="DH15" i="2"/>
  <c r="DT15" i="2"/>
  <c r="K51" i="69"/>
  <c r="I54" i="168"/>
  <c r="J53" i="168"/>
  <c r="K52" i="168" s="1"/>
  <c r="Y17" i="1"/>
  <c r="E14" i="67"/>
  <c r="C13" i="67"/>
  <c r="J14" i="67"/>
  <c r="K14" i="67" s="1"/>
  <c r="I55" i="41"/>
  <c r="J54" i="41"/>
  <c r="K51" i="55"/>
  <c r="K53" i="29"/>
  <c r="K55" i="12"/>
  <c r="E15" i="71"/>
  <c r="C14" i="71"/>
  <c r="J15" i="71"/>
  <c r="K15" i="71" s="1"/>
  <c r="E54" i="24"/>
  <c r="C53" i="24"/>
  <c r="GG54" i="2"/>
  <c r="BE54" i="1"/>
  <c r="C54" i="1"/>
  <c r="C54" i="2"/>
  <c r="J54" i="24"/>
  <c r="K54" i="24" s="1"/>
  <c r="K53" i="129"/>
  <c r="I54" i="121"/>
  <c r="J53" i="121"/>
  <c r="C15" i="7"/>
  <c r="E16" i="7"/>
  <c r="AT16" i="1"/>
  <c r="J16" i="7"/>
  <c r="K16" i="7" s="1"/>
  <c r="C12" i="173"/>
  <c r="E13" i="173"/>
  <c r="J13" i="173"/>
  <c r="K13" i="173" s="1"/>
  <c r="E15" i="13"/>
  <c r="C14" i="13"/>
  <c r="J15" i="13"/>
  <c r="K15" i="13" s="1"/>
  <c r="J52" i="69"/>
  <c r="I53" i="69"/>
  <c r="K55" i="14"/>
  <c r="K51" i="21"/>
  <c r="K53" i="72"/>
  <c r="K52" i="153"/>
  <c r="I53" i="65"/>
  <c r="J52" i="65"/>
  <c r="J52" i="55"/>
  <c r="I53" i="55"/>
  <c r="K53" i="142"/>
  <c r="J54" i="129"/>
  <c r="I55" i="129"/>
  <c r="C15" i="90"/>
  <c r="E16" i="90"/>
  <c r="J16" i="90"/>
  <c r="K16" i="90" s="1"/>
  <c r="K51" i="125"/>
  <c r="E14" i="16"/>
  <c r="C13" i="16"/>
  <c r="J14" i="16"/>
  <c r="K14" i="16" s="1"/>
  <c r="K50" i="64"/>
  <c r="K50" i="125"/>
  <c r="I53" i="174"/>
  <c r="J52" i="174"/>
  <c r="E15" i="114"/>
  <c r="C14" i="114"/>
  <c r="J15" i="114"/>
  <c r="K15" i="114" s="1"/>
  <c r="J55" i="122"/>
  <c r="K54" i="122" s="1"/>
  <c r="I56" i="122"/>
  <c r="E16" i="107"/>
  <c r="C15" i="107"/>
  <c r="J16" i="107"/>
  <c r="K16" i="107" s="1"/>
  <c r="C13" i="129"/>
  <c r="E14" i="129"/>
  <c r="J14" i="129"/>
  <c r="K14" i="129" s="1"/>
  <c r="DS14" i="2"/>
  <c r="I58" i="145"/>
  <c r="J57" i="145"/>
  <c r="I57" i="14"/>
  <c r="J56" i="14"/>
  <c r="C14" i="117"/>
  <c r="E15" i="117"/>
  <c r="J15" i="117"/>
  <c r="K15" i="117" s="1"/>
  <c r="C15" i="29"/>
  <c r="E16" i="29"/>
  <c r="J16" i="29"/>
  <c r="K16" i="29" s="1"/>
  <c r="C14" i="96"/>
  <c r="E15" i="96"/>
  <c r="J15" i="96"/>
  <c r="K15" i="96" s="1"/>
  <c r="I55" i="72"/>
  <c r="J54" i="72"/>
  <c r="J53" i="153"/>
  <c r="I54" i="153"/>
  <c r="K54" i="164"/>
  <c r="K56" i="15"/>
  <c r="E15" i="20"/>
  <c r="C14" i="20"/>
  <c r="J15" i="20"/>
  <c r="K15" i="20" s="1"/>
  <c r="I53" i="163"/>
  <c r="J52" i="163"/>
  <c r="E16" i="46"/>
  <c r="C15" i="46"/>
  <c r="J16" i="46"/>
  <c r="K16" i="46" s="1"/>
  <c r="K55" i="71"/>
  <c r="C10" i="156"/>
  <c r="E11" i="156"/>
  <c r="J11" i="156"/>
  <c r="K11" i="156" s="1"/>
  <c r="C14" i="36"/>
  <c r="E15" i="36"/>
  <c r="J15" i="36"/>
  <c r="K15" i="36" s="1"/>
  <c r="E12" i="111"/>
  <c r="C11" i="111"/>
  <c r="J12" i="111"/>
  <c r="K12" i="111" s="1"/>
  <c r="K55" i="59"/>
  <c r="K53" i="135"/>
  <c r="I56" i="98"/>
  <c r="J55" i="98"/>
  <c r="K51" i="130"/>
  <c r="X16" i="1"/>
  <c r="K52" i="124"/>
  <c r="E15" i="15"/>
  <c r="C14" i="15"/>
  <c r="J15" i="15"/>
  <c r="K15" i="15" s="1"/>
  <c r="J54" i="124"/>
  <c r="K53" i="124" s="1"/>
  <c r="I55" i="124"/>
  <c r="I53" i="40"/>
  <c r="J52" i="40"/>
  <c r="K56" i="145"/>
  <c r="J54" i="158"/>
  <c r="K53" i="158" s="1"/>
  <c r="I55" i="158"/>
  <c r="E14" i="112"/>
  <c r="C13" i="112"/>
  <c r="J14" i="112"/>
  <c r="K14" i="112" s="1"/>
  <c r="J53" i="80"/>
  <c r="K52" i="80" s="1"/>
  <c r="I54" i="80"/>
  <c r="I54" i="126"/>
  <c r="J53" i="126"/>
  <c r="K52" i="126" s="1"/>
  <c r="K52" i="4"/>
  <c r="K52" i="155"/>
  <c r="I56" i="164"/>
  <c r="J55" i="164"/>
  <c r="I58" i="15"/>
  <c r="J57" i="15"/>
  <c r="K51" i="169"/>
  <c r="K52" i="10"/>
  <c r="E11" i="87"/>
  <c r="C10" i="87"/>
  <c r="J11" i="87"/>
  <c r="K11" i="87" s="1"/>
  <c r="K51" i="163"/>
  <c r="K50" i="163"/>
  <c r="I57" i="71"/>
  <c r="J56" i="71"/>
  <c r="AJ15" i="2" l="1"/>
  <c r="GS15" i="2"/>
  <c r="HZ15" i="2"/>
  <c r="BF15" i="2"/>
  <c r="I54" i="148"/>
  <c r="J53" i="148"/>
  <c r="I54" i="174"/>
  <c r="J53" i="174"/>
  <c r="J57" i="94"/>
  <c r="I58" i="94"/>
  <c r="E15" i="7"/>
  <c r="C14" i="7"/>
  <c r="AT15" i="1"/>
  <c r="J15" i="7"/>
  <c r="K15" i="7" s="1"/>
  <c r="E14" i="31"/>
  <c r="C13" i="31"/>
  <c r="J14" i="31"/>
  <c r="K14" i="31" s="1"/>
  <c r="C11" i="51"/>
  <c r="E12" i="51"/>
  <c r="J12" i="51"/>
  <c r="K12" i="51" s="1"/>
  <c r="I57" i="13"/>
  <c r="J56" i="13"/>
  <c r="E13" i="99"/>
  <c r="C12" i="99"/>
  <c r="J13" i="99"/>
  <c r="K13" i="99" s="1"/>
  <c r="E14" i="70"/>
  <c r="C13" i="70"/>
  <c r="J14" i="70"/>
  <c r="K14" i="70" s="1"/>
  <c r="I55" i="144"/>
  <c r="J54" i="144"/>
  <c r="J55" i="124"/>
  <c r="I56" i="124"/>
  <c r="J57" i="59"/>
  <c r="I58" i="59"/>
  <c r="E14" i="15"/>
  <c r="C13" i="15"/>
  <c r="J14" i="15"/>
  <c r="K14" i="15" s="1"/>
  <c r="I56" i="72"/>
  <c r="J55" i="72"/>
  <c r="I58" i="71"/>
  <c r="J57" i="71"/>
  <c r="Y16" i="1"/>
  <c r="E14" i="96"/>
  <c r="C13" i="96"/>
  <c r="J14" i="96"/>
  <c r="K14" i="96" s="1"/>
  <c r="E13" i="16"/>
  <c r="C12" i="16"/>
  <c r="J13" i="16"/>
  <c r="K13" i="16" s="1"/>
  <c r="E13" i="126"/>
  <c r="C12" i="126"/>
  <c r="J13" i="126"/>
  <c r="K13" i="126" s="1"/>
  <c r="C12" i="54"/>
  <c r="E13" i="54"/>
  <c r="J13" i="54"/>
  <c r="K13" i="54" s="1"/>
  <c r="C12" i="104"/>
  <c r="E13" i="104"/>
  <c r="J13" i="104"/>
  <c r="K13" i="104" s="1"/>
  <c r="C14" i="49"/>
  <c r="E15" i="49"/>
  <c r="J15" i="49"/>
  <c r="K15" i="49" s="1"/>
  <c r="I54" i="143"/>
  <c r="J53" i="143"/>
  <c r="K52" i="143" s="1"/>
  <c r="J54" i="131"/>
  <c r="K53" i="131" s="1"/>
  <c r="I55" i="131"/>
  <c r="C11" i="85"/>
  <c r="E12" i="85"/>
  <c r="J12" i="85"/>
  <c r="K12" i="85" s="1"/>
  <c r="K52" i="105"/>
  <c r="E10" i="146"/>
  <c r="C9" i="146"/>
  <c r="J10" i="146"/>
  <c r="K10" i="146" s="1"/>
  <c r="C12" i="135"/>
  <c r="E13" i="135"/>
  <c r="J13" i="135"/>
  <c r="K13" i="135" s="1"/>
  <c r="E11" i="43"/>
  <c r="C10" i="43"/>
  <c r="J11" i="43"/>
  <c r="K11" i="43" s="1"/>
  <c r="E13" i="148"/>
  <c r="C12" i="148"/>
  <c r="J13" i="148"/>
  <c r="K13" i="148" s="1"/>
  <c r="J53" i="40"/>
  <c r="I54" i="40"/>
  <c r="E14" i="133"/>
  <c r="C13" i="133"/>
  <c r="J14" i="133"/>
  <c r="K14" i="133" s="1"/>
  <c r="DH14" i="2"/>
  <c r="I56" i="18"/>
  <c r="J55" i="18"/>
  <c r="K52" i="120"/>
  <c r="I55" i="5"/>
  <c r="J54" i="5"/>
  <c r="E15" i="152"/>
  <c r="C14" i="152"/>
  <c r="J15" i="152"/>
  <c r="K15" i="152" s="1"/>
  <c r="I55" i="54"/>
  <c r="J54" i="54"/>
  <c r="J53" i="105"/>
  <c r="I54" i="105"/>
  <c r="I56" i="157"/>
  <c r="J55" i="157"/>
  <c r="C13" i="122"/>
  <c r="E14" i="122"/>
  <c r="J14" i="122"/>
  <c r="K14" i="122" s="1"/>
  <c r="I54" i="43"/>
  <c r="J53" i="43"/>
  <c r="I55" i="33"/>
  <c r="J54" i="33"/>
  <c r="I57" i="16"/>
  <c r="J56" i="16"/>
  <c r="K52" i="88"/>
  <c r="E14" i="95"/>
  <c r="C13" i="95"/>
  <c r="J14" i="95"/>
  <c r="K14" i="95" s="1"/>
  <c r="J54" i="121"/>
  <c r="I55" i="121"/>
  <c r="C11" i="106"/>
  <c r="E12" i="106"/>
  <c r="J12" i="106"/>
  <c r="K12" i="106" s="1"/>
  <c r="C12" i="139"/>
  <c r="E13" i="139"/>
  <c r="J13" i="139"/>
  <c r="K13" i="139" s="1"/>
  <c r="C14" i="136"/>
  <c r="E15" i="136"/>
  <c r="J15" i="136"/>
  <c r="K15" i="136" s="1"/>
  <c r="C12" i="113"/>
  <c r="E13" i="113"/>
  <c r="J13" i="113"/>
  <c r="K13" i="113" s="1"/>
  <c r="I54" i="120"/>
  <c r="J53" i="120"/>
  <c r="K53" i="50"/>
  <c r="E13" i="161"/>
  <c r="C12" i="161"/>
  <c r="J13" i="161"/>
  <c r="K13" i="161" s="1"/>
  <c r="K53" i="54"/>
  <c r="K54" i="157"/>
  <c r="C12" i="116"/>
  <c r="E13" i="116"/>
  <c r="J13" i="116"/>
  <c r="K13" i="116" s="1"/>
  <c r="I54" i="90"/>
  <c r="J53" i="90"/>
  <c r="I55" i="67"/>
  <c r="J54" i="67"/>
  <c r="K53" i="67" s="1"/>
  <c r="I54" i="45"/>
  <c r="J53" i="45"/>
  <c r="K52" i="45" s="1"/>
  <c r="E12" i="84"/>
  <c r="C11" i="84"/>
  <c r="J12" i="84"/>
  <c r="K12" i="84" s="1"/>
  <c r="J55" i="165"/>
  <c r="I56" i="165"/>
  <c r="I55" i="50"/>
  <c r="J54" i="50"/>
  <c r="K52" i="50"/>
  <c r="K52" i="54"/>
  <c r="C12" i="66"/>
  <c r="E13" i="66"/>
  <c r="J13" i="66"/>
  <c r="K13" i="66" s="1"/>
  <c r="C13" i="78"/>
  <c r="E14" i="78"/>
  <c r="J14" i="78"/>
  <c r="K14" i="78" s="1"/>
  <c r="J54" i="103"/>
  <c r="K53" i="103" s="1"/>
  <c r="I55" i="103"/>
  <c r="I54" i="171"/>
  <c r="J53" i="171"/>
  <c r="I55" i="106"/>
  <c r="J54" i="106"/>
  <c r="E15" i="100"/>
  <c r="C14" i="100"/>
  <c r="J15" i="100"/>
  <c r="K15" i="100" s="1"/>
  <c r="I58" i="22"/>
  <c r="J57" i="22"/>
  <c r="C13" i="169"/>
  <c r="E14" i="169"/>
  <c r="J14" i="169"/>
  <c r="K14" i="169" s="1"/>
  <c r="K52" i="90"/>
  <c r="K52" i="148"/>
  <c r="I56" i="92"/>
  <c r="J55" i="92"/>
  <c r="E13" i="64"/>
  <c r="C12" i="64"/>
  <c r="J13" i="64"/>
  <c r="K13" i="64" s="1"/>
  <c r="K53" i="18"/>
  <c r="E13" i="18"/>
  <c r="C12" i="18"/>
  <c r="J13" i="18"/>
  <c r="K13" i="18" s="1"/>
  <c r="I57" i="101"/>
  <c r="J56" i="101"/>
  <c r="K55" i="127"/>
  <c r="K54" i="159"/>
  <c r="E10" i="32"/>
  <c r="C9" i="32"/>
  <c r="J10" i="32"/>
  <c r="K10" i="32" s="1"/>
  <c r="CA15" i="1"/>
  <c r="E15" i="6"/>
  <c r="C14" i="6"/>
  <c r="C12" i="19"/>
  <c r="E13" i="19"/>
  <c r="J13" i="19"/>
  <c r="K13" i="19" s="1"/>
  <c r="C11" i="171"/>
  <c r="E12" i="171"/>
  <c r="J12" i="171"/>
  <c r="K12" i="171" s="1"/>
  <c r="E10" i="30"/>
  <c r="C9" i="30"/>
  <c r="J10" i="30"/>
  <c r="K10" i="30" s="1"/>
  <c r="E14" i="114"/>
  <c r="C13" i="114"/>
  <c r="J14" i="114"/>
  <c r="K14" i="114" s="1"/>
  <c r="K53" i="121"/>
  <c r="C9" i="87"/>
  <c r="E10" i="87"/>
  <c r="J10" i="87"/>
  <c r="K10" i="87" s="1"/>
  <c r="I57" i="98"/>
  <c r="J56" i="98"/>
  <c r="E15" i="29"/>
  <c r="C14" i="29"/>
  <c r="J15" i="29"/>
  <c r="K15" i="29" s="1"/>
  <c r="X15" i="1"/>
  <c r="E15" i="90"/>
  <c r="C14" i="90"/>
  <c r="J15" i="90"/>
  <c r="K15" i="90" s="1"/>
  <c r="D54" i="2"/>
  <c r="DU54" i="2"/>
  <c r="CN54" i="2"/>
  <c r="EQ54" i="2"/>
  <c r="IL54" i="2"/>
  <c r="CY54" i="2"/>
  <c r="FM54" i="2"/>
  <c r="IA54" i="2"/>
  <c r="GT54" i="2"/>
  <c r="HP54" i="2"/>
  <c r="CC54" i="2"/>
  <c r="IW54" i="2"/>
  <c r="FB54" i="2"/>
  <c r="O54" i="2"/>
  <c r="DJ54" i="2"/>
  <c r="HE54" i="2"/>
  <c r="AV54" i="2"/>
  <c r="BR54" i="2"/>
  <c r="Z54" i="2"/>
  <c r="FX54" i="2"/>
  <c r="EF54" i="2"/>
  <c r="AK54" i="2"/>
  <c r="BG54" i="2"/>
  <c r="C14" i="27"/>
  <c r="E15" i="27"/>
  <c r="J15" i="27"/>
  <c r="K15" i="27" s="1"/>
  <c r="K51" i="45"/>
  <c r="E12" i="124"/>
  <c r="C11" i="124"/>
  <c r="J12" i="124"/>
  <c r="K12" i="124" s="1"/>
  <c r="E11" i="165"/>
  <c r="C10" i="165"/>
  <c r="J11" i="165"/>
  <c r="K11" i="165" s="1"/>
  <c r="I55" i="56"/>
  <c r="J54" i="56"/>
  <c r="E13" i="128"/>
  <c r="C12" i="128"/>
  <c r="J13" i="128"/>
  <c r="K13" i="128" s="1"/>
  <c r="J56" i="127"/>
  <c r="I57" i="127"/>
  <c r="I56" i="159"/>
  <c r="J55" i="159"/>
  <c r="C11" i="86"/>
  <c r="E12" i="86"/>
  <c r="J12" i="86"/>
  <c r="K12" i="86" s="1"/>
  <c r="CB16" i="1"/>
  <c r="K51" i="90"/>
  <c r="E13" i="130"/>
  <c r="C12" i="130"/>
  <c r="J13" i="130"/>
  <c r="K13" i="130" s="1"/>
  <c r="J55" i="129"/>
  <c r="I56" i="129"/>
  <c r="D54" i="1"/>
  <c r="CC54" i="1"/>
  <c r="Z54" i="1"/>
  <c r="AK54" i="1"/>
  <c r="AV54" i="1"/>
  <c r="BR54" i="1"/>
  <c r="O54" i="1"/>
  <c r="K54" i="118"/>
  <c r="K56" i="27"/>
  <c r="CL15" i="2"/>
  <c r="E13" i="4"/>
  <c r="C12" i="4"/>
  <c r="J13" i="4"/>
  <c r="K13" i="4" s="1"/>
  <c r="E13" i="25"/>
  <c r="C12" i="25"/>
  <c r="J13" i="25"/>
  <c r="K13" i="25" s="1"/>
  <c r="E13" i="137"/>
  <c r="C12" i="137"/>
  <c r="J13" i="137"/>
  <c r="K13" i="137" s="1"/>
  <c r="K51" i="146"/>
  <c r="E12" i="72"/>
  <c r="C11" i="72"/>
  <c r="J12" i="72"/>
  <c r="K12" i="72" s="1"/>
  <c r="I57" i="122"/>
  <c r="J56" i="122"/>
  <c r="K54" i="129"/>
  <c r="BG54" i="1"/>
  <c r="BF54" i="1"/>
  <c r="FL15" i="2"/>
  <c r="J55" i="118"/>
  <c r="I56" i="118"/>
  <c r="J57" i="27"/>
  <c r="I58" i="27"/>
  <c r="K53" i="70"/>
  <c r="E14" i="162"/>
  <c r="C13" i="162"/>
  <c r="J14" i="162"/>
  <c r="K14" i="162" s="1"/>
  <c r="I58" i="32"/>
  <c r="J57" i="32"/>
  <c r="E15" i="158"/>
  <c r="C14" i="158"/>
  <c r="J15" i="158"/>
  <c r="K15" i="158" s="1"/>
  <c r="C10" i="160"/>
  <c r="E11" i="160"/>
  <c r="J11" i="160"/>
  <c r="K11" i="160" s="1"/>
  <c r="K51" i="35"/>
  <c r="E14" i="41"/>
  <c r="C13" i="41"/>
  <c r="J14" i="41"/>
  <c r="K14" i="41" s="1"/>
  <c r="C7" i="82"/>
  <c r="E8" i="82"/>
  <c r="J8" i="82"/>
  <c r="K8" i="82" s="1"/>
  <c r="I54" i="146"/>
  <c r="J53" i="146"/>
  <c r="GI54" i="2"/>
  <c r="GH54" i="2"/>
  <c r="C11" i="159"/>
  <c r="E12" i="159"/>
  <c r="J12" i="159"/>
  <c r="K12" i="159" s="1"/>
  <c r="K55" i="77"/>
  <c r="J53" i="35"/>
  <c r="I54" i="35"/>
  <c r="I57" i="51"/>
  <c r="J56" i="51"/>
  <c r="C12" i="103"/>
  <c r="E13" i="103"/>
  <c r="J13" i="103"/>
  <c r="K13" i="103" s="1"/>
  <c r="I56" i="68"/>
  <c r="J55" i="68"/>
  <c r="J55" i="99"/>
  <c r="K54" i="99" s="1"/>
  <c r="I56" i="99"/>
  <c r="J55" i="115"/>
  <c r="K54" i="115" s="1"/>
  <c r="I56" i="115"/>
  <c r="C13" i="88"/>
  <c r="E14" i="88"/>
  <c r="J14" i="88"/>
  <c r="K14" i="88" s="1"/>
  <c r="C13" i="63"/>
  <c r="E14" i="63"/>
  <c r="J14" i="63"/>
  <c r="K14" i="63" s="1"/>
  <c r="J54" i="70"/>
  <c r="I55" i="70"/>
  <c r="E15" i="172"/>
  <c r="C14" i="172"/>
  <c r="J15" i="172"/>
  <c r="K15" i="172" s="1"/>
  <c r="I54" i="109"/>
  <c r="J53" i="109"/>
  <c r="J56" i="77"/>
  <c r="I57" i="77"/>
  <c r="I56" i="28"/>
  <c r="J55" i="28"/>
  <c r="K52" i="96"/>
  <c r="K51" i="96"/>
  <c r="I54" i="110"/>
  <c r="J53" i="110"/>
  <c r="C12" i="17"/>
  <c r="E13" i="17"/>
  <c r="J13" i="17"/>
  <c r="K13" i="17" s="1"/>
  <c r="E13" i="75"/>
  <c r="C12" i="75"/>
  <c r="J13" i="75"/>
  <c r="K13" i="75" s="1"/>
  <c r="EO15" i="2"/>
  <c r="N16" i="1"/>
  <c r="C10" i="34"/>
  <c r="E11" i="34"/>
  <c r="J11" i="34"/>
  <c r="K11" i="34" s="1"/>
  <c r="I57" i="62"/>
  <c r="J56" i="62"/>
  <c r="K54" i="149"/>
  <c r="K54" i="68"/>
  <c r="I54" i="55"/>
  <c r="J53" i="55"/>
  <c r="E53" i="24"/>
  <c r="C52" i="24"/>
  <c r="GG53" i="2"/>
  <c r="BE53" i="1"/>
  <c r="C53" i="1"/>
  <c r="C53" i="2"/>
  <c r="J53" i="24"/>
  <c r="K53" i="24" s="1"/>
  <c r="K51" i="148"/>
  <c r="J56" i="164"/>
  <c r="I57" i="164"/>
  <c r="K52" i="55"/>
  <c r="K52" i="140"/>
  <c r="E15" i="155"/>
  <c r="C14" i="155"/>
  <c r="CL14" i="2" s="1"/>
  <c r="J15" i="155"/>
  <c r="K15" i="155" s="1"/>
  <c r="E12" i="163"/>
  <c r="C11" i="163"/>
  <c r="J12" i="163"/>
  <c r="K12" i="163" s="1"/>
  <c r="K53" i="165"/>
  <c r="I56" i="30"/>
  <c r="J55" i="30"/>
  <c r="I54" i="96"/>
  <c r="J53" i="96"/>
  <c r="K57" i="7"/>
  <c r="K54" i="13"/>
  <c r="Y16" i="2"/>
  <c r="K54" i="26"/>
  <c r="J56" i="142"/>
  <c r="I57" i="142"/>
  <c r="I56" i="149"/>
  <c r="J55" i="149"/>
  <c r="E14" i="142"/>
  <c r="C13" i="142"/>
  <c r="J14" i="142"/>
  <c r="K14" i="142" s="1"/>
  <c r="C13" i="164"/>
  <c r="E14" i="164"/>
  <c r="J14" i="164"/>
  <c r="K14" i="164" s="1"/>
  <c r="C11" i="73"/>
  <c r="E12" i="73"/>
  <c r="J12" i="73"/>
  <c r="K12" i="73" s="1"/>
  <c r="E14" i="117"/>
  <c r="C13" i="117"/>
  <c r="J14" i="117"/>
  <c r="K14" i="117" s="1"/>
  <c r="C10" i="102"/>
  <c r="E11" i="102"/>
  <c r="J11" i="102"/>
  <c r="K11" i="102" s="1"/>
  <c r="I54" i="64"/>
  <c r="J53" i="64"/>
  <c r="I54" i="95"/>
  <c r="J53" i="95"/>
  <c r="K54" i="30"/>
  <c r="K53" i="104"/>
  <c r="I59" i="7"/>
  <c r="J58" i="7"/>
  <c r="I59" i="46"/>
  <c r="J58" i="46"/>
  <c r="E14" i="153"/>
  <c r="C13" i="153"/>
  <c r="J14" i="153"/>
  <c r="K14" i="153" s="1"/>
  <c r="C13" i="97"/>
  <c r="E14" i="97"/>
  <c r="EO14" i="2"/>
  <c r="J14" i="97"/>
  <c r="K14" i="97" s="1"/>
  <c r="I57" i="26"/>
  <c r="J56" i="26"/>
  <c r="K55" i="142"/>
  <c r="I55" i="123"/>
  <c r="J54" i="123"/>
  <c r="E13" i="150"/>
  <c r="C12" i="150"/>
  <c r="J13" i="150"/>
  <c r="K13" i="150" s="1"/>
  <c r="K52" i="130"/>
  <c r="J53" i="140"/>
  <c r="I54" i="140"/>
  <c r="E10" i="157"/>
  <c r="C9" i="157"/>
  <c r="J10" i="157"/>
  <c r="K10" i="157" s="1"/>
  <c r="K57" i="145"/>
  <c r="I54" i="65"/>
  <c r="J53" i="65"/>
  <c r="C13" i="71"/>
  <c r="E14" i="71"/>
  <c r="J14" i="71"/>
  <c r="K14" i="71" s="1"/>
  <c r="J53" i="11"/>
  <c r="K52" i="11" s="1"/>
  <c r="I54" i="11"/>
  <c r="I55" i="3"/>
  <c r="J54" i="3"/>
  <c r="K53" i="3" s="1"/>
  <c r="FA15" i="2"/>
  <c r="K52" i="64"/>
  <c r="K52" i="95"/>
  <c r="J54" i="104"/>
  <c r="I55" i="104"/>
  <c r="K52" i="38"/>
  <c r="K57" i="46"/>
  <c r="K53" i="19"/>
  <c r="J55" i="66"/>
  <c r="I56" i="66"/>
  <c r="K53" i="52"/>
  <c r="E15" i="12"/>
  <c r="C14" i="12"/>
  <c r="M15" i="1"/>
  <c r="X15" i="2"/>
  <c r="J15" i="12"/>
  <c r="K15" i="12" s="1"/>
  <c r="C11" i="40"/>
  <c r="E12" i="40"/>
  <c r="J12" i="40"/>
  <c r="K12" i="40" s="1"/>
  <c r="E13" i="9"/>
  <c r="C12" i="9"/>
  <c r="J13" i="9"/>
  <c r="K13" i="9" s="1"/>
  <c r="I59" i="133"/>
  <c r="J58" i="133"/>
  <c r="K57" i="133" s="1"/>
  <c r="I58" i="82"/>
  <c r="J57" i="82"/>
  <c r="K56" i="82" s="1"/>
  <c r="I54" i="130"/>
  <c r="J53" i="130"/>
  <c r="E13" i="68"/>
  <c r="C12" i="68"/>
  <c r="J13" i="68"/>
  <c r="K13" i="68" s="1"/>
  <c r="E13" i="144"/>
  <c r="C12" i="144"/>
  <c r="J13" i="144"/>
  <c r="K13" i="144" s="1"/>
  <c r="CB16" i="2"/>
  <c r="K54" i="37"/>
  <c r="I54" i="38"/>
  <c r="J53" i="38"/>
  <c r="E11" i="105"/>
  <c r="C10" i="105"/>
  <c r="J11" i="105"/>
  <c r="K11" i="105" s="1"/>
  <c r="I55" i="19"/>
  <c r="J54" i="19"/>
  <c r="K54" i="66"/>
  <c r="I55" i="52"/>
  <c r="J54" i="52"/>
  <c r="I55" i="20"/>
  <c r="J54" i="20"/>
  <c r="K53" i="20" s="1"/>
  <c r="E15" i="28"/>
  <c r="C14" i="28"/>
  <c r="J15" i="28"/>
  <c r="K15" i="28" s="1"/>
  <c r="C11" i="37"/>
  <c r="E12" i="37"/>
  <c r="J12" i="37"/>
  <c r="K12" i="37" s="1"/>
  <c r="K54" i="93"/>
  <c r="I56" i="10"/>
  <c r="J55" i="10"/>
  <c r="C11" i="141"/>
  <c r="E12" i="141"/>
  <c r="J12" i="141"/>
  <c r="K12" i="141" s="1"/>
  <c r="K54" i="98"/>
  <c r="I58" i="14"/>
  <c r="J57" i="14"/>
  <c r="K56" i="14" s="1"/>
  <c r="I59" i="145"/>
  <c r="J58" i="145"/>
  <c r="J54" i="137"/>
  <c r="I55" i="137"/>
  <c r="E14" i="134"/>
  <c r="C13" i="134"/>
  <c r="EZ14" i="2"/>
  <c r="J14" i="134"/>
  <c r="K14" i="134" s="1"/>
  <c r="C12" i="65"/>
  <c r="E13" i="65"/>
  <c r="J13" i="65"/>
  <c r="K13" i="65" s="1"/>
  <c r="I55" i="49"/>
  <c r="J54" i="49"/>
  <c r="J55" i="37"/>
  <c r="I56" i="37"/>
  <c r="K53" i="28"/>
  <c r="K52" i="19"/>
  <c r="K52" i="102"/>
  <c r="K54" i="127"/>
  <c r="J53" i="166"/>
  <c r="I54" i="166"/>
  <c r="C11" i="26"/>
  <c r="E12" i="26"/>
  <c r="J12" i="26"/>
  <c r="K12" i="26" s="1"/>
  <c r="K51" i="171"/>
  <c r="K54" i="142"/>
  <c r="I56" i="93"/>
  <c r="J55" i="93"/>
  <c r="E13" i="11"/>
  <c r="C12" i="11"/>
  <c r="J13" i="11"/>
  <c r="K13" i="11" s="1"/>
  <c r="C13" i="36"/>
  <c r="E14" i="36"/>
  <c r="J14" i="36"/>
  <c r="K14" i="36" s="1"/>
  <c r="C9" i="156"/>
  <c r="E10" i="156"/>
  <c r="J10" i="156"/>
  <c r="K10" i="156" s="1"/>
  <c r="FL16" i="2"/>
  <c r="I57" i="48"/>
  <c r="J56" i="48"/>
  <c r="K55" i="48" s="1"/>
  <c r="C10" i="131"/>
  <c r="E11" i="131"/>
  <c r="J11" i="131"/>
  <c r="K11" i="131" s="1"/>
  <c r="K55" i="107"/>
  <c r="K53" i="49"/>
  <c r="C12" i="22"/>
  <c r="E13" i="22"/>
  <c r="J13" i="22"/>
  <c r="K13" i="22" s="1"/>
  <c r="K54" i="60"/>
  <c r="I54" i="102"/>
  <c r="J53" i="102"/>
  <c r="J55" i="139"/>
  <c r="I56" i="139"/>
  <c r="K52" i="166"/>
  <c r="J55" i="25"/>
  <c r="I56" i="25"/>
  <c r="J58" i="134"/>
  <c r="I59" i="134"/>
  <c r="IJ15" i="2"/>
  <c r="I54" i="47"/>
  <c r="J53" i="47"/>
  <c r="K52" i="67"/>
  <c r="K54" i="158"/>
  <c r="K52" i="40"/>
  <c r="E12" i="127"/>
  <c r="C11" i="127"/>
  <c r="J12" i="127"/>
  <c r="K12" i="127" s="1"/>
  <c r="K57" i="15"/>
  <c r="E12" i="149"/>
  <c r="C11" i="149"/>
  <c r="J12" i="149"/>
  <c r="K12" i="149" s="1"/>
  <c r="J54" i="80"/>
  <c r="I55" i="80"/>
  <c r="E15" i="3"/>
  <c r="C14" i="3"/>
  <c r="J15" i="3"/>
  <c r="K15" i="3" s="1"/>
  <c r="J56" i="107"/>
  <c r="I57" i="107"/>
  <c r="K53" i="57"/>
  <c r="K52" i="57"/>
  <c r="J54" i="39"/>
  <c r="I55" i="39"/>
  <c r="K52" i="104"/>
  <c r="J53" i="36"/>
  <c r="I54" i="36"/>
  <c r="I56" i="60"/>
  <c r="J55" i="60"/>
  <c r="K53" i="60"/>
  <c r="K54" i="139"/>
  <c r="K57" i="134"/>
  <c r="E15" i="174"/>
  <c r="C14" i="174"/>
  <c r="J15" i="174"/>
  <c r="K15" i="174" s="1"/>
  <c r="J54" i="108"/>
  <c r="I55" i="108"/>
  <c r="K56" i="79"/>
  <c r="E13" i="129"/>
  <c r="C12" i="129"/>
  <c r="J13" i="129"/>
  <c r="K13" i="129" s="1"/>
  <c r="DS13" i="2"/>
  <c r="I54" i="69"/>
  <c r="J53" i="69"/>
  <c r="K52" i="69" s="1"/>
  <c r="J58" i="12"/>
  <c r="I59" i="12"/>
  <c r="J54" i="84"/>
  <c r="K53" i="84" s="1"/>
  <c r="I55" i="84"/>
  <c r="I54" i="34"/>
  <c r="J53" i="34"/>
  <c r="C11" i="47"/>
  <c r="E12" i="47"/>
  <c r="J12" i="47"/>
  <c r="K12" i="47" s="1"/>
  <c r="I55" i="57"/>
  <c r="J54" i="57"/>
  <c r="K53" i="39"/>
  <c r="E15" i="53"/>
  <c r="C14" i="53"/>
  <c r="J15" i="53"/>
  <c r="K15" i="53" s="1"/>
  <c r="I54" i="17"/>
  <c r="J53" i="17"/>
  <c r="K52" i="17" s="1"/>
  <c r="E11" i="59"/>
  <c r="C10" i="59"/>
  <c r="J11" i="59"/>
  <c r="K11" i="59" s="1"/>
  <c r="C13" i="154"/>
  <c r="E14" i="154"/>
  <c r="J14" i="154"/>
  <c r="K14" i="154" s="1"/>
  <c r="IJ14" i="2"/>
  <c r="C11" i="120"/>
  <c r="E12" i="120"/>
  <c r="J12" i="120"/>
  <c r="K12" i="120" s="1"/>
  <c r="C13" i="76"/>
  <c r="E14" i="76"/>
  <c r="J14" i="76"/>
  <c r="K14" i="76" s="1"/>
  <c r="K53" i="86"/>
  <c r="I58" i="79"/>
  <c r="J57" i="79"/>
  <c r="K52" i="65"/>
  <c r="J54" i="126"/>
  <c r="K53" i="126" s="1"/>
  <c r="I55" i="126"/>
  <c r="N15" i="2"/>
  <c r="K51" i="65"/>
  <c r="CW14" i="2"/>
  <c r="K57" i="12"/>
  <c r="K55" i="128"/>
  <c r="K52" i="34"/>
  <c r="J55" i="167"/>
  <c r="I56" i="167"/>
  <c r="K51" i="17"/>
  <c r="I54" i="58"/>
  <c r="J53" i="58"/>
  <c r="J54" i="162"/>
  <c r="I55" i="162"/>
  <c r="C12" i="5"/>
  <c r="E13" i="5"/>
  <c r="J13" i="5"/>
  <c r="K13" i="5" s="1"/>
  <c r="J53" i="160"/>
  <c r="I54" i="160"/>
  <c r="E10" i="166"/>
  <c r="C9" i="166"/>
  <c r="J10" i="166"/>
  <c r="K10" i="166" s="1"/>
  <c r="I55" i="86"/>
  <c r="J54" i="86"/>
  <c r="C13" i="20"/>
  <c r="E14" i="20"/>
  <c r="J14" i="20"/>
  <c r="K14" i="20" s="1"/>
  <c r="E11" i="111"/>
  <c r="C10" i="111"/>
  <c r="J11" i="111"/>
  <c r="K11" i="111" s="1"/>
  <c r="J58" i="15"/>
  <c r="I59" i="15"/>
  <c r="DT14" i="2"/>
  <c r="K53" i="80"/>
  <c r="E14" i="33"/>
  <c r="C13" i="33"/>
  <c r="M14" i="2"/>
  <c r="J14" i="33"/>
  <c r="K14" i="33" s="1"/>
  <c r="E15" i="46"/>
  <c r="C14" i="46"/>
  <c r="J15" i="46"/>
  <c r="K15" i="46" s="1"/>
  <c r="C12" i="112"/>
  <c r="E13" i="112"/>
  <c r="CW13" i="2"/>
  <c r="J13" i="112"/>
  <c r="K13" i="112" s="1"/>
  <c r="K52" i="163"/>
  <c r="E15" i="107"/>
  <c r="C14" i="107"/>
  <c r="J15" i="107"/>
  <c r="K15" i="107" s="1"/>
  <c r="J55" i="41"/>
  <c r="K54" i="41" s="1"/>
  <c r="I56" i="41"/>
  <c r="C11" i="123"/>
  <c r="E12" i="123"/>
  <c r="J12" i="123"/>
  <c r="K12" i="123" s="1"/>
  <c r="J57" i="24"/>
  <c r="K56" i="24" s="1"/>
  <c r="I58" i="24"/>
  <c r="I57" i="128"/>
  <c r="J56" i="128"/>
  <c r="E15" i="121"/>
  <c r="C14" i="121"/>
  <c r="J15" i="121"/>
  <c r="K15" i="121" s="1"/>
  <c r="K53" i="161"/>
  <c r="K51" i="120"/>
  <c r="E15" i="143"/>
  <c r="C14" i="143"/>
  <c r="J15" i="143"/>
  <c r="K15" i="143" s="1"/>
  <c r="I54" i="112"/>
  <c r="J53" i="112"/>
  <c r="I59" i="74"/>
  <c r="J58" i="74"/>
  <c r="J56" i="135"/>
  <c r="I57" i="135"/>
  <c r="C11" i="69"/>
  <c r="E12" i="69"/>
  <c r="J12" i="69"/>
  <c r="K12" i="69" s="1"/>
  <c r="FW16" i="2"/>
  <c r="K53" i="97"/>
  <c r="K52" i="160"/>
  <c r="J56" i="136"/>
  <c r="I57" i="136"/>
  <c r="E14" i="44"/>
  <c r="C13" i="44"/>
  <c r="J14" i="44"/>
  <c r="K14" i="44" s="1"/>
  <c r="I55" i="154"/>
  <c r="J54" i="154"/>
  <c r="I55" i="151"/>
  <c r="J54" i="151"/>
  <c r="K53" i="151" s="1"/>
  <c r="J54" i="161"/>
  <c r="I55" i="161"/>
  <c r="E14" i="79"/>
  <c r="C13" i="79"/>
  <c r="J14" i="79"/>
  <c r="K14" i="79" s="1"/>
  <c r="K51" i="64"/>
  <c r="K55" i="135"/>
  <c r="E12" i="62"/>
  <c r="C11" i="62"/>
  <c r="J12" i="62"/>
  <c r="K12" i="62" s="1"/>
  <c r="E15" i="56"/>
  <c r="C14" i="56"/>
  <c r="J15" i="56"/>
  <c r="K15" i="56" s="1"/>
  <c r="C12" i="167"/>
  <c r="E13" i="167"/>
  <c r="J13" i="167"/>
  <c r="K13" i="167" s="1"/>
  <c r="I55" i="138"/>
  <c r="J54" i="138"/>
  <c r="K53" i="138" s="1"/>
  <c r="I55" i="97"/>
  <c r="J54" i="97"/>
  <c r="E14" i="119"/>
  <c r="C13" i="119"/>
  <c r="J14" i="119"/>
  <c r="K14" i="119" s="1"/>
  <c r="K53" i="85"/>
  <c r="K52" i="85"/>
  <c r="GS16" i="2"/>
  <c r="K55" i="136"/>
  <c r="I54" i="163"/>
  <c r="J53" i="163"/>
  <c r="I56" i="158"/>
  <c r="J55" i="158"/>
  <c r="K51" i="40"/>
  <c r="E14" i="13"/>
  <c r="C13" i="13"/>
  <c r="J14" i="13"/>
  <c r="K14" i="13" s="1"/>
  <c r="IU14" i="2"/>
  <c r="C12" i="67"/>
  <c r="E13" i="67"/>
  <c r="J13" i="67"/>
  <c r="K13" i="67" s="1"/>
  <c r="C13" i="101"/>
  <c r="E14" i="101"/>
  <c r="J14" i="101"/>
  <c r="K14" i="101" s="1"/>
  <c r="K51" i="109"/>
  <c r="K53" i="154"/>
  <c r="C12" i="118"/>
  <c r="E13" i="118"/>
  <c r="J13" i="118"/>
  <c r="K13" i="118" s="1"/>
  <c r="E14" i="108"/>
  <c r="C13" i="108"/>
  <c r="J14" i="108"/>
  <c r="K14" i="108" s="1"/>
  <c r="K52" i="121"/>
  <c r="EE16" i="2"/>
  <c r="C10" i="45"/>
  <c r="E11" i="45"/>
  <c r="J11" i="45"/>
  <c r="K11" i="45" s="1"/>
  <c r="E13" i="110"/>
  <c r="C12" i="110"/>
  <c r="J13" i="110"/>
  <c r="K13" i="110" s="1"/>
  <c r="I57" i="78"/>
  <c r="J56" i="78"/>
  <c r="I55" i="85"/>
  <c r="J54" i="85"/>
  <c r="K54" i="16"/>
  <c r="C13" i="48"/>
  <c r="E14" i="48"/>
  <c r="J14" i="48"/>
  <c r="K14" i="48" s="1"/>
  <c r="E15" i="55"/>
  <c r="C14" i="55"/>
  <c r="J15" i="55"/>
  <c r="K15" i="55" s="1"/>
  <c r="IU15" i="2"/>
  <c r="J57" i="42"/>
  <c r="I58" i="42"/>
  <c r="I56" i="173"/>
  <c r="J55" i="173"/>
  <c r="E13" i="57"/>
  <c r="C12" i="57"/>
  <c r="J13" i="57"/>
  <c r="K13" i="57" s="1"/>
  <c r="K54" i="77"/>
  <c r="C13" i="10"/>
  <c r="E14" i="10"/>
  <c r="J14" i="10"/>
  <c r="K14" i="10" s="1"/>
  <c r="K55" i="89"/>
  <c r="K53" i="170"/>
  <c r="K52" i="100"/>
  <c r="K51" i="166"/>
  <c r="E15" i="42"/>
  <c r="C14" i="42"/>
  <c r="J15" i="42"/>
  <c r="K15" i="42" s="1"/>
  <c r="FV15" i="2"/>
  <c r="K55" i="78"/>
  <c r="J55" i="44"/>
  <c r="K54" i="44" s="1"/>
  <c r="I56" i="44"/>
  <c r="AI15" i="1"/>
  <c r="K55" i="122"/>
  <c r="E13" i="81"/>
  <c r="C12" i="81"/>
  <c r="J13" i="81"/>
  <c r="K13" i="81" s="1"/>
  <c r="J55" i="23"/>
  <c r="I56" i="23"/>
  <c r="E15" i="109"/>
  <c r="C14" i="109"/>
  <c r="ED15" i="2"/>
  <c r="J15" i="109"/>
  <c r="K15" i="109" s="1"/>
  <c r="I57" i="89"/>
  <c r="J56" i="89"/>
  <c r="J54" i="170"/>
  <c r="I55" i="170"/>
  <c r="I55" i="87"/>
  <c r="J54" i="87"/>
  <c r="K53" i="87" s="1"/>
  <c r="I54" i="100"/>
  <c r="J53" i="100"/>
  <c r="J54" i="73"/>
  <c r="K53" i="73" s="1"/>
  <c r="I55" i="73"/>
  <c r="BQ16" i="1"/>
  <c r="K53" i="21"/>
  <c r="K52" i="21"/>
  <c r="C14" i="14"/>
  <c r="E15" i="14"/>
  <c r="J15" i="14"/>
  <c r="K15" i="14" s="1"/>
  <c r="I57" i="29"/>
  <c r="J56" i="29"/>
  <c r="J58" i="75"/>
  <c r="I59" i="75"/>
  <c r="I57" i="172"/>
  <c r="J56" i="172"/>
  <c r="J56" i="152"/>
  <c r="I57" i="152"/>
  <c r="K51" i="100"/>
  <c r="C13" i="77"/>
  <c r="E14" i="77"/>
  <c r="J14" i="77"/>
  <c r="K14" i="77" s="1"/>
  <c r="AU16" i="2"/>
  <c r="I54" i="81"/>
  <c r="J53" i="81"/>
  <c r="C12" i="83"/>
  <c r="E13" i="83"/>
  <c r="J13" i="83"/>
  <c r="K13" i="83" s="1"/>
  <c r="J54" i="21"/>
  <c r="I55" i="21"/>
  <c r="K54" i="62"/>
  <c r="I57" i="117"/>
  <c r="J56" i="117"/>
  <c r="K55" i="117" s="1"/>
  <c r="E13" i="74"/>
  <c r="C12" i="74"/>
  <c r="J13" i="74"/>
  <c r="K13" i="74" s="1"/>
  <c r="E14" i="140"/>
  <c r="C13" i="140"/>
  <c r="AI14" i="2"/>
  <c r="J14" i="140"/>
  <c r="K14" i="140" s="1"/>
  <c r="K53" i="76"/>
  <c r="K53" i="169"/>
  <c r="K53" i="111"/>
  <c r="K57" i="75"/>
  <c r="J53" i="147"/>
  <c r="I54" i="147"/>
  <c r="E15" i="91"/>
  <c r="C14" i="91"/>
  <c r="J15" i="91"/>
  <c r="K15" i="91" s="1"/>
  <c r="J54" i="119"/>
  <c r="I55" i="119"/>
  <c r="K55" i="152"/>
  <c r="C14" i="8"/>
  <c r="HC15" i="2"/>
  <c r="E15" i="8"/>
  <c r="BP15" i="1"/>
  <c r="J15" i="8"/>
  <c r="K15" i="8" s="1"/>
  <c r="C14" i="50"/>
  <c r="E15" i="50"/>
  <c r="AT15" i="2"/>
  <c r="J15" i="50"/>
  <c r="K15" i="50" s="1"/>
  <c r="K52" i="123"/>
  <c r="K54" i="83"/>
  <c r="I55" i="76"/>
  <c r="J54" i="76"/>
  <c r="J54" i="168"/>
  <c r="I55" i="168"/>
  <c r="J54" i="169"/>
  <c r="I55" i="169"/>
  <c r="I55" i="111"/>
  <c r="J54" i="111"/>
  <c r="C13" i="147"/>
  <c r="E14" i="147"/>
  <c r="J14" i="147"/>
  <c r="K14" i="147" s="1"/>
  <c r="K52" i="147"/>
  <c r="HO15" i="2"/>
  <c r="C13" i="151"/>
  <c r="E14" i="151"/>
  <c r="J14" i="151"/>
  <c r="K14" i="151" s="1"/>
  <c r="I54" i="8"/>
  <c r="J53" i="8"/>
  <c r="K52" i="8" s="1"/>
  <c r="E12" i="39"/>
  <c r="C11" i="39"/>
  <c r="J12" i="39"/>
  <c r="K12" i="39" s="1"/>
  <c r="HD16" i="2"/>
  <c r="C12" i="94"/>
  <c r="E13" i="94"/>
  <c r="J13" i="94"/>
  <c r="K13" i="94" s="1"/>
  <c r="K54" i="51"/>
  <c r="I54" i="91"/>
  <c r="J53" i="91"/>
  <c r="E14" i="35"/>
  <c r="C13" i="35"/>
  <c r="J14" i="35"/>
  <c r="K14" i="35" s="1"/>
  <c r="I56" i="83"/>
  <c r="J55" i="83"/>
  <c r="J54" i="155"/>
  <c r="K53" i="155" s="1"/>
  <c r="I55" i="155"/>
  <c r="K53" i="168"/>
  <c r="C11" i="173"/>
  <c r="E12" i="173"/>
  <c r="J12" i="173"/>
  <c r="K12" i="173" s="1"/>
  <c r="K54" i="124"/>
  <c r="K52" i="174"/>
  <c r="K51" i="174"/>
  <c r="K56" i="94"/>
  <c r="C13" i="132"/>
  <c r="E14" i="132"/>
  <c r="J14" i="132"/>
  <c r="K14" i="132" s="1"/>
  <c r="K56" i="59"/>
  <c r="K51" i="11"/>
  <c r="C7" i="98"/>
  <c r="E8" i="98"/>
  <c r="J8" i="98"/>
  <c r="K8" i="98" s="1"/>
  <c r="E12" i="168"/>
  <c r="C11" i="168"/>
  <c r="J12" i="168"/>
  <c r="K12" i="168" s="1"/>
  <c r="K51" i="43"/>
  <c r="C14" i="92"/>
  <c r="E15" i="92"/>
  <c r="J15" i="92"/>
  <c r="K15" i="92" s="1"/>
  <c r="I56" i="113"/>
  <c r="J55" i="113"/>
  <c r="I57" i="9"/>
  <c r="J56" i="9"/>
  <c r="K53" i="99"/>
  <c r="E15" i="93"/>
  <c r="C14" i="93"/>
  <c r="J15" i="93"/>
  <c r="K15" i="93" s="1"/>
  <c r="I55" i="31"/>
  <c r="J54" i="31"/>
  <c r="K53" i="53"/>
  <c r="K53" i="114"/>
  <c r="K52" i="114"/>
  <c r="K54" i="113"/>
  <c r="K52" i="141"/>
  <c r="K55" i="79"/>
  <c r="I55" i="4"/>
  <c r="J54" i="4"/>
  <c r="E12" i="61"/>
  <c r="C11" i="61"/>
  <c r="J12" i="61"/>
  <c r="K12" i="61" s="1"/>
  <c r="K53" i="118"/>
  <c r="BQ16" i="2"/>
  <c r="J54" i="116"/>
  <c r="K53" i="116" s="1"/>
  <c r="I55" i="116"/>
  <c r="K52" i="111"/>
  <c r="E14" i="21"/>
  <c r="C13" i="21"/>
  <c r="J14" i="21"/>
  <c r="K14" i="21" s="1"/>
  <c r="C14" i="170"/>
  <c r="E15" i="170"/>
  <c r="J15" i="170"/>
  <c r="K15" i="170" s="1"/>
  <c r="CA15" i="2"/>
  <c r="E14" i="89"/>
  <c r="C13" i="89"/>
  <c r="J14" i="89"/>
  <c r="K14" i="89" s="1"/>
  <c r="HN14" i="2"/>
  <c r="E12" i="115"/>
  <c r="C11" i="115"/>
  <c r="J12" i="115"/>
  <c r="K12" i="115" s="1"/>
  <c r="C13" i="23"/>
  <c r="E14" i="23"/>
  <c r="J14" i="23"/>
  <c r="K14" i="23" s="1"/>
  <c r="E13" i="60"/>
  <c r="C12" i="60"/>
  <c r="J13" i="60"/>
  <c r="K13" i="60" s="1"/>
  <c r="E14" i="38"/>
  <c r="C13" i="38"/>
  <c r="J14" i="38"/>
  <c r="K14" i="38" s="1"/>
  <c r="K52" i="87"/>
  <c r="K55" i="156"/>
  <c r="K51" i="58"/>
  <c r="C13" i="125"/>
  <c r="E14" i="125"/>
  <c r="J14" i="125"/>
  <c r="K14" i="125" s="1"/>
  <c r="C13" i="145"/>
  <c r="E14" i="145"/>
  <c r="J14" i="145"/>
  <c r="K14" i="145" s="1"/>
  <c r="I55" i="53"/>
  <c r="J54" i="53"/>
  <c r="E14" i="80"/>
  <c r="C13" i="80"/>
  <c r="J14" i="80"/>
  <c r="K14" i="80" s="1"/>
  <c r="I55" i="114"/>
  <c r="J54" i="114"/>
  <c r="K55" i="22"/>
  <c r="K53" i="68"/>
  <c r="J53" i="141"/>
  <c r="I54" i="141"/>
  <c r="K53" i="4"/>
  <c r="I55" i="153"/>
  <c r="J54" i="153"/>
  <c r="AU16" i="1"/>
  <c r="K56" i="71"/>
  <c r="DI15" i="2"/>
  <c r="K56" i="12"/>
  <c r="J53" i="125"/>
  <c r="I54" i="125"/>
  <c r="E15" i="52"/>
  <c r="C14" i="52"/>
  <c r="BP15" i="2"/>
  <c r="J15" i="52"/>
  <c r="K15" i="52" s="1"/>
  <c r="K52" i="154"/>
  <c r="K52" i="116"/>
  <c r="C9" i="138"/>
  <c r="E10" i="138"/>
  <c r="J10" i="138"/>
  <c r="K10" i="138" s="1"/>
  <c r="J56" i="156"/>
  <c r="I57" i="156"/>
  <c r="E15" i="58"/>
  <c r="C14" i="58"/>
  <c r="CA14" i="2" s="1"/>
  <c r="J15" i="58"/>
  <c r="K15" i="58" s="1"/>
  <c r="I57" i="132"/>
  <c r="J56" i="132"/>
  <c r="K53" i="144"/>
  <c r="K51" i="160"/>
  <c r="I56" i="63"/>
  <c r="J55" i="63"/>
  <c r="I55" i="88"/>
  <c r="J54" i="88"/>
  <c r="J58" i="61"/>
  <c r="I59" i="61"/>
  <c r="K53" i="115"/>
  <c r="CM14" i="2" l="1"/>
  <c r="CB14" i="2"/>
  <c r="E11" i="69"/>
  <c r="C10" i="69"/>
  <c r="J11" i="69"/>
  <c r="K11" i="69" s="1"/>
  <c r="C11" i="112"/>
  <c r="E12" i="112"/>
  <c r="J12" i="112"/>
  <c r="K12" i="112" s="1"/>
  <c r="E11" i="127"/>
  <c r="C10" i="127"/>
  <c r="J11" i="127"/>
  <c r="K11" i="127" s="1"/>
  <c r="FA14" i="2"/>
  <c r="E10" i="105"/>
  <c r="C9" i="105"/>
  <c r="J10" i="105"/>
  <c r="K10" i="105" s="1"/>
  <c r="C13" i="12"/>
  <c r="E14" i="12"/>
  <c r="X14" i="2"/>
  <c r="M14" i="1"/>
  <c r="J14" i="12"/>
  <c r="K14" i="12" s="1"/>
  <c r="C11" i="150"/>
  <c r="E12" i="150"/>
  <c r="J12" i="150"/>
  <c r="K12" i="150" s="1"/>
  <c r="E12" i="4"/>
  <c r="C11" i="4"/>
  <c r="J12" i="4"/>
  <c r="K12" i="4" s="1"/>
  <c r="K54" i="106"/>
  <c r="E13" i="132"/>
  <c r="C12" i="132"/>
  <c r="J13" i="132"/>
  <c r="K13" i="132" s="1"/>
  <c r="C12" i="77"/>
  <c r="E13" i="77"/>
  <c r="J13" i="77"/>
  <c r="K13" i="77" s="1"/>
  <c r="E12" i="118"/>
  <c r="C11" i="118"/>
  <c r="J12" i="118"/>
  <c r="K12" i="118" s="1"/>
  <c r="I58" i="135"/>
  <c r="J57" i="135"/>
  <c r="K53" i="58"/>
  <c r="I56" i="108"/>
  <c r="J55" i="108"/>
  <c r="E13" i="134"/>
  <c r="C12" i="134"/>
  <c r="EZ13" i="2"/>
  <c r="J13" i="134"/>
  <c r="K13" i="134" s="1"/>
  <c r="I55" i="110"/>
  <c r="J54" i="110"/>
  <c r="K53" i="110" s="1"/>
  <c r="C13" i="158"/>
  <c r="E14" i="158"/>
  <c r="J14" i="158"/>
  <c r="K14" i="158" s="1"/>
  <c r="C8" i="32"/>
  <c r="E9" i="32"/>
  <c r="J9" i="32"/>
  <c r="K9" i="32" s="1"/>
  <c r="J55" i="106"/>
  <c r="I56" i="106"/>
  <c r="C11" i="116"/>
  <c r="E12" i="116"/>
  <c r="J12" i="116"/>
  <c r="K12" i="116" s="1"/>
  <c r="E12" i="148"/>
  <c r="C11" i="148"/>
  <c r="J12" i="148"/>
  <c r="K12" i="148" s="1"/>
  <c r="E12" i="54"/>
  <c r="C11" i="54"/>
  <c r="J12" i="54"/>
  <c r="K12" i="54" s="1"/>
  <c r="J54" i="8"/>
  <c r="I55" i="8"/>
  <c r="J55" i="153"/>
  <c r="I56" i="153"/>
  <c r="EE15" i="2"/>
  <c r="J56" i="173"/>
  <c r="I57" i="173"/>
  <c r="K54" i="173"/>
  <c r="E12" i="167"/>
  <c r="C11" i="167"/>
  <c r="J12" i="167"/>
  <c r="K12" i="167" s="1"/>
  <c r="K56" i="135"/>
  <c r="E14" i="46"/>
  <c r="C13" i="46"/>
  <c r="J14" i="46"/>
  <c r="K14" i="46" s="1"/>
  <c r="I55" i="58"/>
  <c r="J54" i="58"/>
  <c r="E13" i="154"/>
  <c r="C12" i="154"/>
  <c r="J13" i="154"/>
  <c r="K13" i="154" s="1"/>
  <c r="E9" i="156"/>
  <c r="C8" i="156"/>
  <c r="J9" i="156"/>
  <c r="K9" i="156" s="1"/>
  <c r="K53" i="38"/>
  <c r="E11" i="73"/>
  <c r="C10" i="73"/>
  <c r="J11" i="73"/>
  <c r="K11" i="73" s="1"/>
  <c r="C11" i="103"/>
  <c r="E12" i="103"/>
  <c r="J12" i="103"/>
  <c r="K12" i="103" s="1"/>
  <c r="I56" i="56"/>
  <c r="J55" i="56"/>
  <c r="K54" i="56" s="1"/>
  <c r="K53" i="171"/>
  <c r="K52" i="171"/>
  <c r="I58" i="13"/>
  <c r="J57" i="13"/>
  <c r="E14" i="109"/>
  <c r="C13" i="109"/>
  <c r="ED14" i="2"/>
  <c r="J14" i="109"/>
  <c r="K14" i="109" s="1"/>
  <c r="I59" i="42"/>
  <c r="J58" i="42"/>
  <c r="K53" i="162"/>
  <c r="I56" i="137"/>
  <c r="J55" i="137"/>
  <c r="J54" i="38"/>
  <c r="I55" i="38"/>
  <c r="J55" i="123"/>
  <c r="K54" i="123" s="1"/>
  <c r="I56" i="123"/>
  <c r="J57" i="164"/>
  <c r="I58" i="164"/>
  <c r="K56" i="51"/>
  <c r="K56" i="32"/>
  <c r="J54" i="171"/>
  <c r="I55" i="171"/>
  <c r="J57" i="16"/>
  <c r="K56" i="16" s="1"/>
  <c r="I58" i="16"/>
  <c r="E12" i="126"/>
  <c r="C11" i="126"/>
  <c r="J12" i="126"/>
  <c r="K12" i="126" s="1"/>
  <c r="E14" i="56"/>
  <c r="C13" i="56"/>
  <c r="J14" i="56"/>
  <c r="K14" i="56" s="1"/>
  <c r="I60" i="74"/>
  <c r="J59" i="74"/>
  <c r="K58" i="74" s="1"/>
  <c r="K52" i="58"/>
  <c r="C13" i="174"/>
  <c r="E14" i="174"/>
  <c r="J14" i="174"/>
  <c r="K14" i="174" s="1"/>
  <c r="K54" i="137"/>
  <c r="J56" i="66"/>
  <c r="I57" i="66"/>
  <c r="I58" i="51"/>
  <c r="J57" i="51"/>
  <c r="I59" i="32"/>
  <c r="J58" i="32"/>
  <c r="K57" i="32" s="1"/>
  <c r="CM15" i="2"/>
  <c r="C9" i="165"/>
  <c r="E10" i="165"/>
  <c r="J10" i="165"/>
  <c r="K10" i="165" s="1"/>
  <c r="J55" i="103"/>
  <c r="I56" i="103"/>
  <c r="E10" i="43"/>
  <c r="C9" i="43"/>
  <c r="J10" i="43"/>
  <c r="K10" i="43" s="1"/>
  <c r="K53" i="153"/>
  <c r="J54" i="147"/>
  <c r="I55" i="147"/>
  <c r="I57" i="23"/>
  <c r="J56" i="23"/>
  <c r="IV15" i="2"/>
  <c r="K52" i="112"/>
  <c r="K53" i="108"/>
  <c r="E13" i="36"/>
  <c r="C12" i="36"/>
  <c r="J13" i="36"/>
  <c r="K13" i="36" s="1"/>
  <c r="K55" i="66"/>
  <c r="E13" i="164"/>
  <c r="C12" i="164"/>
  <c r="J13" i="164"/>
  <c r="K13" i="164" s="1"/>
  <c r="I57" i="28"/>
  <c r="J56" i="28"/>
  <c r="J54" i="35"/>
  <c r="I55" i="35"/>
  <c r="E14" i="90"/>
  <c r="C13" i="90"/>
  <c r="J14" i="90"/>
  <c r="K14" i="90" s="1"/>
  <c r="K54" i="103"/>
  <c r="I56" i="33"/>
  <c r="J55" i="33"/>
  <c r="E11" i="51"/>
  <c r="C10" i="51"/>
  <c r="J11" i="51"/>
  <c r="K11" i="51" s="1"/>
  <c r="I56" i="4"/>
  <c r="J55" i="4"/>
  <c r="I55" i="112"/>
  <c r="J54" i="112"/>
  <c r="K53" i="112" s="1"/>
  <c r="N14" i="2"/>
  <c r="J56" i="167"/>
  <c r="I57" i="167"/>
  <c r="E10" i="59"/>
  <c r="C9" i="59"/>
  <c r="J10" i="59"/>
  <c r="K10" i="59" s="1"/>
  <c r="J59" i="145"/>
  <c r="I60" i="145"/>
  <c r="I58" i="77"/>
  <c r="J57" i="77"/>
  <c r="K53" i="35"/>
  <c r="E13" i="162"/>
  <c r="C12" i="162"/>
  <c r="J13" i="162"/>
  <c r="K13" i="162" s="1"/>
  <c r="K55" i="16"/>
  <c r="C11" i="16"/>
  <c r="E12" i="16"/>
  <c r="J12" i="16"/>
  <c r="K12" i="16" s="1"/>
  <c r="C12" i="151"/>
  <c r="E13" i="151"/>
  <c r="J13" i="151"/>
  <c r="K13" i="151" s="1"/>
  <c r="HO14" i="2"/>
  <c r="J57" i="172"/>
  <c r="I58" i="172"/>
  <c r="E14" i="55"/>
  <c r="C13" i="55"/>
  <c r="J14" i="55"/>
  <c r="K14" i="55" s="1"/>
  <c r="E13" i="101"/>
  <c r="C12" i="101"/>
  <c r="J13" i="101"/>
  <c r="K13" i="101" s="1"/>
  <c r="E11" i="62"/>
  <c r="C10" i="62"/>
  <c r="J11" i="62"/>
  <c r="K11" i="62" s="1"/>
  <c r="E13" i="33"/>
  <c r="C12" i="33"/>
  <c r="J13" i="33"/>
  <c r="K13" i="33" s="1"/>
  <c r="J54" i="47"/>
  <c r="I55" i="47"/>
  <c r="E12" i="11"/>
  <c r="C11" i="11"/>
  <c r="J12" i="11"/>
  <c r="K12" i="11" s="1"/>
  <c r="K53" i="137"/>
  <c r="I58" i="26"/>
  <c r="J57" i="26"/>
  <c r="C12" i="142"/>
  <c r="E13" i="142"/>
  <c r="J13" i="142"/>
  <c r="K13" i="142" s="1"/>
  <c r="D53" i="2"/>
  <c r="DU53" i="2"/>
  <c r="FM53" i="2"/>
  <c r="IW53" i="2"/>
  <c r="IA53" i="2"/>
  <c r="BG53" i="2"/>
  <c r="HP53" i="2"/>
  <c r="EQ53" i="2"/>
  <c r="CY53" i="2"/>
  <c r="DJ53" i="2"/>
  <c r="FB53" i="2"/>
  <c r="FX53" i="2"/>
  <c r="GT53" i="2"/>
  <c r="CC53" i="2"/>
  <c r="BR53" i="2"/>
  <c r="IL53" i="2"/>
  <c r="AV53" i="2"/>
  <c r="O53" i="2"/>
  <c r="HE53" i="2"/>
  <c r="AK53" i="2"/>
  <c r="CN53" i="2"/>
  <c r="Z53" i="2"/>
  <c r="EF53" i="2"/>
  <c r="K56" i="77"/>
  <c r="K54" i="28"/>
  <c r="E11" i="124"/>
  <c r="C10" i="124"/>
  <c r="J11" i="124"/>
  <c r="K11" i="124" s="1"/>
  <c r="Y15" i="1"/>
  <c r="J57" i="101"/>
  <c r="I58" i="101"/>
  <c r="E12" i="161"/>
  <c r="C11" i="161"/>
  <c r="J12" i="161"/>
  <c r="K12" i="161" s="1"/>
  <c r="J54" i="43"/>
  <c r="I55" i="43"/>
  <c r="D53" i="1"/>
  <c r="O53" i="1"/>
  <c r="AV53" i="1"/>
  <c r="Z53" i="1"/>
  <c r="BR53" i="1"/>
  <c r="AK53" i="1"/>
  <c r="CC53" i="1"/>
  <c r="K53" i="109"/>
  <c r="E13" i="78"/>
  <c r="C12" i="78"/>
  <c r="J13" i="78"/>
  <c r="K13" i="78" s="1"/>
  <c r="E13" i="31"/>
  <c r="C12" i="31"/>
  <c r="J13" i="31"/>
  <c r="K13" i="31" s="1"/>
  <c r="E14" i="50"/>
  <c r="C13" i="50"/>
  <c r="AT14" i="2"/>
  <c r="J14" i="50"/>
  <c r="K14" i="50" s="1"/>
  <c r="C11" i="60"/>
  <c r="E12" i="60"/>
  <c r="J12" i="60"/>
  <c r="K12" i="60" s="1"/>
  <c r="E13" i="89"/>
  <c r="C12" i="89"/>
  <c r="J13" i="89"/>
  <c r="K13" i="89" s="1"/>
  <c r="I60" i="75"/>
  <c r="J59" i="75"/>
  <c r="I55" i="17"/>
  <c r="J54" i="17"/>
  <c r="K55" i="60"/>
  <c r="I60" i="134"/>
  <c r="J59" i="134"/>
  <c r="K52" i="47"/>
  <c r="J58" i="14"/>
  <c r="I59" i="14"/>
  <c r="E12" i="144"/>
  <c r="C11" i="144"/>
  <c r="J12" i="144"/>
  <c r="K12" i="144" s="1"/>
  <c r="I56" i="104"/>
  <c r="J55" i="104"/>
  <c r="EP14" i="2"/>
  <c r="K53" i="123"/>
  <c r="BG53" i="1"/>
  <c r="BF53" i="1"/>
  <c r="I55" i="109"/>
  <c r="J54" i="109"/>
  <c r="I59" i="27"/>
  <c r="J58" i="27"/>
  <c r="E14" i="29"/>
  <c r="C13" i="29"/>
  <c r="J14" i="29"/>
  <c r="K14" i="29" s="1"/>
  <c r="E12" i="135"/>
  <c r="C11" i="135"/>
  <c r="J12" i="135"/>
  <c r="K12" i="135" s="1"/>
  <c r="E13" i="96"/>
  <c r="C12" i="96"/>
  <c r="J13" i="96"/>
  <c r="K13" i="96" s="1"/>
  <c r="C12" i="147"/>
  <c r="E13" i="147"/>
  <c r="J13" i="147"/>
  <c r="K13" i="147" s="1"/>
  <c r="C10" i="173"/>
  <c r="E11" i="173"/>
  <c r="J11" i="173"/>
  <c r="K11" i="173" s="1"/>
  <c r="K54" i="111"/>
  <c r="K58" i="75"/>
  <c r="K56" i="42"/>
  <c r="E12" i="67"/>
  <c r="C11" i="67"/>
  <c r="J12" i="67"/>
  <c r="K12" i="67" s="1"/>
  <c r="K57" i="74"/>
  <c r="J56" i="60"/>
  <c r="I57" i="60"/>
  <c r="K54" i="104"/>
  <c r="K55" i="149"/>
  <c r="GI53" i="2"/>
  <c r="GH53" i="2"/>
  <c r="K55" i="164"/>
  <c r="K57" i="27"/>
  <c r="E12" i="18"/>
  <c r="C11" i="18"/>
  <c r="J12" i="18"/>
  <c r="K12" i="18" s="1"/>
  <c r="C12" i="122"/>
  <c r="E13" i="122"/>
  <c r="J13" i="122"/>
  <c r="K13" i="122" s="1"/>
  <c r="E14" i="91"/>
  <c r="C13" i="91"/>
  <c r="J14" i="91"/>
  <c r="K14" i="91" s="1"/>
  <c r="C10" i="115"/>
  <c r="E11" i="115"/>
  <c r="J11" i="115"/>
  <c r="K11" i="115" s="1"/>
  <c r="I56" i="31"/>
  <c r="J55" i="31"/>
  <c r="CB15" i="2"/>
  <c r="I56" i="111"/>
  <c r="J55" i="111"/>
  <c r="C12" i="48"/>
  <c r="E13" i="48"/>
  <c r="J13" i="48"/>
  <c r="K13" i="48" s="1"/>
  <c r="IV14" i="2"/>
  <c r="E14" i="53"/>
  <c r="C13" i="53"/>
  <c r="J14" i="53"/>
  <c r="K14" i="53" s="1"/>
  <c r="I55" i="36"/>
  <c r="J54" i="36"/>
  <c r="K53" i="36" s="1"/>
  <c r="I57" i="25"/>
  <c r="J56" i="25"/>
  <c r="J56" i="93"/>
  <c r="I57" i="93"/>
  <c r="E13" i="97"/>
  <c r="C12" i="97"/>
  <c r="EO13" i="2"/>
  <c r="J13" i="97"/>
  <c r="K13" i="97" s="1"/>
  <c r="I57" i="149"/>
  <c r="J56" i="149"/>
  <c r="C51" i="24"/>
  <c r="E52" i="24"/>
  <c r="GG52" i="2"/>
  <c r="BE52" i="1"/>
  <c r="C52" i="1"/>
  <c r="C52" i="2"/>
  <c r="J52" i="24"/>
  <c r="K52" i="24" s="1"/>
  <c r="I57" i="118"/>
  <c r="J56" i="118"/>
  <c r="E12" i="66"/>
  <c r="C11" i="66"/>
  <c r="J12" i="66"/>
  <c r="K12" i="66" s="1"/>
  <c r="I55" i="120"/>
  <c r="J54" i="120"/>
  <c r="K53" i="120" s="1"/>
  <c r="K55" i="157"/>
  <c r="C8" i="146"/>
  <c r="E9" i="146"/>
  <c r="J9" i="146"/>
  <c r="K9" i="146" s="1"/>
  <c r="I60" i="15"/>
  <c r="J59" i="15"/>
  <c r="K58" i="15" s="1"/>
  <c r="K55" i="25"/>
  <c r="E12" i="68"/>
  <c r="C11" i="68"/>
  <c r="J12" i="68"/>
  <c r="K12" i="68" s="1"/>
  <c r="I58" i="142"/>
  <c r="J57" i="142"/>
  <c r="K56" i="142" s="1"/>
  <c r="C13" i="172"/>
  <c r="E14" i="172"/>
  <c r="J14" i="172"/>
  <c r="K14" i="172" s="1"/>
  <c r="E11" i="159"/>
  <c r="C10" i="159"/>
  <c r="J11" i="159"/>
  <c r="K11" i="159" s="1"/>
  <c r="E14" i="27"/>
  <c r="C13" i="27"/>
  <c r="J14" i="27"/>
  <c r="K14" i="27" s="1"/>
  <c r="I58" i="98"/>
  <c r="J57" i="98"/>
  <c r="K56" i="98" s="1"/>
  <c r="K53" i="56"/>
  <c r="J56" i="157"/>
  <c r="I57" i="157"/>
  <c r="AU15" i="1"/>
  <c r="E14" i="52"/>
  <c r="C13" i="52"/>
  <c r="BP14" i="2"/>
  <c r="J14" i="52"/>
  <c r="K14" i="52" s="1"/>
  <c r="K52" i="125"/>
  <c r="C10" i="61"/>
  <c r="E11" i="61"/>
  <c r="J11" i="61"/>
  <c r="K11" i="61" s="1"/>
  <c r="K53" i="119"/>
  <c r="E12" i="81"/>
  <c r="C11" i="81"/>
  <c r="J12" i="81"/>
  <c r="K12" i="81" s="1"/>
  <c r="E14" i="143"/>
  <c r="C13" i="143"/>
  <c r="J14" i="143"/>
  <c r="K14" i="143" s="1"/>
  <c r="K53" i="17"/>
  <c r="IK15" i="2"/>
  <c r="AJ14" i="2"/>
  <c r="J57" i="29"/>
  <c r="I58" i="29"/>
  <c r="E13" i="80"/>
  <c r="C12" i="80"/>
  <c r="J13" i="80"/>
  <c r="K13" i="80" s="1"/>
  <c r="E13" i="140"/>
  <c r="C12" i="140"/>
  <c r="J13" i="140"/>
  <c r="K13" i="140" s="1"/>
  <c r="K55" i="29"/>
  <c r="E13" i="13"/>
  <c r="C12" i="13"/>
  <c r="J13" i="13"/>
  <c r="K13" i="13" s="1"/>
  <c r="E13" i="79"/>
  <c r="C12" i="79"/>
  <c r="J13" i="79"/>
  <c r="K13" i="79" s="1"/>
  <c r="C13" i="121"/>
  <c r="E14" i="121"/>
  <c r="J14" i="121"/>
  <c r="K14" i="121" s="1"/>
  <c r="E11" i="141"/>
  <c r="C10" i="141"/>
  <c r="J11" i="141"/>
  <c r="K11" i="141" s="1"/>
  <c r="E13" i="153"/>
  <c r="C12" i="153"/>
  <c r="J13" i="153"/>
  <c r="K13" i="153" s="1"/>
  <c r="K55" i="101"/>
  <c r="J54" i="105"/>
  <c r="I55" i="105"/>
  <c r="K52" i="43"/>
  <c r="K57" i="71"/>
  <c r="E14" i="7"/>
  <c r="C13" i="7"/>
  <c r="AT14" i="1"/>
  <c r="J14" i="7"/>
  <c r="K14" i="7" s="1"/>
  <c r="E14" i="58"/>
  <c r="C13" i="58"/>
  <c r="CA13" i="2" s="1"/>
  <c r="J14" i="58"/>
  <c r="K14" i="58" s="1"/>
  <c r="J55" i="155"/>
  <c r="K54" i="155" s="1"/>
  <c r="I56" i="155"/>
  <c r="AJ15" i="1"/>
  <c r="I58" i="156"/>
  <c r="J57" i="156"/>
  <c r="K56" i="156"/>
  <c r="E14" i="170"/>
  <c r="C13" i="170"/>
  <c r="J14" i="170"/>
  <c r="K14" i="170" s="1"/>
  <c r="J57" i="9"/>
  <c r="K56" i="9" s="1"/>
  <c r="I58" i="9"/>
  <c r="K55" i="9"/>
  <c r="I56" i="168"/>
  <c r="J55" i="168"/>
  <c r="I57" i="44"/>
  <c r="J56" i="44"/>
  <c r="K55" i="44" s="1"/>
  <c r="K54" i="85"/>
  <c r="CX14" i="2"/>
  <c r="I56" i="39"/>
  <c r="J55" i="39"/>
  <c r="J56" i="139"/>
  <c r="I57" i="139"/>
  <c r="J54" i="55"/>
  <c r="I55" i="55"/>
  <c r="I56" i="70"/>
  <c r="J55" i="70"/>
  <c r="I57" i="129"/>
  <c r="J56" i="129"/>
  <c r="C11" i="113"/>
  <c r="E12" i="113"/>
  <c r="J12" i="113"/>
  <c r="K12" i="113" s="1"/>
  <c r="K53" i="105"/>
  <c r="K55" i="13"/>
  <c r="I59" i="71"/>
  <c r="J58" i="71"/>
  <c r="I56" i="73"/>
  <c r="J55" i="73"/>
  <c r="I60" i="61"/>
  <c r="J59" i="61"/>
  <c r="J57" i="89"/>
  <c r="I58" i="89"/>
  <c r="I56" i="88"/>
  <c r="J55" i="88"/>
  <c r="K55" i="113"/>
  <c r="K55" i="83"/>
  <c r="K54" i="168"/>
  <c r="I56" i="85"/>
  <c r="J55" i="85"/>
  <c r="I56" i="161"/>
  <c r="J55" i="161"/>
  <c r="E10" i="111"/>
  <c r="C9" i="111"/>
  <c r="J10" i="111"/>
  <c r="K10" i="111" s="1"/>
  <c r="I56" i="57"/>
  <c r="J55" i="57"/>
  <c r="K55" i="10"/>
  <c r="K58" i="46"/>
  <c r="K55" i="26"/>
  <c r="K54" i="70"/>
  <c r="K55" i="129"/>
  <c r="E9" i="87"/>
  <c r="C8" i="87"/>
  <c r="J9" i="87"/>
  <c r="K9" i="87" s="1"/>
  <c r="E12" i="64"/>
  <c r="C11" i="64"/>
  <c r="J12" i="64"/>
  <c r="K12" i="64" s="1"/>
  <c r="J58" i="94"/>
  <c r="I59" i="94"/>
  <c r="I56" i="114"/>
  <c r="J55" i="114"/>
  <c r="I56" i="169"/>
  <c r="J55" i="169"/>
  <c r="K54" i="169" s="1"/>
  <c r="J55" i="53"/>
  <c r="I56" i="53"/>
  <c r="E13" i="21"/>
  <c r="C12" i="21"/>
  <c r="J13" i="21"/>
  <c r="K13" i="21" s="1"/>
  <c r="I57" i="113"/>
  <c r="J56" i="113"/>
  <c r="I57" i="83"/>
  <c r="J56" i="83"/>
  <c r="K54" i="76"/>
  <c r="C11" i="74"/>
  <c r="E12" i="74"/>
  <c r="J12" i="74"/>
  <c r="K12" i="74" s="1"/>
  <c r="C13" i="14"/>
  <c r="E14" i="14"/>
  <c r="J14" i="14"/>
  <c r="K14" i="14" s="1"/>
  <c r="K55" i="158"/>
  <c r="K54" i="161"/>
  <c r="E11" i="26"/>
  <c r="C10" i="26"/>
  <c r="J11" i="26"/>
  <c r="K11" i="26" s="1"/>
  <c r="I57" i="10"/>
  <c r="J56" i="10"/>
  <c r="J54" i="130"/>
  <c r="I55" i="130"/>
  <c r="J55" i="3"/>
  <c r="K54" i="3" s="1"/>
  <c r="I56" i="3"/>
  <c r="I60" i="46"/>
  <c r="J59" i="46"/>
  <c r="J55" i="50"/>
  <c r="I56" i="50"/>
  <c r="I56" i="54"/>
  <c r="J55" i="54"/>
  <c r="J56" i="72"/>
  <c r="I57" i="72"/>
  <c r="K57" i="94"/>
  <c r="K57" i="14"/>
  <c r="J55" i="76"/>
  <c r="I56" i="76"/>
  <c r="FW15" i="2"/>
  <c r="I58" i="78"/>
  <c r="J57" i="78"/>
  <c r="K56" i="78" s="1"/>
  <c r="I57" i="158"/>
  <c r="J56" i="158"/>
  <c r="J57" i="128"/>
  <c r="K56" i="128" s="1"/>
  <c r="I58" i="128"/>
  <c r="I55" i="102"/>
  <c r="J54" i="102"/>
  <c r="K54" i="25"/>
  <c r="I55" i="11"/>
  <c r="J54" i="11"/>
  <c r="K58" i="7"/>
  <c r="K56" i="62"/>
  <c r="E12" i="130"/>
  <c r="C11" i="130"/>
  <c r="J12" i="130"/>
  <c r="K12" i="130" s="1"/>
  <c r="I57" i="165"/>
  <c r="J56" i="165"/>
  <c r="E14" i="136"/>
  <c r="C13" i="136"/>
  <c r="J14" i="136"/>
  <c r="K14" i="136" s="1"/>
  <c r="K53" i="174"/>
  <c r="I58" i="132"/>
  <c r="J57" i="132"/>
  <c r="C8" i="138"/>
  <c r="E9" i="138"/>
  <c r="J9" i="138"/>
  <c r="K9" i="138" s="1"/>
  <c r="J55" i="151"/>
  <c r="K54" i="151" s="1"/>
  <c r="I56" i="151"/>
  <c r="J59" i="7"/>
  <c r="I60" i="7"/>
  <c r="I58" i="62"/>
  <c r="J57" i="62"/>
  <c r="I55" i="146"/>
  <c r="J54" i="146"/>
  <c r="K53" i="146" s="1"/>
  <c r="K56" i="122"/>
  <c r="E13" i="114"/>
  <c r="C12" i="114"/>
  <c r="J13" i="114"/>
  <c r="K13" i="114" s="1"/>
  <c r="K55" i="165"/>
  <c r="K54" i="165"/>
  <c r="E11" i="85"/>
  <c r="C10" i="85"/>
  <c r="J11" i="85"/>
  <c r="K11" i="85" s="1"/>
  <c r="E13" i="15"/>
  <c r="C12" i="15"/>
  <c r="J13" i="15"/>
  <c r="K13" i="15" s="1"/>
  <c r="I55" i="174"/>
  <c r="J54" i="174"/>
  <c r="K54" i="87"/>
  <c r="C13" i="93"/>
  <c r="E14" i="93"/>
  <c r="J14" i="93"/>
  <c r="K14" i="93" s="1"/>
  <c r="E13" i="35"/>
  <c r="C12" i="35"/>
  <c r="J13" i="35"/>
  <c r="K13" i="35" s="1"/>
  <c r="J58" i="24"/>
  <c r="I59" i="24"/>
  <c r="E11" i="47"/>
  <c r="C10" i="47"/>
  <c r="J11" i="47"/>
  <c r="K11" i="47" s="1"/>
  <c r="J57" i="107"/>
  <c r="I58" i="107"/>
  <c r="J54" i="166"/>
  <c r="I55" i="166"/>
  <c r="I59" i="82"/>
  <c r="J58" i="82"/>
  <c r="C12" i="145"/>
  <c r="E13" i="145"/>
  <c r="J13" i="145"/>
  <c r="K13" i="145" s="1"/>
  <c r="J55" i="116"/>
  <c r="I56" i="116"/>
  <c r="E14" i="92"/>
  <c r="C13" i="92"/>
  <c r="J14" i="92"/>
  <c r="K14" i="92" s="1"/>
  <c r="I58" i="117"/>
  <c r="J57" i="117"/>
  <c r="GR14" i="2"/>
  <c r="C13" i="42"/>
  <c r="E14" i="42"/>
  <c r="J14" i="42"/>
  <c r="K14" i="42" s="1"/>
  <c r="FV14" i="2"/>
  <c r="J54" i="163"/>
  <c r="I55" i="163"/>
  <c r="E13" i="20"/>
  <c r="C12" i="20"/>
  <c r="J13" i="20"/>
  <c r="K13" i="20" s="1"/>
  <c r="I56" i="126"/>
  <c r="J55" i="126"/>
  <c r="K54" i="167"/>
  <c r="K52" i="36"/>
  <c r="K54" i="10"/>
  <c r="K52" i="110"/>
  <c r="E13" i="63"/>
  <c r="C12" i="63"/>
  <c r="J13" i="63"/>
  <c r="K13" i="63" s="1"/>
  <c r="J57" i="122"/>
  <c r="I58" i="122"/>
  <c r="J56" i="92"/>
  <c r="I57" i="92"/>
  <c r="C13" i="152"/>
  <c r="E14" i="152"/>
  <c r="J14" i="152"/>
  <c r="K14" i="152" s="1"/>
  <c r="J55" i="131"/>
  <c r="I56" i="131"/>
  <c r="K54" i="72"/>
  <c r="K54" i="116"/>
  <c r="K52" i="81"/>
  <c r="E12" i="110"/>
  <c r="C11" i="110"/>
  <c r="J12" i="110"/>
  <c r="K12" i="110" s="1"/>
  <c r="I56" i="154"/>
  <c r="J55" i="154"/>
  <c r="K54" i="126"/>
  <c r="K53" i="34"/>
  <c r="C10" i="37"/>
  <c r="E11" i="37"/>
  <c r="J11" i="37"/>
  <c r="K11" i="37" s="1"/>
  <c r="K58" i="133"/>
  <c r="K52" i="109"/>
  <c r="E11" i="84"/>
  <c r="C10" i="84"/>
  <c r="J11" i="84"/>
  <c r="K11" i="84" s="1"/>
  <c r="K54" i="131"/>
  <c r="I59" i="59"/>
  <c r="J58" i="59"/>
  <c r="K53" i="148"/>
  <c r="C12" i="23"/>
  <c r="E13" i="23"/>
  <c r="J13" i="23"/>
  <c r="K13" i="23" s="1"/>
  <c r="I58" i="152"/>
  <c r="J57" i="152"/>
  <c r="K57" i="61"/>
  <c r="I57" i="63"/>
  <c r="J56" i="63"/>
  <c r="I55" i="141"/>
  <c r="J54" i="141"/>
  <c r="K53" i="141" s="1"/>
  <c r="K53" i="147"/>
  <c r="K54" i="63"/>
  <c r="K55" i="132"/>
  <c r="K52" i="91"/>
  <c r="K53" i="31"/>
  <c r="J54" i="91"/>
  <c r="I55" i="91"/>
  <c r="I56" i="21"/>
  <c r="J55" i="21"/>
  <c r="I56" i="86"/>
  <c r="J55" i="86"/>
  <c r="I55" i="34"/>
  <c r="J54" i="34"/>
  <c r="C13" i="3"/>
  <c r="E14" i="3"/>
  <c r="J14" i="3"/>
  <c r="K14" i="3" s="1"/>
  <c r="I60" i="133"/>
  <c r="J59" i="133"/>
  <c r="C12" i="71"/>
  <c r="E13" i="71"/>
  <c r="J13" i="71"/>
  <c r="K13" i="71" s="1"/>
  <c r="E10" i="34"/>
  <c r="C9" i="34"/>
  <c r="J10" i="34"/>
  <c r="K10" i="34" s="1"/>
  <c r="E7" i="82"/>
  <c r="C6" i="82"/>
  <c r="J7" i="82"/>
  <c r="K7" i="82" s="1"/>
  <c r="E11" i="72"/>
  <c r="C10" i="72"/>
  <c r="J11" i="72"/>
  <c r="K11" i="72" s="1"/>
  <c r="E9" i="30"/>
  <c r="C8" i="30"/>
  <c r="J9" i="30"/>
  <c r="K9" i="30" s="1"/>
  <c r="E12" i="139"/>
  <c r="C11" i="139"/>
  <c r="J12" i="139"/>
  <c r="K12" i="139" s="1"/>
  <c r="K53" i="5"/>
  <c r="K57" i="59"/>
  <c r="J54" i="148"/>
  <c r="I55" i="148"/>
  <c r="I56" i="119"/>
  <c r="J55" i="119"/>
  <c r="K54" i="119" s="1"/>
  <c r="BQ15" i="2"/>
  <c r="AU15" i="2"/>
  <c r="K54" i="21"/>
  <c r="C12" i="44"/>
  <c r="E13" i="44"/>
  <c r="J13" i="44"/>
  <c r="K13" i="44" s="1"/>
  <c r="E11" i="123"/>
  <c r="C10" i="123"/>
  <c r="J11" i="123"/>
  <c r="K11" i="123" s="1"/>
  <c r="K57" i="79"/>
  <c r="I56" i="84"/>
  <c r="J55" i="84"/>
  <c r="K54" i="84" s="1"/>
  <c r="E12" i="22"/>
  <c r="C11" i="22"/>
  <c r="J12" i="22"/>
  <c r="K12" i="22" s="1"/>
  <c r="E14" i="28"/>
  <c r="C13" i="28"/>
  <c r="AI13" i="2" s="1"/>
  <c r="J14" i="28"/>
  <c r="K14" i="28" s="1"/>
  <c r="J54" i="95"/>
  <c r="K53" i="95" s="1"/>
  <c r="I55" i="95"/>
  <c r="J54" i="96"/>
  <c r="K53" i="96" s="1"/>
  <c r="I55" i="96"/>
  <c r="K55" i="51"/>
  <c r="FK14" i="2"/>
  <c r="K53" i="45"/>
  <c r="K54" i="92"/>
  <c r="I56" i="5"/>
  <c r="J55" i="5"/>
  <c r="K53" i="143"/>
  <c r="J56" i="124"/>
  <c r="I57" i="124"/>
  <c r="I57" i="41"/>
  <c r="J56" i="41"/>
  <c r="C8" i="166"/>
  <c r="E9" i="166"/>
  <c r="J9" i="166"/>
  <c r="K9" i="166" s="1"/>
  <c r="I59" i="79"/>
  <c r="J58" i="79"/>
  <c r="E12" i="9"/>
  <c r="C11" i="9"/>
  <c r="J12" i="9"/>
  <c r="K12" i="9" s="1"/>
  <c r="I55" i="65"/>
  <c r="J54" i="65"/>
  <c r="K53" i="64"/>
  <c r="K55" i="30"/>
  <c r="BE14" i="2"/>
  <c r="I55" i="45"/>
  <c r="J54" i="45"/>
  <c r="J54" i="143"/>
  <c r="I55" i="143"/>
  <c r="E13" i="125"/>
  <c r="C12" i="125"/>
  <c r="J13" i="125"/>
  <c r="K13" i="125" s="1"/>
  <c r="K54" i="73"/>
  <c r="E10" i="45"/>
  <c r="C9" i="45"/>
  <c r="J10" i="45"/>
  <c r="K10" i="45" s="1"/>
  <c r="I58" i="136"/>
  <c r="J57" i="136"/>
  <c r="K56" i="136" s="1"/>
  <c r="K55" i="41"/>
  <c r="I60" i="12"/>
  <c r="J59" i="12"/>
  <c r="I57" i="37"/>
  <c r="J56" i="37"/>
  <c r="K55" i="37" s="1"/>
  <c r="K54" i="20"/>
  <c r="J54" i="64"/>
  <c r="I55" i="64"/>
  <c r="J56" i="30"/>
  <c r="I57" i="30"/>
  <c r="C12" i="88"/>
  <c r="E13" i="88"/>
  <c r="J13" i="88"/>
  <c r="K13" i="88" s="1"/>
  <c r="E13" i="41"/>
  <c r="C12" i="41"/>
  <c r="J13" i="41"/>
  <c r="K13" i="41" s="1"/>
  <c r="K52" i="146"/>
  <c r="C10" i="86"/>
  <c r="E11" i="86"/>
  <c r="J11" i="86"/>
  <c r="K11" i="86" s="1"/>
  <c r="HY14" i="2"/>
  <c r="K54" i="67"/>
  <c r="K54" i="18"/>
  <c r="K53" i="88"/>
  <c r="X14" i="1"/>
  <c r="I55" i="125"/>
  <c r="J54" i="125"/>
  <c r="K53" i="125" s="1"/>
  <c r="E12" i="94"/>
  <c r="C11" i="94"/>
  <c r="J12" i="94"/>
  <c r="K12" i="94" s="1"/>
  <c r="K53" i="100"/>
  <c r="J54" i="160"/>
  <c r="K53" i="160" s="1"/>
  <c r="I55" i="160"/>
  <c r="K58" i="12"/>
  <c r="J55" i="80"/>
  <c r="I56" i="80"/>
  <c r="I56" i="20"/>
  <c r="J55" i="20"/>
  <c r="EP15" i="2"/>
  <c r="I57" i="115"/>
  <c r="J56" i="115"/>
  <c r="K55" i="115" s="1"/>
  <c r="K55" i="159"/>
  <c r="E11" i="171"/>
  <c r="C10" i="171"/>
  <c r="J11" i="171"/>
  <c r="K11" i="171" s="1"/>
  <c r="I56" i="67"/>
  <c r="J55" i="67"/>
  <c r="E11" i="106"/>
  <c r="C10" i="106"/>
  <c r="J11" i="106"/>
  <c r="K11" i="106" s="1"/>
  <c r="I57" i="18"/>
  <c r="J56" i="18"/>
  <c r="K55" i="18" s="1"/>
  <c r="BQ15" i="1"/>
  <c r="C11" i="83"/>
  <c r="E12" i="83"/>
  <c r="J12" i="83"/>
  <c r="K12" i="83" s="1"/>
  <c r="I55" i="100"/>
  <c r="J54" i="100"/>
  <c r="E13" i="119"/>
  <c r="C12" i="119"/>
  <c r="J13" i="119"/>
  <c r="K13" i="119" s="1"/>
  <c r="E14" i="107"/>
  <c r="C13" i="107"/>
  <c r="BE13" i="2" s="1"/>
  <c r="J14" i="107"/>
  <c r="K14" i="107" s="1"/>
  <c r="K53" i="69"/>
  <c r="K54" i="80"/>
  <c r="K54" i="52"/>
  <c r="E9" i="157"/>
  <c r="C8" i="157"/>
  <c r="J9" i="157"/>
  <c r="K9" i="157" s="1"/>
  <c r="C11" i="137"/>
  <c r="E12" i="137"/>
  <c r="J12" i="137"/>
  <c r="K12" i="137" s="1"/>
  <c r="I57" i="159"/>
  <c r="J56" i="159"/>
  <c r="E13" i="169"/>
  <c r="C12" i="169"/>
  <c r="HY13" i="2"/>
  <c r="J13" i="169"/>
  <c r="K13" i="169" s="1"/>
  <c r="I56" i="121"/>
  <c r="J55" i="121"/>
  <c r="DI14" i="2"/>
  <c r="I56" i="144"/>
  <c r="J55" i="144"/>
  <c r="C10" i="168"/>
  <c r="E11" i="168"/>
  <c r="J11" i="168"/>
  <c r="K11" i="168" s="1"/>
  <c r="C12" i="76"/>
  <c r="E13" i="76"/>
  <c r="J13" i="76"/>
  <c r="K13" i="76" s="1"/>
  <c r="J54" i="69"/>
  <c r="I55" i="69"/>
  <c r="E10" i="131"/>
  <c r="C9" i="131"/>
  <c r="J10" i="131"/>
  <c r="K10" i="131" s="1"/>
  <c r="J55" i="49"/>
  <c r="K54" i="49" s="1"/>
  <c r="I56" i="49"/>
  <c r="I56" i="52"/>
  <c r="J55" i="52"/>
  <c r="C10" i="163"/>
  <c r="E11" i="163"/>
  <c r="J11" i="163"/>
  <c r="K11" i="163" s="1"/>
  <c r="E12" i="75"/>
  <c r="C11" i="75"/>
  <c r="J12" i="75"/>
  <c r="K12" i="75" s="1"/>
  <c r="I57" i="99"/>
  <c r="J56" i="99"/>
  <c r="K52" i="35"/>
  <c r="I58" i="127"/>
  <c r="J57" i="127"/>
  <c r="K57" i="22"/>
  <c r="I55" i="90"/>
  <c r="J54" i="90"/>
  <c r="K53" i="90" s="1"/>
  <c r="K54" i="121"/>
  <c r="E14" i="49"/>
  <c r="C13" i="49"/>
  <c r="J14" i="49"/>
  <c r="K14" i="49" s="1"/>
  <c r="C10" i="149"/>
  <c r="E11" i="149"/>
  <c r="J11" i="149"/>
  <c r="K11" i="149" s="1"/>
  <c r="E11" i="40"/>
  <c r="C10" i="40"/>
  <c r="J11" i="40"/>
  <c r="K11" i="40" s="1"/>
  <c r="E10" i="102"/>
  <c r="C9" i="102"/>
  <c r="J10" i="102"/>
  <c r="K10" i="102" s="1"/>
  <c r="K55" i="99"/>
  <c r="K56" i="127"/>
  <c r="E12" i="19"/>
  <c r="C11" i="19"/>
  <c r="J12" i="19"/>
  <c r="K12" i="19" s="1"/>
  <c r="J58" i="22"/>
  <c r="I59" i="22"/>
  <c r="K56" i="22"/>
  <c r="K55" i="98"/>
  <c r="E13" i="133"/>
  <c r="C12" i="133"/>
  <c r="J13" i="133"/>
  <c r="K13" i="133" s="1"/>
  <c r="DH13" i="2"/>
  <c r="C12" i="70"/>
  <c r="E13" i="70"/>
  <c r="J13" i="70"/>
  <c r="K13" i="70" s="1"/>
  <c r="C12" i="38"/>
  <c r="E13" i="38"/>
  <c r="J13" i="38"/>
  <c r="K13" i="38" s="1"/>
  <c r="E7" i="98"/>
  <c r="C6" i="98"/>
  <c r="J7" i="98"/>
  <c r="K7" i="98" s="1"/>
  <c r="HD15" i="2"/>
  <c r="I55" i="81"/>
  <c r="J54" i="81"/>
  <c r="I56" i="87"/>
  <c r="J55" i="87"/>
  <c r="E13" i="10"/>
  <c r="C12" i="10"/>
  <c r="J13" i="10"/>
  <c r="K13" i="10" s="1"/>
  <c r="K54" i="97"/>
  <c r="X13" i="1"/>
  <c r="DT13" i="2"/>
  <c r="J54" i="140"/>
  <c r="I55" i="140"/>
  <c r="K54" i="4"/>
  <c r="C10" i="39"/>
  <c r="E11" i="39"/>
  <c r="J11" i="39"/>
  <c r="K11" i="39" s="1"/>
  <c r="HC14" i="2"/>
  <c r="C13" i="8"/>
  <c r="E14" i="8"/>
  <c r="BP14" i="1"/>
  <c r="J14" i="8"/>
  <c r="K14" i="8" s="1"/>
  <c r="I56" i="170"/>
  <c r="J55" i="170"/>
  <c r="C12" i="108"/>
  <c r="E13" i="108"/>
  <c r="J13" i="108"/>
  <c r="K13" i="108" s="1"/>
  <c r="I56" i="97"/>
  <c r="J55" i="97"/>
  <c r="J57" i="48"/>
  <c r="K56" i="48" s="1"/>
  <c r="I58" i="48"/>
  <c r="K54" i="19"/>
  <c r="C11" i="25"/>
  <c r="E12" i="25"/>
  <c r="J12" i="25"/>
  <c r="K12" i="25" s="1"/>
  <c r="AI14" i="1"/>
  <c r="C13" i="6"/>
  <c r="E14" i="6"/>
  <c r="CA14" i="1"/>
  <c r="K53" i="33"/>
  <c r="K54" i="23"/>
  <c r="CX13" i="2"/>
  <c r="E12" i="5"/>
  <c r="C11" i="5"/>
  <c r="J12" i="5"/>
  <c r="K12" i="5" s="1"/>
  <c r="E11" i="120"/>
  <c r="C10" i="120"/>
  <c r="J11" i="120"/>
  <c r="K11" i="120" s="1"/>
  <c r="C11" i="129"/>
  <c r="E12" i="129"/>
  <c r="J12" i="129"/>
  <c r="K12" i="129" s="1"/>
  <c r="DS12" i="2"/>
  <c r="E12" i="65"/>
  <c r="C11" i="65"/>
  <c r="J12" i="65"/>
  <c r="K12" i="65" s="1"/>
  <c r="J55" i="19"/>
  <c r="I56" i="19"/>
  <c r="Y15" i="2"/>
  <c r="E13" i="117"/>
  <c r="C12" i="117"/>
  <c r="J13" i="117"/>
  <c r="K13" i="117" s="1"/>
  <c r="E14" i="155"/>
  <c r="C13" i="155"/>
  <c r="J14" i="155"/>
  <c r="K14" i="155" s="1"/>
  <c r="J56" i="68"/>
  <c r="K55" i="68" s="1"/>
  <c r="I57" i="68"/>
  <c r="E14" i="100"/>
  <c r="C13" i="100"/>
  <c r="J14" i="100"/>
  <c r="K14" i="100" s="1"/>
  <c r="K53" i="106"/>
  <c r="I55" i="40"/>
  <c r="J54" i="40"/>
  <c r="C11" i="104"/>
  <c r="E12" i="104"/>
  <c r="J12" i="104"/>
  <c r="K12" i="104" s="1"/>
  <c r="K53" i="8"/>
  <c r="K55" i="172"/>
  <c r="K56" i="89"/>
  <c r="E12" i="57"/>
  <c r="C11" i="57"/>
  <c r="J12" i="57"/>
  <c r="K12" i="57" s="1"/>
  <c r="I56" i="138"/>
  <c r="J55" i="138"/>
  <c r="J55" i="162"/>
  <c r="I56" i="162"/>
  <c r="IK14" i="2"/>
  <c r="N15" i="1"/>
  <c r="E12" i="17"/>
  <c r="C11" i="17"/>
  <c r="J12" i="17"/>
  <c r="K12" i="17" s="1"/>
  <c r="K55" i="62"/>
  <c r="C9" i="160"/>
  <c r="E10" i="160"/>
  <c r="J10" i="160"/>
  <c r="K10" i="160" s="1"/>
  <c r="E12" i="128"/>
  <c r="C11" i="128"/>
  <c r="J12" i="128"/>
  <c r="K12" i="128" s="1"/>
  <c r="CB15" i="1"/>
  <c r="E13" i="95"/>
  <c r="C12" i="95"/>
  <c r="J13" i="95"/>
  <c r="K13" i="95" s="1"/>
  <c r="K53" i="40"/>
  <c r="E12" i="99"/>
  <c r="C11" i="99"/>
  <c r="J12" i="99"/>
  <c r="K12" i="99" s="1"/>
  <c r="CB13" i="2" l="1"/>
  <c r="AJ13" i="2"/>
  <c r="BF13" i="2"/>
  <c r="C12" i="100"/>
  <c r="E13" i="100"/>
  <c r="J13" i="100"/>
  <c r="K13" i="100" s="1"/>
  <c r="E10" i="163"/>
  <c r="C9" i="163"/>
  <c r="J10" i="163"/>
  <c r="K10" i="163" s="1"/>
  <c r="C9" i="171"/>
  <c r="E10" i="171"/>
  <c r="J10" i="171"/>
  <c r="K10" i="171" s="1"/>
  <c r="BF14" i="2"/>
  <c r="E10" i="72"/>
  <c r="C9" i="72"/>
  <c r="J10" i="72"/>
  <c r="K10" i="72" s="1"/>
  <c r="E11" i="110"/>
  <c r="C10" i="110"/>
  <c r="J11" i="110"/>
  <c r="K11" i="110" s="1"/>
  <c r="K57" i="132"/>
  <c r="K55" i="57"/>
  <c r="I57" i="70"/>
  <c r="J56" i="70"/>
  <c r="AU14" i="1"/>
  <c r="I57" i="111"/>
  <c r="J56" i="111"/>
  <c r="E12" i="78"/>
  <c r="C11" i="78"/>
  <c r="J12" i="78"/>
  <c r="K12" i="78" s="1"/>
  <c r="C11" i="36"/>
  <c r="E12" i="36"/>
  <c r="J12" i="36"/>
  <c r="K12" i="36" s="1"/>
  <c r="C7" i="32"/>
  <c r="E8" i="32"/>
  <c r="J8" i="32"/>
  <c r="K8" i="32" s="1"/>
  <c r="E11" i="128"/>
  <c r="C10" i="128"/>
  <c r="J11" i="128"/>
  <c r="K11" i="128" s="1"/>
  <c r="C10" i="19"/>
  <c r="E11" i="19"/>
  <c r="J11" i="19"/>
  <c r="K11" i="19" s="1"/>
  <c r="K56" i="132"/>
  <c r="FW14" i="2"/>
  <c r="E13" i="93"/>
  <c r="C12" i="93"/>
  <c r="J13" i="93"/>
  <c r="K13" i="93" s="1"/>
  <c r="I59" i="132"/>
  <c r="J58" i="132"/>
  <c r="J57" i="72"/>
  <c r="I58" i="72"/>
  <c r="J57" i="113"/>
  <c r="I58" i="113"/>
  <c r="I57" i="57"/>
  <c r="J56" i="57"/>
  <c r="I56" i="55"/>
  <c r="J55" i="55"/>
  <c r="E13" i="7"/>
  <c r="C12" i="7"/>
  <c r="AT13" i="1"/>
  <c r="J13" i="7"/>
  <c r="K13" i="7" s="1"/>
  <c r="K57" i="98"/>
  <c r="E11" i="67"/>
  <c r="C10" i="67"/>
  <c r="J11" i="67"/>
  <c r="K11" i="67" s="1"/>
  <c r="J56" i="104"/>
  <c r="I57" i="104"/>
  <c r="E10" i="62"/>
  <c r="C9" i="62"/>
  <c r="J10" i="62"/>
  <c r="K10" i="62" s="1"/>
  <c r="E9" i="59"/>
  <c r="C8" i="59"/>
  <c r="J9" i="59"/>
  <c r="K9" i="59" s="1"/>
  <c r="C12" i="46"/>
  <c r="E13" i="46"/>
  <c r="J13" i="46"/>
  <c r="K13" i="46" s="1"/>
  <c r="K56" i="72"/>
  <c r="K54" i="55"/>
  <c r="I59" i="98"/>
  <c r="J58" i="98"/>
  <c r="I58" i="118"/>
  <c r="J57" i="118"/>
  <c r="J59" i="42"/>
  <c r="I60" i="42"/>
  <c r="C5" i="82"/>
  <c r="E6" i="82"/>
  <c r="J6" i="82"/>
  <c r="K6" i="82" s="1"/>
  <c r="E12" i="21"/>
  <c r="C11" i="21"/>
  <c r="J12" i="21"/>
  <c r="K12" i="21" s="1"/>
  <c r="E9" i="111"/>
  <c r="C8" i="111"/>
  <c r="J9" i="111"/>
  <c r="K9" i="111" s="1"/>
  <c r="I58" i="139"/>
  <c r="J57" i="139"/>
  <c r="K56" i="139" s="1"/>
  <c r="C11" i="80"/>
  <c r="E12" i="80"/>
  <c r="J12" i="80"/>
  <c r="K12" i="80" s="1"/>
  <c r="K55" i="31"/>
  <c r="C10" i="144"/>
  <c r="E11" i="144"/>
  <c r="J11" i="144"/>
  <c r="K11" i="144" s="1"/>
  <c r="J57" i="167"/>
  <c r="I58" i="167"/>
  <c r="E13" i="174"/>
  <c r="C12" i="174"/>
  <c r="J13" i="174"/>
  <c r="K13" i="174" s="1"/>
  <c r="E13" i="27"/>
  <c r="C12" i="27"/>
  <c r="J13" i="27"/>
  <c r="K13" i="27" s="1"/>
  <c r="D52" i="2"/>
  <c r="DU52" i="2"/>
  <c r="CY52" i="2"/>
  <c r="CN52" i="2"/>
  <c r="GT52" i="2"/>
  <c r="FM52" i="2"/>
  <c r="IL52" i="2"/>
  <c r="DJ52" i="2"/>
  <c r="EQ52" i="2"/>
  <c r="IW52" i="2"/>
  <c r="FB52" i="2"/>
  <c r="Z52" i="2"/>
  <c r="HE52" i="2"/>
  <c r="IA52" i="2"/>
  <c r="BR52" i="2"/>
  <c r="AV52" i="2"/>
  <c r="CC52" i="2"/>
  <c r="EF52" i="2"/>
  <c r="BG52" i="2"/>
  <c r="FX52" i="2"/>
  <c r="HP52" i="2"/>
  <c r="AK52" i="2"/>
  <c r="O52" i="2"/>
  <c r="J56" i="31"/>
  <c r="I57" i="31"/>
  <c r="C11" i="101"/>
  <c r="E12" i="101"/>
  <c r="J12" i="101"/>
  <c r="K12" i="101" s="1"/>
  <c r="K56" i="167"/>
  <c r="EE14" i="2"/>
  <c r="C12" i="158"/>
  <c r="E13" i="158"/>
  <c r="J13" i="158"/>
  <c r="K13" i="158" s="1"/>
  <c r="E11" i="150"/>
  <c r="C10" i="150"/>
  <c r="J11" i="150"/>
  <c r="K11" i="150" s="1"/>
  <c r="I58" i="115"/>
  <c r="J57" i="115"/>
  <c r="J55" i="65"/>
  <c r="I56" i="65"/>
  <c r="E13" i="42"/>
  <c r="C12" i="42"/>
  <c r="J13" i="42"/>
  <c r="K13" i="42" s="1"/>
  <c r="FV13" i="2"/>
  <c r="FK13" i="2"/>
  <c r="I57" i="84"/>
  <c r="J56" i="84"/>
  <c r="I56" i="141"/>
  <c r="J55" i="141"/>
  <c r="I57" i="131"/>
  <c r="J56" i="131"/>
  <c r="GS14" i="2"/>
  <c r="I57" i="50"/>
  <c r="J56" i="50"/>
  <c r="I57" i="53"/>
  <c r="J56" i="53"/>
  <c r="I56" i="105"/>
  <c r="J55" i="105"/>
  <c r="I59" i="29"/>
  <c r="J58" i="29"/>
  <c r="D52" i="1"/>
  <c r="CC52" i="1"/>
  <c r="O52" i="1"/>
  <c r="AK52" i="1"/>
  <c r="AV52" i="1"/>
  <c r="BR52" i="1"/>
  <c r="Z52" i="1"/>
  <c r="I60" i="14"/>
  <c r="J59" i="14"/>
  <c r="K59" i="74"/>
  <c r="E13" i="109"/>
  <c r="C12" i="109"/>
  <c r="ED13" i="2"/>
  <c r="J13" i="109"/>
  <c r="K13" i="109" s="1"/>
  <c r="C10" i="167"/>
  <c r="E11" i="167"/>
  <c r="J11" i="167"/>
  <c r="K11" i="167" s="1"/>
  <c r="E8" i="157"/>
  <c r="C7" i="157"/>
  <c r="J8" i="157"/>
  <c r="K8" i="157" s="1"/>
  <c r="I56" i="174"/>
  <c r="J55" i="174"/>
  <c r="E11" i="9"/>
  <c r="C10" i="9"/>
  <c r="J11" i="9"/>
  <c r="K11" i="9" s="1"/>
  <c r="C8" i="34"/>
  <c r="E9" i="34"/>
  <c r="J9" i="34"/>
  <c r="K9" i="34" s="1"/>
  <c r="K56" i="63"/>
  <c r="K55" i="131"/>
  <c r="K57" i="117"/>
  <c r="E12" i="15"/>
  <c r="C11" i="15"/>
  <c r="J12" i="15"/>
  <c r="K12" i="15" s="1"/>
  <c r="K55" i="50"/>
  <c r="I57" i="161"/>
  <c r="J56" i="161"/>
  <c r="K55" i="161" s="1"/>
  <c r="I57" i="39"/>
  <c r="J56" i="39"/>
  <c r="K55" i="39" s="1"/>
  <c r="K57" i="29"/>
  <c r="K55" i="118"/>
  <c r="BG52" i="1"/>
  <c r="BF52" i="1"/>
  <c r="K58" i="14"/>
  <c r="I61" i="74"/>
  <c r="J60" i="74"/>
  <c r="I56" i="110"/>
  <c r="J55" i="110"/>
  <c r="N14" i="1"/>
  <c r="E13" i="136"/>
  <c r="C12" i="136"/>
  <c r="J13" i="136"/>
  <c r="K13" i="136" s="1"/>
  <c r="AJ14" i="1"/>
  <c r="E12" i="88"/>
  <c r="C11" i="88"/>
  <c r="FK12" i="2"/>
  <c r="J12" i="88"/>
  <c r="K12" i="88" s="1"/>
  <c r="I58" i="63"/>
  <c r="J57" i="63"/>
  <c r="I59" i="117"/>
  <c r="J58" i="117"/>
  <c r="I58" i="165"/>
  <c r="J57" i="165"/>
  <c r="K59" i="46"/>
  <c r="K54" i="53"/>
  <c r="K55" i="85"/>
  <c r="K54" i="57"/>
  <c r="GH52" i="2"/>
  <c r="GI52" i="2"/>
  <c r="E10" i="115"/>
  <c r="C9" i="115"/>
  <c r="J10" i="115"/>
  <c r="K10" i="115" s="1"/>
  <c r="C12" i="55"/>
  <c r="E13" i="55"/>
  <c r="J13" i="55"/>
  <c r="K13" i="55" s="1"/>
  <c r="K56" i="23"/>
  <c r="K57" i="13"/>
  <c r="Y14" i="2"/>
  <c r="CB14" i="1"/>
  <c r="E11" i="22"/>
  <c r="C10" i="22"/>
  <c r="J11" i="22"/>
  <c r="K11" i="22" s="1"/>
  <c r="I57" i="20"/>
  <c r="J56" i="20"/>
  <c r="C9" i="123"/>
  <c r="E10" i="123"/>
  <c r="J10" i="123"/>
  <c r="K10" i="123" s="1"/>
  <c r="I61" i="46"/>
  <c r="J60" i="46"/>
  <c r="I57" i="85"/>
  <c r="J56" i="85"/>
  <c r="K53" i="55"/>
  <c r="J55" i="112"/>
  <c r="K54" i="112" s="1"/>
  <c r="I56" i="112"/>
  <c r="I58" i="23"/>
  <c r="J57" i="23"/>
  <c r="C12" i="56"/>
  <c r="E13" i="56"/>
  <c r="J13" i="56"/>
  <c r="K13" i="56" s="1"/>
  <c r="I59" i="13"/>
  <c r="J58" i="13"/>
  <c r="I58" i="173"/>
  <c r="J57" i="173"/>
  <c r="FA13" i="2"/>
  <c r="I57" i="54"/>
  <c r="J56" i="54"/>
  <c r="C12" i="155"/>
  <c r="E13" i="155"/>
  <c r="J13" i="155"/>
  <c r="K13" i="155" s="1"/>
  <c r="C8" i="160"/>
  <c r="E9" i="160"/>
  <c r="J9" i="160"/>
  <c r="K9" i="160" s="1"/>
  <c r="C8" i="102"/>
  <c r="E9" i="102"/>
  <c r="J9" i="102"/>
  <c r="K9" i="102" s="1"/>
  <c r="E9" i="131"/>
  <c r="C8" i="131"/>
  <c r="J9" i="131"/>
  <c r="K9" i="131" s="1"/>
  <c r="E12" i="10"/>
  <c r="C11" i="10"/>
  <c r="J12" i="10"/>
  <c r="K12" i="10" s="1"/>
  <c r="C10" i="25"/>
  <c r="E11" i="25"/>
  <c r="J11" i="25"/>
  <c r="K11" i="25" s="1"/>
  <c r="I58" i="30"/>
  <c r="J57" i="30"/>
  <c r="K56" i="30" s="1"/>
  <c r="E11" i="17"/>
  <c r="C10" i="17"/>
  <c r="J11" i="17"/>
  <c r="K11" i="17" s="1"/>
  <c r="K55" i="87"/>
  <c r="K58" i="79"/>
  <c r="K57" i="152"/>
  <c r="E13" i="152"/>
  <c r="C12" i="152"/>
  <c r="J13" i="152"/>
  <c r="K13" i="152" s="1"/>
  <c r="E13" i="92"/>
  <c r="C12" i="92"/>
  <c r="J13" i="92"/>
  <c r="K13" i="92" s="1"/>
  <c r="E10" i="85"/>
  <c r="C9" i="85"/>
  <c r="J10" i="85"/>
  <c r="K10" i="85" s="1"/>
  <c r="E11" i="130"/>
  <c r="C10" i="130"/>
  <c r="J11" i="130"/>
  <c r="K11" i="130" s="1"/>
  <c r="J56" i="3"/>
  <c r="I57" i="3"/>
  <c r="I57" i="169"/>
  <c r="J56" i="169"/>
  <c r="E10" i="159"/>
  <c r="C9" i="159"/>
  <c r="J10" i="159"/>
  <c r="K10" i="159" s="1"/>
  <c r="E51" i="24"/>
  <c r="C50" i="24"/>
  <c r="GG51" i="2"/>
  <c r="BE51" i="1"/>
  <c r="C51" i="1"/>
  <c r="C51" i="2"/>
  <c r="J51" i="24"/>
  <c r="K51" i="24" s="1"/>
  <c r="C12" i="91"/>
  <c r="E13" i="91"/>
  <c r="J13" i="91"/>
  <c r="K13" i="91" s="1"/>
  <c r="C9" i="173"/>
  <c r="E10" i="173"/>
  <c r="J10" i="173"/>
  <c r="K10" i="173" s="1"/>
  <c r="J60" i="134"/>
  <c r="I61" i="134"/>
  <c r="J58" i="172"/>
  <c r="I59" i="172"/>
  <c r="K55" i="23"/>
  <c r="I56" i="147"/>
  <c r="J55" i="147"/>
  <c r="K56" i="173"/>
  <c r="E12" i="134"/>
  <c r="C11" i="134"/>
  <c r="EZ12" i="2"/>
  <c r="J12" i="134"/>
  <c r="K12" i="134" s="1"/>
  <c r="E13" i="12"/>
  <c r="C12" i="12"/>
  <c r="X13" i="2"/>
  <c r="M13" i="1"/>
  <c r="J13" i="12"/>
  <c r="K13" i="12" s="1"/>
  <c r="I56" i="69"/>
  <c r="J55" i="69"/>
  <c r="K54" i="69" s="1"/>
  <c r="E10" i="40"/>
  <c r="C9" i="40"/>
  <c r="J10" i="40"/>
  <c r="K10" i="40" s="1"/>
  <c r="E13" i="107"/>
  <c r="C12" i="107"/>
  <c r="J13" i="107"/>
  <c r="K13" i="107" s="1"/>
  <c r="I57" i="80"/>
  <c r="J56" i="80"/>
  <c r="I56" i="64"/>
  <c r="J55" i="64"/>
  <c r="I60" i="79"/>
  <c r="J59" i="79"/>
  <c r="I59" i="152"/>
  <c r="J58" i="152"/>
  <c r="I58" i="92"/>
  <c r="J57" i="92"/>
  <c r="K55" i="114"/>
  <c r="K54" i="114"/>
  <c r="I56" i="43"/>
  <c r="J55" i="43"/>
  <c r="K57" i="172"/>
  <c r="K56" i="172"/>
  <c r="K57" i="42"/>
  <c r="I57" i="52"/>
  <c r="J56" i="52"/>
  <c r="K55" i="52" s="1"/>
  <c r="E12" i="117"/>
  <c r="C11" i="117"/>
  <c r="J12" i="117"/>
  <c r="K12" i="117" s="1"/>
  <c r="I57" i="87"/>
  <c r="J56" i="87"/>
  <c r="K53" i="140"/>
  <c r="K55" i="80"/>
  <c r="I57" i="116"/>
  <c r="J56" i="116"/>
  <c r="J55" i="130"/>
  <c r="I56" i="130"/>
  <c r="I57" i="114"/>
  <c r="J56" i="114"/>
  <c r="K56" i="44"/>
  <c r="C11" i="153"/>
  <c r="E12" i="153"/>
  <c r="J12" i="153"/>
  <c r="K12" i="153" s="1"/>
  <c r="I58" i="149"/>
  <c r="J57" i="149"/>
  <c r="K56" i="149" s="1"/>
  <c r="K54" i="43"/>
  <c r="K55" i="4"/>
  <c r="K56" i="152"/>
  <c r="K55" i="108"/>
  <c r="C8" i="105"/>
  <c r="E9" i="105"/>
  <c r="J9" i="105"/>
  <c r="K9" i="105" s="1"/>
  <c r="E12" i="76"/>
  <c r="C11" i="76"/>
  <c r="J12" i="76"/>
  <c r="K12" i="76" s="1"/>
  <c r="E12" i="44"/>
  <c r="C11" i="44"/>
  <c r="J12" i="44"/>
  <c r="K12" i="44" s="1"/>
  <c r="E12" i="71"/>
  <c r="C11" i="71"/>
  <c r="J12" i="71"/>
  <c r="K12" i="71" s="1"/>
  <c r="J58" i="122"/>
  <c r="K57" i="122" s="1"/>
  <c r="I59" i="122"/>
  <c r="K55" i="116"/>
  <c r="J59" i="94"/>
  <c r="I60" i="94"/>
  <c r="J57" i="44"/>
  <c r="I58" i="44"/>
  <c r="J55" i="17"/>
  <c r="K54" i="17" s="1"/>
  <c r="I56" i="17"/>
  <c r="J56" i="4"/>
  <c r="I57" i="4"/>
  <c r="K54" i="31"/>
  <c r="K53" i="81"/>
  <c r="K55" i="56"/>
  <c r="I57" i="153"/>
  <c r="J56" i="153"/>
  <c r="I57" i="108"/>
  <c r="J56" i="108"/>
  <c r="K55" i="19"/>
  <c r="J58" i="48"/>
  <c r="I59" i="48"/>
  <c r="C11" i="119"/>
  <c r="E12" i="119"/>
  <c r="J12" i="119"/>
  <c r="K12" i="119" s="1"/>
  <c r="I56" i="160"/>
  <c r="J55" i="160"/>
  <c r="K54" i="160" s="1"/>
  <c r="K56" i="37"/>
  <c r="E8" i="166"/>
  <c r="C7" i="166"/>
  <c r="J8" i="166"/>
  <c r="K8" i="166" s="1"/>
  <c r="E12" i="23"/>
  <c r="C11" i="23"/>
  <c r="J12" i="23"/>
  <c r="K12" i="23" s="1"/>
  <c r="K55" i="92"/>
  <c r="K56" i="10"/>
  <c r="K58" i="94"/>
  <c r="C12" i="143"/>
  <c r="E13" i="143"/>
  <c r="J13" i="143"/>
  <c r="K13" i="143" s="1"/>
  <c r="E13" i="172"/>
  <c r="C12" i="172"/>
  <c r="J13" i="172"/>
  <c r="K13" i="172" s="1"/>
  <c r="EP13" i="2"/>
  <c r="E12" i="147"/>
  <c r="C11" i="147"/>
  <c r="J12" i="147"/>
  <c r="K12" i="147" s="1"/>
  <c r="K59" i="75"/>
  <c r="I57" i="56"/>
  <c r="J56" i="56"/>
  <c r="J55" i="81"/>
  <c r="K54" i="81" s="1"/>
  <c r="I56" i="81"/>
  <c r="K57" i="48"/>
  <c r="C9" i="149"/>
  <c r="E10" i="149"/>
  <c r="J10" i="149"/>
  <c r="K10" i="149" s="1"/>
  <c r="I58" i="37"/>
  <c r="J57" i="37"/>
  <c r="CL13" i="2"/>
  <c r="I58" i="10"/>
  <c r="J57" i="10"/>
  <c r="K55" i="72"/>
  <c r="K55" i="88"/>
  <c r="I57" i="168"/>
  <c r="J56" i="168"/>
  <c r="C9" i="141"/>
  <c r="E10" i="141"/>
  <c r="J10" i="141"/>
  <c r="K10" i="141" s="1"/>
  <c r="K57" i="142"/>
  <c r="C11" i="97"/>
  <c r="E12" i="97"/>
  <c r="EO12" i="2"/>
  <c r="J12" i="97"/>
  <c r="K12" i="97" s="1"/>
  <c r="E12" i="122"/>
  <c r="C11" i="122"/>
  <c r="J12" i="122"/>
  <c r="K12" i="122" s="1"/>
  <c r="I61" i="75"/>
  <c r="J60" i="75"/>
  <c r="E11" i="161"/>
  <c r="C10" i="161"/>
  <c r="J11" i="161"/>
  <c r="K11" i="161" s="1"/>
  <c r="C9" i="51"/>
  <c r="E10" i="51"/>
  <c r="J10" i="51"/>
  <c r="K10" i="51" s="1"/>
  <c r="E9" i="43"/>
  <c r="C8" i="43"/>
  <c r="J9" i="43"/>
  <c r="K9" i="43" s="1"/>
  <c r="C10" i="126"/>
  <c r="E11" i="126"/>
  <c r="J11" i="126"/>
  <c r="K11" i="126" s="1"/>
  <c r="K54" i="88"/>
  <c r="K57" i="135"/>
  <c r="J60" i="133"/>
  <c r="I61" i="133"/>
  <c r="J56" i="162"/>
  <c r="I57" i="162"/>
  <c r="E11" i="65"/>
  <c r="C10" i="65"/>
  <c r="J11" i="65"/>
  <c r="K11" i="65" s="1"/>
  <c r="K55" i="97"/>
  <c r="E10" i="168"/>
  <c r="C9" i="168"/>
  <c r="J10" i="168"/>
  <c r="K10" i="168" s="1"/>
  <c r="K59" i="12"/>
  <c r="I58" i="41"/>
  <c r="J57" i="41"/>
  <c r="E12" i="145"/>
  <c r="C11" i="145"/>
  <c r="J12" i="145"/>
  <c r="K12" i="145" s="1"/>
  <c r="E12" i="114"/>
  <c r="C11" i="114"/>
  <c r="J12" i="114"/>
  <c r="K12" i="114" s="1"/>
  <c r="I56" i="11"/>
  <c r="J55" i="11"/>
  <c r="K54" i="11" s="1"/>
  <c r="K54" i="54"/>
  <c r="I57" i="88"/>
  <c r="J56" i="88"/>
  <c r="I59" i="142"/>
  <c r="J58" i="142"/>
  <c r="E12" i="96"/>
  <c r="C11" i="96"/>
  <c r="J12" i="96"/>
  <c r="K12" i="96" s="1"/>
  <c r="HN13" i="2"/>
  <c r="E12" i="151"/>
  <c r="C11" i="151"/>
  <c r="J12" i="151"/>
  <c r="K12" i="151" s="1"/>
  <c r="I59" i="135"/>
  <c r="J58" i="135"/>
  <c r="K56" i="115"/>
  <c r="C12" i="6"/>
  <c r="E13" i="6"/>
  <c r="CA13" i="1"/>
  <c r="K55" i="84"/>
  <c r="I57" i="19"/>
  <c r="J56" i="19"/>
  <c r="K55" i="162"/>
  <c r="I57" i="97"/>
  <c r="J56" i="97"/>
  <c r="E6" i="98"/>
  <c r="C5" i="98"/>
  <c r="J6" i="98"/>
  <c r="K6" i="98" s="1"/>
  <c r="E13" i="49"/>
  <c r="C12" i="49"/>
  <c r="J13" i="49"/>
  <c r="K13" i="49" s="1"/>
  <c r="J55" i="100"/>
  <c r="K54" i="100" s="1"/>
  <c r="I56" i="100"/>
  <c r="I61" i="12"/>
  <c r="J60" i="12"/>
  <c r="I58" i="124"/>
  <c r="J57" i="124"/>
  <c r="I60" i="59"/>
  <c r="J59" i="59"/>
  <c r="E12" i="63"/>
  <c r="C11" i="63"/>
  <c r="J12" i="63"/>
  <c r="K12" i="63" s="1"/>
  <c r="K58" i="82"/>
  <c r="K57" i="82"/>
  <c r="E10" i="26"/>
  <c r="C9" i="26"/>
  <c r="J10" i="26"/>
  <c r="K10" i="26" s="1"/>
  <c r="K54" i="50"/>
  <c r="J58" i="89"/>
  <c r="I59" i="89"/>
  <c r="J58" i="9"/>
  <c r="I59" i="9"/>
  <c r="E11" i="81"/>
  <c r="C10" i="81"/>
  <c r="J11" i="81"/>
  <c r="K11" i="81" s="1"/>
  <c r="I58" i="93"/>
  <c r="J57" i="93"/>
  <c r="J58" i="101"/>
  <c r="I59" i="101"/>
  <c r="K54" i="33"/>
  <c r="I59" i="16"/>
  <c r="J58" i="16"/>
  <c r="E11" i="103"/>
  <c r="C10" i="103"/>
  <c r="J11" i="103"/>
  <c r="K11" i="103" s="1"/>
  <c r="I56" i="8"/>
  <c r="J55" i="8"/>
  <c r="C9" i="127"/>
  <c r="E10" i="127"/>
  <c r="J10" i="127"/>
  <c r="K10" i="127" s="1"/>
  <c r="DT12" i="2"/>
  <c r="C10" i="68"/>
  <c r="E11" i="68"/>
  <c r="J11" i="68"/>
  <c r="K11" i="68" s="1"/>
  <c r="K56" i="93"/>
  <c r="C11" i="89"/>
  <c r="E12" i="89"/>
  <c r="J12" i="89"/>
  <c r="K12" i="89" s="1"/>
  <c r="HN12" i="2"/>
  <c r="K57" i="101"/>
  <c r="J56" i="33"/>
  <c r="I57" i="33"/>
  <c r="I57" i="103"/>
  <c r="J56" i="103"/>
  <c r="C10" i="118"/>
  <c r="E11" i="118"/>
  <c r="J11" i="118"/>
  <c r="K11" i="118" s="1"/>
  <c r="I60" i="82"/>
  <c r="J59" i="82"/>
  <c r="J56" i="138"/>
  <c r="I57" i="138"/>
  <c r="E11" i="94"/>
  <c r="C10" i="94"/>
  <c r="J11" i="94"/>
  <c r="K11" i="94" s="1"/>
  <c r="I56" i="166"/>
  <c r="J55" i="166"/>
  <c r="K54" i="166" s="1"/>
  <c r="K54" i="102"/>
  <c r="K53" i="102"/>
  <c r="C10" i="64"/>
  <c r="E11" i="64"/>
  <c r="J11" i="64"/>
  <c r="K11" i="64" s="1"/>
  <c r="K59" i="61"/>
  <c r="K56" i="25"/>
  <c r="E11" i="18"/>
  <c r="C10" i="18"/>
  <c r="J11" i="18"/>
  <c r="K11" i="18" s="1"/>
  <c r="E11" i="135"/>
  <c r="C10" i="135"/>
  <c r="J11" i="135"/>
  <c r="K11" i="135" s="1"/>
  <c r="C11" i="142"/>
  <c r="E12" i="142"/>
  <c r="J12" i="142"/>
  <c r="K12" i="142" s="1"/>
  <c r="E11" i="16"/>
  <c r="C10" i="16"/>
  <c r="J11" i="16"/>
  <c r="K11" i="16" s="1"/>
  <c r="K55" i="103"/>
  <c r="I56" i="171"/>
  <c r="J55" i="171"/>
  <c r="E10" i="73"/>
  <c r="C9" i="73"/>
  <c r="J10" i="73"/>
  <c r="K10" i="73" s="1"/>
  <c r="K56" i="13"/>
  <c r="K54" i="162"/>
  <c r="Y13" i="1"/>
  <c r="K55" i="5"/>
  <c r="C9" i="84"/>
  <c r="E10" i="84"/>
  <c r="J10" i="84"/>
  <c r="K10" i="84" s="1"/>
  <c r="J55" i="146"/>
  <c r="I56" i="146"/>
  <c r="J55" i="102"/>
  <c r="I56" i="102"/>
  <c r="J60" i="61"/>
  <c r="I61" i="61"/>
  <c r="E13" i="170"/>
  <c r="C12" i="170"/>
  <c r="J13" i="170"/>
  <c r="K13" i="170" s="1"/>
  <c r="E13" i="121"/>
  <c r="C12" i="121"/>
  <c r="J13" i="121"/>
  <c r="K13" i="121" s="1"/>
  <c r="J57" i="25"/>
  <c r="I58" i="25"/>
  <c r="K55" i="63"/>
  <c r="K57" i="26"/>
  <c r="K55" i="173"/>
  <c r="E13" i="3"/>
  <c r="C12" i="3"/>
  <c r="J13" i="3"/>
  <c r="K13" i="3" s="1"/>
  <c r="E11" i="57"/>
  <c r="C10" i="57"/>
  <c r="J11" i="57"/>
  <c r="K11" i="57" s="1"/>
  <c r="E11" i="129"/>
  <c r="C10" i="129"/>
  <c r="J11" i="129"/>
  <c r="K11" i="129" s="1"/>
  <c r="DS11" i="2"/>
  <c r="C11" i="38"/>
  <c r="E12" i="38"/>
  <c r="J12" i="38"/>
  <c r="K12" i="38" s="1"/>
  <c r="J55" i="90"/>
  <c r="I56" i="90"/>
  <c r="E11" i="83"/>
  <c r="C10" i="83"/>
  <c r="J11" i="83"/>
  <c r="K11" i="83" s="1"/>
  <c r="I57" i="5"/>
  <c r="J56" i="5"/>
  <c r="I56" i="148"/>
  <c r="J55" i="148"/>
  <c r="K54" i="34"/>
  <c r="K53" i="166"/>
  <c r="I59" i="107"/>
  <c r="J58" i="107"/>
  <c r="K57" i="62"/>
  <c r="I59" i="128"/>
  <c r="J58" i="128"/>
  <c r="K54" i="36"/>
  <c r="J58" i="26"/>
  <c r="I59" i="26"/>
  <c r="K53" i="43"/>
  <c r="E13" i="90"/>
  <c r="C12" i="90"/>
  <c r="J13" i="90"/>
  <c r="K13" i="90" s="1"/>
  <c r="C10" i="54"/>
  <c r="E11" i="54"/>
  <c r="J11" i="54"/>
  <c r="K11" i="54" s="1"/>
  <c r="CW12" i="2"/>
  <c r="K54" i="141"/>
  <c r="J55" i="125"/>
  <c r="I56" i="125"/>
  <c r="C8" i="45"/>
  <c r="E9" i="45"/>
  <c r="J9" i="45"/>
  <c r="K9" i="45" s="1"/>
  <c r="K54" i="148"/>
  <c r="I56" i="34"/>
  <c r="J55" i="34"/>
  <c r="J58" i="62"/>
  <c r="I59" i="62"/>
  <c r="K57" i="128"/>
  <c r="C7" i="87"/>
  <c r="E8" i="87"/>
  <c r="J8" i="87"/>
  <c r="K8" i="87" s="1"/>
  <c r="I57" i="73"/>
  <c r="J56" i="73"/>
  <c r="K55" i="73" s="1"/>
  <c r="E12" i="79"/>
  <c r="C11" i="79"/>
  <c r="J12" i="79"/>
  <c r="K12" i="79" s="1"/>
  <c r="K59" i="15"/>
  <c r="J55" i="36"/>
  <c r="I56" i="36"/>
  <c r="C12" i="29"/>
  <c r="E13" i="29"/>
  <c r="J13" i="29"/>
  <c r="K13" i="29" s="1"/>
  <c r="E10" i="124"/>
  <c r="C9" i="124"/>
  <c r="J10" i="124"/>
  <c r="K10" i="124" s="1"/>
  <c r="K56" i="101"/>
  <c r="E9" i="165"/>
  <c r="C8" i="165"/>
  <c r="J9" i="165"/>
  <c r="K9" i="165" s="1"/>
  <c r="I57" i="49"/>
  <c r="J56" i="49"/>
  <c r="Y14" i="1"/>
  <c r="K55" i="86"/>
  <c r="K56" i="107"/>
  <c r="J60" i="7"/>
  <c r="I61" i="7"/>
  <c r="K57" i="156"/>
  <c r="E10" i="61"/>
  <c r="C9" i="61"/>
  <c r="J10" i="61"/>
  <c r="K10" i="61" s="1"/>
  <c r="J60" i="15"/>
  <c r="I61" i="15"/>
  <c r="E11" i="60"/>
  <c r="C10" i="60"/>
  <c r="J11" i="60"/>
  <c r="K11" i="60" s="1"/>
  <c r="I56" i="35"/>
  <c r="J55" i="35"/>
  <c r="K54" i="35" s="1"/>
  <c r="C11" i="77"/>
  <c r="E12" i="77"/>
  <c r="J12" i="77"/>
  <c r="K12" i="77" s="1"/>
  <c r="E11" i="112"/>
  <c r="C10" i="112"/>
  <c r="CW11" i="2"/>
  <c r="J11" i="112"/>
  <c r="K11" i="112" s="1"/>
  <c r="K54" i="90"/>
  <c r="I59" i="136"/>
  <c r="J58" i="136"/>
  <c r="K57" i="127"/>
  <c r="BQ14" i="1"/>
  <c r="E12" i="70"/>
  <c r="C11" i="70"/>
  <c r="J12" i="70"/>
  <c r="K12" i="70" s="1"/>
  <c r="I59" i="127"/>
  <c r="J58" i="127"/>
  <c r="K54" i="144"/>
  <c r="FL14" i="2"/>
  <c r="J56" i="86"/>
  <c r="I57" i="86"/>
  <c r="E10" i="47"/>
  <c r="C9" i="47"/>
  <c r="J10" i="47"/>
  <c r="K10" i="47" s="1"/>
  <c r="K59" i="7"/>
  <c r="J59" i="71"/>
  <c r="I60" i="71"/>
  <c r="I59" i="156"/>
  <c r="J58" i="156"/>
  <c r="IU13" i="2"/>
  <c r="C12" i="53"/>
  <c r="BE12" i="2" s="1"/>
  <c r="E13" i="53"/>
  <c r="J13" i="53"/>
  <c r="K13" i="53" s="1"/>
  <c r="K58" i="27"/>
  <c r="E11" i="11"/>
  <c r="C10" i="11"/>
  <c r="J11" i="11"/>
  <c r="K11" i="11" s="1"/>
  <c r="E12" i="162"/>
  <c r="C11" i="162"/>
  <c r="J12" i="162"/>
  <c r="K12" i="162" s="1"/>
  <c r="I59" i="164"/>
  <c r="J58" i="164"/>
  <c r="C7" i="156"/>
  <c r="E8" i="156"/>
  <c r="J8" i="156"/>
  <c r="K8" i="156" s="1"/>
  <c r="E11" i="148"/>
  <c r="C10" i="148"/>
  <c r="J11" i="148"/>
  <c r="K11" i="148" s="1"/>
  <c r="K54" i="5"/>
  <c r="K53" i="11"/>
  <c r="I58" i="158"/>
  <c r="J57" i="158"/>
  <c r="K56" i="158" s="1"/>
  <c r="I60" i="27"/>
  <c r="J59" i="27"/>
  <c r="AU14" i="2"/>
  <c r="K56" i="28"/>
  <c r="K57" i="164"/>
  <c r="E12" i="132"/>
  <c r="C11" i="132"/>
  <c r="J12" i="132"/>
  <c r="K12" i="132" s="1"/>
  <c r="E10" i="69"/>
  <c r="C9" i="69"/>
  <c r="J10" i="69"/>
  <c r="K10" i="69" s="1"/>
  <c r="E11" i="99"/>
  <c r="C10" i="99"/>
  <c r="J11" i="99"/>
  <c r="K11" i="99" s="1"/>
  <c r="J56" i="21"/>
  <c r="I57" i="21"/>
  <c r="E10" i="37"/>
  <c r="C9" i="37"/>
  <c r="J10" i="37"/>
  <c r="K10" i="37" s="1"/>
  <c r="J56" i="126"/>
  <c r="I57" i="126"/>
  <c r="I60" i="24"/>
  <c r="J59" i="24"/>
  <c r="K58" i="24" s="1"/>
  <c r="I57" i="151"/>
  <c r="J56" i="151"/>
  <c r="K55" i="151" s="1"/>
  <c r="K57" i="78"/>
  <c r="C12" i="14"/>
  <c r="E13" i="14"/>
  <c r="J13" i="14"/>
  <c r="K13" i="14" s="1"/>
  <c r="GR13" i="2"/>
  <c r="C11" i="13"/>
  <c r="E12" i="13"/>
  <c r="J12" i="13"/>
  <c r="K12" i="13" s="1"/>
  <c r="BQ14" i="2"/>
  <c r="C7" i="146"/>
  <c r="E8" i="146"/>
  <c r="J8" i="146"/>
  <c r="K8" i="146" s="1"/>
  <c r="E13" i="50"/>
  <c r="C12" i="50"/>
  <c r="AT13" i="2"/>
  <c r="J13" i="50"/>
  <c r="K13" i="50" s="1"/>
  <c r="I56" i="47"/>
  <c r="J55" i="47"/>
  <c r="J57" i="28"/>
  <c r="I58" i="28"/>
  <c r="I60" i="32"/>
  <c r="J59" i="32"/>
  <c r="I57" i="123"/>
  <c r="J56" i="123"/>
  <c r="K54" i="108"/>
  <c r="DI13" i="2"/>
  <c r="I56" i="91"/>
  <c r="J55" i="91"/>
  <c r="K54" i="91" s="1"/>
  <c r="I59" i="78"/>
  <c r="J58" i="78"/>
  <c r="I57" i="155"/>
  <c r="J56" i="155"/>
  <c r="C12" i="52"/>
  <c r="E13" i="52"/>
  <c r="BP13" i="2"/>
  <c r="J13" i="52"/>
  <c r="K13" i="52" s="1"/>
  <c r="J55" i="109"/>
  <c r="K54" i="109" s="1"/>
  <c r="I56" i="109"/>
  <c r="K54" i="47"/>
  <c r="K57" i="51"/>
  <c r="K55" i="123"/>
  <c r="IJ13" i="2"/>
  <c r="K54" i="153"/>
  <c r="I58" i="68"/>
  <c r="J57" i="68"/>
  <c r="I57" i="144"/>
  <c r="J56" i="144"/>
  <c r="I58" i="99"/>
  <c r="J57" i="99"/>
  <c r="K56" i="117"/>
  <c r="K53" i="163"/>
  <c r="K55" i="93"/>
  <c r="K55" i="167"/>
  <c r="I59" i="77"/>
  <c r="J58" i="77"/>
  <c r="K57" i="77" s="1"/>
  <c r="C11" i="164"/>
  <c r="E12" i="164"/>
  <c r="J12" i="164"/>
  <c r="K12" i="164" s="1"/>
  <c r="I59" i="51"/>
  <c r="J58" i="51"/>
  <c r="I56" i="38"/>
  <c r="J55" i="38"/>
  <c r="E11" i="116"/>
  <c r="C10" i="116"/>
  <c r="J11" i="116"/>
  <c r="K11" i="116" s="1"/>
  <c r="K58" i="61"/>
  <c r="C11" i="41"/>
  <c r="E12" i="41"/>
  <c r="J12" i="41"/>
  <c r="K12" i="41" s="1"/>
  <c r="C11" i="108"/>
  <c r="E12" i="108"/>
  <c r="J12" i="108"/>
  <c r="K12" i="108" s="1"/>
  <c r="HZ13" i="2"/>
  <c r="C12" i="8"/>
  <c r="BP13" i="1"/>
  <c r="E13" i="8"/>
  <c r="HC13" i="2"/>
  <c r="J13" i="8"/>
  <c r="K13" i="8" s="1"/>
  <c r="I58" i="18"/>
  <c r="J57" i="18"/>
  <c r="E12" i="125"/>
  <c r="C11" i="125"/>
  <c r="J12" i="125"/>
  <c r="K12" i="125" s="1"/>
  <c r="I56" i="96"/>
  <c r="J55" i="96"/>
  <c r="C10" i="5"/>
  <c r="E11" i="5"/>
  <c r="J11" i="5"/>
  <c r="K11" i="5" s="1"/>
  <c r="I56" i="95"/>
  <c r="J55" i="95"/>
  <c r="E12" i="20"/>
  <c r="C11" i="20"/>
  <c r="J12" i="20"/>
  <c r="K12" i="20" s="1"/>
  <c r="E12" i="95"/>
  <c r="C11" i="95"/>
  <c r="J12" i="95"/>
  <c r="K12" i="95" s="1"/>
  <c r="K54" i="40"/>
  <c r="C10" i="75"/>
  <c r="E11" i="75"/>
  <c r="J11" i="75"/>
  <c r="K11" i="75" s="1"/>
  <c r="J57" i="159"/>
  <c r="I58" i="159"/>
  <c r="I56" i="143"/>
  <c r="J55" i="143"/>
  <c r="K54" i="95"/>
  <c r="K54" i="86"/>
  <c r="C10" i="74"/>
  <c r="E11" i="74"/>
  <c r="J11" i="74"/>
  <c r="K11" i="74" s="1"/>
  <c r="K53" i="130"/>
  <c r="E11" i="113"/>
  <c r="C10" i="113"/>
  <c r="J11" i="113"/>
  <c r="K11" i="113" s="1"/>
  <c r="J55" i="120"/>
  <c r="I56" i="120"/>
  <c r="K58" i="134"/>
  <c r="K56" i="26"/>
  <c r="K55" i="28"/>
  <c r="K54" i="38"/>
  <c r="C11" i="154"/>
  <c r="E12" i="154"/>
  <c r="J12" i="154"/>
  <c r="K12" i="154" s="1"/>
  <c r="IJ12" i="2"/>
  <c r="J56" i="106"/>
  <c r="K55" i="106" s="1"/>
  <c r="I57" i="106"/>
  <c r="J56" i="119"/>
  <c r="K55" i="119" s="1"/>
  <c r="I57" i="119"/>
  <c r="J56" i="170"/>
  <c r="K55" i="170" s="1"/>
  <c r="I57" i="170"/>
  <c r="HD14" i="2"/>
  <c r="C11" i="133"/>
  <c r="E12" i="133"/>
  <c r="J12" i="133"/>
  <c r="K12" i="133" s="1"/>
  <c r="DH12" i="2"/>
  <c r="K56" i="159"/>
  <c r="K53" i="65"/>
  <c r="E8" i="30"/>
  <c r="C7" i="30"/>
  <c r="J8" i="30"/>
  <c r="K8" i="30" s="1"/>
  <c r="K55" i="154"/>
  <c r="K57" i="24"/>
  <c r="C11" i="35"/>
  <c r="E12" i="35"/>
  <c r="J12" i="35"/>
  <c r="K12" i="35" s="1"/>
  <c r="J56" i="76"/>
  <c r="I57" i="76"/>
  <c r="E13" i="58"/>
  <c r="C12" i="58"/>
  <c r="J13" i="58"/>
  <c r="K13" i="58" s="1"/>
  <c r="E12" i="48"/>
  <c r="C11" i="48"/>
  <c r="J12" i="48"/>
  <c r="K12" i="48" s="1"/>
  <c r="I58" i="60"/>
  <c r="J57" i="60"/>
  <c r="E12" i="31"/>
  <c r="C11" i="31"/>
  <c r="CA12" i="2"/>
  <c r="J12" i="31"/>
  <c r="K12" i="31" s="1"/>
  <c r="M13" i="2"/>
  <c r="I61" i="145"/>
  <c r="J60" i="145"/>
  <c r="K56" i="164"/>
  <c r="K55" i="137"/>
  <c r="I57" i="121"/>
  <c r="J56" i="121"/>
  <c r="K55" i="121" s="1"/>
  <c r="K56" i="18"/>
  <c r="E10" i="106"/>
  <c r="C9" i="106"/>
  <c r="J10" i="106"/>
  <c r="K10" i="106" s="1"/>
  <c r="HZ14" i="2"/>
  <c r="K55" i="124"/>
  <c r="J55" i="40"/>
  <c r="I56" i="40"/>
  <c r="E10" i="39"/>
  <c r="C9" i="39"/>
  <c r="J10" i="39"/>
  <c r="K10" i="39" s="1"/>
  <c r="K54" i="138"/>
  <c r="I60" i="22"/>
  <c r="J59" i="22"/>
  <c r="J56" i="67"/>
  <c r="I57" i="67"/>
  <c r="E10" i="86"/>
  <c r="C9" i="86"/>
  <c r="J10" i="86"/>
  <c r="K10" i="86" s="1"/>
  <c r="K53" i="91"/>
  <c r="I57" i="154"/>
  <c r="J56" i="154"/>
  <c r="K54" i="154"/>
  <c r="K55" i="76"/>
  <c r="K55" i="139"/>
  <c r="I58" i="129"/>
  <c r="J57" i="129"/>
  <c r="E12" i="140"/>
  <c r="C11" i="140"/>
  <c r="J12" i="140"/>
  <c r="K12" i="140" s="1"/>
  <c r="I58" i="157"/>
  <c r="J57" i="157"/>
  <c r="K56" i="157" s="1"/>
  <c r="C10" i="66"/>
  <c r="E11" i="66"/>
  <c r="J11" i="66"/>
  <c r="K11" i="66" s="1"/>
  <c r="K56" i="29"/>
  <c r="K56" i="60"/>
  <c r="E12" i="33"/>
  <c r="C11" i="33"/>
  <c r="M12" i="2"/>
  <c r="J12" i="33"/>
  <c r="K12" i="33" s="1"/>
  <c r="K58" i="145"/>
  <c r="I58" i="66"/>
  <c r="J57" i="66"/>
  <c r="I57" i="137"/>
  <c r="J56" i="137"/>
  <c r="AI12" i="1"/>
  <c r="AI13" i="1"/>
  <c r="E10" i="120"/>
  <c r="C9" i="120"/>
  <c r="J10" i="120"/>
  <c r="K10" i="120" s="1"/>
  <c r="C11" i="169"/>
  <c r="E12" i="169"/>
  <c r="HY12" i="2"/>
  <c r="J12" i="169"/>
  <c r="K12" i="169" s="1"/>
  <c r="K54" i="96"/>
  <c r="E11" i="139"/>
  <c r="C10" i="139"/>
  <c r="J11" i="139"/>
  <c r="K11" i="139" s="1"/>
  <c r="E11" i="104"/>
  <c r="C10" i="104"/>
  <c r="J11" i="104"/>
  <c r="K11" i="104" s="1"/>
  <c r="K54" i="143"/>
  <c r="K54" i="170"/>
  <c r="I56" i="140"/>
  <c r="J55" i="140"/>
  <c r="K54" i="140" s="1"/>
  <c r="E11" i="137"/>
  <c r="C10" i="137"/>
  <c r="J11" i="137"/>
  <c r="K11" i="137" s="1"/>
  <c r="I56" i="45"/>
  <c r="J55" i="45"/>
  <c r="K54" i="45" s="1"/>
  <c r="C12" i="28"/>
  <c r="AI12" i="2" s="1"/>
  <c r="E13" i="28"/>
  <c r="J13" i="28"/>
  <c r="K13" i="28" s="1"/>
  <c r="I56" i="163"/>
  <c r="J55" i="163"/>
  <c r="K54" i="163" s="1"/>
  <c r="E8" i="138"/>
  <c r="C7" i="138"/>
  <c r="J8" i="138"/>
  <c r="K8" i="138" s="1"/>
  <c r="I58" i="83"/>
  <c r="J57" i="83"/>
  <c r="K56" i="83" s="1"/>
  <c r="K54" i="39"/>
  <c r="K55" i="70"/>
  <c r="K55" i="111"/>
  <c r="K53" i="47"/>
  <c r="K56" i="66"/>
  <c r="J55" i="58"/>
  <c r="I56" i="58"/>
  <c r="E11" i="4"/>
  <c r="C10" i="4"/>
  <c r="J11" i="4"/>
  <c r="K11" i="4" s="1"/>
  <c r="BF12" i="2" l="1"/>
  <c r="AJ12" i="2"/>
  <c r="C9" i="81"/>
  <c r="E10" i="81"/>
  <c r="J10" i="81"/>
  <c r="K10" i="81" s="1"/>
  <c r="I59" i="63"/>
  <c r="J58" i="63"/>
  <c r="I59" i="113"/>
  <c r="J58" i="113"/>
  <c r="FA12" i="2"/>
  <c r="C9" i="104"/>
  <c r="E10" i="104"/>
  <c r="J10" i="104"/>
  <c r="K10" i="104" s="1"/>
  <c r="I59" i="157"/>
  <c r="J58" i="157"/>
  <c r="C8" i="106"/>
  <c r="E9" i="106"/>
  <c r="J9" i="106"/>
  <c r="K9" i="106" s="1"/>
  <c r="E7" i="30"/>
  <c r="C6" i="30"/>
  <c r="J7" i="30"/>
  <c r="K7" i="30" s="1"/>
  <c r="E10" i="74"/>
  <c r="C9" i="74"/>
  <c r="J10" i="74"/>
  <c r="K10" i="74" s="1"/>
  <c r="HD13" i="2"/>
  <c r="E7" i="156"/>
  <c r="C6" i="156"/>
  <c r="J7" i="156"/>
  <c r="K7" i="156" s="1"/>
  <c r="C10" i="70"/>
  <c r="E11" i="70"/>
  <c r="J11" i="70"/>
  <c r="K11" i="70" s="1"/>
  <c r="E10" i="83"/>
  <c r="C9" i="83"/>
  <c r="J10" i="83"/>
  <c r="K10" i="83" s="1"/>
  <c r="C11" i="170"/>
  <c r="E12" i="170"/>
  <c r="J12" i="170"/>
  <c r="K12" i="170" s="1"/>
  <c r="K56" i="33"/>
  <c r="I59" i="41"/>
  <c r="J58" i="41"/>
  <c r="E11" i="122"/>
  <c r="C10" i="122"/>
  <c r="J11" i="122"/>
  <c r="K11" i="122" s="1"/>
  <c r="C10" i="134"/>
  <c r="E11" i="134"/>
  <c r="EZ11" i="2"/>
  <c r="J11" i="134"/>
  <c r="K11" i="134" s="1"/>
  <c r="K58" i="29"/>
  <c r="E12" i="158"/>
  <c r="C11" i="158"/>
  <c r="J12" i="158"/>
  <c r="K12" i="158" s="1"/>
  <c r="I58" i="33"/>
  <c r="J57" i="33"/>
  <c r="I58" i="123"/>
  <c r="J57" i="123"/>
  <c r="C8" i="37"/>
  <c r="E9" i="37"/>
  <c r="J9" i="37"/>
  <c r="K9" i="37" s="1"/>
  <c r="J59" i="9"/>
  <c r="I60" i="9"/>
  <c r="K56" i="19"/>
  <c r="E11" i="147"/>
  <c r="C10" i="147"/>
  <c r="J11" i="147"/>
  <c r="K11" i="147" s="1"/>
  <c r="J57" i="108"/>
  <c r="K56" i="108" s="1"/>
  <c r="I58" i="108"/>
  <c r="I57" i="43"/>
  <c r="J56" i="43"/>
  <c r="K55" i="43" s="1"/>
  <c r="C9" i="130"/>
  <c r="E10" i="130"/>
  <c r="J10" i="130"/>
  <c r="K10" i="130" s="1"/>
  <c r="C7" i="102"/>
  <c r="E8" i="102"/>
  <c r="J8" i="102"/>
  <c r="K8" i="102" s="1"/>
  <c r="C8" i="123"/>
  <c r="E9" i="123"/>
  <c r="J9" i="123"/>
  <c r="K9" i="123" s="1"/>
  <c r="FL12" i="2"/>
  <c r="J59" i="29"/>
  <c r="I60" i="29"/>
  <c r="E12" i="27"/>
  <c r="C11" i="27"/>
  <c r="J12" i="27"/>
  <c r="K12" i="27" s="1"/>
  <c r="I59" i="118"/>
  <c r="J58" i="118"/>
  <c r="I59" i="72"/>
  <c r="J58" i="72"/>
  <c r="J57" i="70"/>
  <c r="I58" i="70"/>
  <c r="BQ13" i="1"/>
  <c r="I59" i="99"/>
  <c r="J58" i="99"/>
  <c r="J59" i="164"/>
  <c r="I60" i="164"/>
  <c r="K56" i="49"/>
  <c r="C7" i="45"/>
  <c r="E8" i="45"/>
  <c r="J8" i="45"/>
  <c r="K8" i="45" s="1"/>
  <c r="I62" i="61"/>
  <c r="J61" i="61"/>
  <c r="E10" i="18"/>
  <c r="C9" i="18"/>
  <c r="J10" i="18"/>
  <c r="K10" i="18" s="1"/>
  <c r="HO12" i="2"/>
  <c r="K58" i="9"/>
  <c r="I58" i="19"/>
  <c r="J57" i="19"/>
  <c r="E11" i="88"/>
  <c r="C10" i="88"/>
  <c r="J11" i="88"/>
  <c r="K11" i="88" s="1"/>
  <c r="K57" i="72"/>
  <c r="I58" i="97"/>
  <c r="J57" i="97"/>
  <c r="K57" i="41"/>
  <c r="C10" i="140"/>
  <c r="E11" i="140"/>
  <c r="J11" i="140"/>
  <c r="K11" i="140" s="1"/>
  <c r="K55" i="143"/>
  <c r="E12" i="8"/>
  <c r="BP12" i="1"/>
  <c r="C11" i="8"/>
  <c r="HC12" i="2"/>
  <c r="J12" i="8"/>
  <c r="K12" i="8" s="1"/>
  <c r="I61" i="32"/>
  <c r="J60" i="32"/>
  <c r="J57" i="21"/>
  <c r="I58" i="21"/>
  <c r="I58" i="49"/>
  <c r="J57" i="49"/>
  <c r="I57" i="125"/>
  <c r="J56" i="125"/>
  <c r="I57" i="90"/>
  <c r="J56" i="90"/>
  <c r="I60" i="89"/>
  <c r="J59" i="89"/>
  <c r="EP12" i="2"/>
  <c r="I58" i="153"/>
  <c r="J57" i="153"/>
  <c r="I58" i="20"/>
  <c r="J57" i="20"/>
  <c r="I57" i="105"/>
  <c r="J56" i="105"/>
  <c r="I60" i="98"/>
  <c r="J59" i="98"/>
  <c r="K56" i="113"/>
  <c r="K55" i="58"/>
  <c r="C9" i="139"/>
  <c r="E10" i="139"/>
  <c r="J10" i="139"/>
  <c r="K10" i="139" s="1"/>
  <c r="J57" i="121"/>
  <c r="I58" i="121"/>
  <c r="I57" i="143"/>
  <c r="J56" i="143"/>
  <c r="J57" i="144"/>
  <c r="I58" i="144"/>
  <c r="I59" i="28"/>
  <c r="J58" i="28"/>
  <c r="K55" i="125"/>
  <c r="K55" i="90"/>
  <c r="J56" i="102"/>
  <c r="I57" i="102"/>
  <c r="K58" i="89"/>
  <c r="CB13" i="1"/>
  <c r="C8" i="168"/>
  <c r="E9" i="168"/>
  <c r="J9" i="168"/>
  <c r="K9" i="168" s="1"/>
  <c r="K57" i="149"/>
  <c r="I57" i="147"/>
  <c r="J56" i="147"/>
  <c r="E9" i="85"/>
  <c r="C8" i="85"/>
  <c r="J9" i="85"/>
  <c r="K9" i="85" s="1"/>
  <c r="K55" i="20"/>
  <c r="I60" i="132"/>
  <c r="J59" i="132"/>
  <c r="I57" i="58"/>
  <c r="J56" i="58"/>
  <c r="DI12" i="2"/>
  <c r="K57" i="129"/>
  <c r="I59" i="159"/>
  <c r="J58" i="159"/>
  <c r="K57" i="159" s="1"/>
  <c r="K57" i="68"/>
  <c r="K57" i="28"/>
  <c r="C10" i="162"/>
  <c r="E11" i="162"/>
  <c r="J11" i="162"/>
  <c r="K11" i="162" s="1"/>
  <c r="E8" i="165"/>
  <c r="C7" i="165"/>
  <c r="J8" i="165"/>
  <c r="K8" i="165" s="1"/>
  <c r="K55" i="102"/>
  <c r="E11" i="89"/>
  <c r="C10" i="89"/>
  <c r="J11" i="89"/>
  <c r="K11" i="89" s="1"/>
  <c r="C10" i="97"/>
  <c r="E11" i="97"/>
  <c r="J11" i="97"/>
  <c r="K11" i="97" s="1"/>
  <c r="I59" i="149"/>
  <c r="J58" i="149"/>
  <c r="K55" i="3"/>
  <c r="C7" i="160"/>
  <c r="E8" i="160"/>
  <c r="J8" i="160"/>
  <c r="K8" i="160" s="1"/>
  <c r="E10" i="22"/>
  <c r="C9" i="22"/>
  <c r="J10" i="22"/>
  <c r="K10" i="22" s="1"/>
  <c r="C7" i="34"/>
  <c r="E8" i="34"/>
  <c r="J8" i="34"/>
  <c r="K8" i="34" s="1"/>
  <c r="E12" i="174"/>
  <c r="C11" i="174"/>
  <c r="J12" i="174"/>
  <c r="K12" i="174" s="1"/>
  <c r="I59" i="129"/>
  <c r="J58" i="129"/>
  <c r="I59" i="68"/>
  <c r="J58" i="68"/>
  <c r="E10" i="99"/>
  <c r="C9" i="99"/>
  <c r="J10" i="99"/>
  <c r="K10" i="99" s="1"/>
  <c r="I60" i="136"/>
  <c r="J59" i="136"/>
  <c r="CX12" i="2"/>
  <c r="I57" i="146"/>
  <c r="J56" i="146"/>
  <c r="E12" i="6"/>
  <c r="C11" i="6"/>
  <c r="CA12" i="1"/>
  <c r="IU12" i="2"/>
  <c r="E12" i="172"/>
  <c r="C11" i="172"/>
  <c r="J12" i="172"/>
  <c r="K12" i="172" s="1"/>
  <c r="K57" i="92"/>
  <c r="I60" i="172"/>
  <c r="J59" i="172"/>
  <c r="E11" i="101"/>
  <c r="C10" i="101"/>
  <c r="J11" i="101"/>
  <c r="K11" i="101" s="1"/>
  <c r="E12" i="93"/>
  <c r="C11" i="93"/>
  <c r="J12" i="93"/>
  <c r="K12" i="93" s="1"/>
  <c r="I57" i="47"/>
  <c r="J56" i="47"/>
  <c r="E11" i="38"/>
  <c r="C10" i="38"/>
  <c r="J11" i="38"/>
  <c r="K11" i="38" s="1"/>
  <c r="C8" i="26"/>
  <c r="E9" i="26"/>
  <c r="J9" i="26"/>
  <c r="K9" i="26" s="1"/>
  <c r="I58" i="4"/>
  <c r="J57" i="4"/>
  <c r="K56" i="4" s="1"/>
  <c r="J58" i="92"/>
  <c r="I59" i="92"/>
  <c r="K58" i="172"/>
  <c r="E12" i="92"/>
  <c r="C11" i="92"/>
  <c r="J12" i="92"/>
  <c r="K12" i="92" s="1"/>
  <c r="C9" i="9"/>
  <c r="E10" i="9"/>
  <c r="J10" i="9"/>
  <c r="K10" i="9" s="1"/>
  <c r="I58" i="53"/>
  <c r="J57" i="53"/>
  <c r="K56" i="53" s="1"/>
  <c r="J57" i="31"/>
  <c r="I58" i="31"/>
  <c r="I59" i="167"/>
  <c r="J58" i="167"/>
  <c r="E10" i="110"/>
  <c r="C9" i="110"/>
  <c r="J10" i="110"/>
  <c r="K10" i="110" s="1"/>
  <c r="C10" i="108"/>
  <c r="E11" i="108"/>
  <c r="J11" i="108"/>
  <c r="K11" i="108" s="1"/>
  <c r="IK13" i="2"/>
  <c r="E10" i="11"/>
  <c r="C9" i="11"/>
  <c r="J10" i="11"/>
  <c r="K10" i="11" s="1"/>
  <c r="C9" i="64"/>
  <c r="E10" i="64"/>
  <c r="J10" i="64"/>
  <c r="K10" i="64" s="1"/>
  <c r="E10" i="65"/>
  <c r="C9" i="65"/>
  <c r="J10" i="65"/>
  <c r="K10" i="65" s="1"/>
  <c r="E11" i="153"/>
  <c r="C10" i="153"/>
  <c r="J11" i="153"/>
  <c r="K11" i="153" s="1"/>
  <c r="I62" i="134"/>
  <c r="J61" i="134"/>
  <c r="E12" i="155"/>
  <c r="C11" i="155"/>
  <c r="J12" i="155"/>
  <c r="K12" i="155" s="1"/>
  <c r="C11" i="136"/>
  <c r="E12" i="136"/>
  <c r="J12" i="136"/>
  <c r="K12" i="136" s="1"/>
  <c r="K56" i="31"/>
  <c r="K57" i="167"/>
  <c r="E12" i="46"/>
  <c r="C11" i="46"/>
  <c r="J12" i="46"/>
  <c r="K12" i="46" s="1"/>
  <c r="AU13" i="2"/>
  <c r="E9" i="69"/>
  <c r="C8" i="69"/>
  <c r="J9" i="69"/>
  <c r="K9" i="69" s="1"/>
  <c r="CX11" i="2"/>
  <c r="E9" i="124"/>
  <c r="C8" i="124"/>
  <c r="J9" i="124"/>
  <c r="K9" i="124" s="1"/>
  <c r="C9" i="54"/>
  <c r="E10" i="54"/>
  <c r="J10" i="54"/>
  <c r="K10" i="54" s="1"/>
  <c r="DT11" i="2"/>
  <c r="E10" i="68"/>
  <c r="C9" i="68"/>
  <c r="J10" i="68"/>
  <c r="K10" i="68" s="1"/>
  <c r="I60" i="135"/>
  <c r="J59" i="135"/>
  <c r="C8" i="141"/>
  <c r="E9" i="141"/>
  <c r="J9" i="141"/>
  <c r="K9" i="141" s="1"/>
  <c r="I57" i="17"/>
  <c r="J56" i="17"/>
  <c r="I60" i="152"/>
  <c r="J59" i="152"/>
  <c r="K60" i="134"/>
  <c r="I58" i="50"/>
  <c r="J57" i="50"/>
  <c r="K58" i="42"/>
  <c r="E10" i="112"/>
  <c r="C9" i="112"/>
  <c r="J10" i="112"/>
  <c r="K10" i="112" s="1"/>
  <c r="K57" i="9"/>
  <c r="I58" i="162"/>
  <c r="J57" i="162"/>
  <c r="E12" i="143"/>
  <c r="C11" i="143"/>
  <c r="J12" i="143"/>
  <c r="K12" i="143" s="1"/>
  <c r="K55" i="17"/>
  <c r="K59" i="79"/>
  <c r="E12" i="152"/>
  <c r="C11" i="152"/>
  <c r="J12" i="152"/>
  <c r="K12" i="152" s="1"/>
  <c r="J57" i="54"/>
  <c r="K56" i="54" s="1"/>
  <c r="I58" i="54"/>
  <c r="I57" i="174"/>
  <c r="J56" i="174"/>
  <c r="K55" i="174" s="1"/>
  <c r="C8" i="72"/>
  <c r="E9" i="72"/>
  <c r="J9" i="72"/>
  <c r="K9" i="72" s="1"/>
  <c r="J61" i="145"/>
  <c r="K60" i="145" s="1"/>
  <c r="I62" i="145"/>
  <c r="J58" i="83"/>
  <c r="I59" i="83"/>
  <c r="N13" i="2"/>
  <c r="I58" i="170"/>
  <c r="J57" i="170"/>
  <c r="C11" i="50"/>
  <c r="E12" i="50"/>
  <c r="AT12" i="2"/>
  <c r="J12" i="50"/>
  <c r="K12" i="50" s="1"/>
  <c r="E9" i="120"/>
  <c r="C8" i="120"/>
  <c r="J9" i="120"/>
  <c r="K9" i="120" s="1"/>
  <c r="C11" i="90"/>
  <c r="E12" i="90"/>
  <c r="J12" i="90"/>
  <c r="K12" i="90" s="1"/>
  <c r="E10" i="129"/>
  <c r="C9" i="129"/>
  <c r="J10" i="129"/>
  <c r="K10" i="129" s="1"/>
  <c r="DS10" i="2"/>
  <c r="E9" i="84"/>
  <c r="C8" i="84"/>
  <c r="J9" i="84"/>
  <c r="K9" i="84" s="1"/>
  <c r="K54" i="146"/>
  <c r="K57" i="89"/>
  <c r="CL12" i="2"/>
  <c r="E11" i="151"/>
  <c r="C10" i="151"/>
  <c r="J11" i="151"/>
  <c r="K11" i="151" s="1"/>
  <c r="K56" i="162"/>
  <c r="I58" i="168"/>
  <c r="J57" i="168"/>
  <c r="K55" i="168"/>
  <c r="I59" i="44"/>
  <c r="J58" i="44"/>
  <c r="J57" i="114"/>
  <c r="I58" i="114"/>
  <c r="J60" i="79"/>
  <c r="I61" i="79"/>
  <c r="E10" i="144"/>
  <c r="C9" i="144"/>
  <c r="J10" i="144"/>
  <c r="K10" i="144" s="1"/>
  <c r="C7" i="59"/>
  <c r="E8" i="59"/>
  <c r="J8" i="59"/>
  <c r="K8" i="59" s="1"/>
  <c r="E11" i="132"/>
  <c r="C10" i="132"/>
  <c r="J11" i="132"/>
  <c r="K11" i="132" s="1"/>
  <c r="I62" i="133"/>
  <c r="J61" i="133"/>
  <c r="I57" i="130"/>
  <c r="J56" i="130"/>
  <c r="E7" i="157"/>
  <c r="C6" i="157"/>
  <c r="J7" i="157"/>
  <c r="K7" i="157" s="1"/>
  <c r="E12" i="53"/>
  <c r="C11" i="53"/>
  <c r="J12" i="53"/>
  <c r="K12" i="53" s="1"/>
  <c r="E12" i="29"/>
  <c r="C11" i="29"/>
  <c r="J12" i="29"/>
  <c r="K12" i="29" s="1"/>
  <c r="X12" i="1"/>
  <c r="I57" i="166"/>
  <c r="J56" i="166"/>
  <c r="C10" i="63"/>
  <c r="E11" i="63"/>
  <c r="J11" i="63"/>
  <c r="K11" i="63" s="1"/>
  <c r="HO13" i="2"/>
  <c r="K60" i="133"/>
  <c r="I61" i="94"/>
  <c r="J60" i="94"/>
  <c r="I57" i="64"/>
  <c r="J56" i="64"/>
  <c r="K55" i="64" s="1"/>
  <c r="E9" i="173"/>
  <c r="C8" i="173"/>
  <c r="J9" i="173"/>
  <c r="K9" i="173" s="1"/>
  <c r="K57" i="173"/>
  <c r="I57" i="110"/>
  <c r="J56" i="110"/>
  <c r="J57" i="131"/>
  <c r="K56" i="131" s="1"/>
  <c r="I58" i="131"/>
  <c r="I57" i="36"/>
  <c r="J56" i="36"/>
  <c r="I60" i="26"/>
  <c r="J59" i="26"/>
  <c r="C9" i="57"/>
  <c r="E10" i="57"/>
  <c r="J10" i="57"/>
  <c r="K10" i="57" s="1"/>
  <c r="K59" i="94"/>
  <c r="K56" i="116"/>
  <c r="K56" i="80"/>
  <c r="I59" i="173"/>
  <c r="J58" i="173"/>
  <c r="K54" i="110"/>
  <c r="C8" i="62"/>
  <c r="E9" i="62"/>
  <c r="J9" i="62"/>
  <c r="K9" i="62" s="1"/>
  <c r="E10" i="19"/>
  <c r="C9" i="19"/>
  <c r="J10" i="19"/>
  <c r="K10" i="19" s="1"/>
  <c r="K57" i="157"/>
  <c r="HZ12" i="2"/>
  <c r="E11" i="133"/>
  <c r="C10" i="133"/>
  <c r="J11" i="133"/>
  <c r="K11" i="133" s="1"/>
  <c r="DH11" i="2"/>
  <c r="K55" i="109"/>
  <c r="K54" i="58"/>
  <c r="C10" i="20"/>
  <c r="E11" i="20"/>
  <c r="J11" i="20"/>
  <c r="K11" i="20" s="1"/>
  <c r="C9" i="116"/>
  <c r="E10" i="116"/>
  <c r="J10" i="116"/>
  <c r="K10" i="116" s="1"/>
  <c r="E7" i="146"/>
  <c r="C6" i="146"/>
  <c r="J7" i="146"/>
  <c r="K7" i="146" s="1"/>
  <c r="K58" i="32"/>
  <c r="K58" i="156"/>
  <c r="K55" i="36"/>
  <c r="K57" i="136"/>
  <c r="E11" i="96"/>
  <c r="C10" i="96"/>
  <c r="J11" i="96"/>
  <c r="K11" i="96" s="1"/>
  <c r="J58" i="10"/>
  <c r="K57" i="10" s="1"/>
  <c r="I59" i="10"/>
  <c r="K54" i="130"/>
  <c r="I58" i="116"/>
  <c r="J57" i="116"/>
  <c r="I58" i="80"/>
  <c r="J57" i="80"/>
  <c r="I62" i="74"/>
  <c r="J61" i="74"/>
  <c r="J56" i="141"/>
  <c r="I57" i="141"/>
  <c r="E11" i="80"/>
  <c r="C10" i="80"/>
  <c r="J11" i="80"/>
  <c r="K11" i="80" s="1"/>
  <c r="I57" i="109"/>
  <c r="J56" i="109"/>
  <c r="AJ12" i="1"/>
  <c r="I58" i="106"/>
  <c r="J57" i="106"/>
  <c r="K56" i="137"/>
  <c r="J59" i="156"/>
  <c r="I60" i="156"/>
  <c r="I57" i="35"/>
  <c r="J56" i="35"/>
  <c r="E9" i="127"/>
  <c r="C8" i="127"/>
  <c r="J9" i="127"/>
  <c r="K9" i="127" s="1"/>
  <c r="I61" i="59"/>
  <c r="J60" i="59"/>
  <c r="K56" i="92"/>
  <c r="C11" i="91"/>
  <c r="E12" i="91"/>
  <c r="J12" i="91"/>
  <c r="K12" i="91" s="1"/>
  <c r="J59" i="13"/>
  <c r="K58" i="13" s="1"/>
  <c r="I60" i="13"/>
  <c r="C11" i="55"/>
  <c r="E12" i="55"/>
  <c r="J12" i="55"/>
  <c r="K12" i="55" s="1"/>
  <c r="I58" i="104"/>
  <c r="J57" i="104"/>
  <c r="C9" i="128"/>
  <c r="E10" i="128"/>
  <c r="J10" i="128"/>
  <c r="K10" i="128" s="1"/>
  <c r="C8" i="171"/>
  <c r="E9" i="171"/>
  <c r="J9" i="171"/>
  <c r="K9" i="171" s="1"/>
  <c r="I58" i="119"/>
  <c r="J57" i="119"/>
  <c r="E7" i="138"/>
  <c r="C6" i="138"/>
  <c r="J7" i="138"/>
  <c r="K7" i="138" s="1"/>
  <c r="C10" i="31"/>
  <c r="E11" i="31"/>
  <c r="J11" i="31"/>
  <c r="K11" i="31" s="1"/>
  <c r="I57" i="163"/>
  <c r="J56" i="163"/>
  <c r="K55" i="163" s="1"/>
  <c r="IK12" i="2"/>
  <c r="I61" i="71"/>
  <c r="J60" i="71"/>
  <c r="C9" i="94"/>
  <c r="E10" i="94"/>
  <c r="J10" i="94"/>
  <c r="K10" i="94" s="1"/>
  <c r="K57" i="124"/>
  <c r="CM13" i="2"/>
  <c r="C10" i="23"/>
  <c r="E11" i="23"/>
  <c r="J11" i="23"/>
  <c r="K11" i="23" s="1"/>
  <c r="I60" i="122"/>
  <c r="J59" i="122"/>
  <c r="K54" i="64"/>
  <c r="E12" i="107"/>
  <c r="C11" i="107"/>
  <c r="J12" i="107"/>
  <c r="K12" i="107" s="1"/>
  <c r="E10" i="167"/>
  <c r="C9" i="167"/>
  <c r="J10" i="167"/>
  <c r="K10" i="167" s="1"/>
  <c r="I58" i="84"/>
  <c r="J57" i="84"/>
  <c r="K56" i="84" s="1"/>
  <c r="I59" i="139"/>
  <c r="J58" i="139"/>
  <c r="K57" i="139" s="1"/>
  <c r="K56" i="104"/>
  <c r="IV13" i="2"/>
  <c r="E11" i="77"/>
  <c r="C10" i="77"/>
  <c r="J11" i="77"/>
  <c r="K11" i="77" s="1"/>
  <c r="E9" i="86"/>
  <c r="C8" i="86"/>
  <c r="J9" i="86"/>
  <c r="K9" i="86" s="1"/>
  <c r="I59" i="60"/>
  <c r="J58" i="60"/>
  <c r="K57" i="60" s="1"/>
  <c r="BQ13" i="2"/>
  <c r="I58" i="137"/>
  <c r="J57" i="137"/>
  <c r="J57" i="67"/>
  <c r="I58" i="67"/>
  <c r="E11" i="48"/>
  <c r="C10" i="48"/>
  <c r="J11" i="48"/>
  <c r="K11" i="48" s="1"/>
  <c r="I57" i="95"/>
  <c r="J56" i="95"/>
  <c r="J56" i="38"/>
  <c r="I57" i="38"/>
  <c r="C11" i="52"/>
  <c r="E12" i="52"/>
  <c r="BP12" i="2"/>
  <c r="J12" i="52"/>
  <c r="K12" i="52" s="1"/>
  <c r="E10" i="60"/>
  <c r="C9" i="60"/>
  <c r="J10" i="60"/>
  <c r="K10" i="60" s="1"/>
  <c r="E11" i="79"/>
  <c r="C10" i="79"/>
  <c r="J11" i="79"/>
  <c r="K11" i="79" s="1"/>
  <c r="E12" i="3"/>
  <c r="C11" i="3"/>
  <c r="J12" i="3"/>
  <c r="K12" i="3" s="1"/>
  <c r="C8" i="73"/>
  <c r="E9" i="73"/>
  <c r="J9" i="73"/>
  <c r="K9" i="73" s="1"/>
  <c r="I57" i="8"/>
  <c r="J56" i="8"/>
  <c r="J58" i="124"/>
  <c r="I59" i="124"/>
  <c r="J59" i="142"/>
  <c r="I60" i="142"/>
  <c r="E10" i="126"/>
  <c r="C9" i="126"/>
  <c r="J10" i="126"/>
  <c r="K10" i="126" s="1"/>
  <c r="K56" i="41"/>
  <c r="K58" i="122"/>
  <c r="D51" i="2"/>
  <c r="DU51" i="2"/>
  <c r="CC51" i="2"/>
  <c r="O51" i="2"/>
  <c r="EQ51" i="2"/>
  <c r="BG51" i="2"/>
  <c r="FM51" i="2"/>
  <c r="CN51" i="2"/>
  <c r="CY51" i="2"/>
  <c r="FB51" i="2"/>
  <c r="DJ51" i="2"/>
  <c r="HP51" i="2"/>
  <c r="IL51" i="2"/>
  <c r="IW51" i="2"/>
  <c r="IA51" i="2"/>
  <c r="HE51" i="2"/>
  <c r="Z51" i="2"/>
  <c r="GT51" i="2"/>
  <c r="BR51" i="2"/>
  <c r="AK51" i="2"/>
  <c r="AV51" i="2"/>
  <c r="FX51" i="2"/>
  <c r="EF51" i="2"/>
  <c r="C9" i="17"/>
  <c r="E10" i="17"/>
  <c r="J10" i="17"/>
  <c r="K10" i="17" s="1"/>
  <c r="C8" i="115"/>
  <c r="E9" i="115"/>
  <c r="J9" i="115"/>
  <c r="K9" i="115" s="1"/>
  <c r="FL13" i="2"/>
  <c r="C8" i="163"/>
  <c r="E9" i="163"/>
  <c r="J9" i="163"/>
  <c r="K9" i="163" s="1"/>
  <c r="E11" i="169"/>
  <c r="C10" i="169"/>
  <c r="HY11" i="2"/>
  <c r="J11" i="169"/>
  <c r="K11" i="169" s="1"/>
  <c r="E11" i="154"/>
  <c r="C10" i="154"/>
  <c r="J11" i="154"/>
  <c r="K11" i="154" s="1"/>
  <c r="IJ11" i="2"/>
  <c r="K56" i="155"/>
  <c r="K59" i="27"/>
  <c r="I60" i="128"/>
  <c r="J59" i="128"/>
  <c r="I58" i="138"/>
  <c r="J57" i="138"/>
  <c r="K56" i="138" s="1"/>
  <c r="K59" i="133"/>
  <c r="D51" i="1"/>
  <c r="O51" i="1"/>
  <c r="Z51" i="1"/>
  <c r="BR51" i="1"/>
  <c r="CC51" i="1"/>
  <c r="AK51" i="1"/>
  <c r="AV51" i="1"/>
  <c r="E12" i="56"/>
  <c r="C11" i="56"/>
  <c r="J12" i="56"/>
  <c r="K12" i="56" s="1"/>
  <c r="EE13" i="2"/>
  <c r="FW13" i="2"/>
  <c r="C7" i="111"/>
  <c r="E8" i="111"/>
  <c r="J8" i="111"/>
  <c r="K8" i="111" s="1"/>
  <c r="C9" i="67"/>
  <c r="E10" i="67"/>
  <c r="J10" i="67"/>
  <c r="K10" i="67" s="1"/>
  <c r="J59" i="51"/>
  <c r="I60" i="51"/>
  <c r="I58" i="155"/>
  <c r="J57" i="155"/>
  <c r="C10" i="13"/>
  <c r="E11" i="13"/>
  <c r="J11" i="13"/>
  <c r="K11" i="13" s="1"/>
  <c r="IU11" i="2"/>
  <c r="I61" i="27"/>
  <c r="J60" i="27"/>
  <c r="I62" i="15"/>
  <c r="J61" i="15"/>
  <c r="K56" i="73"/>
  <c r="K55" i="171"/>
  <c r="C9" i="103"/>
  <c r="E10" i="103"/>
  <c r="J10" i="103"/>
  <c r="K10" i="103" s="1"/>
  <c r="I62" i="12"/>
  <c r="J61" i="12"/>
  <c r="J57" i="88"/>
  <c r="K56" i="88" s="1"/>
  <c r="I58" i="88"/>
  <c r="E8" i="43"/>
  <c r="C7" i="43"/>
  <c r="J8" i="43"/>
  <c r="K8" i="43" s="1"/>
  <c r="I59" i="37"/>
  <c r="J58" i="37"/>
  <c r="K57" i="37" s="1"/>
  <c r="C10" i="71"/>
  <c r="E11" i="71"/>
  <c r="J11" i="71"/>
  <c r="K11" i="71" s="1"/>
  <c r="BG51" i="1"/>
  <c r="BF51" i="1"/>
  <c r="E12" i="109"/>
  <c r="C11" i="109"/>
  <c r="ED12" i="2"/>
  <c r="J12" i="109"/>
  <c r="K12" i="109" s="1"/>
  <c r="E7" i="32"/>
  <c r="C6" i="32"/>
  <c r="J7" i="32"/>
  <c r="K7" i="32" s="1"/>
  <c r="J56" i="45"/>
  <c r="I57" i="45"/>
  <c r="K59" i="145"/>
  <c r="I61" i="22"/>
  <c r="J60" i="22"/>
  <c r="E12" i="58"/>
  <c r="C11" i="58"/>
  <c r="J12" i="58"/>
  <c r="K12" i="58" s="1"/>
  <c r="K58" i="78"/>
  <c r="GS13" i="2"/>
  <c r="K57" i="158"/>
  <c r="K60" i="15"/>
  <c r="I58" i="73"/>
  <c r="J57" i="73"/>
  <c r="K55" i="138"/>
  <c r="J56" i="171"/>
  <c r="I57" i="171"/>
  <c r="K59" i="82"/>
  <c r="J56" i="100"/>
  <c r="K55" i="100" s="1"/>
  <c r="I57" i="100"/>
  <c r="C6" i="166"/>
  <c r="E7" i="166"/>
  <c r="J7" i="166"/>
  <c r="K7" i="166" s="1"/>
  <c r="E9" i="40"/>
  <c r="C8" i="40"/>
  <c r="J9" i="40"/>
  <c r="K9" i="40" s="1"/>
  <c r="GI51" i="2"/>
  <c r="GH51" i="2"/>
  <c r="J58" i="30"/>
  <c r="I59" i="30"/>
  <c r="I59" i="23"/>
  <c r="J58" i="23"/>
  <c r="K54" i="105"/>
  <c r="E12" i="42"/>
  <c r="C11" i="42"/>
  <c r="J12" i="42"/>
  <c r="K12" i="42" s="1"/>
  <c r="FV12" i="2"/>
  <c r="K56" i="118"/>
  <c r="C9" i="5"/>
  <c r="E10" i="5"/>
  <c r="J10" i="5"/>
  <c r="K10" i="5" s="1"/>
  <c r="I60" i="78"/>
  <c r="J59" i="78"/>
  <c r="J58" i="158"/>
  <c r="I59" i="158"/>
  <c r="C8" i="47"/>
  <c r="E9" i="47"/>
  <c r="J9" i="47"/>
  <c r="K9" i="47" s="1"/>
  <c r="J59" i="107"/>
  <c r="I60" i="107"/>
  <c r="J60" i="82"/>
  <c r="I61" i="82"/>
  <c r="K58" i="16"/>
  <c r="I58" i="87"/>
  <c r="J57" i="87"/>
  <c r="E50" i="24"/>
  <c r="C49" i="24"/>
  <c r="GG50" i="2"/>
  <c r="BE50" i="1"/>
  <c r="C50" i="2"/>
  <c r="C50" i="1"/>
  <c r="J50" i="24"/>
  <c r="K50" i="24" s="1"/>
  <c r="J56" i="112"/>
  <c r="I57" i="112"/>
  <c r="C10" i="21"/>
  <c r="E11" i="21"/>
  <c r="J11" i="21"/>
  <c r="K11" i="21" s="1"/>
  <c r="E12" i="28"/>
  <c r="C11" i="28"/>
  <c r="AI11" i="2" s="1"/>
  <c r="J12" i="28"/>
  <c r="K12" i="28" s="1"/>
  <c r="C9" i="137"/>
  <c r="E10" i="137"/>
  <c r="J10" i="137"/>
  <c r="K10" i="137" s="1"/>
  <c r="N12" i="2"/>
  <c r="K56" i="129"/>
  <c r="K55" i="96"/>
  <c r="E11" i="164"/>
  <c r="C10" i="164"/>
  <c r="J11" i="164"/>
  <c r="K11" i="164" s="1"/>
  <c r="K54" i="171"/>
  <c r="K56" i="124"/>
  <c r="I60" i="16"/>
  <c r="J59" i="16"/>
  <c r="K55" i="144"/>
  <c r="J56" i="11"/>
  <c r="I57" i="11"/>
  <c r="C10" i="44"/>
  <c r="E11" i="44"/>
  <c r="J11" i="44"/>
  <c r="K11" i="44" s="1"/>
  <c r="K55" i="69"/>
  <c r="I58" i="39"/>
  <c r="J57" i="39"/>
  <c r="K56" i="39" s="1"/>
  <c r="I57" i="65"/>
  <c r="J56" i="65"/>
  <c r="E11" i="36"/>
  <c r="C10" i="36"/>
  <c r="J11" i="36"/>
  <c r="K11" i="36" s="1"/>
  <c r="C11" i="100"/>
  <c r="E12" i="100"/>
  <c r="J12" i="100"/>
  <c r="K12" i="100" s="1"/>
  <c r="E10" i="75"/>
  <c r="C9" i="75"/>
  <c r="J10" i="75"/>
  <c r="K10" i="75" s="1"/>
  <c r="J57" i="154"/>
  <c r="I58" i="154"/>
  <c r="E11" i="41"/>
  <c r="C10" i="41"/>
  <c r="J11" i="41"/>
  <c r="K11" i="41" s="1"/>
  <c r="I57" i="120"/>
  <c r="J56" i="120"/>
  <c r="I57" i="96"/>
  <c r="J56" i="96"/>
  <c r="C11" i="14"/>
  <c r="E12" i="14"/>
  <c r="J12" i="14"/>
  <c r="K12" i="14" s="1"/>
  <c r="GR12" i="2"/>
  <c r="K55" i="126"/>
  <c r="I58" i="86"/>
  <c r="J57" i="86"/>
  <c r="E9" i="61"/>
  <c r="C8" i="61"/>
  <c r="J9" i="61"/>
  <c r="K9" i="61" s="1"/>
  <c r="E7" i="87"/>
  <c r="C6" i="87"/>
  <c r="J7" i="87"/>
  <c r="K7" i="87" s="1"/>
  <c r="C9" i="16"/>
  <c r="E10" i="16"/>
  <c r="J10" i="16"/>
  <c r="K10" i="16" s="1"/>
  <c r="E9" i="51"/>
  <c r="C8" i="51"/>
  <c r="J9" i="51"/>
  <c r="K9" i="51" s="1"/>
  <c r="E9" i="149"/>
  <c r="C8" i="149"/>
  <c r="J9" i="149"/>
  <c r="K9" i="149" s="1"/>
  <c r="K55" i="160"/>
  <c r="E11" i="117"/>
  <c r="C10" i="117"/>
  <c r="J11" i="117"/>
  <c r="K11" i="117" s="1"/>
  <c r="J56" i="69"/>
  <c r="I57" i="69"/>
  <c r="E10" i="25"/>
  <c r="C9" i="25"/>
  <c r="J10" i="25"/>
  <c r="K10" i="25" s="1"/>
  <c r="K59" i="134"/>
  <c r="K56" i="161"/>
  <c r="I61" i="14"/>
  <c r="J60" i="14"/>
  <c r="K59" i="14" s="1"/>
  <c r="K55" i="65"/>
  <c r="K55" i="54"/>
  <c r="AU13" i="1"/>
  <c r="CB12" i="2"/>
  <c r="I59" i="66"/>
  <c r="J58" i="66"/>
  <c r="I60" i="77"/>
  <c r="J59" i="77"/>
  <c r="K55" i="21"/>
  <c r="K55" i="33"/>
  <c r="E12" i="49"/>
  <c r="C11" i="49"/>
  <c r="J12" i="49"/>
  <c r="K12" i="49" s="1"/>
  <c r="C10" i="114"/>
  <c r="E11" i="114"/>
  <c r="J11" i="114"/>
  <c r="K11" i="114" s="1"/>
  <c r="I57" i="160"/>
  <c r="J56" i="160"/>
  <c r="J57" i="161"/>
  <c r="I58" i="161"/>
  <c r="K54" i="174"/>
  <c r="E12" i="7"/>
  <c r="C11" i="7"/>
  <c r="AT12" i="1"/>
  <c r="J12" i="7"/>
  <c r="K12" i="7" s="1"/>
  <c r="E11" i="78"/>
  <c r="C10" i="78"/>
  <c r="J11" i="78"/>
  <c r="K11" i="78" s="1"/>
  <c r="K58" i="22"/>
  <c r="I57" i="40"/>
  <c r="J56" i="40"/>
  <c r="J56" i="91"/>
  <c r="K55" i="91" s="1"/>
  <c r="I57" i="91"/>
  <c r="K56" i="151"/>
  <c r="I60" i="62"/>
  <c r="J59" i="62"/>
  <c r="K58" i="62" s="1"/>
  <c r="I57" i="148"/>
  <c r="J56" i="148"/>
  <c r="I59" i="25"/>
  <c r="J58" i="25"/>
  <c r="E10" i="118"/>
  <c r="C9" i="118"/>
  <c r="J10" i="118"/>
  <c r="K10" i="118" s="1"/>
  <c r="I60" i="101"/>
  <c r="J59" i="101"/>
  <c r="K58" i="101" s="1"/>
  <c r="I57" i="81"/>
  <c r="J56" i="81"/>
  <c r="C10" i="76"/>
  <c r="E11" i="76"/>
  <c r="J11" i="76"/>
  <c r="K11" i="76" s="1"/>
  <c r="K56" i="52"/>
  <c r="N13" i="1"/>
  <c r="C8" i="159"/>
  <c r="E9" i="159"/>
  <c r="J9" i="159"/>
  <c r="K9" i="159" s="1"/>
  <c r="E11" i="10"/>
  <c r="C10" i="10"/>
  <c r="J11" i="10"/>
  <c r="K11" i="10" s="1"/>
  <c r="K56" i="85"/>
  <c r="K55" i="53"/>
  <c r="I59" i="115"/>
  <c r="J58" i="115"/>
  <c r="K57" i="115" s="1"/>
  <c r="K55" i="45"/>
  <c r="E11" i="33"/>
  <c r="C10" i="33"/>
  <c r="M11" i="2"/>
  <c r="J11" i="33"/>
  <c r="K11" i="33" s="1"/>
  <c r="K55" i="120"/>
  <c r="J57" i="151"/>
  <c r="I58" i="151"/>
  <c r="K58" i="71"/>
  <c r="K56" i="5"/>
  <c r="K57" i="25"/>
  <c r="K54" i="8"/>
  <c r="E10" i="161"/>
  <c r="C9" i="161"/>
  <c r="J10" i="161"/>
  <c r="K10" i="161" s="1"/>
  <c r="K55" i="81"/>
  <c r="I58" i="52"/>
  <c r="J57" i="52"/>
  <c r="Y13" i="2"/>
  <c r="I58" i="85"/>
  <c r="J57" i="85"/>
  <c r="J58" i="165"/>
  <c r="I59" i="165"/>
  <c r="K55" i="55"/>
  <c r="K55" i="104"/>
  <c r="E11" i="95"/>
  <c r="C10" i="95"/>
  <c r="J11" i="95"/>
  <c r="K11" i="95" s="1"/>
  <c r="K55" i="40"/>
  <c r="E11" i="35"/>
  <c r="C10" i="35"/>
  <c r="J11" i="35"/>
  <c r="K11" i="35" s="1"/>
  <c r="K54" i="120"/>
  <c r="C9" i="148"/>
  <c r="E10" i="148"/>
  <c r="J10" i="148"/>
  <c r="K10" i="148" s="1"/>
  <c r="J61" i="7"/>
  <c r="I62" i="7"/>
  <c r="K57" i="107"/>
  <c r="J57" i="5"/>
  <c r="I58" i="5"/>
  <c r="E11" i="142"/>
  <c r="C10" i="142"/>
  <c r="J11" i="142"/>
  <c r="K11" i="142" s="1"/>
  <c r="K57" i="16"/>
  <c r="K57" i="93"/>
  <c r="C4" i="98"/>
  <c r="E5" i="98"/>
  <c r="J5" i="98"/>
  <c r="K5" i="98" s="1"/>
  <c r="E11" i="145"/>
  <c r="C10" i="145"/>
  <c r="J11" i="145"/>
  <c r="K11" i="145" s="1"/>
  <c r="K55" i="153"/>
  <c r="E11" i="119"/>
  <c r="C10" i="119"/>
  <c r="J11" i="119"/>
  <c r="K11" i="119" s="1"/>
  <c r="C11" i="12"/>
  <c r="X12" i="2"/>
  <c r="E12" i="12"/>
  <c r="M12" i="1"/>
  <c r="J12" i="12"/>
  <c r="K12" i="12" s="1"/>
  <c r="K55" i="169"/>
  <c r="K56" i="165"/>
  <c r="E10" i="150"/>
  <c r="C9" i="150"/>
  <c r="J10" i="150"/>
  <c r="K10" i="150" s="1"/>
  <c r="C4" i="82"/>
  <c r="E5" i="82"/>
  <c r="J5" i="82"/>
  <c r="K5" i="82" s="1"/>
  <c r="I57" i="55"/>
  <c r="J56" i="55"/>
  <c r="AJ13" i="1"/>
  <c r="C10" i="125"/>
  <c r="E11" i="125"/>
  <c r="J11" i="125"/>
  <c r="K11" i="125" s="1"/>
  <c r="I59" i="18"/>
  <c r="J58" i="18"/>
  <c r="K55" i="155"/>
  <c r="K55" i="49"/>
  <c r="I61" i="24"/>
  <c r="J60" i="24"/>
  <c r="K58" i="127"/>
  <c r="K60" i="7"/>
  <c r="K55" i="34"/>
  <c r="K54" i="125"/>
  <c r="E12" i="121"/>
  <c r="C11" i="121"/>
  <c r="J12" i="121"/>
  <c r="K12" i="121" s="1"/>
  <c r="K56" i="103"/>
  <c r="I59" i="93"/>
  <c r="J58" i="93"/>
  <c r="J59" i="48"/>
  <c r="I60" i="48"/>
  <c r="K54" i="147"/>
  <c r="I58" i="169"/>
  <c r="J57" i="169"/>
  <c r="C7" i="131"/>
  <c r="E8" i="131"/>
  <c r="J8" i="131"/>
  <c r="K8" i="131" s="1"/>
  <c r="J59" i="117"/>
  <c r="I60" i="117"/>
  <c r="K54" i="65"/>
  <c r="K56" i="57"/>
  <c r="I58" i="111"/>
  <c r="J57" i="111"/>
  <c r="E9" i="39"/>
  <c r="C8" i="39"/>
  <c r="J9" i="39"/>
  <c r="K9" i="39" s="1"/>
  <c r="I58" i="76"/>
  <c r="J57" i="76"/>
  <c r="K56" i="76"/>
  <c r="I57" i="140"/>
  <c r="J56" i="140"/>
  <c r="K55" i="140" s="1"/>
  <c r="E10" i="113"/>
  <c r="C9" i="113"/>
  <c r="J10" i="113"/>
  <c r="K10" i="113" s="1"/>
  <c r="E10" i="4"/>
  <c r="C9" i="4"/>
  <c r="J10" i="4"/>
  <c r="K10" i="4" s="1"/>
  <c r="K55" i="67"/>
  <c r="C9" i="66"/>
  <c r="E10" i="66"/>
  <c r="J10" i="66"/>
  <c r="K10" i="66" s="1"/>
  <c r="K56" i="99"/>
  <c r="K56" i="68"/>
  <c r="I58" i="126"/>
  <c r="J57" i="126"/>
  <c r="I60" i="127"/>
  <c r="J59" i="127"/>
  <c r="J56" i="34"/>
  <c r="I57" i="34"/>
  <c r="E10" i="135"/>
  <c r="C9" i="135"/>
  <c r="J10" i="135"/>
  <c r="K10" i="135" s="1"/>
  <c r="I58" i="103"/>
  <c r="J57" i="103"/>
  <c r="K56" i="97"/>
  <c r="K58" i="59"/>
  <c r="J61" i="75"/>
  <c r="I62" i="75"/>
  <c r="I58" i="56"/>
  <c r="J57" i="56"/>
  <c r="K58" i="48"/>
  <c r="C7" i="105"/>
  <c r="E8" i="105"/>
  <c r="J8" i="105"/>
  <c r="K8" i="105" s="1"/>
  <c r="I58" i="3"/>
  <c r="J57" i="3"/>
  <c r="K56" i="3" s="1"/>
  <c r="J61" i="46"/>
  <c r="K60" i="46" s="1"/>
  <c r="I62" i="46"/>
  <c r="K57" i="63"/>
  <c r="E11" i="15"/>
  <c r="C10" i="15"/>
  <c r="J11" i="15"/>
  <c r="K11" i="15" s="1"/>
  <c r="J60" i="42"/>
  <c r="K59" i="42" s="1"/>
  <c r="I61" i="42"/>
  <c r="J57" i="57"/>
  <c r="I58" i="57"/>
  <c r="AJ11" i="2" l="1"/>
  <c r="E11" i="52"/>
  <c r="C10" i="52"/>
  <c r="BP11" i="2"/>
  <c r="J11" i="52"/>
  <c r="K11" i="52" s="1"/>
  <c r="C5" i="138"/>
  <c r="E6" i="138"/>
  <c r="J6" i="138"/>
  <c r="K6" i="138" s="1"/>
  <c r="I60" i="173"/>
  <c r="J59" i="173"/>
  <c r="C9" i="63"/>
  <c r="E10" i="63"/>
  <c r="J10" i="63"/>
  <c r="K10" i="63" s="1"/>
  <c r="E9" i="112"/>
  <c r="C8" i="112"/>
  <c r="J9" i="112"/>
  <c r="K9" i="112" s="1"/>
  <c r="K58" i="28"/>
  <c r="I58" i="125"/>
  <c r="J57" i="125"/>
  <c r="N12" i="1"/>
  <c r="I61" i="62"/>
  <c r="J60" i="62"/>
  <c r="C8" i="16"/>
  <c r="E9" i="16"/>
  <c r="J9" i="16"/>
  <c r="K9" i="16" s="1"/>
  <c r="J58" i="88"/>
  <c r="I59" i="88"/>
  <c r="J57" i="38"/>
  <c r="I58" i="38"/>
  <c r="E6" i="146"/>
  <c r="C5" i="146"/>
  <c r="J6" i="146"/>
  <c r="K6" i="146" s="1"/>
  <c r="I59" i="114"/>
  <c r="J58" i="114"/>
  <c r="E11" i="50"/>
  <c r="C10" i="50"/>
  <c r="AT11" i="2"/>
  <c r="J11" i="50"/>
  <c r="K11" i="50" s="1"/>
  <c r="K56" i="47"/>
  <c r="K58" i="129"/>
  <c r="J59" i="28"/>
  <c r="I60" i="28"/>
  <c r="E11" i="158"/>
  <c r="C10" i="158"/>
  <c r="J11" i="158"/>
  <c r="K11" i="158" s="1"/>
  <c r="E9" i="74"/>
  <c r="C8" i="74"/>
  <c r="J9" i="74"/>
  <c r="K9" i="74" s="1"/>
  <c r="K57" i="119"/>
  <c r="I59" i="106"/>
  <c r="J58" i="106"/>
  <c r="I58" i="166"/>
  <c r="J57" i="166"/>
  <c r="I58" i="47"/>
  <c r="J57" i="47"/>
  <c r="I60" i="129"/>
  <c r="J59" i="129"/>
  <c r="C9" i="162"/>
  <c r="E10" i="162"/>
  <c r="J10" i="162"/>
  <c r="K10" i="162" s="1"/>
  <c r="I59" i="144"/>
  <c r="J58" i="144"/>
  <c r="J58" i="49"/>
  <c r="K57" i="49" s="1"/>
  <c r="I59" i="49"/>
  <c r="I58" i="91"/>
  <c r="J57" i="91"/>
  <c r="J60" i="77"/>
  <c r="I61" i="77"/>
  <c r="C5" i="87"/>
  <c r="E6" i="87"/>
  <c r="J6" i="87"/>
  <c r="K6" i="87" s="1"/>
  <c r="C8" i="5"/>
  <c r="E9" i="5"/>
  <c r="J9" i="5"/>
  <c r="K9" i="5" s="1"/>
  <c r="C10" i="56"/>
  <c r="E11" i="56"/>
  <c r="J11" i="56"/>
  <c r="K11" i="56" s="1"/>
  <c r="K56" i="95"/>
  <c r="J58" i="119"/>
  <c r="I59" i="119"/>
  <c r="Y12" i="1"/>
  <c r="J58" i="170"/>
  <c r="I59" i="170"/>
  <c r="I59" i="21"/>
  <c r="J58" i="21"/>
  <c r="C7" i="123"/>
  <c r="E8" i="123"/>
  <c r="J8" i="123"/>
  <c r="K8" i="123" s="1"/>
  <c r="C10" i="12"/>
  <c r="E11" i="12"/>
  <c r="X11" i="2"/>
  <c r="M11" i="1"/>
  <c r="J11" i="12"/>
  <c r="K11" i="12" s="1"/>
  <c r="C9" i="95"/>
  <c r="E10" i="95"/>
  <c r="J10" i="95"/>
  <c r="K10" i="95" s="1"/>
  <c r="I60" i="115"/>
  <c r="J59" i="115"/>
  <c r="K56" i="91"/>
  <c r="I63" i="12"/>
  <c r="J62" i="12"/>
  <c r="J57" i="95"/>
  <c r="I58" i="95"/>
  <c r="J59" i="44"/>
  <c r="I60" i="44"/>
  <c r="I59" i="50"/>
  <c r="J58" i="50"/>
  <c r="E11" i="46"/>
  <c r="C10" i="46"/>
  <c r="AI10" i="1" s="1"/>
  <c r="J11" i="46"/>
  <c r="K11" i="46" s="1"/>
  <c r="AI11" i="1"/>
  <c r="E10" i="108"/>
  <c r="C9" i="108"/>
  <c r="J10" i="108"/>
  <c r="K10" i="108" s="1"/>
  <c r="E11" i="93"/>
  <c r="C10" i="93"/>
  <c r="J11" i="93"/>
  <c r="K11" i="93" s="1"/>
  <c r="C10" i="174"/>
  <c r="E11" i="174"/>
  <c r="J11" i="174"/>
  <c r="K11" i="174" s="1"/>
  <c r="K57" i="21"/>
  <c r="C5" i="30"/>
  <c r="E6" i="30"/>
  <c r="J6" i="30"/>
  <c r="K6" i="30" s="1"/>
  <c r="K56" i="38"/>
  <c r="I60" i="66"/>
  <c r="J59" i="66"/>
  <c r="K58" i="66" s="1"/>
  <c r="I58" i="65"/>
  <c r="J57" i="65"/>
  <c r="E10" i="21"/>
  <c r="C9" i="21"/>
  <c r="J10" i="21"/>
  <c r="K10" i="21" s="1"/>
  <c r="FW12" i="2"/>
  <c r="C8" i="126"/>
  <c r="E9" i="126"/>
  <c r="J9" i="126"/>
  <c r="K9" i="126" s="1"/>
  <c r="C8" i="116"/>
  <c r="E9" i="116"/>
  <c r="J9" i="116"/>
  <c r="K9" i="116" s="1"/>
  <c r="E11" i="29"/>
  <c r="C10" i="29"/>
  <c r="J11" i="29"/>
  <c r="K11" i="29" s="1"/>
  <c r="X11" i="1"/>
  <c r="I58" i="143"/>
  <c r="J57" i="143"/>
  <c r="K56" i="143" s="1"/>
  <c r="C8" i="18"/>
  <c r="E9" i="18"/>
  <c r="J9" i="18"/>
  <c r="K9" i="18" s="1"/>
  <c r="FA11" i="2"/>
  <c r="C10" i="100"/>
  <c r="E11" i="100"/>
  <c r="J11" i="100"/>
  <c r="K11" i="100" s="1"/>
  <c r="C7" i="163"/>
  <c r="E8" i="163"/>
  <c r="J8" i="163"/>
  <c r="K8" i="163" s="1"/>
  <c r="E7" i="105"/>
  <c r="C6" i="105"/>
  <c r="J7" i="105"/>
  <c r="K7" i="105" s="1"/>
  <c r="C9" i="48"/>
  <c r="E10" i="48"/>
  <c r="J10" i="48"/>
  <c r="K10" i="48" s="1"/>
  <c r="I61" i="122"/>
  <c r="J60" i="122"/>
  <c r="E8" i="171"/>
  <c r="C7" i="171"/>
  <c r="J8" i="171"/>
  <c r="K8" i="171" s="1"/>
  <c r="J57" i="109"/>
  <c r="I58" i="109"/>
  <c r="K57" i="168"/>
  <c r="J59" i="83"/>
  <c r="I60" i="83"/>
  <c r="J59" i="159"/>
  <c r="I60" i="159"/>
  <c r="J58" i="121"/>
  <c r="I59" i="121"/>
  <c r="I62" i="32"/>
  <c r="J61" i="32"/>
  <c r="C6" i="102"/>
  <c r="E7" i="102"/>
  <c r="J7" i="102"/>
  <c r="K7" i="102" s="1"/>
  <c r="K59" i="77"/>
  <c r="K56" i="119"/>
  <c r="C10" i="58"/>
  <c r="E11" i="58"/>
  <c r="J11" i="58"/>
  <c r="K11" i="58" s="1"/>
  <c r="C8" i="103"/>
  <c r="E9" i="103"/>
  <c r="J9" i="103"/>
  <c r="K9" i="103" s="1"/>
  <c r="C7" i="115"/>
  <c r="E8" i="115"/>
  <c r="J8" i="115"/>
  <c r="K8" i="115" s="1"/>
  <c r="I61" i="142"/>
  <c r="J60" i="142"/>
  <c r="C8" i="57"/>
  <c r="E9" i="57"/>
  <c r="J9" i="57"/>
  <c r="K9" i="57" s="1"/>
  <c r="I59" i="168"/>
  <c r="J58" i="168"/>
  <c r="K58" i="83"/>
  <c r="C8" i="110"/>
  <c r="E9" i="110"/>
  <c r="J9" i="110"/>
  <c r="K9" i="110" s="1"/>
  <c r="C9" i="101"/>
  <c r="E10" i="101"/>
  <c r="J10" i="101"/>
  <c r="K10" i="101" s="1"/>
  <c r="K57" i="121"/>
  <c r="K56" i="144"/>
  <c r="E10" i="134"/>
  <c r="C9" i="134"/>
  <c r="EZ10" i="2"/>
  <c r="J10" i="134"/>
  <c r="K10" i="134" s="1"/>
  <c r="E9" i="113"/>
  <c r="C8" i="113"/>
  <c r="J9" i="113"/>
  <c r="K9" i="113" s="1"/>
  <c r="J58" i="39"/>
  <c r="I59" i="39"/>
  <c r="J58" i="67"/>
  <c r="I59" i="67"/>
  <c r="C9" i="80"/>
  <c r="E10" i="80"/>
  <c r="J10" i="80"/>
  <c r="K10" i="80" s="1"/>
  <c r="C9" i="20"/>
  <c r="E10" i="20"/>
  <c r="J10" i="20"/>
  <c r="K10" i="20" s="1"/>
  <c r="C10" i="53"/>
  <c r="E11" i="53"/>
  <c r="J11" i="53"/>
  <c r="K11" i="53" s="1"/>
  <c r="J62" i="145"/>
  <c r="I63" i="145"/>
  <c r="K56" i="50"/>
  <c r="E7" i="34"/>
  <c r="C6" i="34"/>
  <c r="J7" i="34"/>
  <c r="K7" i="34" s="1"/>
  <c r="K56" i="121"/>
  <c r="J62" i="61"/>
  <c r="I63" i="61"/>
  <c r="E8" i="106"/>
  <c r="C7" i="106"/>
  <c r="J8" i="106"/>
  <c r="K8" i="106" s="1"/>
  <c r="K55" i="112"/>
  <c r="J59" i="124"/>
  <c r="I60" i="124"/>
  <c r="E10" i="23"/>
  <c r="C9" i="23"/>
  <c r="J10" i="23"/>
  <c r="K10" i="23" s="1"/>
  <c r="C8" i="128"/>
  <c r="E9" i="128"/>
  <c r="J9" i="128"/>
  <c r="K9" i="128" s="1"/>
  <c r="K56" i="106"/>
  <c r="I61" i="26"/>
  <c r="J60" i="26"/>
  <c r="I61" i="152"/>
  <c r="J60" i="152"/>
  <c r="K59" i="152" s="1"/>
  <c r="HD12" i="2"/>
  <c r="E9" i="130"/>
  <c r="C8" i="130"/>
  <c r="J9" i="130"/>
  <c r="K9" i="130" s="1"/>
  <c r="K58" i="157"/>
  <c r="I58" i="112"/>
  <c r="J57" i="112"/>
  <c r="K56" i="112" s="1"/>
  <c r="C9" i="78"/>
  <c r="E10" i="78"/>
  <c r="J10" i="78"/>
  <c r="K10" i="78" s="1"/>
  <c r="I59" i="86"/>
  <c r="J58" i="86"/>
  <c r="D50" i="1"/>
  <c r="O50" i="1"/>
  <c r="AK50" i="1"/>
  <c r="Z50" i="1"/>
  <c r="AV50" i="1"/>
  <c r="CC50" i="1"/>
  <c r="BR50" i="1"/>
  <c r="K58" i="23"/>
  <c r="J61" i="22"/>
  <c r="I62" i="22"/>
  <c r="E9" i="17"/>
  <c r="C8" i="17"/>
  <c r="J9" i="17"/>
  <c r="K9" i="17" s="1"/>
  <c r="K57" i="66"/>
  <c r="I58" i="141"/>
  <c r="J57" i="141"/>
  <c r="K56" i="36"/>
  <c r="E10" i="151"/>
  <c r="C9" i="151"/>
  <c r="J10" i="151"/>
  <c r="K10" i="151" s="1"/>
  <c r="J59" i="167"/>
  <c r="I60" i="167"/>
  <c r="K59" i="172"/>
  <c r="E9" i="22"/>
  <c r="C8" i="22"/>
  <c r="J9" i="22"/>
  <c r="K9" i="22" s="1"/>
  <c r="K56" i="58"/>
  <c r="BP11" i="1"/>
  <c r="E11" i="8"/>
  <c r="C10" i="8"/>
  <c r="HC11" i="2"/>
  <c r="J11" i="8"/>
  <c r="K11" i="8" s="1"/>
  <c r="I60" i="157"/>
  <c r="J59" i="157"/>
  <c r="I59" i="73"/>
  <c r="J58" i="73"/>
  <c r="I63" i="75"/>
  <c r="J62" i="75"/>
  <c r="D50" i="2"/>
  <c r="DU50" i="2"/>
  <c r="CY50" i="2"/>
  <c r="GT50" i="2"/>
  <c r="DJ50" i="2"/>
  <c r="FM50" i="2"/>
  <c r="AK50" i="2"/>
  <c r="CC50" i="2"/>
  <c r="O50" i="2"/>
  <c r="IL50" i="2"/>
  <c r="IA50" i="2"/>
  <c r="HP50" i="2"/>
  <c r="FB50" i="2"/>
  <c r="FX50" i="2"/>
  <c r="BG50" i="2"/>
  <c r="AV50" i="2"/>
  <c r="EQ50" i="2"/>
  <c r="Z50" i="2"/>
  <c r="HE50" i="2"/>
  <c r="IW50" i="2"/>
  <c r="BR50" i="2"/>
  <c r="CN50" i="2"/>
  <c r="EF50" i="2"/>
  <c r="J59" i="23"/>
  <c r="I60" i="23"/>
  <c r="K56" i="8"/>
  <c r="I59" i="104"/>
  <c r="J58" i="104"/>
  <c r="K56" i="141"/>
  <c r="J57" i="36"/>
  <c r="I58" i="36"/>
  <c r="J57" i="17"/>
  <c r="I58" i="17"/>
  <c r="E11" i="136"/>
  <c r="C10" i="136"/>
  <c r="J11" i="136"/>
  <c r="K11" i="136" s="1"/>
  <c r="I59" i="31"/>
  <c r="J58" i="31"/>
  <c r="I61" i="172"/>
  <c r="J60" i="172"/>
  <c r="J57" i="58"/>
  <c r="I58" i="58"/>
  <c r="C8" i="139"/>
  <c r="E9" i="139"/>
  <c r="J9" i="139"/>
  <c r="K9" i="139" s="1"/>
  <c r="BQ12" i="1"/>
  <c r="E7" i="45"/>
  <c r="C6" i="45"/>
  <c r="J7" i="45"/>
  <c r="K7" i="45" s="1"/>
  <c r="I58" i="43"/>
  <c r="J57" i="43"/>
  <c r="K56" i="43" s="1"/>
  <c r="C9" i="122"/>
  <c r="E10" i="122"/>
  <c r="J10" i="122"/>
  <c r="K10" i="122" s="1"/>
  <c r="E11" i="121"/>
  <c r="C10" i="121"/>
  <c r="J11" i="121"/>
  <c r="K11" i="121" s="1"/>
  <c r="J62" i="15"/>
  <c r="I63" i="15"/>
  <c r="J57" i="8"/>
  <c r="I58" i="8"/>
  <c r="J58" i="137"/>
  <c r="I59" i="137"/>
  <c r="K58" i="142"/>
  <c r="I59" i="131"/>
  <c r="J58" i="131"/>
  <c r="C5" i="157"/>
  <c r="E6" i="157"/>
  <c r="J6" i="157"/>
  <c r="K6" i="157" s="1"/>
  <c r="CM12" i="2"/>
  <c r="E8" i="72"/>
  <c r="C7" i="72"/>
  <c r="J8" i="72"/>
  <c r="K8" i="72" s="1"/>
  <c r="K57" i="31"/>
  <c r="I59" i="108"/>
  <c r="J58" i="108"/>
  <c r="J58" i="3"/>
  <c r="K57" i="3" s="1"/>
  <c r="I59" i="3"/>
  <c r="E8" i="61"/>
  <c r="C7" i="61"/>
  <c r="J8" i="61"/>
  <c r="K8" i="61" s="1"/>
  <c r="GS12" i="2"/>
  <c r="BG50" i="1"/>
  <c r="BF50" i="1"/>
  <c r="I60" i="30"/>
  <c r="J59" i="30"/>
  <c r="E10" i="44"/>
  <c r="C9" i="44"/>
  <c r="J10" i="44"/>
  <c r="K10" i="44" s="1"/>
  <c r="GI50" i="2"/>
  <c r="GH50" i="2"/>
  <c r="K60" i="27"/>
  <c r="I63" i="74"/>
  <c r="J62" i="74"/>
  <c r="K57" i="131"/>
  <c r="C10" i="155"/>
  <c r="CL10" i="2" s="1"/>
  <c r="E11" i="155"/>
  <c r="J11" i="155"/>
  <c r="K11" i="155" s="1"/>
  <c r="K57" i="53"/>
  <c r="J60" i="132"/>
  <c r="K59" i="132" s="1"/>
  <c r="I61" i="132"/>
  <c r="I61" i="164"/>
  <c r="J60" i="164"/>
  <c r="K57" i="108"/>
  <c r="E9" i="104"/>
  <c r="C8" i="104"/>
  <c r="J9" i="104"/>
  <c r="K9" i="104" s="1"/>
  <c r="I58" i="45"/>
  <c r="J57" i="45"/>
  <c r="K57" i="103"/>
  <c r="K57" i="111"/>
  <c r="I60" i="18"/>
  <c r="J59" i="18"/>
  <c r="AU12" i="1"/>
  <c r="I62" i="14"/>
  <c r="J61" i="14"/>
  <c r="K56" i="45"/>
  <c r="I59" i="103"/>
  <c r="J58" i="103"/>
  <c r="I59" i="111"/>
  <c r="J58" i="111"/>
  <c r="C3" i="98"/>
  <c r="E4" i="98"/>
  <c r="J4" i="98"/>
  <c r="K4" i="98" s="1"/>
  <c r="E8" i="159"/>
  <c r="C7" i="159"/>
  <c r="J8" i="159"/>
  <c r="K8" i="159" s="1"/>
  <c r="C10" i="7"/>
  <c r="E11" i="7"/>
  <c r="AT11" i="1"/>
  <c r="J11" i="7"/>
  <c r="K11" i="7" s="1"/>
  <c r="I58" i="11"/>
  <c r="J57" i="11"/>
  <c r="C48" i="24"/>
  <c r="E49" i="24"/>
  <c r="GG49" i="2"/>
  <c r="BE49" i="1"/>
  <c r="C49" i="2"/>
  <c r="C49" i="1"/>
  <c r="J49" i="24"/>
  <c r="K49" i="24" s="1"/>
  <c r="J61" i="27"/>
  <c r="I62" i="27"/>
  <c r="K55" i="8"/>
  <c r="K57" i="83"/>
  <c r="K55" i="110"/>
  <c r="I58" i="174"/>
  <c r="J57" i="174"/>
  <c r="K56" i="174" s="1"/>
  <c r="E8" i="141"/>
  <c r="C7" i="141"/>
  <c r="J8" i="141"/>
  <c r="K8" i="141" s="1"/>
  <c r="I59" i="53"/>
  <c r="J58" i="53"/>
  <c r="C10" i="172"/>
  <c r="E11" i="172"/>
  <c r="J11" i="172"/>
  <c r="K11" i="172" s="1"/>
  <c r="K58" i="132"/>
  <c r="I60" i="41"/>
  <c r="J59" i="41"/>
  <c r="K58" i="41" s="1"/>
  <c r="E10" i="119"/>
  <c r="C9" i="119"/>
  <c r="J10" i="119"/>
  <c r="K10" i="119" s="1"/>
  <c r="K57" i="39"/>
  <c r="I60" i="165"/>
  <c r="J59" i="165"/>
  <c r="I62" i="24"/>
  <c r="J61" i="24"/>
  <c r="K60" i="24" s="1"/>
  <c r="E11" i="14"/>
  <c r="C10" i="14"/>
  <c r="J11" i="14"/>
  <c r="K11" i="14" s="1"/>
  <c r="GR11" i="2"/>
  <c r="K56" i="11"/>
  <c r="E6" i="32"/>
  <c r="C5" i="32"/>
  <c r="J6" i="32"/>
  <c r="K6" i="32" s="1"/>
  <c r="IV11" i="2"/>
  <c r="K60" i="12"/>
  <c r="E8" i="73"/>
  <c r="C7" i="73"/>
  <c r="J8" i="73"/>
  <c r="K8" i="73" s="1"/>
  <c r="K58" i="60"/>
  <c r="DI11" i="2"/>
  <c r="I58" i="110"/>
  <c r="J57" i="110"/>
  <c r="K56" i="110" s="1"/>
  <c r="J58" i="54"/>
  <c r="K57" i="54" s="1"/>
  <c r="I59" i="54"/>
  <c r="K59" i="135"/>
  <c r="C6" i="160"/>
  <c r="E7" i="160"/>
  <c r="J7" i="160"/>
  <c r="K7" i="160" s="1"/>
  <c r="K59" i="32"/>
  <c r="C9" i="147"/>
  <c r="E10" i="147"/>
  <c r="J10" i="147"/>
  <c r="K10" i="147" s="1"/>
  <c r="J57" i="40"/>
  <c r="I58" i="40"/>
  <c r="E11" i="42"/>
  <c r="C10" i="42"/>
  <c r="J11" i="42"/>
  <c r="K11" i="42" s="1"/>
  <c r="FV11" i="2"/>
  <c r="J58" i="56"/>
  <c r="I59" i="56"/>
  <c r="K61" i="75"/>
  <c r="C9" i="145"/>
  <c r="E10" i="145"/>
  <c r="J10" i="145"/>
  <c r="K10" i="145" s="1"/>
  <c r="K58" i="77"/>
  <c r="I60" i="60"/>
  <c r="J59" i="60"/>
  <c r="E11" i="55"/>
  <c r="C10" i="55"/>
  <c r="J11" i="55"/>
  <c r="K11" i="55" s="1"/>
  <c r="I59" i="80"/>
  <c r="J58" i="80"/>
  <c r="K56" i="130"/>
  <c r="E8" i="84"/>
  <c r="C7" i="84"/>
  <c r="J8" i="84"/>
  <c r="K8" i="84" s="1"/>
  <c r="I61" i="135"/>
  <c r="J60" i="135"/>
  <c r="J62" i="134"/>
  <c r="I63" i="134"/>
  <c r="IV12" i="2"/>
  <c r="E8" i="85"/>
  <c r="C7" i="85"/>
  <c r="J8" i="85"/>
  <c r="K8" i="85" s="1"/>
  <c r="J60" i="98"/>
  <c r="I61" i="98"/>
  <c r="E11" i="107"/>
  <c r="C10" i="107"/>
  <c r="J11" i="107"/>
  <c r="K11" i="107" s="1"/>
  <c r="K57" i="165"/>
  <c r="C9" i="125"/>
  <c r="E10" i="125"/>
  <c r="J10" i="125"/>
  <c r="K10" i="125" s="1"/>
  <c r="C8" i="25"/>
  <c r="E9" i="25"/>
  <c r="J9" i="25"/>
  <c r="K9" i="25" s="1"/>
  <c r="K56" i="96"/>
  <c r="K59" i="16"/>
  <c r="I59" i="87"/>
  <c r="J58" i="87"/>
  <c r="K57" i="87" s="1"/>
  <c r="I59" i="138"/>
  <c r="J58" i="138"/>
  <c r="E9" i="94"/>
  <c r="C8" i="94"/>
  <c r="J9" i="94"/>
  <c r="K9" i="94" s="1"/>
  <c r="J60" i="13"/>
  <c r="I61" i="13"/>
  <c r="C9" i="133"/>
  <c r="E10" i="133"/>
  <c r="J10" i="133"/>
  <c r="K10" i="133" s="1"/>
  <c r="DH10" i="2"/>
  <c r="I58" i="130"/>
  <c r="J57" i="130"/>
  <c r="K58" i="152"/>
  <c r="C8" i="9"/>
  <c r="E9" i="9"/>
  <c r="J9" i="9"/>
  <c r="K9" i="9" s="1"/>
  <c r="CB12" i="1"/>
  <c r="K56" i="105"/>
  <c r="E10" i="140"/>
  <c r="C9" i="140"/>
  <c r="J10" i="140"/>
  <c r="K10" i="140" s="1"/>
  <c r="J59" i="99"/>
  <c r="K58" i="99" s="1"/>
  <c r="I60" i="99"/>
  <c r="I60" i="113"/>
  <c r="J59" i="113"/>
  <c r="K58" i="113" s="1"/>
  <c r="C9" i="33"/>
  <c r="E10" i="33"/>
  <c r="J10" i="33"/>
  <c r="K10" i="33" s="1"/>
  <c r="I59" i="52"/>
  <c r="J58" i="52"/>
  <c r="C9" i="142"/>
  <c r="E10" i="142"/>
  <c r="J10" i="142"/>
  <c r="K10" i="142" s="1"/>
  <c r="I61" i="16"/>
  <c r="J60" i="16"/>
  <c r="C7" i="40"/>
  <c r="E8" i="40"/>
  <c r="J8" i="40"/>
  <c r="K8" i="40" s="1"/>
  <c r="E10" i="13"/>
  <c r="C9" i="13"/>
  <c r="J10" i="13"/>
  <c r="K10" i="13" s="1"/>
  <c r="K59" i="128"/>
  <c r="C7" i="86"/>
  <c r="E8" i="86"/>
  <c r="J8" i="86"/>
  <c r="K8" i="86" s="1"/>
  <c r="J58" i="116"/>
  <c r="K57" i="116" s="1"/>
  <c r="I59" i="116"/>
  <c r="K57" i="44"/>
  <c r="DT10" i="2"/>
  <c r="E11" i="152"/>
  <c r="C10" i="152"/>
  <c r="M10" i="2" s="1"/>
  <c r="J11" i="152"/>
  <c r="K11" i="152" s="1"/>
  <c r="C8" i="68"/>
  <c r="E9" i="68"/>
  <c r="J9" i="68"/>
  <c r="K9" i="68" s="1"/>
  <c r="C10" i="6"/>
  <c r="E11" i="6"/>
  <c r="CA11" i="1"/>
  <c r="I60" i="149"/>
  <c r="J59" i="149"/>
  <c r="I58" i="105"/>
  <c r="J57" i="105"/>
  <c r="I61" i="9"/>
  <c r="J60" i="9"/>
  <c r="C10" i="170"/>
  <c r="E11" i="170"/>
  <c r="J11" i="170"/>
  <c r="K11" i="170" s="1"/>
  <c r="E9" i="135"/>
  <c r="C8" i="135"/>
  <c r="J9" i="135"/>
  <c r="K9" i="135" s="1"/>
  <c r="J60" i="117"/>
  <c r="I61" i="117"/>
  <c r="I58" i="34"/>
  <c r="J57" i="34"/>
  <c r="K56" i="34" s="1"/>
  <c r="K59" i="117"/>
  <c r="J58" i="161"/>
  <c r="K57" i="161" s="1"/>
  <c r="I59" i="161"/>
  <c r="J57" i="96"/>
  <c r="I58" i="96"/>
  <c r="K55" i="11"/>
  <c r="EE12" i="2"/>
  <c r="K56" i="111"/>
  <c r="C8" i="161"/>
  <c r="E9" i="161"/>
  <c r="J9" i="161"/>
  <c r="K9" i="161" s="1"/>
  <c r="I58" i="69"/>
  <c r="J57" i="69"/>
  <c r="K56" i="69" s="1"/>
  <c r="C10" i="109"/>
  <c r="E11" i="109"/>
  <c r="ED11" i="2"/>
  <c r="J11" i="109"/>
  <c r="K11" i="109" s="1"/>
  <c r="I61" i="128"/>
  <c r="J60" i="128"/>
  <c r="C10" i="3"/>
  <c r="E11" i="3"/>
  <c r="J11" i="3"/>
  <c r="K11" i="3" s="1"/>
  <c r="I62" i="71"/>
  <c r="J61" i="71"/>
  <c r="E8" i="173"/>
  <c r="C7" i="173"/>
  <c r="J8" i="173"/>
  <c r="K8" i="173" s="1"/>
  <c r="E10" i="153"/>
  <c r="C9" i="153"/>
  <c r="J10" i="153"/>
  <c r="K10" i="153" s="1"/>
  <c r="E11" i="92"/>
  <c r="C10" i="92"/>
  <c r="J11" i="92"/>
  <c r="K11" i="92" s="1"/>
  <c r="I58" i="147"/>
  <c r="J57" i="147"/>
  <c r="K56" i="147" s="1"/>
  <c r="K57" i="97"/>
  <c r="K59" i="9"/>
  <c r="K57" i="88"/>
  <c r="J58" i="5"/>
  <c r="I59" i="5"/>
  <c r="C9" i="76"/>
  <c r="E10" i="76"/>
  <c r="J10" i="76"/>
  <c r="K10" i="76" s="1"/>
  <c r="J57" i="120"/>
  <c r="I58" i="120"/>
  <c r="K56" i="87"/>
  <c r="J58" i="155"/>
  <c r="I59" i="155"/>
  <c r="K55" i="38"/>
  <c r="I60" i="10"/>
  <c r="J59" i="10"/>
  <c r="K58" i="10" s="1"/>
  <c r="J62" i="133"/>
  <c r="K61" i="133" s="1"/>
  <c r="I63" i="133"/>
  <c r="C8" i="129"/>
  <c r="E9" i="129"/>
  <c r="J9" i="129"/>
  <c r="K9" i="129" s="1"/>
  <c r="DS9" i="2"/>
  <c r="K56" i="146"/>
  <c r="EO11" i="2"/>
  <c r="J58" i="20"/>
  <c r="K57" i="20" s="1"/>
  <c r="I59" i="20"/>
  <c r="J58" i="97"/>
  <c r="I59" i="97"/>
  <c r="I59" i="70"/>
  <c r="J58" i="70"/>
  <c r="K58" i="164"/>
  <c r="GR10" i="2"/>
  <c r="J59" i="63"/>
  <c r="I60" i="63"/>
  <c r="I58" i="55"/>
  <c r="J57" i="55"/>
  <c r="K57" i="5"/>
  <c r="K56" i="81"/>
  <c r="I62" i="82"/>
  <c r="J61" i="82"/>
  <c r="K57" i="23"/>
  <c r="J60" i="51"/>
  <c r="I61" i="51"/>
  <c r="K58" i="128"/>
  <c r="E10" i="77"/>
  <c r="C9" i="77"/>
  <c r="J10" i="77"/>
  <c r="K10" i="77" s="1"/>
  <c r="K55" i="95"/>
  <c r="E11" i="91"/>
  <c r="C10" i="91"/>
  <c r="J11" i="91"/>
  <c r="K11" i="91" s="1"/>
  <c r="K55" i="166"/>
  <c r="K56" i="114"/>
  <c r="I58" i="146"/>
  <c r="J57" i="146"/>
  <c r="K55" i="147"/>
  <c r="K57" i="70"/>
  <c r="C8" i="83"/>
  <c r="E9" i="83"/>
  <c r="J9" i="83"/>
  <c r="K9" i="83" s="1"/>
  <c r="I61" i="127"/>
  <c r="J60" i="127"/>
  <c r="C6" i="131"/>
  <c r="E7" i="131"/>
  <c r="J7" i="131"/>
  <c r="K7" i="131" s="1"/>
  <c r="J57" i="81"/>
  <c r="I58" i="81"/>
  <c r="I58" i="160"/>
  <c r="J57" i="160"/>
  <c r="E10" i="117"/>
  <c r="C9" i="117"/>
  <c r="J10" i="117"/>
  <c r="K10" i="117" s="1"/>
  <c r="BE11" i="2"/>
  <c r="C9" i="164"/>
  <c r="E10" i="164"/>
  <c r="J10" i="164"/>
  <c r="K10" i="164" s="1"/>
  <c r="K60" i="82"/>
  <c r="K57" i="30"/>
  <c r="K58" i="51"/>
  <c r="J57" i="64"/>
  <c r="I58" i="64"/>
  <c r="I60" i="92"/>
  <c r="J59" i="92"/>
  <c r="K58" i="92" s="1"/>
  <c r="C9" i="97"/>
  <c r="E10" i="97"/>
  <c r="EO10" i="2"/>
  <c r="J10" i="97"/>
  <c r="K10" i="97" s="1"/>
  <c r="K57" i="153"/>
  <c r="K58" i="98"/>
  <c r="J57" i="140"/>
  <c r="I58" i="140"/>
  <c r="E10" i="10"/>
  <c r="C9" i="10"/>
  <c r="J10" i="10"/>
  <c r="K10" i="10" s="1"/>
  <c r="C7" i="39"/>
  <c r="E8" i="39"/>
  <c r="J8" i="39"/>
  <c r="K8" i="39" s="1"/>
  <c r="K59" i="101"/>
  <c r="E10" i="41"/>
  <c r="C9" i="41"/>
  <c r="BE10" i="2"/>
  <c r="J10" i="41"/>
  <c r="K10" i="41" s="1"/>
  <c r="I61" i="107"/>
  <c r="J60" i="107"/>
  <c r="K59" i="107" s="1"/>
  <c r="E6" i="166"/>
  <c r="C5" i="166"/>
  <c r="J6" i="166"/>
  <c r="K6" i="166" s="1"/>
  <c r="K59" i="22"/>
  <c r="IK11" i="2"/>
  <c r="E10" i="79"/>
  <c r="C9" i="79"/>
  <c r="J10" i="79"/>
  <c r="K10" i="79" s="1"/>
  <c r="K60" i="59"/>
  <c r="E10" i="96"/>
  <c r="C9" i="96"/>
  <c r="J10" i="96"/>
  <c r="K10" i="96" s="1"/>
  <c r="E9" i="19"/>
  <c r="C8" i="19"/>
  <c r="J9" i="19"/>
  <c r="K9" i="19" s="1"/>
  <c r="K55" i="130"/>
  <c r="E10" i="132"/>
  <c r="C9" i="132"/>
  <c r="J10" i="132"/>
  <c r="K10" i="132" s="1"/>
  <c r="E9" i="65"/>
  <c r="C8" i="65"/>
  <c r="J9" i="65"/>
  <c r="K9" i="65" s="1"/>
  <c r="HN11" i="2"/>
  <c r="C7" i="168"/>
  <c r="E8" i="168"/>
  <c r="J8" i="168"/>
  <c r="K8" i="168" s="1"/>
  <c r="I59" i="153"/>
  <c r="J58" i="153"/>
  <c r="K55" i="105"/>
  <c r="J59" i="72"/>
  <c r="K58" i="72" s="1"/>
  <c r="I60" i="72"/>
  <c r="E8" i="37"/>
  <c r="C7" i="37"/>
  <c r="J8" i="37"/>
  <c r="K8" i="37" s="1"/>
  <c r="C9" i="36"/>
  <c r="CW9" i="2" s="1"/>
  <c r="E10" i="36"/>
  <c r="J10" i="36"/>
  <c r="K10" i="36" s="1"/>
  <c r="K58" i="115"/>
  <c r="I59" i="57"/>
  <c r="J58" i="57"/>
  <c r="I59" i="126"/>
  <c r="J58" i="126"/>
  <c r="K57" i="126" s="1"/>
  <c r="J60" i="101"/>
  <c r="I61" i="101"/>
  <c r="I58" i="100"/>
  <c r="J57" i="100"/>
  <c r="J61" i="59"/>
  <c r="I62" i="59"/>
  <c r="K60" i="94"/>
  <c r="C10" i="90"/>
  <c r="E11" i="90"/>
  <c r="J11" i="90"/>
  <c r="K11" i="90" s="1"/>
  <c r="C10" i="143"/>
  <c r="E11" i="143"/>
  <c r="J11" i="143"/>
  <c r="K11" i="143" s="1"/>
  <c r="C8" i="54"/>
  <c r="E9" i="54"/>
  <c r="J9" i="54"/>
  <c r="K9" i="54" s="1"/>
  <c r="K59" i="136"/>
  <c r="K58" i="118"/>
  <c r="K57" i="123"/>
  <c r="E9" i="81"/>
  <c r="C8" i="81"/>
  <c r="J9" i="81"/>
  <c r="K9" i="81" s="1"/>
  <c r="Y12" i="2"/>
  <c r="C9" i="114"/>
  <c r="E10" i="114"/>
  <c r="J10" i="114"/>
  <c r="K10" i="114" s="1"/>
  <c r="I59" i="154"/>
  <c r="J58" i="154"/>
  <c r="K56" i="100"/>
  <c r="C9" i="154"/>
  <c r="E10" i="154"/>
  <c r="J10" i="154"/>
  <c r="K10" i="154" s="1"/>
  <c r="I58" i="163"/>
  <c r="J57" i="163"/>
  <c r="K59" i="59"/>
  <c r="I62" i="94"/>
  <c r="J61" i="94"/>
  <c r="K56" i="170"/>
  <c r="K58" i="135"/>
  <c r="J58" i="4"/>
  <c r="I59" i="4"/>
  <c r="J60" i="136"/>
  <c r="I61" i="136"/>
  <c r="C9" i="89"/>
  <c r="E10" i="89"/>
  <c r="J10" i="89"/>
  <c r="K10" i="89" s="1"/>
  <c r="HN10" i="2"/>
  <c r="FK11" i="2"/>
  <c r="J59" i="118"/>
  <c r="I60" i="118"/>
  <c r="J58" i="123"/>
  <c r="I59" i="123"/>
  <c r="E10" i="70"/>
  <c r="C9" i="70"/>
  <c r="J10" i="70"/>
  <c r="K10" i="70" s="1"/>
  <c r="K56" i="126"/>
  <c r="K57" i="56"/>
  <c r="K61" i="7"/>
  <c r="I61" i="48"/>
  <c r="J60" i="48"/>
  <c r="C8" i="118"/>
  <c r="E9" i="118"/>
  <c r="J9" i="118"/>
  <c r="K9" i="118" s="1"/>
  <c r="E8" i="149"/>
  <c r="C7" i="149"/>
  <c r="J8" i="149"/>
  <c r="K8" i="149" s="1"/>
  <c r="K57" i="154"/>
  <c r="E9" i="67"/>
  <c r="C8" i="67"/>
  <c r="J9" i="67"/>
  <c r="K9" i="67" s="1"/>
  <c r="C8" i="60"/>
  <c r="E9" i="60"/>
  <c r="J9" i="60"/>
  <c r="K9" i="60" s="1"/>
  <c r="E8" i="127"/>
  <c r="C7" i="127"/>
  <c r="J8" i="127"/>
  <c r="K8" i="127" s="1"/>
  <c r="K56" i="154"/>
  <c r="K56" i="168"/>
  <c r="E8" i="124"/>
  <c r="C7" i="124"/>
  <c r="J8" i="124"/>
  <c r="K8" i="124" s="1"/>
  <c r="E10" i="88"/>
  <c r="C9" i="88"/>
  <c r="FK10" i="2"/>
  <c r="J10" i="88"/>
  <c r="K10" i="88" s="1"/>
  <c r="K57" i="99"/>
  <c r="K61" i="46"/>
  <c r="J58" i="85"/>
  <c r="I59" i="85"/>
  <c r="K59" i="127"/>
  <c r="E9" i="150"/>
  <c r="C8" i="150"/>
  <c r="J9" i="150"/>
  <c r="K9" i="150" s="1"/>
  <c r="K59" i="48"/>
  <c r="E9" i="148"/>
  <c r="C8" i="148"/>
  <c r="J9" i="148"/>
  <c r="K9" i="148" s="1"/>
  <c r="J58" i="151"/>
  <c r="I59" i="151"/>
  <c r="C10" i="49"/>
  <c r="E11" i="49"/>
  <c r="J11" i="49"/>
  <c r="K11" i="49" s="1"/>
  <c r="C7" i="47"/>
  <c r="E8" i="47"/>
  <c r="J8" i="47"/>
  <c r="K8" i="47" s="1"/>
  <c r="I58" i="171"/>
  <c r="J57" i="171"/>
  <c r="E10" i="71"/>
  <c r="C9" i="71"/>
  <c r="J10" i="71"/>
  <c r="K10" i="71" s="1"/>
  <c r="K56" i="67"/>
  <c r="I60" i="139"/>
  <c r="J59" i="139"/>
  <c r="CA11" i="2"/>
  <c r="K58" i="26"/>
  <c r="C7" i="62"/>
  <c r="E8" i="62"/>
  <c r="J8" i="62"/>
  <c r="K8" i="62" s="1"/>
  <c r="C6" i="59"/>
  <c r="E7" i="59"/>
  <c r="J7" i="59"/>
  <c r="K7" i="59" s="1"/>
  <c r="K57" i="162"/>
  <c r="C8" i="99"/>
  <c r="E9" i="99"/>
  <c r="J9" i="99"/>
  <c r="K9" i="99" s="1"/>
  <c r="J57" i="102"/>
  <c r="I58" i="102"/>
  <c r="I61" i="89"/>
  <c r="J60" i="89"/>
  <c r="K59" i="89" s="1"/>
  <c r="E11" i="27"/>
  <c r="C10" i="27"/>
  <c r="J11" i="27"/>
  <c r="K11" i="27" s="1"/>
  <c r="K57" i="33"/>
  <c r="C5" i="156"/>
  <c r="E6" i="156"/>
  <c r="J6" i="156"/>
  <c r="K6" i="156" s="1"/>
  <c r="I59" i="76"/>
  <c r="J58" i="76"/>
  <c r="K57" i="76" s="1"/>
  <c r="I63" i="7"/>
  <c r="J62" i="7"/>
  <c r="K57" i="57"/>
  <c r="I59" i="169"/>
  <c r="J58" i="169"/>
  <c r="K57" i="169" s="1"/>
  <c r="E4" i="82"/>
  <c r="C3" i="82"/>
  <c r="J4" i="82"/>
  <c r="K4" i="82" s="1"/>
  <c r="C9" i="15"/>
  <c r="E10" i="15"/>
  <c r="J10" i="15"/>
  <c r="K10" i="15" s="1"/>
  <c r="K58" i="25"/>
  <c r="I60" i="158"/>
  <c r="J59" i="158"/>
  <c r="K58" i="158" s="1"/>
  <c r="K56" i="171"/>
  <c r="K59" i="71"/>
  <c r="K57" i="84"/>
  <c r="K56" i="35"/>
  <c r="K55" i="141"/>
  <c r="C7" i="120"/>
  <c r="E8" i="120"/>
  <c r="J8" i="120"/>
  <c r="K8" i="120" s="1"/>
  <c r="I59" i="162"/>
  <c r="J58" i="162"/>
  <c r="C8" i="64"/>
  <c r="E9" i="64"/>
  <c r="J9" i="64"/>
  <c r="K9" i="64" s="1"/>
  <c r="E8" i="26"/>
  <c r="C7" i="26"/>
  <c r="J8" i="26"/>
  <c r="K8" i="26" s="1"/>
  <c r="K60" i="61"/>
  <c r="K56" i="20"/>
  <c r="J58" i="33"/>
  <c r="I59" i="33"/>
  <c r="E10" i="35"/>
  <c r="C9" i="35"/>
  <c r="J10" i="35"/>
  <c r="K10" i="35" s="1"/>
  <c r="E11" i="28"/>
  <c r="C10" i="28"/>
  <c r="J11" i="28"/>
  <c r="K11" i="28" s="1"/>
  <c r="J61" i="42"/>
  <c r="K60" i="42" s="1"/>
  <c r="I62" i="42"/>
  <c r="K56" i="56"/>
  <c r="K57" i="151"/>
  <c r="J59" i="37"/>
  <c r="K58" i="37" s="1"/>
  <c r="I60" i="37"/>
  <c r="C6" i="111"/>
  <c r="E7" i="111"/>
  <c r="J7" i="111"/>
  <c r="K7" i="111" s="1"/>
  <c r="HZ11" i="2"/>
  <c r="I59" i="84"/>
  <c r="J58" i="84"/>
  <c r="C9" i="31"/>
  <c r="E10" i="31"/>
  <c r="CA10" i="2"/>
  <c r="J10" i="31"/>
  <c r="K10" i="31" s="1"/>
  <c r="J57" i="35"/>
  <c r="I58" i="35"/>
  <c r="K55" i="35"/>
  <c r="CL11" i="2"/>
  <c r="E9" i="144"/>
  <c r="C8" i="144"/>
  <c r="J9" i="144"/>
  <c r="K9" i="144" s="1"/>
  <c r="K55" i="146"/>
  <c r="K55" i="47"/>
  <c r="E7" i="165"/>
  <c r="C6" i="165"/>
  <c r="J7" i="165"/>
  <c r="K7" i="165" s="1"/>
  <c r="K56" i="90"/>
  <c r="K56" i="153"/>
  <c r="J60" i="29"/>
  <c r="K59" i="29" s="1"/>
  <c r="I61" i="29"/>
  <c r="K56" i="70"/>
  <c r="K56" i="123"/>
  <c r="K59" i="62"/>
  <c r="C8" i="66"/>
  <c r="E9" i="66"/>
  <c r="J9" i="66"/>
  <c r="K9" i="66" s="1"/>
  <c r="K59" i="24"/>
  <c r="C8" i="75"/>
  <c r="E9" i="75"/>
  <c r="J9" i="75"/>
  <c r="K9" i="75" s="1"/>
  <c r="K60" i="75"/>
  <c r="K58" i="117"/>
  <c r="J59" i="25"/>
  <c r="I60" i="25"/>
  <c r="E8" i="51"/>
  <c r="C7" i="51"/>
  <c r="J8" i="51"/>
  <c r="K8" i="51" s="1"/>
  <c r="K57" i="18"/>
  <c r="K56" i="148"/>
  <c r="K55" i="148"/>
  <c r="E9" i="137"/>
  <c r="C8" i="137"/>
  <c r="J9" i="137"/>
  <c r="K9" i="137" s="1"/>
  <c r="K58" i="107"/>
  <c r="E10" i="169"/>
  <c r="C9" i="169"/>
  <c r="HY10" i="2"/>
  <c r="J10" i="169"/>
  <c r="K10" i="169" s="1"/>
  <c r="BQ12" i="2"/>
  <c r="J60" i="156"/>
  <c r="I61" i="156"/>
  <c r="K60" i="74"/>
  <c r="C8" i="11"/>
  <c r="E9" i="11"/>
  <c r="J9" i="11"/>
  <c r="K9" i="11" s="1"/>
  <c r="K58" i="68"/>
  <c r="J57" i="90"/>
  <c r="I58" i="90"/>
  <c r="K57" i="19"/>
  <c r="K57" i="113"/>
  <c r="J62" i="46"/>
  <c r="I63" i="46"/>
  <c r="C8" i="4"/>
  <c r="E9" i="4"/>
  <c r="J9" i="4"/>
  <c r="K9" i="4" s="1"/>
  <c r="I60" i="93"/>
  <c r="J59" i="93"/>
  <c r="K56" i="169"/>
  <c r="N11" i="2"/>
  <c r="I58" i="148"/>
  <c r="J57" i="148"/>
  <c r="K56" i="86"/>
  <c r="I61" i="78"/>
  <c r="J60" i="78"/>
  <c r="K57" i="73"/>
  <c r="C6" i="43"/>
  <c r="E7" i="43"/>
  <c r="J7" i="43"/>
  <c r="K7" i="43" s="1"/>
  <c r="E9" i="167"/>
  <c r="C8" i="167"/>
  <c r="J9" i="167"/>
  <c r="K9" i="167" s="1"/>
  <c r="K59" i="156"/>
  <c r="K58" i="173"/>
  <c r="I62" i="79"/>
  <c r="J61" i="79"/>
  <c r="AU12" i="2"/>
  <c r="CW10" i="2"/>
  <c r="C7" i="69"/>
  <c r="E8" i="69"/>
  <c r="J8" i="69"/>
  <c r="K8" i="69" s="1"/>
  <c r="E10" i="38"/>
  <c r="C9" i="38"/>
  <c r="J10" i="38"/>
  <c r="K10" i="38" s="1"/>
  <c r="J59" i="68"/>
  <c r="I60" i="68"/>
  <c r="K58" i="136"/>
  <c r="K56" i="21"/>
  <c r="K56" i="125"/>
  <c r="J58" i="19"/>
  <c r="I59" i="19"/>
  <c r="K57" i="118"/>
  <c r="N10" i="2" l="1"/>
  <c r="CM10" i="2"/>
  <c r="AJ10" i="1"/>
  <c r="CX9" i="2"/>
  <c r="J59" i="4"/>
  <c r="I60" i="4"/>
  <c r="E9" i="41"/>
  <c r="C8" i="41"/>
  <c r="J9" i="41"/>
  <c r="K9" i="41" s="1"/>
  <c r="J59" i="56"/>
  <c r="I60" i="56"/>
  <c r="I59" i="174"/>
  <c r="J58" i="174"/>
  <c r="I60" i="137"/>
  <c r="J59" i="137"/>
  <c r="E8" i="17"/>
  <c r="C7" i="17"/>
  <c r="J8" i="17"/>
  <c r="K8" i="17" s="1"/>
  <c r="E8" i="57"/>
  <c r="C7" i="57"/>
  <c r="J8" i="57"/>
  <c r="K8" i="57" s="1"/>
  <c r="J61" i="122"/>
  <c r="I62" i="122"/>
  <c r="E8" i="135"/>
  <c r="C7" i="135"/>
  <c r="J8" i="135"/>
  <c r="K8" i="135" s="1"/>
  <c r="C8" i="44"/>
  <c r="E9" i="44"/>
  <c r="J9" i="44"/>
  <c r="K9" i="44" s="1"/>
  <c r="K58" i="137"/>
  <c r="I59" i="36"/>
  <c r="J58" i="36"/>
  <c r="K57" i="36" s="1"/>
  <c r="E9" i="20"/>
  <c r="C8" i="20"/>
  <c r="J9" i="20"/>
  <c r="K9" i="20" s="1"/>
  <c r="J59" i="50"/>
  <c r="I60" i="50"/>
  <c r="I60" i="119"/>
  <c r="J59" i="119"/>
  <c r="J58" i="166"/>
  <c r="I59" i="166"/>
  <c r="E8" i="16"/>
  <c r="C7" i="16"/>
  <c r="J8" i="16"/>
  <c r="K8" i="16" s="1"/>
  <c r="CB10" i="2"/>
  <c r="C4" i="156"/>
  <c r="E5" i="156"/>
  <c r="J5" i="156"/>
  <c r="K5" i="156" s="1"/>
  <c r="I64" i="46"/>
  <c r="J63" i="46"/>
  <c r="E9" i="31"/>
  <c r="C8" i="31"/>
  <c r="J9" i="31"/>
  <c r="K9" i="31" s="1"/>
  <c r="E8" i="64"/>
  <c r="C7" i="64"/>
  <c r="J8" i="64"/>
  <c r="K8" i="64" s="1"/>
  <c r="E10" i="49"/>
  <c r="C9" i="49"/>
  <c r="J10" i="49"/>
  <c r="K10" i="49" s="1"/>
  <c r="C9" i="143"/>
  <c r="E10" i="143"/>
  <c r="J10" i="143"/>
  <c r="K10" i="143" s="1"/>
  <c r="E7" i="168"/>
  <c r="C6" i="168"/>
  <c r="J7" i="168"/>
  <c r="K7" i="168" s="1"/>
  <c r="J58" i="160"/>
  <c r="I59" i="160"/>
  <c r="I59" i="120"/>
  <c r="J58" i="120"/>
  <c r="E10" i="3"/>
  <c r="C9" i="3"/>
  <c r="J10" i="3"/>
  <c r="K10" i="3" s="1"/>
  <c r="C8" i="13"/>
  <c r="E9" i="13"/>
  <c r="J9" i="13"/>
  <c r="K9" i="13" s="1"/>
  <c r="C7" i="9"/>
  <c r="E8" i="9"/>
  <c r="J8" i="9"/>
  <c r="K8" i="9" s="1"/>
  <c r="FW11" i="2"/>
  <c r="C4" i="32"/>
  <c r="E5" i="32"/>
  <c r="J5" i="32"/>
  <c r="K5" i="32" s="1"/>
  <c r="J62" i="14"/>
  <c r="I63" i="14"/>
  <c r="I59" i="8"/>
  <c r="J58" i="8"/>
  <c r="I63" i="22"/>
  <c r="J62" i="22"/>
  <c r="J61" i="142"/>
  <c r="I62" i="142"/>
  <c r="E8" i="126"/>
  <c r="C7" i="126"/>
  <c r="J8" i="126"/>
  <c r="K8" i="126" s="1"/>
  <c r="I61" i="44"/>
  <c r="J60" i="44"/>
  <c r="K59" i="44" s="1"/>
  <c r="K58" i="119"/>
  <c r="K60" i="62"/>
  <c r="K62" i="46"/>
  <c r="K58" i="84"/>
  <c r="E10" i="27"/>
  <c r="C9" i="27"/>
  <c r="J10" i="27"/>
  <c r="K10" i="27" s="1"/>
  <c r="I60" i="151"/>
  <c r="J59" i="151"/>
  <c r="C7" i="67"/>
  <c r="E8" i="67"/>
  <c r="J8" i="67"/>
  <c r="K8" i="67" s="1"/>
  <c r="HO11" i="2"/>
  <c r="J58" i="81"/>
  <c r="I59" i="81"/>
  <c r="I63" i="82"/>
  <c r="J62" i="82"/>
  <c r="K61" i="82" s="1"/>
  <c r="I62" i="98"/>
  <c r="J61" i="98"/>
  <c r="K60" i="98" s="1"/>
  <c r="K57" i="8"/>
  <c r="J63" i="75"/>
  <c r="I64" i="75"/>
  <c r="K61" i="22"/>
  <c r="E8" i="128"/>
  <c r="C7" i="128"/>
  <c r="J8" i="128"/>
  <c r="K8" i="128" s="1"/>
  <c r="C8" i="48"/>
  <c r="E9" i="48"/>
  <c r="J9" i="48"/>
  <c r="K9" i="48" s="1"/>
  <c r="J59" i="106"/>
  <c r="I60" i="106"/>
  <c r="I62" i="62"/>
  <c r="J61" i="62"/>
  <c r="I61" i="25"/>
  <c r="J60" i="25"/>
  <c r="K59" i="25" s="1"/>
  <c r="C7" i="60"/>
  <c r="E8" i="60"/>
  <c r="J8" i="60"/>
  <c r="K8" i="60" s="1"/>
  <c r="C6" i="69"/>
  <c r="E7" i="69"/>
  <c r="J7" i="69"/>
  <c r="K7" i="69" s="1"/>
  <c r="I60" i="84"/>
  <c r="J59" i="84"/>
  <c r="J59" i="162"/>
  <c r="K58" i="162" s="1"/>
  <c r="I60" i="162"/>
  <c r="K58" i="151"/>
  <c r="K57" i="81"/>
  <c r="K56" i="160"/>
  <c r="I62" i="128"/>
  <c r="J61" i="128"/>
  <c r="K57" i="130"/>
  <c r="E10" i="42"/>
  <c r="C9" i="42"/>
  <c r="J10" i="42"/>
  <c r="K10" i="42" s="1"/>
  <c r="FV10" i="2"/>
  <c r="J60" i="30"/>
  <c r="I61" i="30"/>
  <c r="I64" i="15"/>
  <c r="J63" i="15"/>
  <c r="K58" i="104"/>
  <c r="C8" i="80"/>
  <c r="E9" i="80"/>
  <c r="J9" i="80"/>
  <c r="K9" i="80" s="1"/>
  <c r="I59" i="95"/>
  <c r="J58" i="95"/>
  <c r="E7" i="39"/>
  <c r="C6" i="39"/>
  <c r="J7" i="39"/>
  <c r="K7" i="39" s="1"/>
  <c r="K57" i="155"/>
  <c r="E10" i="170"/>
  <c r="C9" i="170"/>
  <c r="J10" i="170"/>
  <c r="K10" i="170" s="1"/>
  <c r="I59" i="130"/>
  <c r="J58" i="130"/>
  <c r="GS11" i="2"/>
  <c r="I63" i="27"/>
  <c r="J62" i="27"/>
  <c r="K59" i="18"/>
  <c r="K62" i="15"/>
  <c r="I60" i="104"/>
  <c r="J59" i="104"/>
  <c r="J59" i="73"/>
  <c r="K58" i="73" s="1"/>
  <c r="I60" i="73"/>
  <c r="E9" i="23"/>
  <c r="C8" i="23"/>
  <c r="J9" i="23"/>
  <c r="K9" i="23" s="1"/>
  <c r="I60" i="67"/>
  <c r="J59" i="67"/>
  <c r="E7" i="115"/>
  <c r="C6" i="115"/>
  <c r="J7" i="115"/>
  <c r="K7" i="115" s="1"/>
  <c r="C5" i="105"/>
  <c r="E6" i="105"/>
  <c r="J6" i="105"/>
  <c r="K6" i="105" s="1"/>
  <c r="I62" i="89"/>
  <c r="J61" i="89"/>
  <c r="E8" i="148"/>
  <c r="C7" i="148"/>
  <c r="J8" i="148"/>
  <c r="K8" i="148" s="1"/>
  <c r="E8" i="65"/>
  <c r="C7" i="65"/>
  <c r="J8" i="65"/>
  <c r="K8" i="65" s="1"/>
  <c r="K60" i="9"/>
  <c r="DI10" i="2"/>
  <c r="C6" i="85"/>
  <c r="E7" i="85"/>
  <c r="J7" i="85"/>
  <c r="K7" i="85" s="1"/>
  <c r="I59" i="40"/>
  <c r="J58" i="40"/>
  <c r="K57" i="40" s="1"/>
  <c r="K61" i="27"/>
  <c r="I61" i="18"/>
  <c r="J60" i="18"/>
  <c r="K57" i="137"/>
  <c r="K59" i="157"/>
  <c r="K58" i="67"/>
  <c r="E9" i="21"/>
  <c r="C8" i="21"/>
  <c r="J9" i="21"/>
  <c r="K9" i="21" s="1"/>
  <c r="K62" i="12"/>
  <c r="E10" i="56"/>
  <c r="C9" i="56"/>
  <c r="J10" i="56"/>
  <c r="K10" i="56" s="1"/>
  <c r="E8" i="74"/>
  <c r="C7" i="74"/>
  <c r="J8" i="74"/>
  <c r="K8" i="74" s="1"/>
  <c r="I59" i="102"/>
  <c r="J58" i="102"/>
  <c r="C6" i="149"/>
  <c r="E7" i="149"/>
  <c r="J7" i="149"/>
  <c r="K7" i="149" s="1"/>
  <c r="K57" i="163"/>
  <c r="J62" i="59"/>
  <c r="I63" i="59"/>
  <c r="C8" i="10"/>
  <c r="E9" i="10"/>
  <c r="J9" i="10"/>
  <c r="K9" i="10" s="1"/>
  <c r="E6" i="131"/>
  <c r="C5" i="131"/>
  <c r="J6" i="131"/>
  <c r="K6" i="131" s="1"/>
  <c r="E9" i="76"/>
  <c r="C8" i="76"/>
  <c r="J9" i="76"/>
  <c r="K9" i="76" s="1"/>
  <c r="EE11" i="2"/>
  <c r="J61" i="9"/>
  <c r="I62" i="9"/>
  <c r="E7" i="40"/>
  <c r="C6" i="40"/>
  <c r="J7" i="40"/>
  <c r="K7" i="40" s="1"/>
  <c r="C9" i="14"/>
  <c r="E10" i="14"/>
  <c r="J10" i="14"/>
  <c r="K10" i="14" s="1"/>
  <c r="E10" i="121"/>
  <c r="C9" i="121"/>
  <c r="J10" i="121"/>
  <c r="K10" i="121" s="1"/>
  <c r="J60" i="157"/>
  <c r="I61" i="157"/>
  <c r="K57" i="67"/>
  <c r="K59" i="142"/>
  <c r="I64" i="12"/>
  <c r="J63" i="12"/>
  <c r="K61" i="12"/>
  <c r="J58" i="125"/>
  <c r="I59" i="125"/>
  <c r="J58" i="90"/>
  <c r="I59" i="90"/>
  <c r="K57" i="90"/>
  <c r="E8" i="75"/>
  <c r="C7" i="75"/>
  <c r="J8" i="75"/>
  <c r="K8" i="75" s="1"/>
  <c r="C6" i="120"/>
  <c r="E7" i="120"/>
  <c r="J7" i="120"/>
  <c r="K7" i="120" s="1"/>
  <c r="K57" i="102"/>
  <c r="I59" i="163"/>
  <c r="J58" i="163"/>
  <c r="I59" i="55"/>
  <c r="J58" i="55"/>
  <c r="I60" i="5"/>
  <c r="J59" i="5"/>
  <c r="K58" i="5" s="1"/>
  <c r="K57" i="105"/>
  <c r="D49" i="1"/>
  <c r="AK49" i="1"/>
  <c r="Z49" i="1"/>
  <c r="O49" i="1"/>
  <c r="CC49" i="1"/>
  <c r="BR49" i="1"/>
  <c r="AV49" i="1"/>
  <c r="K61" i="15"/>
  <c r="J60" i="124"/>
  <c r="I61" i="124"/>
  <c r="E8" i="103"/>
  <c r="C7" i="103"/>
  <c r="J8" i="103"/>
  <c r="K8" i="103" s="1"/>
  <c r="K57" i="65"/>
  <c r="K56" i="65"/>
  <c r="K61" i="59"/>
  <c r="I63" i="79"/>
  <c r="J62" i="79"/>
  <c r="K61" i="79" s="1"/>
  <c r="E6" i="111"/>
  <c r="C5" i="111"/>
  <c r="J6" i="111"/>
  <c r="K6" i="111" s="1"/>
  <c r="IJ10" i="2"/>
  <c r="K56" i="163"/>
  <c r="C8" i="132"/>
  <c r="E9" i="132"/>
  <c r="J9" i="132"/>
  <c r="K9" i="132" s="1"/>
  <c r="I59" i="140"/>
  <c r="J58" i="140"/>
  <c r="K60" i="127"/>
  <c r="K56" i="55"/>
  <c r="E10" i="109"/>
  <c r="C9" i="109"/>
  <c r="ED10" i="2"/>
  <c r="J10" i="109"/>
  <c r="K10" i="109" s="1"/>
  <c r="I59" i="105"/>
  <c r="J58" i="105"/>
  <c r="I62" i="16"/>
  <c r="J61" i="16"/>
  <c r="C8" i="133"/>
  <c r="E9" i="133"/>
  <c r="J9" i="133"/>
  <c r="K9" i="133" s="1"/>
  <c r="DH9" i="2"/>
  <c r="D49" i="2"/>
  <c r="CY49" i="2"/>
  <c r="DU49" i="2"/>
  <c r="CC49" i="2"/>
  <c r="BG49" i="2"/>
  <c r="HP49" i="2"/>
  <c r="CN49" i="2"/>
  <c r="FB49" i="2"/>
  <c r="DJ49" i="2"/>
  <c r="IA49" i="2"/>
  <c r="EQ49" i="2"/>
  <c r="IW49" i="2"/>
  <c r="AK49" i="2"/>
  <c r="FM49" i="2"/>
  <c r="EF49" i="2"/>
  <c r="O49" i="2"/>
  <c r="Z49" i="2"/>
  <c r="IL49" i="2"/>
  <c r="FX49" i="2"/>
  <c r="HE49" i="2"/>
  <c r="AV49" i="2"/>
  <c r="BR49" i="2"/>
  <c r="GT49" i="2"/>
  <c r="K60" i="14"/>
  <c r="I61" i="23"/>
  <c r="J60" i="23"/>
  <c r="K59" i="124"/>
  <c r="I60" i="39"/>
  <c r="J59" i="39"/>
  <c r="C6" i="163"/>
  <c r="E7" i="163"/>
  <c r="J7" i="163"/>
  <c r="K7" i="163" s="1"/>
  <c r="I59" i="65"/>
  <c r="J58" i="65"/>
  <c r="C9" i="158"/>
  <c r="E10" i="158"/>
  <c r="J10" i="158"/>
  <c r="K10" i="158" s="1"/>
  <c r="C7" i="150"/>
  <c r="E8" i="150"/>
  <c r="J8" i="150"/>
  <c r="K8" i="150" s="1"/>
  <c r="K57" i="100"/>
  <c r="K57" i="140"/>
  <c r="I62" i="127"/>
  <c r="J61" i="127"/>
  <c r="I61" i="63"/>
  <c r="J60" i="63"/>
  <c r="K56" i="120"/>
  <c r="I64" i="134"/>
  <c r="J63" i="134"/>
  <c r="C8" i="147"/>
  <c r="E9" i="147"/>
  <c r="J9" i="147"/>
  <c r="K9" i="147" s="1"/>
  <c r="I63" i="24"/>
  <c r="J62" i="24"/>
  <c r="K61" i="24" s="1"/>
  <c r="BF49" i="1"/>
  <c r="BG49" i="1"/>
  <c r="I59" i="45"/>
  <c r="J58" i="45"/>
  <c r="K59" i="23"/>
  <c r="HD11" i="2"/>
  <c r="K60" i="22"/>
  <c r="K58" i="39"/>
  <c r="K59" i="66"/>
  <c r="E8" i="99"/>
  <c r="C7" i="99"/>
  <c r="J8" i="99"/>
  <c r="K8" i="99" s="1"/>
  <c r="E8" i="118"/>
  <c r="C7" i="118"/>
  <c r="J8" i="118"/>
  <c r="K8" i="118" s="1"/>
  <c r="J58" i="100"/>
  <c r="I59" i="100"/>
  <c r="K59" i="63"/>
  <c r="K58" i="63"/>
  <c r="K57" i="69"/>
  <c r="K59" i="149"/>
  <c r="J61" i="13"/>
  <c r="I62" i="13"/>
  <c r="K62" i="134"/>
  <c r="GI49" i="2"/>
  <c r="GH49" i="2"/>
  <c r="C8" i="122"/>
  <c r="E9" i="122"/>
  <c r="J9" i="122"/>
  <c r="K9" i="122" s="1"/>
  <c r="HC10" i="2"/>
  <c r="E10" i="8"/>
  <c r="C9" i="8"/>
  <c r="BP10" i="1"/>
  <c r="J10" i="8"/>
  <c r="K10" i="8" s="1"/>
  <c r="C9" i="58"/>
  <c r="E10" i="58"/>
  <c r="J10" i="58"/>
  <c r="K10" i="58" s="1"/>
  <c r="J60" i="66"/>
  <c r="I61" i="66"/>
  <c r="C7" i="5"/>
  <c r="E8" i="5"/>
  <c r="J8" i="5"/>
  <c r="K8" i="5" s="1"/>
  <c r="E8" i="112"/>
  <c r="C7" i="112"/>
  <c r="J8" i="112"/>
  <c r="K8" i="112" s="1"/>
  <c r="K60" i="48"/>
  <c r="E9" i="154"/>
  <c r="C8" i="154"/>
  <c r="J9" i="154"/>
  <c r="K9" i="154" s="1"/>
  <c r="IJ9" i="2"/>
  <c r="GS10" i="2"/>
  <c r="I59" i="69"/>
  <c r="J58" i="69"/>
  <c r="J60" i="149"/>
  <c r="I61" i="149"/>
  <c r="C8" i="142"/>
  <c r="E9" i="142"/>
  <c r="J9" i="142"/>
  <c r="K9" i="142" s="1"/>
  <c r="K59" i="98"/>
  <c r="J60" i="165"/>
  <c r="K59" i="165" s="1"/>
  <c r="I61" i="165"/>
  <c r="E8" i="104"/>
  <c r="C7" i="104"/>
  <c r="J8" i="104"/>
  <c r="K8" i="104" s="1"/>
  <c r="E7" i="61"/>
  <c r="C6" i="61"/>
  <c r="J7" i="61"/>
  <c r="K7" i="61" s="1"/>
  <c r="K57" i="43"/>
  <c r="K57" i="86"/>
  <c r="C7" i="113"/>
  <c r="E8" i="113"/>
  <c r="J8" i="113"/>
  <c r="K8" i="113" s="1"/>
  <c r="E10" i="100"/>
  <c r="C9" i="100"/>
  <c r="J10" i="100"/>
  <c r="K10" i="100" s="1"/>
  <c r="K56" i="40"/>
  <c r="I61" i="115"/>
  <c r="J60" i="115"/>
  <c r="I61" i="28"/>
  <c r="J60" i="28"/>
  <c r="I60" i="85"/>
  <c r="J59" i="85"/>
  <c r="I62" i="48"/>
  <c r="J61" i="48"/>
  <c r="I62" i="101"/>
  <c r="J61" i="101"/>
  <c r="C7" i="19"/>
  <c r="E8" i="19"/>
  <c r="J8" i="19"/>
  <c r="K8" i="19" s="1"/>
  <c r="CB11" i="1"/>
  <c r="I62" i="135"/>
  <c r="J61" i="135"/>
  <c r="E48" i="24"/>
  <c r="C47" i="24"/>
  <c r="GG48" i="2"/>
  <c r="BE48" i="1"/>
  <c r="C48" i="1"/>
  <c r="C48" i="2"/>
  <c r="J48" i="24"/>
  <c r="K48" i="24" s="1"/>
  <c r="I59" i="43"/>
  <c r="J58" i="43"/>
  <c r="BQ11" i="1"/>
  <c r="I60" i="86"/>
  <c r="J59" i="86"/>
  <c r="K58" i="165"/>
  <c r="K59" i="28"/>
  <c r="K60" i="79"/>
  <c r="K58" i="85"/>
  <c r="K58" i="154"/>
  <c r="K60" i="101"/>
  <c r="E8" i="83"/>
  <c r="C7" i="83"/>
  <c r="J8" i="83"/>
  <c r="K8" i="83" s="1"/>
  <c r="C7" i="94"/>
  <c r="E8" i="94"/>
  <c r="J8" i="94"/>
  <c r="K8" i="94" s="1"/>
  <c r="K57" i="11"/>
  <c r="I60" i="3"/>
  <c r="J59" i="3"/>
  <c r="E5" i="87"/>
  <c r="C4" i="87"/>
  <c r="J5" i="87"/>
  <c r="K5" i="87" s="1"/>
  <c r="I63" i="94"/>
  <c r="J62" i="94"/>
  <c r="J59" i="154"/>
  <c r="I60" i="154"/>
  <c r="K58" i="126"/>
  <c r="EP10" i="2"/>
  <c r="I60" i="70"/>
  <c r="J59" i="70"/>
  <c r="K57" i="147"/>
  <c r="E10" i="6"/>
  <c r="C9" i="6"/>
  <c r="CA10" i="1"/>
  <c r="IU10" i="2"/>
  <c r="J59" i="52"/>
  <c r="I60" i="52"/>
  <c r="J58" i="11"/>
  <c r="I59" i="11"/>
  <c r="E6" i="45"/>
  <c r="C5" i="45"/>
  <c r="J6" i="45"/>
  <c r="K6" i="45" s="1"/>
  <c r="C6" i="106"/>
  <c r="E7" i="106"/>
  <c r="J7" i="106"/>
  <c r="K7" i="106" s="1"/>
  <c r="FA10" i="2"/>
  <c r="E9" i="95"/>
  <c r="C8" i="95"/>
  <c r="J9" i="95"/>
  <c r="K9" i="95" s="1"/>
  <c r="I62" i="77"/>
  <c r="J61" i="77"/>
  <c r="I62" i="29"/>
  <c r="J61" i="29"/>
  <c r="K60" i="29" s="1"/>
  <c r="K61" i="42"/>
  <c r="I60" i="126"/>
  <c r="J59" i="126"/>
  <c r="C8" i="96"/>
  <c r="E9" i="96"/>
  <c r="J9" i="96"/>
  <c r="K9" i="96" s="1"/>
  <c r="I60" i="97"/>
  <c r="J59" i="97"/>
  <c r="I59" i="147"/>
  <c r="J58" i="147"/>
  <c r="K58" i="138"/>
  <c r="E7" i="84"/>
  <c r="C6" i="84"/>
  <c r="J7" i="84"/>
  <c r="K7" i="84" s="1"/>
  <c r="E6" i="160"/>
  <c r="C5" i="160"/>
  <c r="J6" i="160"/>
  <c r="K6" i="160" s="1"/>
  <c r="E8" i="22"/>
  <c r="C7" i="22"/>
  <c r="J8" i="22"/>
  <c r="K8" i="22" s="1"/>
  <c r="E9" i="78"/>
  <c r="C8" i="78"/>
  <c r="J9" i="78"/>
  <c r="K9" i="78" s="1"/>
  <c r="E9" i="134"/>
  <c r="C8" i="134"/>
  <c r="EZ9" i="2"/>
  <c r="J9" i="134"/>
  <c r="K9" i="134" s="1"/>
  <c r="E6" i="102"/>
  <c r="C5" i="102"/>
  <c r="J6" i="102"/>
  <c r="K6" i="102" s="1"/>
  <c r="E5" i="30"/>
  <c r="C4" i="30"/>
  <c r="J5" i="30"/>
  <c r="K5" i="30" s="1"/>
  <c r="K60" i="77"/>
  <c r="I63" i="42"/>
  <c r="J62" i="42"/>
  <c r="E6" i="43"/>
  <c r="C5" i="43"/>
  <c r="J6" i="43"/>
  <c r="K6" i="43" s="1"/>
  <c r="K58" i="57"/>
  <c r="C8" i="97"/>
  <c r="E9" i="97"/>
  <c r="J9" i="97"/>
  <c r="K9" i="97" s="1"/>
  <c r="K58" i="97"/>
  <c r="C7" i="161"/>
  <c r="E8" i="161"/>
  <c r="J8" i="161"/>
  <c r="K8" i="161" s="1"/>
  <c r="J59" i="138"/>
  <c r="I60" i="138"/>
  <c r="K61" i="134"/>
  <c r="C8" i="119"/>
  <c r="E9" i="119"/>
  <c r="J9" i="119"/>
  <c r="K9" i="119" s="1"/>
  <c r="AU11" i="1"/>
  <c r="J61" i="164"/>
  <c r="I62" i="164"/>
  <c r="I60" i="108"/>
  <c r="J59" i="108"/>
  <c r="K57" i="85"/>
  <c r="I64" i="61"/>
  <c r="J63" i="61"/>
  <c r="N11" i="1"/>
  <c r="AU11" i="2"/>
  <c r="C8" i="63"/>
  <c r="E9" i="63"/>
  <c r="J9" i="63"/>
  <c r="K9" i="63" s="1"/>
  <c r="C7" i="66"/>
  <c r="E8" i="66"/>
  <c r="J8" i="66"/>
  <c r="K8" i="66" s="1"/>
  <c r="J59" i="57"/>
  <c r="I60" i="57"/>
  <c r="J58" i="146"/>
  <c r="I59" i="146"/>
  <c r="C9" i="92"/>
  <c r="E10" i="92"/>
  <c r="J10" i="92"/>
  <c r="K10" i="92" s="1"/>
  <c r="E8" i="68"/>
  <c r="C7" i="68"/>
  <c r="J8" i="68"/>
  <c r="K8" i="68" s="1"/>
  <c r="I62" i="132"/>
  <c r="J61" i="132"/>
  <c r="K61" i="61"/>
  <c r="I63" i="32"/>
  <c r="J62" i="32"/>
  <c r="K61" i="32" s="1"/>
  <c r="E8" i="18"/>
  <c r="C7" i="18"/>
  <c r="J8" i="18"/>
  <c r="K8" i="18" s="1"/>
  <c r="Y11" i="2"/>
  <c r="J58" i="91"/>
  <c r="I59" i="91"/>
  <c r="C9" i="50"/>
  <c r="E10" i="50"/>
  <c r="AT10" i="2"/>
  <c r="J10" i="50"/>
  <c r="K10" i="50" s="1"/>
  <c r="FL10" i="2"/>
  <c r="E9" i="114"/>
  <c r="C8" i="114"/>
  <c r="J9" i="114"/>
  <c r="K9" i="114" s="1"/>
  <c r="K59" i="92"/>
  <c r="I60" i="20"/>
  <c r="J59" i="20"/>
  <c r="K60" i="78"/>
  <c r="E9" i="169"/>
  <c r="C8" i="169"/>
  <c r="J9" i="169"/>
  <c r="K9" i="169" s="1"/>
  <c r="E10" i="28"/>
  <c r="C9" i="28"/>
  <c r="J10" i="28"/>
  <c r="K10" i="28" s="1"/>
  <c r="E9" i="15"/>
  <c r="C8" i="15"/>
  <c r="J9" i="15"/>
  <c r="K9" i="15" s="1"/>
  <c r="E9" i="88"/>
  <c r="C8" i="88"/>
  <c r="J9" i="88"/>
  <c r="K9" i="88" s="1"/>
  <c r="E9" i="70"/>
  <c r="C8" i="70"/>
  <c r="J9" i="70"/>
  <c r="K9" i="70" s="1"/>
  <c r="K56" i="140"/>
  <c r="I61" i="92"/>
  <c r="J60" i="92"/>
  <c r="C8" i="33"/>
  <c r="E9" i="33"/>
  <c r="M9" i="2"/>
  <c r="J9" i="33"/>
  <c r="K9" i="33" s="1"/>
  <c r="I60" i="87"/>
  <c r="J59" i="87"/>
  <c r="K58" i="87" s="1"/>
  <c r="I60" i="54"/>
  <c r="J59" i="54"/>
  <c r="E10" i="7"/>
  <c r="C9" i="7"/>
  <c r="AT10" i="1"/>
  <c r="J10" i="7"/>
  <c r="K10" i="7" s="1"/>
  <c r="I61" i="167"/>
  <c r="J60" i="167"/>
  <c r="J58" i="112"/>
  <c r="I59" i="112"/>
  <c r="J59" i="121"/>
  <c r="I60" i="121"/>
  <c r="K60" i="32"/>
  <c r="I60" i="49"/>
  <c r="J59" i="49"/>
  <c r="I61" i="173"/>
  <c r="J60" i="173"/>
  <c r="C5" i="59"/>
  <c r="E6" i="59"/>
  <c r="J6" i="59"/>
  <c r="K6" i="59" s="1"/>
  <c r="E6" i="165"/>
  <c r="C5" i="165"/>
  <c r="J6" i="165"/>
  <c r="K6" i="165" s="1"/>
  <c r="C8" i="79"/>
  <c r="E9" i="79"/>
  <c r="J9" i="79"/>
  <c r="K9" i="79" s="1"/>
  <c r="EP11" i="2"/>
  <c r="I60" i="80"/>
  <c r="J59" i="80"/>
  <c r="K58" i="54"/>
  <c r="I61" i="41"/>
  <c r="J60" i="41"/>
  <c r="K58" i="121"/>
  <c r="C9" i="12"/>
  <c r="X10" i="2"/>
  <c r="E10" i="12"/>
  <c r="M10" i="1"/>
  <c r="J10" i="12"/>
  <c r="K10" i="12" s="1"/>
  <c r="K58" i="114"/>
  <c r="E8" i="4"/>
  <c r="C7" i="4"/>
  <c r="J8" i="4"/>
  <c r="K8" i="4" s="1"/>
  <c r="CB11" i="2"/>
  <c r="I59" i="64"/>
  <c r="J58" i="64"/>
  <c r="C2" i="82"/>
  <c r="J3" i="82"/>
  <c r="K3" i="82" s="1"/>
  <c r="E3" i="82"/>
  <c r="J59" i="123"/>
  <c r="I60" i="123"/>
  <c r="K56" i="64"/>
  <c r="C8" i="153"/>
  <c r="E9" i="153"/>
  <c r="J9" i="153"/>
  <c r="K9" i="153" s="1"/>
  <c r="J60" i="113"/>
  <c r="I61" i="113"/>
  <c r="K57" i="110"/>
  <c r="K59" i="164"/>
  <c r="C6" i="72"/>
  <c r="E7" i="72"/>
  <c r="J7" i="72"/>
  <c r="K7" i="72" s="1"/>
  <c r="E8" i="139"/>
  <c r="C7" i="139"/>
  <c r="J8" i="139"/>
  <c r="K8" i="139" s="1"/>
  <c r="K56" i="17"/>
  <c r="C5" i="34"/>
  <c r="E6" i="34"/>
  <c r="J6" i="34"/>
  <c r="K6" i="34" s="1"/>
  <c r="I61" i="159"/>
  <c r="J60" i="159"/>
  <c r="K59" i="159" s="1"/>
  <c r="I59" i="143"/>
  <c r="J58" i="143"/>
  <c r="C9" i="174"/>
  <c r="E10" i="174"/>
  <c r="J10" i="174"/>
  <c r="K10" i="174" s="1"/>
  <c r="I60" i="114"/>
  <c r="J59" i="114"/>
  <c r="E10" i="152"/>
  <c r="C9" i="152"/>
  <c r="J10" i="152"/>
  <c r="K10" i="152" s="1"/>
  <c r="K59" i="78"/>
  <c r="E9" i="35"/>
  <c r="C8" i="35"/>
  <c r="J9" i="35"/>
  <c r="K9" i="35" s="1"/>
  <c r="J60" i="139"/>
  <c r="I61" i="139"/>
  <c r="K58" i="123"/>
  <c r="DT9" i="2"/>
  <c r="I61" i="99"/>
  <c r="J60" i="99"/>
  <c r="C9" i="55"/>
  <c r="FK9" i="2" s="1"/>
  <c r="E10" i="55"/>
  <c r="J10" i="55"/>
  <c r="K10" i="55" s="1"/>
  <c r="I59" i="110"/>
  <c r="J58" i="110"/>
  <c r="E7" i="159"/>
  <c r="C6" i="159"/>
  <c r="J7" i="159"/>
  <c r="K7" i="159" s="1"/>
  <c r="I59" i="58"/>
  <c r="J58" i="58"/>
  <c r="C7" i="130"/>
  <c r="E8" i="130"/>
  <c r="J8" i="130"/>
  <c r="K8" i="130" s="1"/>
  <c r="K58" i="159"/>
  <c r="I60" i="144"/>
  <c r="J59" i="144"/>
  <c r="K58" i="144" s="1"/>
  <c r="K56" i="166"/>
  <c r="I61" i="37"/>
  <c r="J60" i="37"/>
  <c r="HZ10" i="2"/>
  <c r="E7" i="124"/>
  <c r="C6" i="124"/>
  <c r="J7" i="124"/>
  <c r="K7" i="124" s="1"/>
  <c r="I61" i="118"/>
  <c r="J60" i="118"/>
  <c r="E8" i="81"/>
  <c r="C7" i="81"/>
  <c r="J8" i="81"/>
  <c r="K8" i="81" s="1"/>
  <c r="E9" i="36"/>
  <c r="C8" i="36"/>
  <c r="CW8" i="2" s="1"/>
  <c r="J9" i="36"/>
  <c r="K9" i="36" s="1"/>
  <c r="K59" i="51"/>
  <c r="I59" i="96"/>
  <c r="J58" i="96"/>
  <c r="K59" i="99"/>
  <c r="C9" i="155"/>
  <c r="E10" i="155"/>
  <c r="J10" i="155"/>
  <c r="K10" i="155" s="1"/>
  <c r="K57" i="58"/>
  <c r="E9" i="151"/>
  <c r="C8" i="151"/>
  <c r="J9" i="151"/>
  <c r="K9" i="151" s="1"/>
  <c r="E9" i="101"/>
  <c r="C8" i="101"/>
  <c r="J9" i="101"/>
  <c r="K9" i="101" s="1"/>
  <c r="J60" i="83"/>
  <c r="I61" i="83"/>
  <c r="Y11" i="1"/>
  <c r="C9" i="93"/>
  <c r="E10" i="93"/>
  <c r="J10" i="93"/>
  <c r="K10" i="93" s="1"/>
  <c r="C6" i="123"/>
  <c r="E7" i="123"/>
  <c r="J7" i="123"/>
  <c r="K7" i="123" s="1"/>
  <c r="E5" i="138"/>
  <c r="C4" i="138"/>
  <c r="J5" i="138"/>
  <c r="K5" i="138" s="1"/>
  <c r="J61" i="156"/>
  <c r="I62" i="156"/>
  <c r="I59" i="148"/>
  <c r="J58" i="148"/>
  <c r="I60" i="19"/>
  <c r="J59" i="19"/>
  <c r="C7" i="137"/>
  <c r="E8" i="137"/>
  <c r="J8" i="137"/>
  <c r="K8" i="137" s="1"/>
  <c r="I60" i="33"/>
  <c r="J59" i="33"/>
  <c r="K58" i="33" s="1"/>
  <c r="I60" i="169"/>
  <c r="J59" i="169"/>
  <c r="K59" i="118"/>
  <c r="E10" i="91"/>
  <c r="C9" i="91"/>
  <c r="J10" i="91"/>
  <c r="K10" i="91" s="1"/>
  <c r="C7" i="25"/>
  <c r="E8" i="25"/>
  <c r="J8" i="25"/>
  <c r="K8" i="25" s="1"/>
  <c r="K57" i="52"/>
  <c r="K60" i="172"/>
  <c r="K59" i="83"/>
  <c r="K58" i="21"/>
  <c r="E5" i="146"/>
  <c r="C4" i="146"/>
  <c r="J5" i="146"/>
  <c r="K5" i="146" s="1"/>
  <c r="K60" i="89"/>
  <c r="E7" i="62"/>
  <c r="C6" i="62"/>
  <c r="J7" i="62"/>
  <c r="K7" i="62" s="1"/>
  <c r="I62" i="78"/>
  <c r="J61" i="78"/>
  <c r="K58" i="19"/>
  <c r="E7" i="37"/>
  <c r="C6" i="37"/>
  <c r="J7" i="37"/>
  <c r="K7" i="37" s="1"/>
  <c r="C7" i="129"/>
  <c r="E8" i="129"/>
  <c r="J8" i="129"/>
  <c r="K8" i="129" s="1"/>
  <c r="DS8" i="2"/>
  <c r="J59" i="161"/>
  <c r="K58" i="161" s="1"/>
  <c r="I60" i="161"/>
  <c r="I60" i="116"/>
  <c r="J59" i="116"/>
  <c r="K58" i="116" s="1"/>
  <c r="AI10" i="2"/>
  <c r="K57" i="138"/>
  <c r="I61" i="60"/>
  <c r="J60" i="60"/>
  <c r="K59" i="60" s="1"/>
  <c r="K57" i="80"/>
  <c r="E10" i="172"/>
  <c r="C9" i="172"/>
  <c r="J10" i="172"/>
  <c r="K10" i="172" s="1"/>
  <c r="I62" i="172"/>
  <c r="J61" i="172"/>
  <c r="I64" i="145"/>
  <c r="J63" i="145"/>
  <c r="C9" i="29"/>
  <c r="X9" i="1" s="1"/>
  <c r="E10" i="29"/>
  <c r="J10" i="29"/>
  <c r="K10" i="29" s="1"/>
  <c r="X10" i="1"/>
  <c r="J59" i="21"/>
  <c r="I60" i="21"/>
  <c r="E9" i="162"/>
  <c r="C8" i="162"/>
  <c r="J9" i="162"/>
  <c r="K9" i="162" s="1"/>
  <c r="BQ11" i="2"/>
  <c r="E5" i="166"/>
  <c r="C4" i="166"/>
  <c r="J5" i="166"/>
  <c r="K5" i="166" s="1"/>
  <c r="I64" i="133"/>
  <c r="J63" i="133"/>
  <c r="C6" i="173"/>
  <c r="E7" i="173"/>
  <c r="J7" i="173"/>
  <c r="K7" i="173" s="1"/>
  <c r="E9" i="140"/>
  <c r="C8" i="140"/>
  <c r="AI9" i="2"/>
  <c r="J9" i="140"/>
  <c r="K9" i="140" s="1"/>
  <c r="K62" i="74"/>
  <c r="K58" i="31"/>
  <c r="K58" i="167"/>
  <c r="K62" i="145"/>
  <c r="E8" i="110"/>
  <c r="C7" i="110"/>
  <c r="J8" i="110"/>
  <c r="K8" i="110" s="1"/>
  <c r="J58" i="109"/>
  <c r="I59" i="109"/>
  <c r="C8" i="108"/>
  <c r="E9" i="108"/>
  <c r="J9" i="108"/>
  <c r="K9" i="108" s="1"/>
  <c r="K57" i="144"/>
  <c r="K57" i="106"/>
  <c r="E10" i="52"/>
  <c r="C9" i="52"/>
  <c r="BP10" i="2"/>
  <c r="J10" i="52"/>
  <c r="K10" i="52" s="1"/>
  <c r="C7" i="11"/>
  <c r="E8" i="11"/>
  <c r="J8" i="11"/>
  <c r="K8" i="11" s="1"/>
  <c r="I61" i="158"/>
  <c r="J60" i="158"/>
  <c r="E9" i="71"/>
  <c r="C8" i="71"/>
  <c r="J9" i="71"/>
  <c r="K9" i="71" s="1"/>
  <c r="K62" i="7"/>
  <c r="J63" i="7"/>
  <c r="I64" i="7"/>
  <c r="K57" i="171"/>
  <c r="I61" i="72"/>
  <c r="J60" i="72"/>
  <c r="K59" i="13"/>
  <c r="K58" i="18"/>
  <c r="I60" i="53"/>
  <c r="J59" i="53"/>
  <c r="C2" i="98"/>
  <c r="E3" i="98"/>
  <c r="J3" i="98"/>
  <c r="K3" i="98" s="1"/>
  <c r="J63" i="74"/>
  <c r="I64" i="74"/>
  <c r="E5" i="157"/>
  <c r="C4" i="157"/>
  <c r="J5" i="157"/>
  <c r="K5" i="157" s="1"/>
  <c r="J59" i="31"/>
  <c r="I60" i="31"/>
  <c r="I59" i="141"/>
  <c r="J58" i="141"/>
  <c r="K60" i="152"/>
  <c r="K57" i="109"/>
  <c r="K57" i="50"/>
  <c r="I61" i="129"/>
  <c r="J60" i="129"/>
  <c r="K59" i="129" s="1"/>
  <c r="J58" i="38"/>
  <c r="I59" i="38"/>
  <c r="E10" i="90"/>
  <c r="C9" i="90"/>
  <c r="J10" i="90"/>
  <c r="K10" i="90" s="1"/>
  <c r="K59" i="37"/>
  <c r="K57" i="4"/>
  <c r="K60" i="71"/>
  <c r="E9" i="125"/>
  <c r="C8" i="125"/>
  <c r="J9" i="125"/>
  <c r="K9" i="125" s="1"/>
  <c r="C6" i="73"/>
  <c r="E7" i="73"/>
  <c r="J7" i="73"/>
  <c r="K7" i="73" s="1"/>
  <c r="K57" i="104"/>
  <c r="I62" i="152"/>
  <c r="J61" i="152"/>
  <c r="K58" i="168"/>
  <c r="AJ11" i="1"/>
  <c r="I60" i="170"/>
  <c r="J59" i="170"/>
  <c r="K57" i="47"/>
  <c r="K60" i="156"/>
  <c r="HO10" i="2"/>
  <c r="J60" i="93"/>
  <c r="I61" i="93"/>
  <c r="E9" i="77"/>
  <c r="C8" i="77"/>
  <c r="J9" i="77"/>
  <c r="K9" i="77" s="1"/>
  <c r="I60" i="76"/>
  <c r="J59" i="76"/>
  <c r="E9" i="89"/>
  <c r="C8" i="89"/>
  <c r="J9" i="89"/>
  <c r="K9" i="89" s="1"/>
  <c r="HN9" i="2"/>
  <c r="I62" i="107"/>
  <c r="J61" i="107"/>
  <c r="BF11" i="2"/>
  <c r="J60" i="10"/>
  <c r="I61" i="10"/>
  <c r="I63" i="71"/>
  <c r="J62" i="71"/>
  <c r="K61" i="71" s="1"/>
  <c r="I59" i="34"/>
  <c r="J58" i="34"/>
  <c r="K58" i="149"/>
  <c r="C6" i="141"/>
  <c r="E7" i="141"/>
  <c r="J7" i="141"/>
  <c r="K7" i="141" s="1"/>
  <c r="I60" i="111"/>
  <c r="J59" i="111"/>
  <c r="K58" i="30"/>
  <c r="J59" i="131"/>
  <c r="K58" i="131" s="1"/>
  <c r="I60" i="131"/>
  <c r="E10" i="136"/>
  <c r="C9" i="136"/>
  <c r="J10" i="136"/>
  <c r="K10" i="136" s="1"/>
  <c r="K61" i="145"/>
  <c r="E10" i="53"/>
  <c r="C9" i="53"/>
  <c r="BE9" i="2" s="1"/>
  <c r="J10" i="53"/>
  <c r="K10" i="53" s="1"/>
  <c r="I60" i="168"/>
  <c r="J59" i="168"/>
  <c r="E7" i="171"/>
  <c r="C6" i="171"/>
  <c r="J7" i="171"/>
  <c r="K7" i="171" s="1"/>
  <c r="C7" i="116"/>
  <c r="E8" i="116"/>
  <c r="J8" i="116"/>
  <c r="K8" i="116" s="1"/>
  <c r="I59" i="47"/>
  <c r="J58" i="47"/>
  <c r="J59" i="88"/>
  <c r="I60" i="88"/>
  <c r="C7" i="167"/>
  <c r="E8" i="167"/>
  <c r="J8" i="167"/>
  <c r="K8" i="167" s="1"/>
  <c r="FL11" i="2"/>
  <c r="K59" i="93"/>
  <c r="K56" i="102"/>
  <c r="K59" i="72"/>
  <c r="C8" i="164"/>
  <c r="E9" i="164"/>
  <c r="J9" i="164"/>
  <c r="K9" i="164" s="1"/>
  <c r="E7" i="26"/>
  <c r="C6" i="26"/>
  <c r="J7" i="26"/>
  <c r="K7" i="26" s="1"/>
  <c r="K58" i="139"/>
  <c r="I62" i="136"/>
  <c r="J61" i="136"/>
  <c r="J61" i="117"/>
  <c r="I62" i="117"/>
  <c r="C8" i="145"/>
  <c r="E9" i="145"/>
  <c r="J9" i="145"/>
  <c r="K9" i="145" s="1"/>
  <c r="K61" i="74"/>
  <c r="K58" i="124"/>
  <c r="K59" i="26"/>
  <c r="K56" i="109"/>
  <c r="C9" i="46"/>
  <c r="E10" i="46"/>
  <c r="J10" i="46"/>
  <c r="K10" i="46" s="1"/>
  <c r="K58" i="44"/>
  <c r="K57" i="170"/>
  <c r="K58" i="88"/>
  <c r="E9" i="38"/>
  <c r="C8" i="38"/>
  <c r="J9" i="38"/>
  <c r="K9" i="38" s="1"/>
  <c r="CX10" i="2"/>
  <c r="C7" i="144"/>
  <c r="E8" i="144"/>
  <c r="J8" i="144"/>
  <c r="K8" i="144" s="1"/>
  <c r="CM11" i="2"/>
  <c r="K58" i="76"/>
  <c r="I59" i="171"/>
  <c r="J58" i="171"/>
  <c r="C6" i="127"/>
  <c r="E7" i="127"/>
  <c r="J7" i="127"/>
  <c r="K7" i="127" s="1"/>
  <c r="I61" i="68"/>
  <c r="J60" i="68"/>
  <c r="K59" i="68" s="1"/>
  <c r="K58" i="93"/>
  <c r="J58" i="35"/>
  <c r="K57" i="35" s="1"/>
  <c r="I59" i="35"/>
  <c r="E7" i="51"/>
  <c r="C6" i="51"/>
  <c r="J7" i="51"/>
  <c r="K7" i="51" s="1"/>
  <c r="E7" i="47"/>
  <c r="C6" i="47"/>
  <c r="J7" i="47"/>
  <c r="K7" i="47" s="1"/>
  <c r="K60" i="136"/>
  <c r="E8" i="54"/>
  <c r="C7" i="54"/>
  <c r="J8" i="54"/>
  <c r="K8" i="54" s="1"/>
  <c r="J59" i="153"/>
  <c r="I60" i="153"/>
  <c r="BF10" i="2"/>
  <c r="E9" i="117"/>
  <c r="C8" i="117"/>
  <c r="J9" i="117"/>
  <c r="K9" i="117" s="1"/>
  <c r="I62" i="51"/>
  <c r="J61" i="51"/>
  <c r="I60" i="155"/>
  <c r="J59" i="155"/>
  <c r="K58" i="155" s="1"/>
  <c r="K60" i="117"/>
  <c r="E7" i="86"/>
  <c r="C6" i="86"/>
  <c r="J7" i="86"/>
  <c r="K7" i="86" s="1"/>
  <c r="C9" i="107"/>
  <c r="E10" i="107"/>
  <c r="J10" i="107"/>
  <c r="K10" i="107" s="1"/>
  <c r="K57" i="174"/>
  <c r="I60" i="103"/>
  <c r="J59" i="103"/>
  <c r="I59" i="17"/>
  <c r="J58" i="17"/>
  <c r="K57" i="17" s="1"/>
  <c r="I62" i="26"/>
  <c r="J61" i="26"/>
  <c r="K60" i="26" s="1"/>
  <c r="K60" i="122"/>
  <c r="K59" i="122"/>
  <c r="K57" i="114"/>
  <c r="BF9" i="2" l="1"/>
  <c r="Y9" i="1"/>
  <c r="CX8" i="2"/>
  <c r="FL9" i="2"/>
  <c r="E6" i="47"/>
  <c r="C5" i="47"/>
  <c r="J6" i="47"/>
  <c r="K6" i="47" s="1"/>
  <c r="I60" i="171"/>
  <c r="J59" i="171"/>
  <c r="E8" i="71"/>
  <c r="C7" i="71"/>
  <c r="J8" i="71"/>
  <c r="K8" i="71" s="1"/>
  <c r="E8" i="101"/>
  <c r="C7" i="101"/>
  <c r="J8" i="101"/>
  <c r="K8" i="101" s="1"/>
  <c r="I61" i="114"/>
  <c r="J60" i="114"/>
  <c r="C4" i="165"/>
  <c r="E5" i="165"/>
  <c r="J5" i="165"/>
  <c r="K5" i="165" s="1"/>
  <c r="K60" i="92"/>
  <c r="I60" i="11"/>
  <c r="J59" i="11"/>
  <c r="I61" i="85"/>
  <c r="J60" i="85"/>
  <c r="C7" i="147"/>
  <c r="E8" i="147"/>
  <c r="J8" i="147"/>
  <c r="K8" i="147" s="1"/>
  <c r="C8" i="14"/>
  <c r="E9" i="14"/>
  <c r="J9" i="14"/>
  <c r="K9" i="14" s="1"/>
  <c r="GR9" i="2"/>
  <c r="E5" i="105"/>
  <c r="C4" i="105"/>
  <c r="J5" i="105"/>
  <c r="K5" i="105" s="1"/>
  <c r="E8" i="80"/>
  <c r="C7" i="80"/>
  <c r="J8" i="80"/>
  <c r="K8" i="80" s="1"/>
  <c r="J62" i="62"/>
  <c r="I63" i="62"/>
  <c r="I63" i="122"/>
  <c r="J62" i="122"/>
  <c r="K61" i="122" s="1"/>
  <c r="E7" i="167"/>
  <c r="C6" i="167"/>
  <c r="J7" i="167"/>
  <c r="K7" i="167" s="1"/>
  <c r="J60" i="155"/>
  <c r="I61" i="155"/>
  <c r="J61" i="93"/>
  <c r="I62" i="93"/>
  <c r="K60" i="93"/>
  <c r="I60" i="38"/>
  <c r="J59" i="38"/>
  <c r="AJ10" i="2"/>
  <c r="C8" i="91"/>
  <c r="E9" i="91"/>
  <c r="J9" i="91"/>
  <c r="K9" i="91" s="1"/>
  <c r="E2" i="82"/>
  <c r="F67" i="82"/>
  <c r="J2" i="82"/>
  <c r="K2" i="82" s="1"/>
  <c r="I62" i="92"/>
  <c r="J61" i="92"/>
  <c r="E9" i="50"/>
  <c r="C8" i="50"/>
  <c r="AT9" i="2"/>
  <c r="J9" i="50"/>
  <c r="K9" i="50" s="1"/>
  <c r="E8" i="97"/>
  <c r="C7" i="97"/>
  <c r="J8" i="97"/>
  <c r="K8" i="97" s="1"/>
  <c r="C5" i="84"/>
  <c r="E6" i="84"/>
  <c r="J6" i="84"/>
  <c r="K6" i="84" s="1"/>
  <c r="K58" i="11"/>
  <c r="K60" i="28"/>
  <c r="I60" i="69"/>
  <c r="J59" i="69"/>
  <c r="K58" i="69" s="1"/>
  <c r="K59" i="5"/>
  <c r="E9" i="56"/>
  <c r="C8" i="56"/>
  <c r="J9" i="56"/>
  <c r="K9" i="56" s="1"/>
  <c r="I61" i="106"/>
  <c r="J60" i="106"/>
  <c r="E8" i="13"/>
  <c r="C7" i="13"/>
  <c r="J8" i="13"/>
  <c r="K8" i="13" s="1"/>
  <c r="IU8" i="2"/>
  <c r="I60" i="91"/>
  <c r="J59" i="91"/>
  <c r="E8" i="63"/>
  <c r="C7" i="63"/>
  <c r="J8" i="63"/>
  <c r="K8" i="63" s="1"/>
  <c r="I61" i="52"/>
  <c r="J60" i="52"/>
  <c r="J61" i="28"/>
  <c r="I62" i="28"/>
  <c r="J64" i="134"/>
  <c r="K63" i="134" s="1"/>
  <c r="I65" i="134"/>
  <c r="I61" i="5"/>
  <c r="J60" i="5"/>
  <c r="C5" i="115"/>
  <c r="E6" i="115"/>
  <c r="J6" i="115"/>
  <c r="K6" i="115" s="1"/>
  <c r="K59" i="106"/>
  <c r="E4" i="156"/>
  <c r="C3" i="156"/>
  <c r="J4" i="156"/>
  <c r="K4" i="156" s="1"/>
  <c r="J61" i="158"/>
  <c r="I62" i="158"/>
  <c r="K58" i="91"/>
  <c r="K59" i="52"/>
  <c r="K60" i="115"/>
  <c r="I63" i="13"/>
  <c r="J62" i="13"/>
  <c r="K58" i="55"/>
  <c r="K63" i="15"/>
  <c r="C6" i="57"/>
  <c r="E7" i="57"/>
  <c r="J7" i="57"/>
  <c r="K7" i="57" s="1"/>
  <c r="I61" i="116"/>
  <c r="J60" i="116"/>
  <c r="C7" i="151"/>
  <c r="E8" i="151"/>
  <c r="J8" i="151"/>
  <c r="K8" i="151" s="1"/>
  <c r="I60" i="64"/>
  <c r="J59" i="64"/>
  <c r="C7" i="117"/>
  <c r="E8" i="117"/>
  <c r="J8" i="117"/>
  <c r="K8" i="117" s="1"/>
  <c r="I61" i="131"/>
  <c r="J60" i="131"/>
  <c r="J61" i="129"/>
  <c r="I62" i="129"/>
  <c r="J60" i="161"/>
  <c r="K59" i="161" s="1"/>
  <c r="I61" i="161"/>
  <c r="C6" i="130"/>
  <c r="E7" i="130"/>
  <c r="J7" i="130"/>
  <c r="K7" i="130" s="1"/>
  <c r="E9" i="174"/>
  <c r="C8" i="174"/>
  <c r="J9" i="174"/>
  <c r="K9" i="174" s="1"/>
  <c r="E5" i="59"/>
  <c r="C4" i="59"/>
  <c r="J5" i="59"/>
  <c r="K5" i="59" s="1"/>
  <c r="C7" i="70"/>
  <c r="E8" i="70"/>
  <c r="J8" i="70"/>
  <c r="K8" i="70" s="1"/>
  <c r="E5" i="43"/>
  <c r="C4" i="43"/>
  <c r="J5" i="43"/>
  <c r="K5" i="43" s="1"/>
  <c r="IV10" i="2"/>
  <c r="I62" i="115"/>
  <c r="J61" i="115"/>
  <c r="IK9" i="2"/>
  <c r="K61" i="13"/>
  <c r="K60" i="63"/>
  <c r="J59" i="140"/>
  <c r="K58" i="140" s="1"/>
  <c r="I60" i="140"/>
  <c r="J59" i="55"/>
  <c r="I60" i="55"/>
  <c r="E6" i="40"/>
  <c r="C5" i="40"/>
  <c r="J6" i="40"/>
  <c r="K6" i="40" s="1"/>
  <c r="K59" i="67"/>
  <c r="J64" i="15"/>
  <c r="I65" i="15"/>
  <c r="C5" i="173"/>
  <c r="E6" i="173"/>
  <c r="J6" i="173"/>
  <c r="K6" i="173" s="1"/>
  <c r="I61" i="169"/>
  <c r="J60" i="169"/>
  <c r="K60" i="173"/>
  <c r="K57" i="91"/>
  <c r="I60" i="147"/>
  <c r="J59" i="147"/>
  <c r="CB10" i="1"/>
  <c r="I62" i="63"/>
  <c r="J61" i="63"/>
  <c r="K58" i="163"/>
  <c r="E8" i="21"/>
  <c r="C7" i="21"/>
  <c r="J8" i="21"/>
  <c r="K8" i="21" s="1"/>
  <c r="J60" i="67"/>
  <c r="I61" i="67"/>
  <c r="I62" i="30"/>
  <c r="J61" i="30"/>
  <c r="K60" i="30" s="1"/>
  <c r="K58" i="106"/>
  <c r="E9" i="3"/>
  <c r="C8" i="3"/>
  <c r="J9" i="3"/>
  <c r="K9" i="3" s="1"/>
  <c r="E7" i="11"/>
  <c r="C6" i="11"/>
  <c r="J7" i="11"/>
  <c r="K7" i="11" s="1"/>
  <c r="DT8" i="2"/>
  <c r="J59" i="58"/>
  <c r="K58" i="58" s="1"/>
  <c r="I60" i="58"/>
  <c r="I60" i="143"/>
  <c r="J59" i="143"/>
  <c r="J61" i="173"/>
  <c r="I62" i="173"/>
  <c r="E9" i="6"/>
  <c r="C8" i="6"/>
  <c r="CA9" i="1"/>
  <c r="E8" i="154"/>
  <c r="C7" i="154"/>
  <c r="J8" i="154"/>
  <c r="K8" i="154" s="1"/>
  <c r="K61" i="127"/>
  <c r="J59" i="163"/>
  <c r="I60" i="163"/>
  <c r="I63" i="9"/>
  <c r="J62" i="9"/>
  <c r="K61" i="9" s="1"/>
  <c r="C7" i="48"/>
  <c r="E8" i="48"/>
  <c r="J8" i="48"/>
  <c r="K8" i="48" s="1"/>
  <c r="E7" i="16"/>
  <c r="C6" i="16"/>
  <c r="J7" i="16"/>
  <c r="K7" i="16" s="1"/>
  <c r="C6" i="17"/>
  <c r="E7" i="17"/>
  <c r="J7" i="17"/>
  <c r="K7" i="17" s="1"/>
  <c r="J64" i="133"/>
  <c r="I65" i="133"/>
  <c r="J60" i="33"/>
  <c r="I61" i="33"/>
  <c r="C6" i="4"/>
  <c r="E7" i="4"/>
  <c r="J7" i="4"/>
  <c r="K7" i="4" s="1"/>
  <c r="K59" i="49"/>
  <c r="J63" i="42"/>
  <c r="I64" i="42"/>
  <c r="I61" i="97"/>
  <c r="J60" i="97"/>
  <c r="K59" i="86"/>
  <c r="C8" i="100"/>
  <c r="E9" i="100"/>
  <c r="J9" i="100"/>
  <c r="K9" i="100" s="1"/>
  <c r="J62" i="127"/>
  <c r="I63" i="127"/>
  <c r="E8" i="132"/>
  <c r="C7" i="132"/>
  <c r="J8" i="132"/>
  <c r="K8" i="132" s="1"/>
  <c r="C7" i="23"/>
  <c r="E8" i="23"/>
  <c r="J8" i="23"/>
  <c r="K8" i="23" s="1"/>
  <c r="FW10" i="2"/>
  <c r="K58" i="141"/>
  <c r="BQ10" i="2"/>
  <c r="E9" i="155"/>
  <c r="C8" i="155"/>
  <c r="J9" i="155"/>
  <c r="K9" i="155" s="1"/>
  <c r="I61" i="49"/>
  <c r="J60" i="49"/>
  <c r="E8" i="88"/>
  <c r="C7" i="88"/>
  <c r="J8" i="88"/>
  <c r="K8" i="88" s="1"/>
  <c r="C6" i="18"/>
  <c r="E7" i="18"/>
  <c r="J7" i="18"/>
  <c r="K7" i="18" s="1"/>
  <c r="I61" i="86"/>
  <c r="J60" i="86"/>
  <c r="E7" i="128"/>
  <c r="C6" i="128"/>
  <c r="J7" i="128"/>
  <c r="K7" i="128" s="1"/>
  <c r="J61" i="44"/>
  <c r="K60" i="44" s="1"/>
  <c r="I62" i="44"/>
  <c r="I60" i="120"/>
  <c r="J59" i="120"/>
  <c r="K58" i="120" s="1"/>
  <c r="J59" i="166"/>
  <c r="K58" i="166" s="1"/>
  <c r="I60" i="166"/>
  <c r="C5" i="26"/>
  <c r="E6" i="26"/>
  <c r="J6" i="26"/>
  <c r="K6" i="26" s="1"/>
  <c r="K60" i="158"/>
  <c r="I62" i="159"/>
  <c r="J61" i="159"/>
  <c r="K60" i="159" s="1"/>
  <c r="I61" i="170"/>
  <c r="J60" i="170"/>
  <c r="E9" i="52"/>
  <c r="C8" i="52"/>
  <c r="BP9" i="2"/>
  <c r="J9" i="52"/>
  <c r="K9" i="52" s="1"/>
  <c r="E4" i="166"/>
  <c r="C3" i="166"/>
  <c r="J4" i="166"/>
  <c r="K4" i="166" s="1"/>
  <c r="E7" i="129"/>
  <c r="C6" i="129"/>
  <c r="J7" i="129"/>
  <c r="K7" i="129" s="1"/>
  <c r="DS7" i="2"/>
  <c r="K59" i="70"/>
  <c r="I60" i="100"/>
  <c r="J59" i="100"/>
  <c r="IK10" i="2"/>
  <c r="J60" i="73"/>
  <c r="I61" i="73"/>
  <c r="C8" i="42"/>
  <c r="E9" i="42"/>
  <c r="J9" i="42"/>
  <c r="K9" i="42" s="1"/>
  <c r="FV9" i="2"/>
  <c r="J60" i="31"/>
  <c r="I61" i="31"/>
  <c r="E7" i="137"/>
  <c r="C6" i="137"/>
  <c r="J7" i="137"/>
  <c r="K7" i="137" s="1"/>
  <c r="K58" i="96"/>
  <c r="I61" i="121"/>
  <c r="J60" i="121"/>
  <c r="K62" i="32"/>
  <c r="I65" i="61"/>
  <c r="J64" i="61"/>
  <c r="E4" i="30"/>
  <c r="C3" i="30"/>
  <c r="J4" i="30"/>
  <c r="K4" i="30" s="1"/>
  <c r="C7" i="96"/>
  <c r="E8" i="96"/>
  <c r="J8" i="96"/>
  <c r="K8" i="96" s="1"/>
  <c r="J60" i="70"/>
  <c r="I61" i="70"/>
  <c r="K58" i="100"/>
  <c r="K60" i="18"/>
  <c r="C6" i="126"/>
  <c r="E7" i="126"/>
  <c r="J7" i="126"/>
  <c r="K7" i="126" s="1"/>
  <c r="I60" i="160"/>
  <c r="J59" i="160"/>
  <c r="J60" i="137"/>
  <c r="K59" i="137" s="1"/>
  <c r="I61" i="137"/>
  <c r="K57" i="38"/>
  <c r="I60" i="141"/>
  <c r="J59" i="141"/>
  <c r="C5" i="159"/>
  <c r="E6" i="159"/>
  <c r="J6" i="159"/>
  <c r="K6" i="159" s="1"/>
  <c r="E8" i="38"/>
  <c r="C7" i="38"/>
  <c r="J8" i="38"/>
  <c r="K8" i="38" s="1"/>
  <c r="C6" i="54"/>
  <c r="E7" i="54"/>
  <c r="J7" i="54"/>
  <c r="K7" i="54" s="1"/>
  <c r="E6" i="141"/>
  <c r="C5" i="141"/>
  <c r="J6" i="141"/>
  <c r="K6" i="141" s="1"/>
  <c r="K59" i="31"/>
  <c r="C5" i="37"/>
  <c r="E6" i="37"/>
  <c r="J6" i="37"/>
  <c r="K6" i="37" s="1"/>
  <c r="K59" i="19"/>
  <c r="I60" i="96"/>
  <c r="J59" i="96"/>
  <c r="C4" i="34"/>
  <c r="E5" i="34"/>
  <c r="J5" i="34"/>
  <c r="K5" i="34" s="1"/>
  <c r="K58" i="49"/>
  <c r="K59" i="121"/>
  <c r="C7" i="15"/>
  <c r="E8" i="15"/>
  <c r="J8" i="15"/>
  <c r="K8" i="15" s="1"/>
  <c r="J63" i="32"/>
  <c r="I64" i="32"/>
  <c r="C6" i="113"/>
  <c r="E7" i="113"/>
  <c r="J7" i="113"/>
  <c r="K7" i="113" s="1"/>
  <c r="C6" i="112"/>
  <c r="E7" i="112"/>
  <c r="J7" i="112"/>
  <c r="K7" i="112" s="1"/>
  <c r="E5" i="111"/>
  <c r="C4" i="111"/>
  <c r="J5" i="111"/>
  <c r="K5" i="111" s="1"/>
  <c r="C5" i="120"/>
  <c r="E6" i="120"/>
  <c r="J6" i="120"/>
  <c r="K6" i="120" s="1"/>
  <c r="E8" i="76"/>
  <c r="C7" i="76"/>
  <c r="J8" i="76"/>
  <c r="K8" i="76" s="1"/>
  <c r="J61" i="18"/>
  <c r="I62" i="18"/>
  <c r="J64" i="75"/>
  <c r="I65" i="75"/>
  <c r="I61" i="119"/>
  <c r="J60" i="119"/>
  <c r="K59" i="119" s="1"/>
  <c r="K58" i="174"/>
  <c r="I63" i="51"/>
  <c r="J62" i="51"/>
  <c r="K61" i="51" s="1"/>
  <c r="I61" i="19"/>
  <c r="J60" i="19"/>
  <c r="I60" i="110"/>
  <c r="J59" i="110"/>
  <c r="J59" i="112"/>
  <c r="I60" i="112"/>
  <c r="I61" i="126"/>
  <c r="J60" i="126"/>
  <c r="J59" i="43"/>
  <c r="I60" i="43"/>
  <c r="C6" i="118"/>
  <c r="E7" i="118"/>
  <c r="J7" i="118"/>
  <c r="K7" i="118" s="1"/>
  <c r="C6" i="150"/>
  <c r="E7" i="150"/>
  <c r="J7" i="150"/>
  <c r="K7" i="150" s="1"/>
  <c r="J60" i="104"/>
  <c r="K59" i="104" s="1"/>
  <c r="I61" i="104"/>
  <c r="I63" i="142"/>
  <c r="J62" i="142"/>
  <c r="I61" i="50"/>
  <c r="J60" i="50"/>
  <c r="J59" i="174"/>
  <c r="I60" i="174"/>
  <c r="E4" i="157"/>
  <c r="C3" i="157"/>
  <c r="J4" i="157"/>
  <c r="K4" i="157" s="1"/>
  <c r="N10" i="1"/>
  <c r="K62" i="61"/>
  <c r="I61" i="108"/>
  <c r="J60" i="108"/>
  <c r="K59" i="108" s="1"/>
  <c r="K58" i="86"/>
  <c r="K62" i="79"/>
  <c r="E7" i="75"/>
  <c r="C6" i="75"/>
  <c r="J7" i="75"/>
  <c r="K7" i="75" s="1"/>
  <c r="K57" i="55"/>
  <c r="K61" i="128"/>
  <c r="E6" i="168"/>
  <c r="C5" i="168"/>
  <c r="J6" i="168"/>
  <c r="K6" i="168" s="1"/>
  <c r="K59" i="50"/>
  <c r="I61" i="56"/>
  <c r="J60" i="56"/>
  <c r="I60" i="34"/>
  <c r="J59" i="34"/>
  <c r="I63" i="152"/>
  <c r="J62" i="152"/>
  <c r="E8" i="162"/>
  <c r="C7" i="162"/>
  <c r="J8" i="162"/>
  <c r="K8" i="162" s="1"/>
  <c r="K61" i="78"/>
  <c r="I60" i="148"/>
  <c r="J59" i="148"/>
  <c r="E8" i="36"/>
  <c r="C7" i="36"/>
  <c r="J8" i="36"/>
  <c r="K8" i="36" s="1"/>
  <c r="E7" i="139"/>
  <c r="C6" i="139"/>
  <c r="J7" i="139"/>
  <c r="K7" i="139" s="1"/>
  <c r="C8" i="28"/>
  <c r="E9" i="28"/>
  <c r="J9" i="28"/>
  <c r="K9" i="28" s="1"/>
  <c r="K57" i="112"/>
  <c r="I63" i="164"/>
  <c r="J62" i="164"/>
  <c r="E5" i="102"/>
  <c r="C4" i="102"/>
  <c r="J5" i="102"/>
  <c r="K5" i="102" s="1"/>
  <c r="J60" i="154"/>
  <c r="I61" i="154"/>
  <c r="D48" i="2"/>
  <c r="CY48" i="2"/>
  <c r="DU48" i="2"/>
  <c r="EQ48" i="2"/>
  <c r="IL48" i="2"/>
  <c r="FB48" i="2"/>
  <c r="HP48" i="2"/>
  <c r="DJ48" i="2"/>
  <c r="GT48" i="2"/>
  <c r="O48" i="2"/>
  <c r="FM48" i="2"/>
  <c r="AK48" i="2"/>
  <c r="IW48" i="2"/>
  <c r="EF48" i="2"/>
  <c r="AV48" i="2"/>
  <c r="BG48" i="2"/>
  <c r="CN48" i="2"/>
  <c r="FX48" i="2"/>
  <c r="HE48" i="2"/>
  <c r="CC48" i="2"/>
  <c r="IA48" i="2"/>
  <c r="Z48" i="2"/>
  <c r="BR48" i="2"/>
  <c r="I64" i="79"/>
  <c r="J63" i="79"/>
  <c r="I60" i="40"/>
  <c r="J59" i="40"/>
  <c r="I63" i="128"/>
  <c r="J62" i="128"/>
  <c r="K59" i="30"/>
  <c r="K60" i="142"/>
  <c r="K59" i="56"/>
  <c r="J62" i="78"/>
  <c r="I63" i="78"/>
  <c r="I63" i="156"/>
  <c r="J62" i="156"/>
  <c r="K61" i="156" s="1"/>
  <c r="E9" i="55"/>
  <c r="C8" i="55"/>
  <c r="J9" i="55"/>
  <c r="K9" i="55" s="1"/>
  <c r="Y10" i="2"/>
  <c r="I62" i="167"/>
  <c r="J61" i="167"/>
  <c r="K60" i="167" s="1"/>
  <c r="K61" i="164"/>
  <c r="K59" i="154"/>
  <c r="D48" i="1"/>
  <c r="Z48" i="1"/>
  <c r="AV48" i="1"/>
  <c r="AK48" i="1"/>
  <c r="O48" i="1"/>
  <c r="CC48" i="1"/>
  <c r="BR48" i="1"/>
  <c r="E7" i="99"/>
  <c r="C6" i="99"/>
  <c r="J7" i="99"/>
  <c r="K7" i="99" s="1"/>
  <c r="E9" i="158"/>
  <c r="C8" i="158"/>
  <c r="J9" i="158"/>
  <c r="K9" i="158" s="1"/>
  <c r="E5" i="131"/>
  <c r="C4" i="131"/>
  <c r="J5" i="131"/>
  <c r="K5" i="131" s="1"/>
  <c r="I64" i="22"/>
  <c r="J63" i="22"/>
  <c r="J60" i="88"/>
  <c r="I61" i="88"/>
  <c r="J63" i="71"/>
  <c r="I64" i="71"/>
  <c r="C7" i="108"/>
  <c r="E8" i="108"/>
  <c r="J8" i="108"/>
  <c r="K8" i="108" s="1"/>
  <c r="I61" i="21"/>
  <c r="J60" i="21"/>
  <c r="K59" i="21" s="1"/>
  <c r="C8" i="12"/>
  <c r="E9" i="12"/>
  <c r="X9" i="2"/>
  <c r="M9" i="1"/>
  <c r="J9" i="12"/>
  <c r="K9" i="12" s="1"/>
  <c r="K60" i="132"/>
  <c r="I63" i="132"/>
  <c r="J62" i="132"/>
  <c r="I63" i="29"/>
  <c r="J62" i="29"/>
  <c r="K62" i="94"/>
  <c r="BG48" i="1"/>
  <c r="BF48" i="1"/>
  <c r="C6" i="5"/>
  <c r="E7" i="5"/>
  <c r="J7" i="5"/>
  <c r="K7" i="5" s="1"/>
  <c r="J59" i="90"/>
  <c r="I60" i="90"/>
  <c r="J63" i="27"/>
  <c r="I64" i="27"/>
  <c r="J62" i="98"/>
  <c r="I63" i="98"/>
  <c r="K62" i="75"/>
  <c r="C7" i="20"/>
  <c r="E8" i="20"/>
  <c r="J8" i="20"/>
  <c r="K8" i="20" s="1"/>
  <c r="K60" i="51"/>
  <c r="K59" i="131"/>
  <c r="E6" i="62"/>
  <c r="C5" i="62"/>
  <c r="J6" i="62"/>
  <c r="K6" i="62" s="1"/>
  <c r="C6" i="81"/>
  <c r="E7" i="81"/>
  <c r="J7" i="81"/>
  <c r="K7" i="81" s="1"/>
  <c r="I62" i="99"/>
  <c r="J61" i="99"/>
  <c r="K57" i="143"/>
  <c r="HY9" i="2"/>
  <c r="FA9" i="2"/>
  <c r="K59" i="158"/>
  <c r="I64" i="94"/>
  <c r="J63" i="94"/>
  <c r="GI48" i="2"/>
  <c r="GH48" i="2"/>
  <c r="E6" i="61"/>
  <c r="C5" i="61"/>
  <c r="J6" i="61"/>
  <c r="K6" i="61" s="1"/>
  <c r="K59" i="115"/>
  <c r="J59" i="65"/>
  <c r="I60" i="65"/>
  <c r="K58" i="90"/>
  <c r="C5" i="85"/>
  <c r="E6" i="85"/>
  <c r="J6" i="85"/>
  <c r="K6" i="85" s="1"/>
  <c r="K61" i="94"/>
  <c r="K60" i="128"/>
  <c r="E9" i="143"/>
  <c r="C8" i="143"/>
  <c r="J9" i="143"/>
  <c r="K9" i="143" s="1"/>
  <c r="Y10" i="1"/>
  <c r="E6" i="72"/>
  <c r="C5" i="72"/>
  <c r="J6" i="72"/>
  <c r="K6" i="72" s="1"/>
  <c r="AU10" i="1"/>
  <c r="E8" i="169"/>
  <c r="C7" i="169"/>
  <c r="HY8" i="2"/>
  <c r="J8" i="169"/>
  <c r="K8" i="169" s="1"/>
  <c r="C7" i="134"/>
  <c r="E8" i="134"/>
  <c r="EZ8" i="2"/>
  <c r="J8" i="134"/>
  <c r="K8" i="134" s="1"/>
  <c r="K61" i="77"/>
  <c r="E47" i="24"/>
  <c r="C46" i="24"/>
  <c r="GG47" i="2"/>
  <c r="BE47" i="1"/>
  <c r="C47" i="1"/>
  <c r="C47" i="2"/>
  <c r="J47" i="24"/>
  <c r="K47" i="24" s="1"/>
  <c r="I62" i="66"/>
  <c r="J61" i="66"/>
  <c r="K60" i="66" s="1"/>
  <c r="I60" i="125"/>
  <c r="J59" i="125"/>
  <c r="K57" i="120"/>
  <c r="K58" i="8"/>
  <c r="K59" i="170"/>
  <c r="I60" i="109"/>
  <c r="J59" i="109"/>
  <c r="J62" i="26"/>
  <c r="I63" i="26"/>
  <c r="E6" i="51"/>
  <c r="C5" i="51"/>
  <c r="J6" i="51"/>
  <c r="K6" i="51" s="1"/>
  <c r="I60" i="47"/>
  <c r="J59" i="47"/>
  <c r="K58" i="47" s="1"/>
  <c r="E2" i="98"/>
  <c r="F67" i="98"/>
  <c r="J2" i="98"/>
  <c r="K2" i="98" s="1"/>
  <c r="E4" i="138"/>
  <c r="C3" i="138"/>
  <c r="J4" i="138"/>
  <c r="K4" i="138" s="1"/>
  <c r="K59" i="167"/>
  <c r="E9" i="7"/>
  <c r="C8" i="7"/>
  <c r="AT9" i="1"/>
  <c r="J9" i="7"/>
  <c r="K9" i="7" s="1"/>
  <c r="C6" i="68"/>
  <c r="E7" i="68"/>
  <c r="J7" i="68"/>
  <c r="K7" i="68" s="1"/>
  <c r="J62" i="77"/>
  <c r="I63" i="77"/>
  <c r="C3" i="87"/>
  <c r="E4" i="87"/>
  <c r="J4" i="87"/>
  <c r="K4" i="87" s="1"/>
  <c r="C6" i="103"/>
  <c r="E7" i="103"/>
  <c r="J7" i="103"/>
  <c r="K7" i="103" s="1"/>
  <c r="K58" i="125"/>
  <c r="C7" i="10"/>
  <c r="E8" i="10"/>
  <c r="J8" i="10"/>
  <c r="K8" i="10" s="1"/>
  <c r="K58" i="130"/>
  <c r="J60" i="162"/>
  <c r="I61" i="162"/>
  <c r="I60" i="8"/>
  <c r="J59" i="8"/>
  <c r="E9" i="49"/>
  <c r="C8" i="49"/>
  <c r="J9" i="49"/>
  <c r="K9" i="49" s="1"/>
  <c r="I60" i="36"/>
  <c r="J59" i="36"/>
  <c r="K58" i="36" s="1"/>
  <c r="E8" i="41"/>
  <c r="C7" i="41"/>
  <c r="J8" i="41"/>
  <c r="K8" i="41" s="1"/>
  <c r="I65" i="74"/>
  <c r="J64" i="74"/>
  <c r="J59" i="17"/>
  <c r="K58" i="17" s="1"/>
  <c r="I60" i="17"/>
  <c r="K58" i="170"/>
  <c r="E6" i="73"/>
  <c r="C5" i="73"/>
  <c r="J6" i="73"/>
  <c r="K6" i="73" s="1"/>
  <c r="C6" i="110"/>
  <c r="E7" i="110"/>
  <c r="J7" i="110"/>
  <c r="K7" i="110" s="1"/>
  <c r="I62" i="118"/>
  <c r="J61" i="118"/>
  <c r="K60" i="41"/>
  <c r="E8" i="119"/>
  <c r="C7" i="119"/>
  <c r="J8" i="119"/>
  <c r="K8" i="119" s="1"/>
  <c r="K61" i="135"/>
  <c r="E7" i="104"/>
  <c r="C6" i="104"/>
  <c r="J7" i="104"/>
  <c r="K7" i="104" s="1"/>
  <c r="E6" i="163"/>
  <c r="C5" i="163"/>
  <c r="J6" i="163"/>
  <c r="K6" i="163" s="1"/>
  <c r="DI9" i="2"/>
  <c r="I64" i="59"/>
  <c r="J63" i="59"/>
  <c r="J59" i="130"/>
  <c r="I60" i="130"/>
  <c r="I64" i="82"/>
  <c r="J63" i="82"/>
  <c r="I64" i="14"/>
  <c r="J63" i="14"/>
  <c r="E8" i="164"/>
  <c r="C7" i="164"/>
  <c r="J8" i="164"/>
  <c r="K8" i="164" s="1"/>
  <c r="J60" i="53"/>
  <c r="I61" i="53"/>
  <c r="E9" i="29"/>
  <c r="C8" i="29"/>
  <c r="J9" i="29"/>
  <c r="K9" i="29" s="1"/>
  <c r="C3" i="146"/>
  <c r="E4" i="146"/>
  <c r="J4" i="146"/>
  <c r="K4" i="146" s="1"/>
  <c r="I62" i="139"/>
  <c r="J61" i="139"/>
  <c r="I62" i="113"/>
  <c r="J61" i="113"/>
  <c r="J61" i="41"/>
  <c r="I62" i="41"/>
  <c r="K59" i="41"/>
  <c r="K59" i="20"/>
  <c r="E8" i="78"/>
  <c r="C7" i="78"/>
  <c r="J8" i="78"/>
  <c r="K8" i="78" s="1"/>
  <c r="E8" i="95"/>
  <c r="C7" i="95"/>
  <c r="J8" i="95"/>
  <c r="K8" i="95" s="1"/>
  <c r="K59" i="3"/>
  <c r="J62" i="135"/>
  <c r="I63" i="135"/>
  <c r="K59" i="39"/>
  <c r="I62" i="124"/>
  <c r="J61" i="124"/>
  <c r="K62" i="59"/>
  <c r="I60" i="81"/>
  <c r="J59" i="81"/>
  <c r="K62" i="14"/>
  <c r="J60" i="4"/>
  <c r="I61" i="4"/>
  <c r="I61" i="111"/>
  <c r="J60" i="111"/>
  <c r="C5" i="124"/>
  <c r="E6" i="124"/>
  <c r="J6" i="124"/>
  <c r="K6" i="124" s="1"/>
  <c r="J60" i="20"/>
  <c r="I61" i="20"/>
  <c r="I61" i="138"/>
  <c r="J60" i="138"/>
  <c r="J60" i="3"/>
  <c r="I61" i="3"/>
  <c r="I62" i="165"/>
  <c r="J61" i="165"/>
  <c r="E9" i="58"/>
  <c r="C8" i="58"/>
  <c r="CA8" i="2" s="1"/>
  <c r="J9" i="58"/>
  <c r="K9" i="58" s="1"/>
  <c r="J60" i="39"/>
  <c r="I61" i="39"/>
  <c r="K60" i="124"/>
  <c r="J64" i="12"/>
  <c r="K63" i="12" s="1"/>
  <c r="I65" i="12"/>
  <c r="C6" i="65"/>
  <c r="E7" i="65"/>
  <c r="J7" i="65"/>
  <c r="K7" i="65" s="1"/>
  <c r="E9" i="170"/>
  <c r="C8" i="170"/>
  <c r="J9" i="170"/>
  <c r="K9" i="170" s="1"/>
  <c r="J60" i="84"/>
  <c r="I61" i="84"/>
  <c r="K58" i="81"/>
  <c r="E7" i="64"/>
  <c r="C6" i="64"/>
  <c r="J7" i="64"/>
  <c r="K7" i="64" s="1"/>
  <c r="K59" i="4"/>
  <c r="I61" i="153"/>
  <c r="J60" i="153"/>
  <c r="K59" i="153" s="1"/>
  <c r="E9" i="46"/>
  <c r="C8" i="46"/>
  <c r="J9" i="46"/>
  <c r="K9" i="46" s="1"/>
  <c r="E6" i="123"/>
  <c r="C5" i="123"/>
  <c r="J6" i="123"/>
  <c r="K6" i="123" s="1"/>
  <c r="K59" i="80"/>
  <c r="I61" i="54"/>
  <c r="J60" i="54"/>
  <c r="E9" i="92"/>
  <c r="C8" i="92"/>
  <c r="J9" i="92"/>
  <c r="K9" i="92" s="1"/>
  <c r="K59" i="138"/>
  <c r="K60" i="165"/>
  <c r="E8" i="133"/>
  <c r="C7" i="133"/>
  <c r="J8" i="133"/>
  <c r="K8" i="133" s="1"/>
  <c r="DH8" i="2"/>
  <c r="E8" i="44"/>
  <c r="C7" i="44"/>
  <c r="J8" i="44"/>
  <c r="K8" i="44" s="1"/>
  <c r="K60" i="129"/>
  <c r="E7" i="144"/>
  <c r="C6" i="144"/>
  <c r="J7" i="144"/>
  <c r="K7" i="144" s="1"/>
  <c r="K62" i="133"/>
  <c r="K57" i="141"/>
  <c r="K61" i="172"/>
  <c r="K58" i="169"/>
  <c r="E8" i="35"/>
  <c r="C7" i="35"/>
  <c r="J8" i="35"/>
  <c r="K8" i="35" s="1"/>
  <c r="I61" i="80"/>
  <c r="J60" i="80"/>
  <c r="K58" i="80"/>
  <c r="J59" i="146"/>
  <c r="I60" i="146"/>
  <c r="C6" i="22"/>
  <c r="E7" i="22"/>
  <c r="J7" i="22"/>
  <c r="K7" i="22" s="1"/>
  <c r="BQ10" i="1"/>
  <c r="K58" i="45"/>
  <c r="K60" i="23"/>
  <c r="K61" i="16"/>
  <c r="J4" i="32"/>
  <c r="K4" i="32" s="1"/>
  <c r="E4" i="32"/>
  <c r="C3" i="32"/>
  <c r="K61" i="14"/>
  <c r="K58" i="64"/>
  <c r="K60" i="68"/>
  <c r="I63" i="172"/>
  <c r="J62" i="172"/>
  <c r="E8" i="153"/>
  <c r="C7" i="153"/>
  <c r="J8" i="153"/>
  <c r="K8" i="153" s="1"/>
  <c r="K59" i="113"/>
  <c r="K59" i="87"/>
  <c r="E8" i="114"/>
  <c r="C7" i="114"/>
  <c r="J8" i="114"/>
  <c r="K8" i="114" s="1"/>
  <c r="K58" i="146"/>
  <c r="K60" i="135"/>
  <c r="E9" i="8"/>
  <c r="C8" i="8"/>
  <c r="BP9" i="1"/>
  <c r="HC9" i="2"/>
  <c r="J9" i="8"/>
  <c r="K9" i="8" s="1"/>
  <c r="J59" i="45"/>
  <c r="I60" i="45"/>
  <c r="J61" i="23"/>
  <c r="I62" i="23"/>
  <c r="I63" i="16"/>
  <c r="J62" i="16"/>
  <c r="J61" i="157"/>
  <c r="I62" i="157"/>
  <c r="E6" i="149"/>
  <c r="C5" i="149"/>
  <c r="J6" i="149"/>
  <c r="K6" i="149" s="1"/>
  <c r="E7" i="148"/>
  <c r="C6" i="148"/>
  <c r="J7" i="148"/>
  <c r="K7" i="148" s="1"/>
  <c r="E6" i="69"/>
  <c r="C5" i="69"/>
  <c r="J6" i="69"/>
  <c r="K6" i="69" s="1"/>
  <c r="CA9" i="2"/>
  <c r="K58" i="56"/>
  <c r="C5" i="171"/>
  <c r="E6" i="171"/>
  <c r="J6" i="171"/>
  <c r="K6" i="171" s="1"/>
  <c r="K59" i="10"/>
  <c r="J61" i="72"/>
  <c r="I62" i="72"/>
  <c r="C8" i="93"/>
  <c r="E9" i="93"/>
  <c r="J9" i="93"/>
  <c r="K9" i="93" s="1"/>
  <c r="I61" i="87"/>
  <c r="J60" i="87"/>
  <c r="I61" i="57"/>
  <c r="J60" i="57"/>
  <c r="K58" i="108"/>
  <c r="E7" i="94"/>
  <c r="C6" i="94"/>
  <c r="J7" i="94"/>
  <c r="K7" i="94" s="1"/>
  <c r="E7" i="19"/>
  <c r="C6" i="19"/>
  <c r="J7" i="19"/>
  <c r="K7" i="19" s="1"/>
  <c r="K60" i="13"/>
  <c r="K58" i="105"/>
  <c r="K60" i="157"/>
  <c r="K58" i="102"/>
  <c r="E6" i="39"/>
  <c r="C5" i="39"/>
  <c r="J6" i="39"/>
  <c r="K6" i="39" s="1"/>
  <c r="E8" i="31"/>
  <c r="C7" i="31"/>
  <c r="J8" i="31"/>
  <c r="K8" i="31" s="1"/>
  <c r="K58" i="111"/>
  <c r="J60" i="103"/>
  <c r="I61" i="103"/>
  <c r="I63" i="107"/>
  <c r="J62" i="107"/>
  <c r="C7" i="125"/>
  <c r="E8" i="125"/>
  <c r="J8" i="125"/>
  <c r="K8" i="125" s="1"/>
  <c r="K58" i="103"/>
  <c r="C6" i="116"/>
  <c r="E7" i="116"/>
  <c r="J7" i="116"/>
  <c r="K7" i="116" s="1"/>
  <c r="I65" i="145"/>
  <c r="J64" i="145"/>
  <c r="C7" i="89"/>
  <c r="E8" i="89"/>
  <c r="J8" i="89"/>
  <c r="K8" i="89" s="1"/>
  <c r="HN8" i="2"/>
  <c r="C8" i="107"/>
  <c r="E9" i="107"/>
  <c r="J9" i="107"/>
  <c r="K9" i="107" s="1"/>
  <c r="I62" i="68"/>
  <c r="J61" i="68"/>
  <c r="E8" i="145"/>
  <c r="C7" i="145"/>
  <c r="CW7" i="2" s="1"/>
  <c r="J8" i="145"/>
  <c r="K8" i="145" s="1"/>
  <c r="K57" i="34"/>
  <c r="I63" i="117"/>
  <c r="J62" i="117"/>
  <c r="K60" i="107"/>
  <c r="K58" i="53"/>
  <c r="E9" i="172"/>
  <c r="C8" i="172"/>
  <c r="J9" i="172"/>
  <c r="K9" i="172" s="1"/>
  <c r="K60" i="37"/>
  <c r="K57" i="148"/>
  <c r="K57" i="64"/>
  <c r="K59" i="57"/>
  <c r="C6" i="161"/>
  <c r="E7" i="161"/>
  <c r="J7" i="161"/>
  <c r="K7" i="161" s="1"/>
  <c r="K60" i="164"/>
  <c r="C5" i="106"/>
  <c r="E6" i="106"/>
  <c r="J6" i="106"/>
  <c r="K6" i="106" s="1"/>
  <c r="K58" i="52"/>
  <c r="K61" i="101"/>
  <c r="HD10" i="2"/>
  <c r="K57" i="45"/>
  <c r="I60" i="105"/>
  <c r="J59" i="105"/>
  <c r="I60" i="102"/>
  <c r="J59" i="102"/>
  <c r="C6" i="67"/>
  <c r="E7" i="67"/>
  <c r="J7" i="67"/>
  <c r="K7" i="67" s="1"/>
  <c r="C6" i="135"/>
  <c r="E7" i="135"/>
  <c r="J7" i="135"/>
  <c r="K7" i="135" s="1"/>
  <c r="K62" i="71"/>
  <c r="K61" i="26"/>
  <c r="K59" i="88"/>
  <c r="J59" i="35"/>
  <c r="I60" i="35"/>
  <c r="K63" i="145"/>
  <c r="K58" i="35"/>
  <c r="HO9" i="2"/>
  <c r="K61" i="117"/>
  <c r="I65" i="7"/>
  <c r="J64" i="7"/>
  <c r="I62" i="37"/>
  <c r="J61" i="37"/>
  <c r="I61" i="123"/>
  <c r="J60" i="123"/>
  <c r="N9" i="2"/>
  <c r="K58" i="70"/>
  <c r="I63" i="101"/>
  <c r="J62" i="101"/>
  <c r="C8" i="121"/>
  <c r="E9" i="121"/>
  <c r="J9" i="121"/>
  <c r="K9" i="121" s="1"/>
  <c r="K57" i="125"/>
  <c r="I63" i="89"/>
  <c r="J62" i="89"/>
  <c r="K61" i="89" s="1"/>
  <c r="E7" i="60"/>
  <c r="C6" i="60"/>
  <c r="J7" i="60"/>
  <c r="K7" i="60" s="1"/>
  <c r="K59" i="151"/>
  <c r="C8" i="136"/>
  <c r="E9" i="136"/>
  <c r="J9" i="136"/>
  <c r="K9" i="136" s="1"/>
  <c r="K59" i="116"/>
  <c r="I62" i="10"/>
  <c r="J61" i="10"/>
  <c r="K60" i="10" s="1"/>
  <c r="AI9" i="1"/>
  <c r="E6" i="86"/>
  <c r="C5" i="86"/>
  <c r="J6" i="86"/>
  <c r="K6" i="86" s="1"/>
  <c r="I61" i="168"/>
  <c r="J60" i="168"/>
  <c r="K59" i="168" s="1"/>
  <c r="I61" i="76"/>
  <c r="J60" i="76"/>
  <c r="K59" i="76" s="1"/>
  <c r="K58" i="153"/>
  <c r="K63" i="7"/>
  <c r="AJ9" i="2"/>
  <c r="I62" i="83"/>
  <c r="J61" i="83"/>
  <c r="C8" i="152"/>
  <c r="E9" i="152"/>
  <c r="J9" i="152"/>
  <c r="K9" i="152" s="1"/>
  <c r="K59" i="123"/>
  <c r="K59" i="173"/>
  <c r="K57" i="146"/>
  <c r="E5" i="45"/>
  <c r="C4" i="45"/>
  <c r="J5" i="45"/>
  <c r="K5" i="45" s="1"/>
  <c r="E8" i="142"/>
  <c r="C7" i="142"/>
  <c r="J8" i="142"/>
  <c r="K8" i="142" s="1"/>
  <c r="I64" i="24"/>
  <c r="J63" i="24"/>
  <c r="EE10" i="2"/>
  <c r="K57" i="95"/>
  <c r="I60" i="95"/>
  <c r="J59" i="95"/>
  <c r="K58" i="95" s="1"/>
  <c r="I61" i="151"/>
  <c r="J60" i="151"/>
  <c r="E7" i="9"/>
  <c r="C6" i="9"/>
  <c r="J7" i="9"/>
  <c r="K7" i="9" s="1"/>
  <c r="K58" i="4"/>
  <c r="K57" i="160"/>
  <c r="E6" i="127"/>
  <c r="C5" i="127"/>
  <c r="J6" i="127"/>
  <c r="K6" i="127" s="1"/>
  <c r="K61" i="136"/>
  <c r="E8" i="77"/>
  <c r="C7" i="77"/>
  <c r="J8" i="77"/>
  <c r="K8" i="77" s="1"/>
  <c r="C7" i="140"/>
  <c r="E8" i="140"/>
  <c r="AI8" i="2"/>
  <c r="J8" i="140"/>
  <c r="K8" i="140" s="1"/>
  <c r="C6" i="66"/>
  <c r="E7" i="66"/>
  <c r="J7" i="66"/>
  <c r="K7" i="66" s="1"/>
  <c r="E5" i="160"/>
  <c r="C4" i="160"/>
  <c r="J5" i="160"/>
  <c r="K5" i="160" s="1"/>
  <c r="GR8" i="2"/>
  <c r="I63" i="48"/>
  <c r="J62" i="48"/>
  <c r="K61" i="48" s="1"/>
  <c r="I62" i="149"/>
  <c r="J61" i="149"/>
  <c r="E8" i="122"/>
  <c r="C7" i="122"/>
  <c r="J8" i="122"/>
  <c r="K8" i="122" s="1"/>
  <c r="E9" i="109"/>
  <c r="C8" i="109"/>
  <c r="ED9" i="2"/>
  <c r="J9" i="109"/>
  <c r="K9" i="109" s="1"/>
  <c r="E7" i="74"/>
  <c r="C6" i="74"/>
  <c r="J7" i="74"/>
  <c r="K7" i="74" s="1"/>
  <c r="I62" i="25"/>
  <c r="J61" i="25"/>
  <c r="IU9" i="2"/>
  <c r="K63" i="46"/>
  <c r="K57" i="166"/>
  <c r="E9" i="53"/>
  <c r="C8" i="53"/>
  <c r="J9" i="53"/>
  <c r="K9" i="53" s="1"/>
  <c r="K60" i="60"/>
  <c r="E7" i="25"/>
  <c r="C6" i="25"/>
  <c r="J7" i="25"/>
  <c r="K7" i="25" s="1"/>
  <c r="K60" i="83"/>
  <c r="K59" i="144"/>
  <c r="K59" i="139"/>
  <c r="C7" i="79"/>
  <c r="E8" i="79"/>
  <c r="J8" i="79"/>
  <c r="K8" i="79" s="1"/>
  <c r="E8" i="33"/>
  <c r="C7" i="33"/>
  <c r="M8" i="2"/>
  <c r="J8" i="33"/>
  <c r="K8" i="33" s="1"/>
  <c r="K59" i="155"/>
  <c r="K58" i="171"/>
  <c r="J62" i="136"/>
  <c r="I63" i="136"/>
  <c r="E9" i="90"/>
  <c r="C8" i="90"/>
  <c r="J9" i="90"/>
  <c r="K9" i="90" s="1"/>
  <c r="J61" i="60"/>
  <c r="I62" i="60"/>
  <c r="K57" i="96"/>
  <c r="I61" i="144"/>
  <c r="J60" i="144"/>
  <c r="K59" i="114"/>
  <c r="K58" i="20"/>
  <c r="AU10" i="2"/>
  <c r="CL9" i="2"/>
  <c r="EO9" i="2"/>
  <c r="K58" i="3"/>
  <c r="E7" i="83"/>
  <c r="C6" i="83"/>
  <c r="J7" i="83"/>
  <c r="K7" i="83" s="1"/>
  <c r="K59" i="85"/>
  <c r="K60" i="149"/>
  <c r="K60" i="16"/>
  <c r="K61" i="62"/>
  <c r="E9" i="27"/>
  <c r="C8" i="27"/>
  <c r="J9" i="27"/>
  <c r="K9" i="27" s="1"/>
  <c r="I65" i="46"/>
  <c r="J64" i="46"/>
  <c r="K58" i="50"/>
  <c r="CX7" i="2" l="1"/>
  <c r="CB8" i="2"/>
  <c r="I61" i="47"/>
  <c r="J60" i="47"/>
  <c r="E7" i="169"/>
  <c r="C6" i="169"/>
  <c r="J7" i="169"/>
  <c r="K7" i="169" s="1"/>
  <c r="K59" i="40"/>
  <c r="E6" i="118"/>
  <c r="C5" i="118"/>
  <c r="J6" i="118"/>
  <c r="K6" i="118" s="1"/>
  <c r="I62" i="49"/>
  <c r="J61" i="49"/>
  <c r="C5" i="4"/>
  <c r="E6" i="4"/>
  <c r="J6" i="4"/>
  <c r="K6" i="4" s="1"/>
  <c r="E4" i="43"/>
  <c r="C3" i="43"/>
  <c r="J4" i="43"/>
  <c r="K4" i="43" s="1"/>
  <c r="I61" i="91"/>
  <c r="J60" i="91"/>
  <c r="AJ9" i="1"/>
  <c r="I63" i="139"/>
  <c r="J62" i="139"/>
  <c r="I61" i="40"/>
  <c r="J60" i="40"/>
  <c r="J63" i="164"/>
  <c r="K62" i="164" s="1"/>
  <c r="I64" i="164"/>
  <c r="K58" i="40"/>
  <c r="J60" i="43"/>
  <c r="I61" i="43"/>
  <c r="E6" i="54"/>
  <c r="C5" i="54"/>
  <c r="J6" i="54"/>
  <c r="K6" i="54" s="1"/>
  <c r="J65" i="61"/>
  <c r="K64" i="61" s="1"/>
  <c r="I66" i="61"/>
  <c r="BQ9" i="2"/>
  <c r="I61" i="143"/>
  <c r="J60" i="143"/>
  <c r="K59" i="143" s="1"/>
  <c r="K58" i="143"/>
  <c r="E6" i="57"/>
  <c r="C5" i="57"/>
  <c r="J6" i="57"/>
  <c r="K6" i="57" s="1"/>
  <c r="C6" i="147"/>
  <c r="E7" i="147"/>
  <c r="J7" i="147"/>
  <c r="K7" i="147" s="1"/>
  <c r="I63" i="72"/>
  <c r="J62" i="72"/>
  <c r="E8" i="27"/>
  <c r="C7" i="27"/>
  <c r="J8" i="27"/>
  <c r="K8" i="27" s="1"/>
  <c r="J63" i="48"/>
  <c r="I64" i="48"/>
  <c r="I63" i="10"/>
  <c r="J62" i="10"/>
  <c r="C6" i="125"/>
  <c r="E7" i="125"/>
  <c r="J7" i="125"/>
  <c r="K7" i="125" s="1"/>
  <c r="C6" i="119"/>
  <c r="E7" i="119"/>
  <c r="J7" i="119"/>
  <c r="K7" i="119" s="1"/>
  <c r="J63" i="29"/>
  <c r="I64" i="29"/>
  <c r="E6" i="99"/>
  <c r="C5" i="99"/>
  <c r="J6" i="99"/>
  <c r="K6" i="99" s="1"/>
  <c r="K63" i="79"/>
  <c r="K59" i="43"/>
  <c r="E8" i="52"/>
  <c r="C7" i="52"/>
  <c r="BP8" i="2"/>
  <c r="J8" i="52"/>
  <c r="K8" i="52" s="1"/>
  <c r="E8" i="155"/>
  <c r="C7" i="155"/>
  <c r="J8" i="155"/>
  <c r="K8" i="155" s="1"/>
  <c r="J61" i="33"/>
  <c r="I62" i="33"/>
  <c r="I61" i="58"/>
  <c r="J60" i="58"/>
  <c r="IV8" i="2"/>
  <c r="C4" i="124"/>
  <c r="E5" i="124"/>
  <c r="J5" i="124"/>
  <c r="K5" i="124" s="1"/>
  <c r="E5" i="51"/>
  <c r="C4" i="51"/>
  <c r="J5" i="51"/>
  <c r="K5" i="51" s="1"/>
  <c r="HZ9" i="2"/>
  <c r="I65" i="79"/>
  <c r="J64" i="79"/>
  <c r="C6" i="38"/>
  <c r="E7" i="38"/>
  <c r="J7" i="38"/>
  <c r="K7" i="38" s="1"/>
  <c r="K60" i="33"/>
  <c r="K60" i="169"/>
  <c r="E8" i="91"/>
  <c r="C7" i="91"/>
  <c r="J8" i="91"/>
  <c r="K8" i="91" s="1"/>
  <c r="K60" i="85"/>
  <c r="E7" i="35"/>
  <c r="C6" i="35"/>
  <c r="J7" i="35"/>
  <c r="K7" i="35" s="1"/>
  <c r="J60" i="35"/>
  <c r="I61" i="35"/>
  <c r="E7" i="114"/>
  <c r="C6" i="114"/>
  <c r="J7" i="114"/>
  <c r="K7" i="114" s="1"/>
  <c r="C5" i="64"/>
  <c r="E6" i="64"/>
  <c r="J6" i="64"/>
  <c r="K6" i="64" s="1"/>
  <c r="I65" i="24"/>
  <c r="J64" i="24"/>
  <c r="K63" i="24" s="1"/>
  <c r="I64" i="107"/>
  <c r="J63" i="107"/>
  <c r="K62" i="107" s="1"/>
  <c r="K60" i="72"/>
  <c r="E3" i="146"/>
  <c r="C2" i="146"/>
  <c r="J3" i="146"/>
  <c r="K3" i="146" s="1"/>
  <c r="E7" i="10"/>
  <c r="C6" i="10"/>
  <c r="J7" i="10"/>
  <c r="K7" i="10" s="1"/>
  <c r="J63" i="132"/>
  <c r="I64" i="132"/>
  <c r="C5" i="75"/>
  <c r="J6" i="75"/>
  <c r="K6" i="75" s="1"/>
  <c r="E6" i="75"/>
  <c r="J61" i="126"/>
  <c r="I62" i="126"/>
  <c r="E6" i="112"/>
  <c r="C5" i="112"/>
  <c r="J6" i="112"/>
  <c r="K6" i="112" s="1"/>
  <c r="I62" i="121"/>
  <c r="J61" i="121"/>
  <c r="I66" i="133"/>
  <c r="J65" i="133"/>
  <c r="K59" i="33"/>
  <c r="I62" i="169"/>
  <c r="J61" i="169"/>
  <c r="C6" i="70"/>
  <c r="E7" i="70"/>
  <c r="J7" i="70"/>
  <c r="K7" i="70" s="1"/>
  <c r="E7" i="13"/>
  <c r="C6" i="13"/>
  <c r="J7" i="13"/>
  <c r="K7" i="13" s="1"/>
  <c r="J61" i="85"/>
  <c r="I62" i="85"/>
  <c r="C7" i="93"/>
  <c r="E8" i="93"/>
  <c r="J8" i="93"/>
  <c r="K8" i="93" s="1"/>
  <c r="C7" i="172"/>
  <c r="E8" i="172"/>
  <c r="J8" i="172"/>
  <c r="K8" i="172" s="1"/>
  <c r="J61" i="103"/>
  <c r="I62" i="103"/>
  <c r="I62" i="111"/>
  <c r="J61" i="111"/>
  <c r="K61" i="118"/>
  <c r="I64" i="26"/>
  <c r="J63" i="26"/>
  <c r="E5" i="72"/>
  <c r="C4" i="72"/>
  <c r="J5" i="72"/>
  <c r="K5" i="72" s="1"/>
  <c r="E8" i="28"/>
  <c r="C7" i="28"/>
  <c r="J8" i="28"/>
  <c r="K8" i="28" s="1"/>
  <c r="J61" i="170"/>
  <c r="I62" i="170"/>
  <c r="K64" i="133"/>
  <c r="K62" i="13"/>
  <c r="E7" i="79"/>
  <c r="C6" i="79"/>
  <c r="J7" i="79"/>
  <c r="K7" i="79" s="1"/>
  <c r="E4" i="160"/>
  <c r="C3" i="160"/>
  <c r="J4" i="160"/>
  <c r="K4" i="160" s="1"/>
  <c r="C6" i="142"/>
  <c r="E7" i="142"/>
  <c r="J7" i="142"/>
  <c r="K7" i="142" s="1"/>
  <c r="E8" i="136"/>
  <c r="C7" i="136"/>
  <c r="J8" i="136"/>
  <c r="K8" i="136" s="1"/>
  <c r="K60" i="103"/>
  <c r="J61" i="84"/>
  <c r="I62" i="84"/>
  <c r="I62" i="4"/>
  <c r="J61" i="4"/>
  <c r="E8" i="29"/>
  <c r="C7" i="29"/>
  <c r="J8" i="29"/>
  <c r="K8" i="29" s="1"/>
  <c r="X8" i="1"/>
  <c r="I63" i="118"/>
  <c r="J62" i="118"/>
  <c r="K62" i="26"/>
  <c r="I63" i="99"/>
  <c r="J62" i="99"/>
  <c r="I61" i="112"/>
  <c r="J60" i="112"/>
  <c r="E4" i="59"/>
  <c r="C3" i="59"/>
  <c r="J4" i="59"/>
  <c r="K4" i="59" s="1"/>
  <c r="J63" i="13"/>
  <c r="I64" i="13"/>
  <c r="K60" i="106"/>
  <c r="K59" i="38"/>
  <c r="J60" i="11"/>
  <c r="I61" i="11"/>
  <c r="E5" i="171"/>
  <c r="C4" i="171"/>
  <c r="J5" i="171"/>
  <c r="K5" i="171" s="1"/>
  <c r="K60" i="84"/>
  <c r="N9" i="1"/>
  <c r="K59" i="112"/>
  <c r="E6" i="113"/>
  <c r="C5" i="113"/>
  <c r="J6" i="113"/>
  <c r="K6" i="113" s="1"/>
  <c r="E6" i="137"/>
  <c r="C5" i="137"/>
  <c r="J6" i="137"/>
  <c r="K6" i="137" s="1"/>
  <c r="I63" i="159"/>
  <c r="J62" i="159"/>
  <c r="K63" i="133"/>
  <c r="J61" i="106"/>
  <c r="I62" i="106"/>
  <c r="J60" i="38"/>
  <c r="I61" i="38"/>
  <c r="I62" i="53"/>
  <c r="J61" i="53"/>
  <c r="C5" i="103"/>
  <c r="E6" i="103"/>
  <c r="J6" i="103"/>
  <c r="K6" i="103" s="1"/>
  <c r="Y9" i="2"/>
  <c r="C5" i="139"/>
  <c r="E6" i="139"/>
  <c r="J6" i="139"/>
  <c r="K6" i="139" s="1"/>
  <c r="K58" i="43"/>
  <c r="C4" i="159"/>
  <c r="E5" i="159"/>
  <c r="J5" i="159"/>
  <c r="K5" i="159" s="1"/>
  <c r="E6" i="17"/>
  <c r="C5" i="17"/>
  <c r="J6" i="17"/>
  <c r="K6" i="17" s="1"/>
  <c r="E6" i="144"/>
  <c r="C5" i="144"/>
  <c r="J6" i="144"/>
  <c r="K6" i="144" s="1"/>
  <c r="K60" i="4"/>
  <c r="C6" i="153"/>
  <c r="E7" i="153"/>
  <c r="J7" i="153"/>
  <c r="K7" i="153" s="1"/>
  <c r="CB9" i="2"/>
  <c r="C7" i="170"/>
  <c r="E8" i="170"/>
  <c r="J8" i="170"/>
  <c r="K8" i="170" s="1"/>
  <c r="K60" i="53"/>
  <c r="C5" i="110"/>
  <c r="E6" i="110"/>
  <c r="J6" i="110"/>
  <c r="K6" i="110" s="1"/>
  <c r="I61" i="109"/>
  <c r="J60" i="109"/>
  <c r="K58" i="109"/>
  <c r="E6" i="81"/>
  <c r="C5" i="81"/>
  <c r="J6" i="81"/>
  <c r="K6" i="81" s="1"/>
  <c r="J61" i="108"/>
  <c r="I62" i="108"/>
  <c r="I61" i="110"/>
  <c r="J60" i="110"/>
  <c r="K59" i="126"/>
  <c r="I62" i="31"/>
  <c r="J61" i="31"/>
  <c r="E6" i="11"/>
  <c r="C5" i="11"/>
  <c r="J6" i="11"/>
  <c r="K6" i="11" s="1"/>
  <c r="E5" i="173"/>
  <c r="C4" i="173"/>
  <c r="J5" i="173"/>
  <c r="K5" i="173" s="1"/>
  <c r="E8" i="174"/>
  <c r="C7" i="174"/>
  <c r="J8" i="174"/>
  <c r="K8" i="174" s="1"/>
  <c r="C7" i="56"/>
  <c r="E8" i="56"/>
  <c r="J8" i="56"/>
  <c r="K8" i="56" s="1"/>
  <c r="K61" i="139"/>
  <c r="C5" i="60"/>
  <c r="E6" i="60"/>
  <c r="J6" i="60"/>
  <c r="K6" i="60" s="1"/>
  <c r="C5" i="83"/>
  <c r="E6" i="83"/>
  <c r="J6" i="83"/>
  <c r="K6" i="83" s="1"/>
  <c r="E6" i="25"/>
  <c r="C5" i="25"/>
  <c r="J6" i="25"/>
  <c r="K6" i="25" s="1"/>
  <c r="E6" i="66"/>
  <c r="C5" i="66"/>
  <c r="J6" i="66"/>
  <c r="K6" i="66" s="1"/>
  <c r="C3" i="45"/>
  <c r="E4" i="45"/>
  <c r="J4" i="45"/>
  <c r="K4" i="45" s="1"/>
  <c r="E6" i="135"/>
  <c r="C5" i="135"/>
  <c r="J6" i="135"/>
  <c r="K6" i="135" s="1"/>
  <c r="E7" i="31"/>
  <c r="C6" i="31"/>
  <c r="J7" i="31"/>
  <c r="K7" i="31" s="1"/>
  <c r="I61" i="81"/>
  <c r="J60" i="81"/>
  <c r="K61" i="107"/>
  <c r="K59" i="53"/>
  <c r="E8" i="12"/>
  <c r="C7" i="12"/>
  <c r="M8" i="1"/>
  <c r="X8" i="2"/>
  <c r="J8" i="12"/>
  <c r="K8" i="12" s="1"/>
  <c r="I65" i="32"/>
  <c r="J64" i="32"/>
  <c r="I61" i="141"/>
  <c r="J60" i="141"/>
  <c r="K59" i="141" s="1"/>
  <c r="K60" i="31"/>
  <c r="C5" i="16"/>
  <c r="E6" i="16"/>
  <c r="J6" i="16"/>
  <c r="K6" i="16" s="1"/>
  <c r="K58" i="38"/>
  <c r="J62" i="158"/>
  <c r="I63" i="158"/>
  <c r="I63" i="93"/>
  <c r="J62" i="93"/>
  <c r="C3" i="165"/>
  <c r="E4" i="165"/>
  <c r="J4" i="165"/>
  <c r="K4" i="165" s="1"/>
  <c r="K62" i="117"/>
  <c r="E5" i="69"/>
  <c r="C4" i="69"/>
  <c r="J5" i="69"/>
  <c r="K5" i="69" s="1"/>
  <c r="J63" i="172"/>
  <c r="K62" i="172" s="1"/>
  <c r="I64" i="172"/>
  <c r="C6" i="44"/>
  <c r="E7" i="44"/>
  <c r="J7" i="44"/>
  <c r="K7" i="44" s="1"/>
  <c r="K59" i="84"/>
  <c r="K59" i="103"/>
  <c r="E5" i="62"/>
  <c r="C4" i="62"/>
  <c r="J5" i="62"/>
  <c r="K5" i="62" s="1"/>
  <c r="K60" i="99"/>
  <c r="C6" i="36"/>
  <c r="CW6" i="2" s="1"/>
  <c r="E7" i="36"/>
  <c r="J7" i="36"/>
  <c r="K7" i="36" s="1"/>
  <c r="K58" i="112"/>
  <c r="J61" i="19"/>
  <c r="I62" i="19"/>
  <c r="K63" i="32"/>
  <c r="E5" i="26"/>
  <c r="C4" i="26"/>
  <c r="J5" i="26"/>
  <c r="K5" i="26" s="1"/>
  <c r="J65" i="15"/>
  <c r="I66" i="15"/>
  <c r="K61" i="158"/>
  <c r="K61" i="93"/>
  <c r="I64" i="117"/>
  <c r="J63" i="117"/>
  <c r="C4" i="73"/>
  <c r="E5" i="73"/>
  <c r="J5" i="73"/>
  <c r="K5" i="73" s="1"/>
  <c r="E3" i="87"/>
  <c r="C2" i="87"/>
  <c r="J3" i="87"/>
  <c r="K3" i="87" s="1"/>
  <c r="K61" i="29"/>
  <c r="K59" i="111"/>
  <c r="I61" i="166"/>
  <c r="J60" i="166"/>
  <c r="K64" i="15"/>
  <c r="J61" i="155"/>
  <c r="I62" i="155"/>
  <c r="I62" i="114"/>
  <c r="J61" i="114"/>
  <c r="K60" i="114" s="1"/>
  <c r="I66" i="46"/>
  <c r="J65" i="46"/>
  <c r="EP9" i="2"/>
  <c r="I64" i="89"/>
  <c r="J63" i="89"/>
  <c r="E6" i="67"/>
  <c r="C5" i="67"/>
  <c r="J6" i="67"/>
  <c r="K6" i="67" s="1"/>
  <c r="E5" i="39"/>
  <c r="C4" i="39"/>
  <c r="J5" i="39"/>
  <c r="K5" i="39" s="1"/>
  <c r="K60" i="21"/>
  <c r="K59" i="148"/>
  <c r="I62" i="137"/>
  <c r="J61" i="137"/>
  <c r="FW9" i="2"/>
  <c r="K59" i="166"/>
  <c r="E7" i="23"/>
  <c r="C6" i="23"/>
  <c r="J7" i="23"/>
  <c r="K7" i="23" s="1"/>
  <c r="E6" i="130"/>
  <c r="C5" i="130"/>
  <c r="J6" i="130"/>
  <c r="K6" i="130" s="1"/>
  <c r="C2" i="156"/>
  <c r="E3" i="156"/>
  <c r="J3" i="156"/>
  <c r="K3" i="156" s="1"/>
  <c r="DI8" i="2"/>
  <c r="C5" i="65"/>
  <c r="E6" i="65"/>
  <c r="J6" i="65"/>
  <c r="K6" i="65" s="1"/>
  <c r="E7" i="164"/>
  <c r="C6" i="164"/>
  <c r="J7" i="164"/>
  <c r="K7" i="164" s="1"/>
  <c r="I64" i="77"/>
  <c r="J63" i="77"/>
  <c r="E8" i="143"/>
  <c r="C7" i="143"/>
  <c r="J8" i="143"/>
  <c r="K8" i="143" s="1"/>
  <c r="CM9" i="2"/>
  <c r="E8" i="53"/>
  <c r="C7" i="53"/>
  <c r="J8" i="53"/>
  <c r="K8" i="53" s="1"/>
  <c r="E7" i="140"/>
  <c r="C6" i="140"/>
  <c r="J7" i="140"/>
  <c r="K7" i="140" s="1"/>
  <c r="E6" i="148"/>
  <c r="C5" i="148"/>
  <c r="J6" i="148"/>
  <c r="K6" i="148" s="1"/>
  <c r="I66" i="12"/>
  <c r="J65" i="12"/>
  <c r="K62" i="77"/>
  <c r="I62" i="21"/>
  <c r="J61" i="21"/>
  <c r="K61" i="132"/>
  <c r="J60" i="148"/>
  <c r="I61" i="148"/>
  <c r="K58" i="148"/>
  <c r="I64" i="51"/>
  <c r="J63" i="51"/>
  <c r="K62" i="51" s="1"/>
  <c r="E7" i="15"/>
  <c r="C6" i="15"/>
  <c r="J7" i="15"/>
  <c r="K7" i="15" s="1"/>
  <c r="K60" i="137"/>
  <c r="C6" i="48"/>
  <c r="E7" i="48"/>
  <c r="J7" i="48"/>
  <c r="K7" i="48" s="1"/>
  <c r="C7" i="3"/>
  <c r="E8" i="3"/>
  <c r="J8" i="3"/>
  <c r="K8" i="3" s="1"/>
  <c r="K59" i="169"/>
  <c r="I61" i="69"/>
  <c r="J60" i="69"/>
  <c r="E7" i="101"/>
  <c r="C6" i="101"/>
  <c r="J7" i="101"/>
  <c r="K7" i="101" s="1"/>
  <c r="K63" i="14"/>
  <c r="J60" i="17"/>
  <c r="I61" i="17"/>
  <c r="I61" i="125"/>
  <c r="J60" i="125"/>
  <c r="I61" i="120"/>
  <c r="J60" i="120"/>
  <c r="K59" i="120" s="1"/>
  <c r="I62" i="161"/>
  <c r="J61" i="161"/>
  <c r="E6" i="167"/>
  <c r="C5" i="167"/>
  <c r="J6" i="167"/>
  <c r="K6" i="167" s="1"/>
  <c r="K62" i="89"/>
  <c r="I65" i="14"/>
  <c r="J64" i="14"/>
  <c r="K61" i="66"/>
  <c r="I63" i="167"/>
  <c r="J62" i="167"/>
  <c r="C2" i="157"/>
  <c r="J3" i="157"/>
  <c r="K3" i="157" s="1"/>
  <c r="E3" i="157"/>
  <c r="C7" i="42"/>
  <c r="E8" i="42"/>
  <c r="J8" i="42"/>
  <c r="K8" i="42" s="1"/>
  <c r="FV8" i="2"/>
  <c r="I63" i="44"/>
  <c r="J62" i="44"/>
  <c r="K61" i="44" s="1"/>
  <c r="E7" i="132"/>
  <c r="C6" i="132"/>
  <c r="J7" i="132"/>
  <c r="K7" i="132" s="1"/>
  <c r="E5" i="40"/>
  <c r="C4" i="40"/>
  <c r="J5" i="40"/>
  <c r="K5" i="40" s="1"/>
  <c r="K60" i="161"/>
  <c r="I62" i="39"/>
  <c r="J61" i="39"/>
  <c r="K60" i="39" s="1"/>
  <c r="I64" i="135"/>
  <c r="J63" i="135"/>
  <c r="K63" i="82"/>
  <c r="K64" i="74"/>
  <c r="C5" i="68"/>
  <c r="E6" i="68"/>
  <c r="J6" i="68"/>
  <c r="K6" i="68" s="1"/>
  <c r="I63" i="66"/>
  <c r="J62" i="66"/>
  <c r="E7" i="20"/>
  <c r="C6" i="20"/>
  <c r="J7" i="20"/>
  <c r="K7" i="20" s="1"/>
  <c r="E7" i="108"/>
  <c r="C6" i="108"/>
  <c r="J7" i="108"/>
  <c r="K7" i="108" s="1"/>
  <c r="C6" i="162"/>
  <c r="E7" i="162"/>
  <c r="J7" i="162"/>
  <c r="K7" i="162" s="1"/>
  <c r="J61" i="119"/>
  <c r="I62" i="119"/>
  <c r="I61" i="160"/>
  <c r="J60" i="160"/>
  <c r="I62" i="73"/>
  <c r="J61" i="73"/>
  <c r="K60" i="73" s="1"/>
  <c r="I64" i="9"/>
  <c r="J63" i="9"/>
  <c r="I63" i="129"/>
  <c r="J62" i="129"/>
  <c r="K61" i="129" s="1"/>
  <c r="E7" i="71"/>
  <c r="C6" i="71"/>
  <c r="J7" i="71"/>
  <c r="K7" i="71" s="1"/>
  <c r="N8" i="2"/>
  <c r="IV9" i="2"/>
  <c r="C7" i="152"/>
  <c r="E8" i="152"/>
  <c r="J8" i="152"/>
  <c r="K8" i="152" s="1"/>
  <c r="K62" i="24"/>
  <c r="J60" i="105"/>
  <c r="I61" i="105"/>
  <c r="I63" i="68"/>
  <c r="J62" i="68"/>
  <c r="K62" i="135"/>
  <c r="I65" i="82"/>
  <c r="J64" i="82"/>
  <c r="I66" i="74"/>
  <c r="J65" i="74"/>
  <c r="K63" i="74"/>
  <c r="I61" i="174"/>
  <c r="J60" i="174"/>
  <c r="K58" i="160"/>
  <c r="I64" i="127"/>
  <c r="J63" i="127"/>
  <c r="J60" i="163"/>
  <c r="I61" i="163"/>
  <c r="I63" i="30"/>
  <c r="J62" i="30"/>
  <c r="I61" i="55"/>
  <c r="J60" i="55"/>
  <c r="C4" i="115"/>
  <c r="E5" i="115"/>
  <c r="J5" i="115"/>
  <c r="K5" i="115" s="1"/>
  <c r="J63" i="122"/>
  <c r="I64" i="122"/>
  <c r="K59" i="105"/>
  <c r="I63" i="157"/>
  <c r="J62" i="157"/>
  <c r="K59" i="162"/>
  <c r="AU9" i="1"/>
  <c r="D47" i="2"/>
  <c r="DU47" i="2"/>
  <c r="CC47" i="2"/>
  <c r="IW47" i="2"/>
  <c r="AK47" i="2"/>
  <c r="FB47" i="2"/>
  <c r="CY47" i="2"/>
  <c r="BG47" i="2"/>
  <c r="O47" i="2"/>
  <c r="DJ47" i="2"/>
  <c r="HP47" i="2"/>
  <c r="IL47" i="2"/>
  <c r="FM47" i="2"/>
  <c r="EQ47" i="2"/>
  <c r="EF47" i="2"/>
  <c r="IA47" i="2"/>
  <c r="GT47" i="2"/>
  <c r="AV47" i="2"/>
  <c r="CN47" i="2"/>
  <c r="Z47" i="2"/>
  <c r="HE47" i="2"/>
  <c r="BR47" i="2"/>
  <c r="FX47" i="2"/>
  <c r="E5" i="85"/>
  <c r="C4" i="85"/>
  <c r="J5" i="85"/>
  <c r="K5" i="85" s="1"/>
  <c r="I64" i="98"/>
  <c r="J63" i="98"/>
  <c r="I65" i="71"/>
  <c r="J64" i="71"/>
  <c r="K62" i="152"/>
  <c r="I66" i="75"/>
  <c r="J65" i="75"/>
  <c r="E4" i="34"/>
  <c r="C3" i="34"/>
  <c r="J4" i="34"/>
  <c r="K4" i="34" s="1"/>
  <c r="E6" i="128"/>
  <c r="C5" i="128"/>
  <c r="J6" i="128"/>
  <c r="K6" i="128" s="1"/>
  <c r="K62" i="127"/>
  <c r="K59" i="163"/>
  <c r="I62" i="67"/>
  <c r="J61" i="67"/>
  <c r="K60" i="67" s="1"/>
  <c r="K59" i="55"/>
  <c r="C4" i="84"/>
  <c r="E5" i="84"/>
  <c r="J5" i="84"/>
  <c r="K5" i="84" s="1"/>
  <c r="I64" i="62"/>
  <c r="J63" i="62"/>
  <c r="E8" i="92"/>
  <c r="C7" i="92"/>
  <c r="J8" i="92"/>
  <c r="K8" i="92" s="1"/>
  <c r="E8" i="58"/>
  <c r="C7" i="58"/>
  <c r="CA7" i="2" s="1"/>
  <c r="J8" i="58"/>
  <c r="K8" i="58" s="1"/>
  <c r="I61" i="130"/>
  <c r="J60" i="130"/>
  <c r="BE8" i="2"/>
  <c r="E8" i="7"/>
  <c r="AT8" i="1"/>
  <c r="C7" i="7"/>
  <c r="J8" i="7"/>
  <c r="K8" i="7" s="1"/>
  <c r="D47" i="1"/>
  <c r="Z47" i="1"/>
  <c r="O47" i="1"/>
  <c r="CC47" i="1"/>
  <c r="BR47" i="1"/>
  <c r="AV47" i="1"/>
  <c r="AK47" i="1"/>
  <c r="K63" i="71"/>
  <c r="C7" i="55"/>
  <c r="E8" i="55"/>
  <c r="J8" i="55"/>
  <c r="K8" i="55" s="1"/>
  <c r="I64" i="152"/>
  <c r="J63" i="152"/>
  <c r="K60" i="50"/>
  <c r="K64" i="75"/>
  <c r="K58" i="110"/>
  <c r="E6" i="126"/>
  <c r="C5" i="126"/>
  <c r="J6" i="126"/>
  <c r="K6" i="126" s="1"/>
  <c r="I61" i="140"/>
  <c r="J60" i="140"/>
  <c r="J61" i="131"/>
  <c r="I62" i="131"/>
  <c r="I62" i="5"/>
  <c r="J61" i="5"/>
  <c r="K62" i="62"/>
  <c r="J60" i="171"/>
  <c r="I61" i="171"/>
  <c r="I62" i="153"/>
  <c r="J61" i="153"/>
  <c r="E7" i="33"/>
  <c r="C6" i="33"/>
  <c r="M7" i="2"/>
  <c r="J7" i="33"/>
  <c r="K7" i="33" s="1"/>
  <c r="K62" i="48"/>
  <c r="K61" i="10"/>
  <c r="C7" i="107"/>
  <c r="E8" i="107"/>
  <c r="J8" i="107"/>
  <c r="K8" i="107" s="1"/>
  <c r="C6" i="95"/>
  <c r="E7" i="95"/>
  <c r="J7" i="95"/>
  <c r="K7" i="95" s="1"/>
  <c r="E7" i="41"/>
  <c r="C6" i="41"/>
  <c r="J7" i="41"/>
  <c r="K7" i="41" s="1"/>
  <c r="BG47" i="1"/>
  <c r="BF47" i="1"/>
  <c r="I61" i="65"/>
  <c r="J60" i="65"/>
  <c r="I65" i="27"/>
  <c r="J64" i="27"/>
  <c r="I62" i="88"/>
  <c r="J61" i="88"/>
  <c r="I62" i="50"/>
  <c r="J61" i="50"/>
  <c r="K59" i="96"/>
  <c r="K59" i="73"/>
  <c r="IJ8" i="2"/>
  <c r="K59" i="140"/>
  <c r="I66" i="134"/>
  <c r="J65" i="134"/>
  <c r="K64" i="134" s="1"/>
  <c r="EO8" i="2"/>
  <c r="C6" i="145"/>
  <c r="E7" i="145"/>
  <c r="J7" i="145"/>
  <c r="K7" i="145" s="1"/>
  <c r="C2" i="32"/>
  <c r="E3" i="32"/>
  <c r="J3" i="32"/>
  <c r="K3" i="32" s="1"/>
  <c r="C6" i="77"/>
  <c r="E7" i="77"/>
  <c r="J7" i="77"/>
  <c r="K7" i="77" s="1"/>
  <c r="I64" i="16"/>
  <c r="J63" i="16"/>
  <c r="I63" i="18"/>
  <c r="J62" i="18"/>
  <c r="J60" i="96"/>
  <c r="I61" i="96"/>
  <c r="J60" i="100"/>
  <c r="K59" i="100" s="1"/>
  <c r="I61" i="100"/>
  <c r="I62" i="86"/>
  <c r="J61" i="86"/>
  <c r="K60" i="86" s="1"/>
  <c r="E8" i="100"/>
  <c r="C7" i="100"/>
  <c r="J8" i="100"/>
  <c r="K8" i="100" s="1"/>
  <c r="C6" i="21"/>
  <c r="E7" i="21"/>
  <c r="J7" i="21"/>
  <c r="K7" i="21" s="1"/>
  <c r="C6" i="97"/>
  <c r="E7" i="97"/>
  <c r="EO7" i="2"/>
  <c r="J7" i="97"/>
  <c r="K7" i="97" s="1"/>
  <c r="C6" i="80"/>
  <c r="E7" i="80"/>
  <c r="J7" i="80"/>
  <c r="K7" i="80" s="1"/>
  <c r="E5" i="47"/>
  <c r="C4" i="47"/>
  <c r="J5" i="47"/>
  <c r="K5" i="47" s="1"/>
  <c r="C7" i="121"/>
  <c r="E8" i="121"/>
  <c r="J8" i="121"/>
  <c r="K8" i="121" s="1"/>
  <c r="HO8" i="2"/>
  <c r="C5" i="94"/>
  <c r="E6" i="94"/>
  <c r="J6" i="94"/>
  <c r="K6" i="94" s="1"/>
  <c r="J62" i="23"/>
  <c r="I63" i="23"/>
  <c r="J61" i="54"/>
  <c r="I62" i="54"/>
  <c r="J62" i="165"/>
  <c r="I63" i="165"/>
  <c r="I65" i="59"/>
  <c r="J64" i="59"/>
  <c r="K60" i="118"/>
  <c r="C45" i="24"/>
  <c r="E46" i="24"/>
  <c r="GG46" i="2"/>
  <c r="BE46" i="1"/>
  <c r="C46" i="1"/>
  <c r="C46" i="2"/>
  <c r="J46" i="24"/>
  <c r="K46" i="24" s="1"/>
  <c r="J60" i="90"/>
  <c r="I61" i="90"/>
  <c r="J63" i="156"/>
  <c r="I64" i="156"/>
  <c r="K61" i="152"/>
  <c r="I64" i="142"/>
  <c r="J63" i="142"/>
  <c r="K62" i="142" s="1"/>
  <c r="K61" i="18"/>
  <c r="E7" i="154"/>
  <c r="C6" i="154"/>
  <c r="J7" i="154"/>
  <c r="K7" i="154" s="1"/>
  <c r="IJ7" i="2"/>
  <c r="E7" i="117"/>
  <c r="C6" i="117"/>
  <c r="J7" i="117"/>
  <c r="K7" i="117" s="1"/>
  <c r="J62" i="28"/>
  <c r="I63" i="28"/>
  <c r="I63" i="149"/>
  <c r="J62" i="149"/>
  <c r="J62" i="124"/>
  <c r="K61" i="124" s="1"/>
  <c r="I63" i="124"/>
  <c r="K61" i="165"/>
  <c r="K63" i="59"/>
  <c r="K63" i="27"/>
  <c r="K61" i="23"/>
  <c r="J61" i="3"/>
  <c r="I62" i="3"/>
  <c r="E7" i="78"/>
  <c r="C6" i="78"/>
  <c r="J7" i="78"/>
  <c r="K7" i="78" s="1"/>
  <c r="I61" i="36"/>
  <c r="J60" i="36"/>
  <c r="K59" i="36" s="1"/>
  <c r="K59" i="90"/>
  <c r="I65" i="22"/>
  <c r="J64" i="22"/>
  <c r="I64" i="78"/>
  <c r="J63" i="78"/>
  <c r="K58" i="34"/>
  <c r="K63" i="75"/>
  <c r="I62" i="70"/>
  <c r="J61" i="70"/>
  <c r="K63" i="61"/>
  <c r="K61" i="28"/>
  <c r="C6" i="133"/>
  <c r="E7" i="133"/>
  <c r="J7" i="133"/>
  <c r="K7" i="133" s="1"/>
  <c r="DH7" i="2"/>
  <c r="I61" i="102"/>
  <c r="J60" i="102"/>
  <c r="J62" i="25"/>
  <c r="I63" i="25"/>
  <c r="C6" i="89"/>
  <c r="E7" i="89"/>
  <c r="J7" i="89"/>
  <c r="K7" i="89" s="1"/>
  <c r="HN7" i="2"/>
  <c r="I61" i="45"/>
  <c r="J60" i="45"/>
  <c r="E6" i="22"/>
  <c r="C5" i="22"/>
  <c r="J6" i="22"/>
  <c r="K6" i="22" s="1"/>
  <c r="K58" i="65"/>
  <c r="K61" i="98"/>
  <c r="K62" i="78"/>
  <c r="J61" i="104"/>
  <c r="I62" i="104"/>
  <c r="C6" i="76"/>
  <c r="E7" i="76"/>
  <c r="J7" i="76"/>
  <c r="K7" i="76" s="1"/>
  <c r="K60" i="70"/>
  <c r="DT7" i="2"/>
  <c r="I62" i="97"/>
  <c r="J61" i="97"/>
  <c r="CB9" i="1"/>
  <c r="I61" i="64"/>
  <c r="J60" i="64"/>
  <c r="K60" i="52"/>
  <c r="AU9" i="2"/>
  <c r="C3" i="105"/>
  <c r="E4" i="105"/>
  <c r="J4" i="105"/>
  <c r="K4" i="105" s="1"/>
  <c r="C4" i="127"/>
  <c r="E5" i="127"/>
  <c r="J5" i="127"/>
  <c r="K5" i="127" s="1"/>
  <c r="E6" i="74"/>
  <c r="C5" i="74"/>
  <c r="J6" i="74"/>
  <c r="K6" i="74" s="1"/>
  <c r="GI47" i="2"/>
  <c r="GH47" i="2"/>
  <c r="C7" i="109"/>
  <c r="E8" i="109"/>
  <c r="ED8" i="2"/>
  <c r="J8" i="109"/>
  <c r="K8" i="109" s="1"/>
  <c r="I61" i="146"/>
  <c r="J60" i="146"/>
  <c r="C4" i="123"/>
  <c r="E5" i="123"/>
  <c r="J5" i="123"/>
  <c r="K5" i="123" s="1"/>
  <c r="E8" i="49"/>
  <c r="C7" i="49"/>
  <c r="AI7" i="2" s="1"/>
  <c r="J8" i="49"/>
  <c r="K8" i="49" s="1"/>
  <c r="E3" i="138"/>
  <c r="C2" i="138"/>
  <c r="J3" i="138"/>
  <c r="K3" i="138" s="1"/>
  <c r="C4" i="61"/>
  <c r="E5" i="61"/>
  <c r="J5" i="61"/>
  <c r="K5" i="61" s="1"/>
  <c r="K62" i="27"/>
  <c r="I62" i="56"/>
  <c r="J61" i="56"/>
  <c r="K60" i="104"/>
  <c r="E5" i="37"/>
  <c r="C4" i="37"/>
  <c r="J5" i="37"/>
  <c r="K5" i="37" s="1"/>
  <c r="C5" i="18"/>
  <c r="E6" i="18"/>
  <c r="J6" i="18"/>
  <c r="K6" i="18" s="1"/>
  <c r="I65" i="42"/>
  <c r="J64" i="42"/>
  <c r="E8" i="6"/>
  <c r="C7" i="6"/>
  <c r="CA8" i="1"/>
  <c r="J62" i="63"/>
  <c r="K61" i="63" s="1"/>
  <c r="I63" i="63"/>
  <c r="K61" i="115"/>
  <c r="I62" i="52"/>
  <c r="J61" i="52"/>
  <c r="E8" i="50"/>
  <c r="C7" i="50"/>
  <c r="AT8" i="2"/>
  <c r="J8" i="50"/>
  <c r="K8" i="50" s="1"/>
  <c r="I63" i="83"/>
  <c r="J62" i="83"/>
  <c r="K62" i="156"/>
  <c r="C4" i="163"/>
  <c r="E5" i="163"/>
  <c r="J5" i="163"/>
  <c r="K5" i="163" s="1"/>
  <c r="FA8" i="2"/>
  <c r="J61" i="154"/>
  <c r="I62" i="154"/>
  <c r="C5" i="129"/>
  <c r="E6" i="129"/>
  <c r="J6" i="129"/>
  <c r="K6" i="129" s="1"/>
  <c r="DS6" i="2"/>
  <c r="I63" i="115"/>
  <c r="J62" i="115"/>
  <c r="CL8" i="2"/>
  <c r="GS9" i="2"/>
  <c r="K60" i="139"/>
  <c r="GS8" i="2"/>
  <c r="C4" i="149"/>
  <c r="E5" i="149"/>
  <c r="J5" i="149"/>
  <c r="K5" i="149" s="1"/>
  <c r="J61" i="144"/>
  <c r="I62" i="144"/>
  <c r="J63" i="101"/>
  <c r="I64" i="101"/>
  <c r="E5" i="106"/>
  <c r="C4" i="106"/>
  <c r="J5" i="106"/>
  <c r="K5" i="106" s="1"/>
  <c r="I64" i="136"/>
  <c r="J63" i="136"/>
  <c r="K62" i="136" s="1"/>
  <c r="J61" i="168"/>
  <c r="I62" i="168"/>
  <c r="K64" i="7"/>
  <c r="K60" i="87"/>
  <c r="HD9" i="2"/>
  <c r="I62" i="20"/>
  <c r="J61" i="20"/>
  <c r="J62" i="41"/>
  <c r="K61" i="41" s="1"/>
  <c r="I63" i="41"/>
  <c r="E4" i="131"/>
  <c r="C3" i="131"/>
  <c r="J4" i="131"/>
  <c r="K4" i="131" s="1"/>
  <c r="K62" i="22"/>
  <c r="C6" i="96"/>
  <c r="E7" i="96"/>
  <c r="J7" i="96"/>
  <c r="K7" i="96" s="1"/>
  <c r="FK8" i="2"/>
  <c r="K59" i="97"/>
  <c r="E7" i="151"/>
  <c r="C6" i="151"/>
  <c r="J7" i="151"/>
  <c r="K7" i="151" s="1"/>
  <c r="K61" i="92"/>
  <c r="K61" i="157"/>
  <c r="J60" i="34"/>
  <c r="K59" i="34" s="1"/>
  <c r="I61" i="34"/>
  <c r="I62" i="123"/>
  <c r="J61" i="123"/>
  <c r="K60" i="123" s="1"/>
  <c r="J61" i="151"/>
  <c r="I62" i="151"/>
  <c r="C6" i="122"/>
  <c r="E7" i="122"/>
  <c r="J7" i="122"/>
  <c r="K7" i="122" s="1"/>
  <c r="J65" i="7"/>
  <c r="I66" i="7"/>
  <c r="J61" i="87"/>
  <c r="I62" i="87"/>
  <c r="BQ9" i="1"/>
  <c r="C7" i="46"/>
  <c r="E8" i="46"/>
  <c r="J8" i="46"/>
  <c r="K8" i="46" s="1"/>
  <c r="AI8" i="1"/>
  <c r="K60" i="20"/>
  <c r="I61" i="8"/>
  <c r="J60" i="8"/>
  <c r="E7" i="134"/>
  <c r="C6" i="134"/>
  <c r="EZ7" i="2"/>
  <c r="J7" i="134"/>
  <c r="K7" i="134" s="1"/>
  <c r="E6" i="5"/>
  <c r="C5" i="5"/>
  <c r="J6" i="5"/>
  <c r="K6" i="5" s="1"/>
  <c r="C4" i="168"/>
  <c r="E5" i="168"/>
  <c r="J5" i="168"/>
  <c r="K5" i="168" s="1"/>
  <c r="E6" i="150"/>
  <c r="C5" i="150"/>
  <c r="J6" i="150"/>
  <c r="K6" i="150" s="1"/>
  <c r="C4" i="120"/>
  <c r="E5" i="120"/>
  <c r="J5" i="120"/>
  <c r="K5" i="120" s="1"/>
  <c r="E5" i="141"/>
  <c r="C4" i="141"/>
  <c r="J5" i="141"/>
  <c r="K5" i="141" s="1"/>
  <c r="E7" i="88"/>
  <c r="C6" i="88"/>
  <c r="J7" i="88"/>
  <c r="K7" i="88" s="1"/>
  <c r="K62" i="42"/>
  <c r="E7" i="63"/>
  <c r="C6" i="63"/>
  <c r="J7" i="63"/>
  <c r="K7" i="63" s="1"/>
  <c r="J62" i="92"/>
  <c r="I63" i="92"/>
  <c r="E6" i="19"/>
  <c r="C5" i="19"/>
  <c r="J6" i="19"/>
  <c r="K6" i="19" s="1"/>
  <c r="E8" i="90"/>
  <c r="C7" i="90"/>
  <c r="CL7" i="2" s="1"/>
  <c r="J8" i="90"/>
  <c r="K8" i="90" s="1"/>
  <c r="EE9" i="2"/>
  <c r="K60" i="25"/>
  <c r="C4" i="86"/>
  <c r="E5" i="86"/>
  <c r="J5" i="86"/>
  <c r="K5" i="86" s="1"/>
  <c r="E6" i="116"/>
  <c r="C5" i="116"/>
  <c r="J6" i="116"/>
  <c r="K6" i="116" s="1"/>
  <c r="C7" i="8"/>
  <c r="E8" i="8"/>
  <c r="HC8" i="2"/>
  <c r="BP8" i="1"/>
  <c r="J8" i="8"/>
  <c r="K8" i="8" s="1"/>
  <c r="I62" i="80"/>
  <c r="J61" i="80"/>
  <c r="K59" i="54"/>
  <c r="K61" i="113"/>
  <c r="C5" i="104"/>
  <c r="E6" i="104"/>
  <c r="J6" i="104"/>
  <c r="K6" i="104" s="1"/>
  <c r="K62" i="82"/>
  <c r="E4" i="102"/>
  <c r="C3" i="102"/>
  <c r="J4" i="102"/>
  <c r="K4" i="102" s="1"/>
  <c r="E3" i="30"/>
  <c r="C2" i="30"/>
  <c r="J3" i="30"/>
  <c r="K3" i="30" s="1"/>
  <c r="C2" i="166"/>
  <c r="E3" i="166"/>
  <c r="J3" i="166"/>
  <c r="K3" i="166" s="1"/>
  <c r="J62" i="173"/>
  <c r="I63" i="173"/>
  <c r="J60" i="147"/>
  <c r="I61" i="147"/>
  <c r="K58" i="147"/>
  <c r="J61" i="116"/>
  <c r="I62" i="116"/>
  <c r="E8" i="14"/>
  <c r="C7" i="14"/>
  <c r="J8" i="14"/>
  <c r="K8" i="14" s="1"/>
  <c r="AJ8" i="2"/>
  <c r="J62" i="60"/>
  <c r="K61" i="60" s="1"/>
  <c r="I63" i="60"/>
  <c r="K60" i="88"/>
  <c r="E6" i="9"/>
  <c r="C5" i="9"/>
  <c r="J6" i="9"/>
  <c r="K6" i="9" s="1"/>
  <c r="J61" i="76"/>
  <c r="K60" i="76" s="1"/>
  <c r="I62" i="76"/>
  <c r="K60" i="151"/>
  <c r="I63" i="37"/>
  <c r="J62" i="37"/>
  <c r="K61" i="37" s="1"/>
  <c r="I66" i="145"/>
  <c r="J65" i="145"/>
  <c r="I62" i="57"/>
  <c r="J61" i="57"/>
  <c r="K60" i="57" s="1"/>
  <c r="K59" i="146"/>
  <c r="I62" i="138"/>
  <c r="J61" i="138"/>
  <c r="K64" i="46"/>
  <c r="K61" i="149"/>
  <c r="J60" i="95"/>
  <c r="I61" i="95"/>
  <c r="C5" i="161"/>
  <c r="E6" i="161"/>
  <c r="J6" i="161"/>
  <c r="K6" i="161" s="1"/>
  <c r="K60" i="153"/>
  <c r="K60" i="113"/>
  <c r="I63" i="113"/>
  <c r="J62" i="113"/>
  <c r="J61" i="162"/>
  <c r="K60" i="162" s="1"/>
  <c r="I62" i="162"/>
  <c r="K59" i="47"/>
  <c r="HZ8" i="2"/>
  <c r="I65" i="94"/>
  <c r="J64" i="94"/>
  <c r="K63" i="94" s="1"/>
  <c r="E8" i="158"/>
  <c r="C7" i="158"/>
  <c r="J8" i="158"/>
  <c r="K8" i="158" s="1"/>
  <c r="J63" i="128"/>
  <c r="I64" i="128"/>
  <c r="K61" i="142"/>
  <c r="E4" i="111"/>
  <c r="C3" i="111"/>
  <c r="J4" i="111"/>
  <c r="K4" i="111" s="1"/>
  <c r="K60" i="49"/>
  <c r="K61" i="173"/>
  <c r="K59" i="91"/>
  <c r="CX6" i="2" l="1"/>
  <c r="CM7" i="2"/>
  <c r="AJ7" i="2"/>
  <c r="CB7" i="2"/>
  <c r="EP8" i="2"/>
  <c r="K63" i="127"/>
  <c r="K63" i="9"/>
  <c r="C3" i="40"/>
  <c r="E4" i="40"/>
  <c r="J4" i="40"/>
  <c r="K4" i="40" s="1"/>
  <c r="K60" i="125"/>
  <c r="K59" i="125"/>
  <c r="C6" i="12"/>
  <c r="E7" i="12"/>
  <c r="X7" i="2"/>
  <c r="M7" i="1"/>
  <c r="J7" i="12"/>
  <c r="K7" i="12" s="1"/>
  <c r="I63" i="53"/>
  <c r="J62" i="53"/>
  <c r="J61" i="112"/>
  <c r="I62" i="112"/>
  <c r="C4" i="64"/>
  <c r="E5" i="64"/>
  <c r="J5" i="64"/>
  <c r="K5" i="64" s="1"/>
  <c r="E4" i="124"/>
  <c r="C3" i="124"/>
  <c r="J4" i="124"/>
  <c r="K4" i="124" s="1"/>
  <c r="I65" i="127"/>
  <c r="J64" i="127"/>
  <c r="I65" i="9"/>
  <c r="J64" i="9"/>
  <c r="J61" i="125"/>
  <c r="I62" i="125"/>
  <c r="I62" i="38"/>
  <c r="J61" i="38"/>
  <c r="J63" i="113"/>
  <c r="I64" i="113"/>
  <c r="J66" i="7"/>
  <c r="I67" i="7"/>
  <c r="J67" i="7" s="1"/>
  <c r="E5" i="74"/>
  <c r="C4" i="74"/>
  <c r="J5" i="74"/>
  <c r="K5" i="74" s="1"/>
  <c r="I63" i="56"/>
  <c r="J62" i="56"/>
  <c r="K60" i="45"/>
  <c r="D46" i="1"/>
  <c r="BR46" i="1"/>
  <c r="CC46" i="1"/>
  <c r="AK46" i="1"/>
  <c r="AV46" i="1"/>
  <c r="Z46" i="1"/>
  <c r="O46" i="1"/>
  <c r="J66" i="134"/>
  <c r="K66" i="134" s="1"/>
  <c r="I67" i="134"/>
  <c r="J67" i="134" s="1"/>
  <c r="E5" i="128"/>
  <c r="C4" i="128"/>
  <c r="J5" i="128"/>
  <c r="K5" i="128" s="1"/>
  <c r="K62" i="9"/>
  <c r="I62" i="17"/>
  <c r="J61" i="17"/>
  <c r="E2" i="156"/>
  <c r="F67" i="156"/>
  <c r="J2" i="156"/>
  <c r="K2" i="156" s="1"/>
  <c r="C6" i="56"/>
  <c r="E7" i="56"/>
  <c r="J7" i="56"/>
  <c r="K7" i="56" s="1"/>
  <c r="E7" i="170"/>
  <c r="C6" i="170"/>
  <c r="J7" i="170"/>
  <c r="K7" i="170" s="1"/>
  <c r="K60" i="38"/>
  <c r="J63" i="99"/>
  <c r="I64" i="99"/>
  <c r="E7" i="28"/>
  <c r="C6" i="28"/>
  <c r="J7" i="28"/>
  <c r="K7" i="28" s="1"/>
  <c r="J66" i="133"/>
  <c r="K66" i="133" s="1"/>
  <c r="I67" i="133"/>
  <c r="J67" i="133" s="1"/>
  <c r="E6" i="114"/>
  <c r="C5" i="114"/>
  <c r="J6" i="114"/>
  <c r="K6" i="114" s="1"/>
  <c r="E7" i="27"/>
  <c r="C6" i="27"/>
  <c r="J7" i="27"/>
  <c r="K7" i="27" s="1"/>
  <c r="K60" i="91"/>
  <c r="E5" i="22"/>
  <c r="C4" i="22"/>
  <c r="J5" i="22"/>
  <c r="K5" i="22" s="1"/>
  <c r="J61" i="45"/>
  <c r="I62" i="45"/>
  <c r="I63" i="3"/>
  <c r="J62" i="3"/>
  <c r="K61" i="3" s="1"/>
  <c r="BF46" i="1"/>
  <c r="BG46" i="1"/>
  <c r="E6" i="97"/>
  <c r="C5" i="97"/>
  <c r="J6" i="97"/>
  <c r="K6" i="97" s="1"/>
  <c r="N7" i="2"/>
  <c r="K60" i="17"/>
  <c r="J61" i="166"/>
  <c r="I62" i="166"/>
  <c r="I63" i="106"/>
  <c r="J62" i="106"/>
  <c r="K61" i="106" s="1"/>
  <c r="K60" i="170"/>
  <c r="I62" i="91"/>
  <c r="J61" i="91"/>
  <c r="E4" i="120"/>
  <c r="C3" i="120"/>
  <c r="J4" i="120"/>
  <c r="K4" i="120" s="1"/>
  <c r="E4" i="127"/>
  <c r="C3" i="127"/>
  <c r="J4" i="127"/>
  <c r="K4" i="127" s="1"/>
  <c r="GI46" i="2"/>
  <c r="GH46" i="2"/>
  <c r="IK8" i="2"/>
  <c r="E6" i="33"/>
  <c r="C5" i="33"/>
  <c r="J6" i="33"/>
  <c r="K6" i="33" s="1"/>
  <c r="K60" i="174"/>
  <c r="I63" i="73"/>
  <c r="J62" i="73"/>
  <c r="K61" i="73" s="1"/>
  <c r="C5" i="132"/>
  <c r="E6" i="132"/>
  <c r="J6" i="132"/>
  <c r="K6" i="132" s="1"/>
  <c r="I67" i="12"/>
  <c r="J67" i="12" s="1"/>
  <c r="J66" i="12"/>
  <c r="K66" i="12" s="1"/>
  <c r="E5" i="130"/>
  <c r="C4" i="130"/>
  <c r="J5" i="130"/>
  <c r="K5" i="130" s="1"/>
  <c r="K60" i="81"/>
  <c r="E7" i="174"/>
  <c r="C6" i="174"/>
  <c r="J7" i="174"/>
  <c r="K7" i="174" s="1"/>
  <c r="K62" i="118"/>
  <c r="K61" i="99"/>
  <c r="K62" i="72"/>
  <c r="HO7" i="2"/>
  <c r="J62" i="151"/>
  <c r="I63" i="151"/>
  <c r="E3" i="34"/>
  <c r="C2" i="34"/>
  <c r="J3" i="34"/>
  <c r="K3" i="34" s="1"/>
  <c r="I62" i="174"/>
  <c r="J61" i="174"/>
  <c r="K60" i="160"/>
  <c r="E6" i="44"/>
  <c r="C5" i="44"/>
  <c r="J6" i="44"/>
  <c r="K6" i="44" s="1"/>
  <c r="I62" i="81"/>
  <c r="J61" i="81"/>
  <c r="I64" i="118"/>
  <c r="J63" i="118"/>
  <c r="I63" i="121"/>
  <c r="J62" i="121"/>
  <c r="K61" i="121" s="1"/>
  <c r="I62" i="35"/>
  <c r="J61" i="35"/>
  <c r="I62" i="58"/>
  <c r="J61" i="58"/>
  <c r="K60" i="58" s="1"/>
  <c r="I64" i="72"/>
  <c r="J63" i="72"/>
  <c r="E3" i="43"/>
  <c r="C2" i="43"/>
  <c r="J3" i="43"/>
  <c r="K3" i="43" s="1"/>
  <c r="E5" i="161"/>
  <c r="C4" i="161"/>
  <c r="J5" i="161"/>
  <c r="K5" i="161" s="1"/>
  <c r="I62" i="95"/>
  <c r="J61" i="95"/>
  <c r="I62" i="147"/>
  <c r="J61" i="147"/>
  <c r="E5" i="150"/>
  <c r="C4" i="150"/>
  <c r="J5" i="150"/>
  <c r="K5" i="150" s="1"/>
  <c r="K61" i="151"/>
  <c r="C3" i="163"/>
  <c r="E4" i="163"/>
  <c r="J4" i="163"/>
  <c r="K4" i="163" s="1"/>
  <c r="E45" i="24"/>
  <c r="C44" i="24"/>
  <c r="GG45" i="2"/>
  <c r="BE45" i="1"/>
  <c r="C45" i="2"/>
  <c r="C45" i="1"/>
  <c r="J45" i="24"/>
  <c r="K45" i="24" s="1"/>
  <c r="J61" i="160"/>
  <c r="I62" i="160"/>
  <c r="K62" i="44"/>
  <c r="E6" i="101"/>
  <c r="C5" i="101"/>
  <c r="J6" i="101"/>
  <c r="K6" i="101" s="1"/>
  <c r="E5" i="148"/>
  <c r="C4" i="148"/>
  <c r="J5" i="148"/>
  <c r="K5" i="148" s="1"/>
  <c r="I65" i="172"/>
  <c r="J64" i="172"/>
  <c r="Y8" i="1"/>
  <c r="C3" i="72"/>
  <c r="E4" i="72"/>
  <c r="J4" i="72"/>
  <c r="K4" i="72" s="1"/>
  <c r="J62" i="33"/>
  <c r="I63" i="33"/>
  <c r="E4" i="86"/>
  <c r="C3" i="86"/>
  <c r="J4" i="86"/>
  <c r="K4" i="86" s="1"/>
  <c r="K60" i="168"/>
  <c r="C3" i="61"/>
  <c r="J4" i="61"/>
  <c r="K4" i="61" s="1"/>
  <c r="E4" i="61"/>
  <c r="E3" i="105"/>
  <c r="C2" i="105"/>
  <c r="J3" i="105"/>
  <c r="K3" i="105" s="1"/>
  <c r="C5" i="89"/>
  <c r="E6" i="89"/>
  <c r="J6" i="89"/>
  <c r="K6" i="89" s="1"/>
  <c r="E6" i="21"/>
  <c r="C5" i="21"/>
  <c r="J6" i="21"/>
  <c r="K6" i="21" s="1"/>
  <c r="J62" i="153"/>
  <c r="I63" i="153"/>
  <c r="E7" i="7"/>
  <c r="C6" i="7"/>
  <c r="AT7" i="1"/>
  <c r="J7" i="7"/>
  <c r="K7" i="7" s="1"/>
  <c r="I63" i="119"/>
  <c r="J62" i="119"/>
  <c r="J63" i="44"/>
  <c r="I64" i="44"/>
  <c r="E6" i="23"/>
  <c r="C5" i="23"/>
  <c r="J6" i="23"/>
  <c r="K6" i="23" s="1"/>
  <c r="E2" i="87"/>
  <c r="F67" i="87"/>
  <c r="J2" i="87"/>
  <c r="K2" i="87" s="1"/>
  <c r="E6" i="153"/>
  <c r="C5" i="153"/>
  <c r="J6" i="153"/>
  <c r="K6" i="153" s="1"/>
  <c r="J63" i="159"/>
  <c r="K62" i="159" s="1"/>
  <c r="I64" i="159"/>
  <c r="K61" i="33"/>
  <c r="K65" i="134"/>
  <c r="J61" i="171"/>
  <c r="K60" i="171" s="1"/>
  <c r="I62" i="171"/>
  <c r="AU8" i="1"/>
  <c r="J66" i="75"/>
  <c r="K65" i="75" s="1"/>
  <c r="I67" i="75"/>
  <c r="J67" i="75" s="1"/>
  <c r="I67" i="74"/>
  <c r="J67" i="74" s="1"/>
  <c r="J66" i="74"/>
  <c r="K66" i="74" s="1"/>
  <c r="K61" i="119"/>
  <c r="FW8" i="2"/>
  <c r="C3" i="173"/>
  <c r="E4" i="173"/>
  <c r="J4" i="173"/>
  <c r="K4" i="173" s="1"/>
  <c r="C6" i="29"/>
  <c r="E7" i="29"/>
  <c r="J7" i="29"/>
  <c r="K7" i="29" s="1"/>
  <c r="X7" i="1"/>
  <c r="E5" i="112"/>
  <c r="C4" i="112"/>
  <c r="J5" i="112"/>
  <c r="K5" i="112" s="1"/>
  <c r="E6" i="35"/>
  <c r="C5" i="35"/>
  <c r="J6" i="35"/>
  <c r="K6" i="35" s="1"/>
  <c r="E6" i="147"/>
  <c r="C5" i="147"/>
  <c r="J6" i="147"/>
  <c r="K6" i="147" s="1"/>
  <c r="J64" i="136"/>
  <c r="I65" i="136"/>
  <c r="I64" i="25"/>
  <c r="J63" i="25"/>
  <c r="K62" i="173"/>
  <c r="I63" i="123"/>
  <c r="J62" i="123"/>
  <c r="K62" i="25"/>
  <c r="C6" i="100"/>
  <c r="E7" i="100"/>
  <c r="J7" i="100"/>
  <c r="K7" i="100" s="1"/>
  <c r="K59" i="174"/>
  <c r="I62" i="69"/>
  <c r="J61" i="69"/>
  <c r="K60" i="69" s="1"/>
  <c r="C3" i="69"/>
  <c r="E4" i="69"/>
  <c r="J4" i="69"/>
  <c r="K4" i="69" s="1"/>
  <c r="E6" i="31"/>
  <c r="C5" i="31"/>
  <c r="J6" i="31"/>
  <c r="K6" i="31" s="1"/>
  <c r="C4" i="137"/>
  <c r="E5" i="137"/>
  <c r="J5" i="137"/>
  <c r="K5" i="137" s="1"/>
  <c r="J64" i="26"/>
  <c r="I65" i="26"/>
  <c r="C6" i="155"/>
  <c r="E7" i="155"/>
  <c r="J7" i="155"/>
  <c r="K7" i="155" s="1"/>
  <c r="D46" i="2"/>
  <c r="DU46" i="2"/>
  <c r="CY46" i="2"/>
  <c r="AK46" i="2"/>
  <c r="EQ46" i="2"/>
  <c r="CC46" i="2"/>
  <c r="FM46" i="2"/>
  <c r="HP46" i="2"/>
  <c r="FB46" i="2"/>
  <c r="IL46" i="2"/>
  <c r="DJ46" i="2"/>
  <c r="HE46" i="2"/>
  <c r="CN46" i="2"/>
  <c r="IA46" i="2"/>
  <c r="O46" i="2"/>
  <c r="GT46" i="2"/>
  <c r="IW46" i="2"/>
  <c r="Z46" i="2"/>
  <c r="FX46" i="2"/>
  <c r="AV46" i="2"/>
  <c r="EF46" i="2"/>
  <c r="BR46" i="2"/>
  <c r="BG46" i="2"/>
  <c r="K60" i="102"/>
  <c r="BF8" i="2"/>
  <c r="J65" i="82"/>
  <c r="I66" i="82"/>
  <c r="E6" i="140"/>
  <c r="C5" i="140"/>
  <c r="J6" i="140"/>
  <c r="K6" i="140" s="1"/>
  <c r="C4" i="144"/>
  <c r="E5" i="144"/>
  <c r="J5" i="144"/>
  <c r="K5" i="144" s="1"/>
  <c r="K61" i="4"/>
  <c r="J62" i="126"/>
  <c r="I63" i="126"/>
  <c r="E5" i="57"/>
  <c r="C4" i="57"/>
  <c r="J5" i="57"/>
  <c r="K5" i="57" s="1"/>
  <c r="E7" i="8"/>
  <c r="C6" i="8"/>
  <c r="HC7" i="2"/>
  <c r="BP7" i="1"/>
  <c r="J7" i="8"/>
  <c r="K7" i="8" s="1"/>
  <c r="J61" i="102"/>
  <c r="I62" i="102"/>
  <c r="I64" i="165"/>
  <c r="J63" i="165"/>
  <c r="K61" i="86"/>
  <c r="K64" i="71"/>
  <c r="C5" i="162"/>
  <c r="E6" i="162"/>
  <c r="J6" i="162"/>
  <c r="K6" i="162" s="1"/>
  <c r="E7" i="42"/>
  <c r="C6" i="42"/>
  <c r="J7" i="42"/>
  <c r="K7" i="42" s="1"/>
  <c r="FV7" i="2"/>
  <c r="E4" i="73"/>
  <c r="C3" i="73"/>
  <c r="J4" i="73"/>
  <c r="K4" i="73" s="1"/>
  <c r="E5" i="11"/>
  <c r="C4" i="11"/>
  <c r="J5" i="11"/>
  <c r="K5" i="11" s="1"/>
  <c r="J62" i="4"/>
  <c r="I63" i="4"/>
  <c r="K61" i="126"/>
  <c r="E5" i="4"/>
  <c r="C4" i="4"/>
  <c r="J5" i="4"/>
  <c r="K5" i="4" s="1"/>
  <c r="AI7" i="1"/>
  <c r="F67" i="166"/>
  <c r="E2" i="166"/>
  <c r="J2" i="166"/>
  <c r="K2" i="166" s="1"/>
  <c r="J64" i="101"/>
  <c r="I65" i="101"/>
  <c r="AU8" i="2"/>
  <c r="I62" i="64"/>
  <c r="J61" i="64"/>
  <c r="DI7" i="2"/>
  <c r="K62" i="165"/>
  <c r="I63" i="86"/>
  <c r="J62" i="86"/>
  <c r="K61" i="88"/>
  <c r="I63" i="5"/>
  <c r="J62" i="5"/>
  <c r="I62" i="130"/>
  <c r="J61" i="130"/>
  <c r="J65" i="71"/>
  <c r="I66" i="71"/>
  <c r="K62" i="157"/>
  <c r="K59" i="160"/>
  <c r="K61" i="137"/>
  <c r="E5" i="135"/>
  <c r="C4" i="135"/>
  <c r="J5" i="135"/>
  <c r="K5" i="135" s="1"/>
  <c r="E5" i="113"/>
  <c r="C4" i="113"/>
  <c r="J5" i="113"/>
  <c r="K5" i="113" s="1"/>
  <c r="I63" i="84"/>
  <c r="J62" i="84"/>
  <c r="J62" i="111"/>
  <c r="K61" i="111" s="1"/>
  <c r="I63" i="111"/>
  <c r="C6" i="91"/>
  <c r="E7" i="91"/>
  <c r="J7" i="91"/>
  <c r="K7" i="91" s="1"/>
  <c r="BQ8" i="2"/>
  <c r="K61" i="49"/>
  <c r="J62" i="50"/>
  <c r="K61" i="50" s="1"/>
  <c r="I63" i="50"/>
  <c r="K63" i="101"/>
  <c r="E7" i="50"/>
  <c r="C6" i="50"/>
  <c r="AT7" i="2"/>
  <c r="J7" i="50"/>
  <c r="K7" i="50" s="1"/>
  <c r="E7" i="49"/>
  <c r="C6" i="49"/>
  <c r="J7" i="49"/>
  <c r="K7" i="49" s="1"/>
  <c r="I64" i="149"/>
  <c r="J63" i="149"/>
  <c r="J62" i="54"/>
  <c r="I63" i="54"/>
  <c r="J61" i="100"/>
  <c r="I62" i="100"/>
  <c r="I63" i="88"/>
  <c r="J62" i="88"/>
  <c r="I63" i="131"/>
  <c r="J62" i="131"/>
  <c r="I64" i="157"/>
  <c r="J63" i="157"/>
  <c r="C5" i="108"/>
  <c r="E6" i="108"/>
  <c r="J6" i="108"/>
  <c r="K6" i="108" s="1"/>
  <c r="K60" i="119"/>
  <c r="E7" i="53"/>
  <c r="C6" i="53"/>
  <c r="J7" i="53"/>
  <c r="K7" i="53" s="1"/>
  <c r="J62" i="137"/>
  <c r="I63" i="137"/>
  <c r="I65" i="117"/>
  <c r="J64" i="117"/>
  <c r="K63" i="117" s="1"/>
  <c r="K61" i="31"/>
  <c r="C4" i="17"/>
  <c r="E5" i="17"/>
  <c r="J5" i="17"/>
  <c r="K5" i="17" s="1"/>
  <c r="K61" i="84"/>
  <c r="I63" i="103"/>
  <c r="J62" i="103"/>
  <c r="K61" i="103" s="1"/>
  <c r="C6" i="52"/>
  <c r="E7" i="52"/>
  <c r="BP7" i="2"/>
  <c r="J7" i="52"/>
  <c r="K7" i="52" s="1"/>
  <c r="K60" i="143"/>
  <c r="I63" i="49"/>
  <c r="J62" i="49"/>
  <c r="K60" i="147"/>
  <c r="C3" i="168"/>
  <c r="E4" i="168"/>
  <c r="J4" i="168"/>
  <c r="K4" i="168" s="1"/>
  <c r="I64" i="28"/>
  <c r="J63" i="28"/>
  <c r="K60" i="100"/>
  <c r="K64" i="27"/>
  <c r="K61" i="131"/>
  <c r="E7" i="58"/>
  <c r="C6" i="58"/>
  <c r="J7" i="58"/>
  <c r="K7" i="58" s="1"/>
  <c r="I65" i="98"/>
  <c r="J64" i="98"/>
  <c r="K62" i="101"/>
  <c r="J63" i="68"/>
  <c r="I64" i="68"/>
  <c r="E3" i="165"/>
  <c r="C2" i="165"/>
  <c r="J3" i="165"/>
  <c r="K3" i="165" s="1"/>
  <c r="J62" i="31"/>
  <c r="I63" i="31"/>
  <c r="E5" i="75"/>
  <c r="C4" i="75"/>
  <c r="J5" i="75"/>
  <c r="K5" i="75" s="1"/>
  <c r="I62" i="143"/>
  <c r="J61" i="143"/>
  <c r="E6" i="151"/>
  <c r="C5" i="151"/>
  <c r="J6" i="151"/>
  <c r="K6" i="151" s="1"/>
  <c r="K61" i="52"/>
  <c r="K60" i="138"/>
  <c r="E6" i="133"/>
  <c r="C5" i="133"/>
  <c r="J6" i="133"/>
  <c r="K6" i="133" s="1"/>
  <c r="DH6" i="2"/>
  <c r="K62" i="28"/>
  <c r="I64" i="23"/>
  <c r="J63" i="23"/>
  <c r="I62" i="96"/>
  <c r="J61" i="96"/>
  <c r="I66" i="27"/>
  <c r="J65" i="27"/>
  <c r="K60" i="140"/>
  <c r="K61" i="83"/>
  <c r="I62" i="105"/>
  <c r="J61" i="105"/>
  <c r="E7" i="3"/>
  <c r="C6" i="3"/>
  <c r="J7" i="3"/>
  <c r="K7" i="3" s="1"/>
  <c r="J64" i="132"/>
  <c r="I65" i="132"/>
  <c r="K59" i="58"/>
  <c r="K61" i="56"/>
  <c r="E5" i="116"/>
  <c r="C4" i="116"/>
  <c r="J5" i="116"/>
  <c r="K5" i="116" s="1"/>
  <c r="I64" i="173"/>
  <c r="J63" i="173"/>
  <c r="I62" i="34"/>
  <c r="J61" i="34"/>
  <c r="FA7" i="2"/>
  <c r="J62" i="52"/>
  <c r="I63" i="52"/>
  <c r="K62" i="23"/>
  <c r="K60" i="65"/>
  <c r="I62" i="140"/>
  <c r="J61" i="140"/>
  <c r="E4" i="85"/>
  <c r="C3" i="85"/>
  <c r="J4" i="85"/>
  <c r="K4" i="85" s="1"/>
  <c r="K61" i="25"/>
  <c r="K60" i="105"/>
  <c r="C5" i="20"/>
  <c r="E6" i="20"/>
  <c r="J6" i="20"/>
  <c r="K6" i="20" s="1"/>
  <c r="F67" i="157"/>
  <c r="E2" i="157"/>
  <c r="J2" i="157"/>
  <c r="K2" i="157" s="1"/>
  <c r="J63" i="93"/>
  <c r="I64" i="93"/>
  <c r="E3" i="45"/>
  <c r="C2" i="45"/>
  <c r="J3" i="45"/>
  <c r="K3" i="45" s="1"/>
  <c r="C6" i="136"/>
  <c r="E7" i="136"/>
  <c r="J7" i="136"/>
  <c r="K7" i="136" s="1"/>
  <c r="C4" i="118"/>
  <c r="E5" i="118"/>
  <c r="J5" i="118"/>
  <c r="K5" i="118" s="1"/>
  <c r="I63" i="168"/>
  <c r="J62" i="168"/>
  <c r="K61" i="168" s="1"/>
  <c r="J62" i="97"/>
  <c r="I63" i="97"/>
  <c r="K59" i="64"/>
  <c r="E6" i="117"/>
  <c r="C5" i="117"/>
  <c r="J6" i="117"/>
  <c r="K6" i="117" s="1"/>
  <c r="J61" i="65"/>
  <c r="I62" i="65"/>
  <c r="C6" i="92"/>
  <c r="E7" i="92"/>
  <c r="J7" i="92"/>
  <c r="K7" i="92" s="1"/>
  <c r="K60" i="144"/>
  <c r="I67" i="15"/>
  <c r="J67" i="15" s="1"/>
  <c r="J66" i="15"/>
  <c r="I64" i="158"/>
  <c r="J63" i="158"/>
  <c r="E7" i="172"/>
  <c r="C6" i="172"/>
  <c r="J7" i="172"/>
  <c r="K7" i="172" s="1"/>
  <c r="K60" i="121"/>
  <c r="I67" i="61"/>
  <c r="J67" i="61" s="1"/>
  <c r="J66" i="61"/>
  <c r="K66" i="61" s="1"/>
  <c r="HD8" i="2"/>
  <c r="I64" i="124"/>
  <c r="J63" i="124"/>
  <c r="J63" i="37"/>
  <c r="K62" i="37" s="1"/>
  <c r="I64" i="37"/>
  <c r="I64" i="92"/>
  <c r="J63" i="92"/>
  <c r="K62" i="92" s="1"/>
  <c r="FL8" i="2"/>
  <c r="E4" i="149"/>
  <c r="C3" i="149"/>
  <c r="J4" i="149"/>
  <c r="K4" i="149" s="1"/>
  <c r="I64" i="63"/>
  <c r="J63" i="63"/>
  <c r="E4" i="123"/>
  <c r="C3" i="123"/>
  <c r="J4" i="123"/>
  <c r="K4" i="123" s="1"/>
  <c r="K60" i="97"/>
  <c r="J63" i="18"/>
  <c r="I64" i="18"/>
  <c r="K61" i="68"/>
  <c r="J63" i="167"/>
  <c r="I64" i="167"/>
  <c r="E6" i="48"/>
  <c r="C5" i="48"/>
  <c r="J6" i="48"/>
  <c r="K6" i="48" s="1"/>
  <c r="E7" i="143"/>
  <c r="C6" i="143"/>
  <c r="J7" i="143"/>
  <c r="K7" i="143" s="1"/>
  <c r="C3" i="39"/>
  <c r="E4" i="39"/>
  <c r="J4" i="39"/>
  <c r="K4" i="39" s="1"/>
  <c r="K65" i="15"/>
  <c r="E5" i="66"/>
  <c r="C4" i="66"/>
  <c r="J5" i="66"/>
  <c r="K5" i="66" s="1"/>
  <c r="J61" i="110"/>
  <c r="K60" i="110" s="1"/>
  <c r="I62" i="110"/>
  <c r="E4" i="159"/>
  <c r="C3" i="159"/>
  <c r="J4" i="159"/>
  <c r="K4" i="159" s="1"/>
  <c r="E6" i="10"/>
  <c r="C5" i="10"/>
  <c r="J6" i="10"/>
  <c r="K6" i="10" s="1"/>
  <c r="E5" i="99"/>
  <c r="C4" i="99"/>
  <c r="J5" i="99"/>
  <c r="K5" i="99" s="1"/>
  <c r="E6" i="78"/>
  <c r="C5" i="78"/>
  <c r="J6" i="78"/>
  <c r="K6" i="78" s="1"/>
  <c r="EP7" i="2"/>
  <c r="I64" i="83"/>
  <c r="J63" i="83"/>
  <c r="K60" i="8"/>
  <c r="IK7" i="2"/>
  <c r="E5" i="94"/>
  <c r="C4" i="94"/>
  <c r="J5" i="94"/>
  <c r="K5" i="94" s="1"/>
  <c r="C4" i="126"/>
  <c r="E5" i="126"/>
  <c r="J5" i="126"/>
  <c r="K5" i="126" s="1"/>
  <c r="K59" i="102"/>
  <c r="I64" i="66"/>
  <c r="J63" i="66"/>
  <c r="K62" i="66" s="1"/>
  <c r="I63" i="108"/>
  <c r="J62" i="108"/>
  <c r="E4" i="171"/>
  <c r="C3" i="171"/>
  <c r="J4" i="171"/>
  <c r="K4" i="171" s="1"/>
  <c r="E6" i="134"/>
  <c r="C5" i="134"/>
  <c r="EZ6" i="2"/>
  <c r="J6" i="134"/>
  <c r="K6" i="134" s="1"/>
  <c r="I65" i="128"/>
  <c r="J64" i="128"/>
  <c r="K63" i="128" s="1"/>
  <c r="K62" i="128"/>
  <c r="CB8" i="1"/>
  <c r="J61" i="146"/>
  <c r="I62" i="146"/>
  <c r="K59" i="65"/>
  <c r="K59" i="171"/>
  <c r="I65" i="122"/>
  <c r="J64" i="122"/>
  <c r="K63" i="122" s="1"/>
  <c r="E7" i="152"/>
  <c r="C6" i="152"/>
  <c r="J7" i="152"/>
  <c r="K7" i="152" s="1"/>
  <c r="K59" i="17"/>
  <c r="K63" i="77"/>
  <c r="C3" i="26"/>
  <c r="E4" i="26"/>
  <c r="J4" i="26"/>
  <c r="K4" i="26" s="1"/>
  <c r="K59" i="110"/>
  <c r="C5" i="142"/>
  <c r="E6" i="142"/>
  <c r="J6" i="142"/>
  <c r="K6" i="142" s="1"/>
  <c r="E7" i="93"/>
  <c r="C6" i="93"/>
  <c r="J7" i="93"/>
  <c r="K7" i="93" s="1"/>
  <c r="C5" i="38"/>
  <c r="E6" i="38"/>
  <c r="J6" i="38"/>
  <c r="K6" i="38" s="1"/>
  <c r="I65" i="29"/>
  <c r="J64" i="29"/>
  <c r="C4" i="54"/>
  <c r="E5" i="54"/>
  <c r="J5" i="54"/>
  <c r="K5" i="54" s="1"/>
  <c r="C2" i="111"/>
  <c r="E3" i="111"/>
  <c r="J3" i="111"/>
  <c r="K3" i="111" s="1"/>
  <c r="I62" i="8"/>
  <c r="J61" i="8"/>
  <c r="C6" i="158"/>
  <c r="E7" i="158"/>
  <c r="J7" i="158"/>
  <c r="K7" i="158" s="1"/>
  <c r="J62" i="76"/>
  <c r="I63" i="76"/>
  <c r="E6" i="96"/>
  <c r="C5" i="96"/>
  <c r="J6" i="96"/>
  <c r="K6" i="96" s="1"/>
  <c r="E7" i="6"/>
  <c r="C6" i="6"/>
  <c r="CA7" i="1"/>
  <c r="K59" i="45"/>
  <c r="C5" i="154"/>
  <c r="E6" i="154"/>
  <c r="J6" i="154"/>
  <c r="K6" i="154" s="1"/>
  <c r="IJ6" i="2"/>
  <c r="J64" i="16"/>
  <c r="I65" i="16"/>
  <c r="BE7" i="2"/>
  <c r="K64" i="14"/>
  <c r="J64" i="77"/>
  <c r="I65" i="77"/>
  <c r="E5" i="67"/>
  <c r="C4" i="67"/>
  <c r="J5" i="67"/>
  <c r="K5" i="67" s="1"/>
  <c r="C4" i="25"/>
  <c r="E5" i="25"/>
  <c r="J5" i="25"/>
  <c r="K5" i="25" s="1"/>
  <c r="K60" i="108"/>
  <c r="I62" i="11"/>
  <c r="J61" i="11"/>
  <c r="K60" i="11" s="1"/>
  <c r="I63" i="85"/>
  <c r="J62" i="85"/>
  <c r="F67" i="146"/>
  <c r="E2" i="146"/>
  <c r="J2" i="146"/>
  <c r="K2" i="146" s="1"/>
  <c r="K60" i="126"/>
  <c r="K63" i="29"/>
  <c r="HY7" i="2"/>
  <c r="I63" i="154"/>
  <c r="J62" i="154"/>
  <c r="F67" i="138"/>
  <c r="E2" i="138"/>
  <c r="J2" i="138"/>
  <c r="K2" i="138" s="1"/>
  <c r="E2" i="30"/>
  <c r="J2" i="30"/>
  <c r="K2" i="30" s="1"/>
  <c r="I63" i="70"/>
  <c r="J62" i="70"/>
  <c r="C5" i="41"/>
  <c r="E6" i="41"/>
  <c r="J6" i="41"/>
  <c r="K6" i="41" s="1"/>
  <c r="I65" i="62"/>
  <c r="J64" i="62"/>
  <c r="E5" i="68"/>
  <c r="C4" i="68"/>
  <c r="J5" i="68"/>
  <c r="K5" i="68" s="1"/>
  <c r="I66" i="14"/>
  <c r="J65" i="14"/>
  <c r="C5" i="15"/>
  <c r="E6" i="15"/>
  <c r="J6" i="15"/>
  <c r="K6" i="15" s="1"/>
  <c r="E5" i="16"/>
  <c r="C4" i="16"/>
  <c r="J5" i="16"/>
  <c r="K5" i="16" s="1"/>
  <c r="C4" i="81"/>
  <c r="E5" i="81"/>
  <c r="J5" i="81"/>
  <c r="K5" i="81" s="1"/>
  <c r="K61" i="85"/>
  <c r="K64" i="79"/>
  <c r="I62" i="43"/>
  <c r="J61" i="43"/>
  <c r="K60" i="43" s="1"/>
  <c r="C5" i="169"/>
  <c r="E6" i="169"/>
  <c r="HY6" i="2"/>
  <c r="J6" i="169"/>
  <c r="K6" i="169" s="1"/>
  <c r="J62" i="138"/>
  <c r="I63" i="138"/>
  <c r="I63" i="57"/>
  <c r="J62" i="57"/>
  <c r="C5" i="164"/>
  <c r="E6" i="164"/>
  <c r="J6" i="164"/>
  <c r="K6" i="164" s="1"/>
  <c r="I63" i="19"/>
  <c r="J62" i="19"/>
  <c r="C2" i="160"/>
  <c r="E3" i="160"/>
  <c r="J3" i="160"/>
  <c r="K3" i="160" s="1"/>
  <c r="IU7" i="2"/>
  <c r="K60" i="111"/>
  <c r="I66" i="79"/>
  <c r="J65" i="79"/>
  <c r="C3" i="141"/>
  <c r="E4" i="141"/>
  <c r="J4" i="141"/>
  <c r="K4" i="141" s="1"/>
  <c r="C5" i="122"/>
  <c r="E6" i="122"/>
  <c r="J6" i="122"/>
  <c r="K6" i="122" s="1"/>
  <c r="K59" i="95"/>
  <c r="J62" i="144"/>
  <c r="I63" i="144"/>
  <c r="J66" i="145"/>
  <c r="I67" i="145"/>
  <c r="J67" i="145" s="1"/>
  <c r="C4" i="19"/>
  <c r="E5" i="19"/>
  <c r="J5" i="19"/>
  <c r="K5" i="19" s="1"/>
  <c r="C2" i="102"/>
  <c r="E3" i="102"/>
  <c r="J3" i="102"/>
  <c r="K3" i="102" s="1"/>
  <c r="K61" i="76"/>
  <c r="E6" i="63"/>
  <c r="C5" i="63"/>
  <c r="J6" i="63"/>
  <c r="K6" i="63" s="1"/>
  <c r="CL6" i="2"/>
  <c r="K60" i="154"/>
  <c r="E5" i="104"/>
  <c r="C4" i="104"/>
  <c r="J5" i="104"/>
  <c r="K5" i="104" s="1"/>
  <c r="CM8" i="2"/>
  <c r="J62" i="104"/>
  <c r="I63" i="104"/>
  <c r="E6" i="77"/>
  <c r="C5" i="77"/>
  <c r="J6" i="77"/>
  <c r="K6" i="77" s="1"/>
  <c r="K59" i="130"/>
  <c r="K63" i="152"/>
  <c r="E4" i="115"/>
  <c r="C3" i="115"/>
  <c r="J4" i="115"/>
  <c r="K4" i="115" s="1"/>
  <c r="J64" i="89"/>
  <c r="K63" i="89" s="1"/>
  <c r="I65" i="89"/>
  <c r="K61" i="19"/>
  <c r="K60" i="141"/>
  <c r="E5" i="139"/>
  <c r="C4" i="139"/>
  <c r="J5" i="139"/>
  <c r="K5" i="139" s="1"/>
  <c r="K62" i="132"/>
  <c r="E6" i="119"/>
  <c r="C5" i="119"/>
  <c r="J6" i="119"/>
  <c r="K6" i="119" s="1"/>
  <c r="K60" i="47"/>
  <c r="AJ8" i="1"/>
  <c r="K64" i="145"/>
  <c r="J65" i="94"/>
  <c r="I66" i="94"/>
  <c r="E5" i="9"/>
  <c r="C4" i="9"/>
  <c r="J5" i="9"/>
  <c r="K5" i="9" s="1"/>
  <c r="K60" i="116"/>
  <c r="E3" i="131"/>
  <c r="C2" i="131"/>
  <c r="J3" i="131"/>
  <c r="K3" i="131" s="1"/>
  <c r="EE8" i="2"/>
  <c r="K61" i="104"/>
  <c r="I65" i="142"/>
  <c r="J64" i="142"/>
  <c r="C6" i="121"/>
  <c r="AI6" i="2" s="1"/>
  <c r="E7" i="121"/>
  <c r="J7" i="121"/>
  <c r="K7" i="121" s="1"/>
  <c r="K64" i="12"/>
  <c r="J64" i="152"/>
  <c r="I65" i="152"/>
  <c r="E4" i="84"/>
  <c r="C3" i="84"/>
  <c r="J4" i="84"/>
  <c r="K4" i="84" s="1"/>
  <c r="K63" i="135"/>
  <c r="C4" i="167"/>
  <c r="E5" i="167"/>
  <c r="J5" i="167"/>
  <c r="K5" i="167" s="1"/>
  <c r="I65" i="51"/>
  <c r="J64" i="51"/>
  <c r="I62" i="141"/>
  <c r="J61" i="141"/>
  <c r="I65" i="13"/>
  <c r="J64" i="13"/>
  <c r="K63" i="13" s="1"/>
  <c r="C5" i="13"/>
  <c r="E6" i="13"/>
  <c r="J6" i="13"/>
  <c r="K6" i="13" s="1"/>
  <c r="K61" i="72"/>
  <c r="I65" i="164"/>
  <c r="J64" i="164"/>
  <c r="J61" i="47"/>
  <c r="I62" i="47"/>
  <c r="I63" i="116"/>
  <c r="J62" i="116"/>
  <c r="E4" i="106"/>
  <c r="C3" i="106"/>
  <c r="J4" i="106"/>
  <c r="K4" i="106" s="1"/>
  <c r="J65" i="59"/>
  <c r="K64" i="59" s="1"/>
  <c r="I66" i="59"/>
  <c r="E7" i="90"/>
  <c r="C6" i="90"/>
  <c r="J7" i="90"/>
  <c r="K7" i="90" s="1"/>
  <c r="C4" i="5"/>
  <c r="E5" i="5"/>
  <c r="J5" i="5"/>
  <c r="K5" i="5" s="1"/>
  <c r="K64" i="94"/>
  <c r="I66" i="42"/>
  <c r="J65" i="42"/>
  <c r="K64" i="42" s="1"/>
  <c r="K59" i="147"/>
  <c r="E7" i="46"/>
  <c r="C6" i="46"/>
  <c r="AI6" i="1" s="1"/>
  <c r="J7" i="46"/>
  <c r="K7" i="46" s="1"/>
  <c r="I64" i="115"/>
  <c r="J63" i="115"/>
  <c r="K62" i="115" s="1"/>
  <c r="K60" i="56"/>
  <c r="I65" i="78"/>
  <c r="J64" i="78"/>
  <c r="K63" i="78" s="1"/>
  <c r="K60" i="5"/>
  <c r="K60" i="55"/>
  <c r="C5" i="71"/>
  <c r="E6" i="71"/>
  <c r="J6" i="71"/>
  <c r="K6" i="71" s="1"/>
  <c r="I65" i="135"/>
  <c r="J64" i="135"/>
  <c r="K64" i="32"/>
  <c r="E5" i="83"/>
  <c r="C4" i="83"/>
  <c r="J5" i="83"/>
  <c r="K5" i="83" s="1"/>
  <c r="I62" i="109"/>
  <c r="J61" i="109"/>
  <c r="E6" i="79"/>
  <c r="C5" i="79"/>
  <c r="J6" i="79"/>
  <c r="K6" i="79" s="1"/>
  <c r="J64" i="107"/>
  <c r="I65" i="107"/>
  <c r="K63" i="164"/>
  <c r="E6" i="76"/>
  <c r="C5" i="76"/>
  <c r="J6" i="76"/>
  <c r="K6" i="76" s="1"/>
  <c r="K63" i="42"/>
  <c r="K60" i="131"/>
  <c r="I62" i="55"/>
  <c r="J61" i="55"/>
  <c r="K61" i="161"/>
  <c r="J61" i="148"/>
  <c r="K60" i="148" s="1"/>
  <c r="I62" i="148"/>
  <c r="E5" i="65"/>
  <c r="C4" i="65"/>
  <c r="J5" i="65"/>
  <c r="K5" i="65" s="1"/>
  <c r="J65" i="32"/>
  <c r="I66" i="32"/>
  <c r="K59" i="109"/>
  <c r="K59" i="35"/>
  <c r="K60" i="40"/>
  <c r="K61" i="80"/>
  <c r="I65" i="156"/>
  <c r="J64" i="156"/>
  <c r="K63" i="156" s="1"/>
  <c r="C3" i="47"/>
  <c r="E4" i="47"/>
  <c r="J4" i="47"/>
  <c r="K4" i="47" s="1"/>
  <c r="C5" i="95"/>
  <c r="E6" i="95"/>
  <c r="J6" i="95"/>
  <c r="K6" i="95" s="1"/>
  <c r="J62" i="162"/>
  <c r="I63" i="162"/>
  <c r="I64" i="60"/>
  <c r="J63" i="60"/>
  <c r="I63" i="80"/>
  <c r="J62" i="80"/>
  <c r="FK7" i="2"/>
  <c r="J63" i="41"/>
  <c r="I64" i="41"/>
  <c r="DT6" i="2"/>
  <c r="E5" i="18"/>
  <c r="C4" i="18"/>
  <c r="J5" i="18"/>
  <c r="K5" i="18" s="1"/>
  <c r="I66" i="22"/>
  <c r="J65" i="22"/>
  <c r="E2" i="32"/>
  <c r="J2" i="32"/>
  <c r="K2" i="32" s="1"/>
  <c r="K62" i="16"/>
  <c r="E7" i="55"/>
  <c r="C6" i="55"/>
  <c r="FK6" i="2" s="1"/>
  <c r="J7" i="55"/>
  <c r="K7" i="55" s="1"/>
  <c r="K62" i="30"/>
  <c r="K62" i="122"/>
  <c r="I63" i="39"/>
  <c r="J62" i="39"/>
  <c r="I63" i="161"/>
  <c r="J62" i="161"/>
  <c r="I67" i="46"/>
  <c r="J67" i="46" s="1"/>
  <c r="J66" i="46"/>
  <c r="E6" i="36"/>
  <c r="C5" i="36"/>
  <c r="J6" i="36"/>
  <c r="K6" i="36" s="1"/>
  <c r="K60" i="19"/>
  <c r="E3" i="59"/>
  <c r="C2" i="59"/>
  <c r="J3" i="59"/>
  <c r="K3" i="59" s="1"/>
  <c r="K59" i="11"/>
  <c r="C3" i="51"/>
  <c r="E4" i="51"/>
  <c r="J4" i="51"/>
  <c r="K4" i="51" s="1"/>
  <c r="C5" i="125"/>
  <c r="E6" i="125"/>
  <c r="J6" i="125"/>
  <c r="K6" i="125" s="1"/>
  <c r="J61" i="40"/>
  <c r="I62" i="40"/>
  <c r="K61" i="57"/>
  <c r="K59" i="8"/>
  <c r="E7" i="109"/>
  <c r="C6" i="109"/>
  <c r="ED7" i="2"/>
  <c r="J7" i="109"/>
  <c r="K7" i="109" s="1"/>
  <c r="K62" i="60"/>
  <c r="C5" i="88"/>
  <c r="E6" i="88"/>
  <c r="J6" i="88"/>
  <c r="K6" i="88" s="1"/>
  <c r="K61" i="67"/>
  <c r="J63" i="30"/>
  <c r="I64" i="30"/>
  <c r="K62" i="129"/>
  <c r="K60" i="120"/>
  <c r="K61" i="114"/>
  <c r="E5" i="60"/>
  <c r="C4" i="60"/>
  <c r="J5" i="60"/>
  <c r="K5" i="60" s="1"/>
  <c r="E5" i="110"/>
  <c r="C4" i="110"/>
  <c r="J5" i="110"/>
  <c r="K5" i="110" s="1"/>
  <c r="E6" i="70"/>
  <c r="C5" i="70"/>
  <c r="J6" i="70"/>
  <c r="K6" i="70" s="1"/>
  <c r="I66" i="24"/>
  <c r="J65" i="24"/>
  <c r="K62" i="29"/>
  <c r="E7" i="14"/>
  <c r="C6" i="14"/>
  <c r="GR6" i="2" s="1"/>
  <c r="J7" i="14"/>
  <c r="K7" i="14" s="1"/>
  <c r="K65" i="7"/>
  <c r="K60" i="80"/>
  <c r="K61" i="162"/>
  <c r="K62" i="41"/>
  <c r="K63" i="22"/>
  <c r="K62" i="113"/>
  <c r="BQ8" i="1"/>
  <c r="I63" i="87"/>
  <c r="J62" i="87"/>
  <c r="K61" i="87" s="1"/>
  <c r="E4" i="37"/>
  <c r="C3" i="37"/>
  <c r="J4" i="37"/>
  <c r="K4" i="37" s="1"/>
  <c r="K60" i="54"/>
  <c r="K60" i="3"/>
  <c r="I62" i="90"/>
  <c r="J61" i="90"/>
  <c r="K62" i="98"/>
  <c r="J62" i="67"/>
  <c r="I63" i="67"/>
  <c r="I62" i="163"/>
  <c r="J61" i="163"/>
  <c r="J63" i="129"/>
  <c r="I64" i="129"/>
  <c r="J61" i="120"/>
  <c r="I62" i="120"/>
  <c r="K60" i="155"/>
  <c r="I63" i="114"/>
  <c r="J62" i="114"/>
  <c r="Y8" i="2"/>
  <c r="GR7" i="2"/>
  <c r="E5" i="103"/>
  <c r="C4" i="103"/>
  <c r="J5" i="103"/>
  <c r="K5" i="103" s="1"/>
  <c r="K61" i="159"/>
  <c r="K61" i="169"/>
  <c r="J63" i="10"/>
  <c r="I64" i="10"/>
  <c r="K62" i="139"/>
  <c r="I63" i="20"/>
  <c r="J62" i="20"/>
  <c r="K61" i="20" s="1"/>
  <c r="C4" i="129"/>
  <c r="E5" i="129"/>
  <c r="J5" i="129"/>
  <c r="K5" i="129" s="1"/>
  <c r="DS5" i="2"/>
  <c r="I62" i="36"/>
  <c r="J61" i="36"/>
  <c r="K60" i="36" s="1"/>
  <c r="K60" i="90"/>
  <c r="C5" i="80"/>
  <c r="E6" i="80"/>
  <c r="J6" i="80"/>
  <c r="K6" i="80" s="1"/>
  <c r="E6" i="145"/>
  <c r="C5" i="145"/>
  <c r="J6" i="145"/>
  <c r="K6" i="145" s="1"/>
  <c r="E7" i="107"/>
  <c r="C6" i="107"/>
  <c r="BE6" i="2" s="1"/>
  <c r="J7" i="107"/>
  <c r="K7" i="107" s="1"/>
  <c r="K60" i="163"/>
  <c r="K61" i="30"/>
  <c r="K61" i="167"/>
  <c r="J62" i="21"/>
  <c r="K61" i="21" s="1"/>
  <c r="I63" i="21"/>
  <c r="K59" i="69"/>
  <c r="J62" i="155"/>
  <c r="K61" i="155" s="1"/>
  <c r="I63" i="155"/>
  <c r="J4" i="62"/>
  <c r="K4" i="62" s="1"/>
  <c r="E4" i="62"/>
  <c r="C3" i="62"/>
  <c r="N8" i="1"/>
  <c r="K59" i="81"/>
  <c r="K61" i="53"/>
  <c r="K60" i="112"/>
  <c r="I63" i="170"/>
  <c r="J62" i="170"/>
  <c r="K61" i="170" s="1"/>
  <c r="I63" i="169"/>
  <c r="J62" i="169"/>
  <c r="I65" i="48"/>
  <c r="J64" i="48"/>
  <c r="K63" i="48" s="1"/>
  <c r="J63" i="139"/>
  <c r="I64" i="139"/>
  <c r="IU6" i="2"/>
  <c r="AJ6" i="2" l="1"/>
  <c r="FL6" i="2"/>
  <c r="BF6" i="2"/>
  <c r="GS6" i="2"/>
  <c r="AJ6" i="1"/>
  <c r="I64" i="144"/>
  <c r="J63" i="144"/>
  <c r="E5" i="80"/>
  <c r="C4" i="80"/>
  <c r="J5" i="80"/>
  <c r="K5" i="80" s="1"/>
  <c r="J65" i="48"/>
  <c r="I66" i="48"/>
  <c r="J62" i="36"/>
  <c r="K61" i="36" s="1"/>
  <c r="I63" i="36"/>
  <c r="K62" i="80"/>
  <c r="I63" i="141"/>
  <c r="J62" i="141"/>
  <c r="K65" i="14"/>
  <c r="I63" i="8"/>
  <c r="J62" i="8"/>
  <c r="E6" i="172"/>
  <c r="C5" i="172"/>
  <c r="J6" i="172"/>
  <c r="K6" i="172" s="1"/>
  <c r="E2" i="45"/>
  <c r="J2" i="45"/>
  <c r="K2" i="45" s="1"/>
  <c r="J63" i="49"/>
  <c r="I64" i="49"/>
  <c r="I63" i="100"/>
  <c r="J62" i="100"/>
  <c r="HD7" i="2"/>
  <c r="K65" i="74"/>
  <c r="E3" i="72"/>
  <c r="C2" i="72"/>
  <c r="J3" i="72"/>
  <c r="K3" i="72" s="1"/>
  <c r="I64" i="151"/>
  <c r="J63" i="151"/>
  <c r="I65" i="10"/>
  <c r="J64" i="10"/>
  <c r="I63" i="109"/>
  <c r="J62" i="109"/>
  <c r="DT5" i="2"/>
  <c r="I63" i="90"/>
  <c r="J62" i="90"/>
  <c r="E4" i="60"/>
  <c r="C3" i="60"/>
  <c r="J4" i="60"/>
  <c r="K4" i="60" s="1"/>
  <c r="I64" i="80"/>
  <c r="J63" i="80"/>
  <c r="I67" i="14"/>
  <c r="J67" i="14" s="1"/>
  <c r="J66" i="14"/>
  <c r="K66" i="14" s="1"/>
  <c r="J62" i="146"/>
  <c r="I63" i="146"/>
  <c r="E5" i="48"/>
  <c r="C4" i="48"/>
  <c r="J5" i="48"/>
  <c r="K5" i="48" s="1"/>
  <c r="I63" i="143"/>
  <c r="J62" i="143"/>
  <c r="K61" i="100"/>
  <c r="E6" i="8"/>
  <c r="C5" i="8"/>
  <c r="HC6" i="2"/>
  <c r="BP6" i="1"/>
  <c r="J6" i="8"/>
  <c r="K6" i="8" s="1"/>
  <c r="C2" i="173"/>
  <c r="E3" i="173"/>
  <c r="J3" i="173"/>
  <c r="K3" i="173" s="1"/>
  <c r="J62" i="95"/>
  <c r="I63" i="95"/>
  <c r="K62" i="151"/>
  <c r="J63" i="169"/>
  <c r="I64" i="169"/>
  <c r="E5" i="76"/>
  <c r="C4" i="76"/>
  <c r="J5" i="76"/>
  <c r="K5" i="76" s="1"/>
  <c r="I66" i="51"/>
  <c r="J65" i="51"/>
  <c r="E2" i="160"/>
  <c r="F67" i="160"/>
  <c r="J2" i="160"/>
  <c r="K2" i="160" s="1"/>
  <c r="E4" i="25"/>
  <c r="C3" i="25"/>
  <c r="J4" i="25"/>
  <c r="K4" i="25" s="1"/>
  <c r="J64" i="83"/>
  <c r="I65" i="83"/>
  <c r="I65" i="93"/>
  <c r="J64" i="93"/>
  <c r="I66" i="132"/>
  <c r="J65" i="132"/>
  <c r="I64" i="54"/>
  <c r="J63" i="54"/>
  <c r="K62" i="54" s="1"/>
  <c r="E4" i="4"/>
  <c r="C3" i="4"/>
  <c r="J4" i="4"/>
  <c r="K4" i="4" s="1"/>
  <c r="C2" i="127"/>
  <c r="E3" i="127"/>
  <c r="J3" i="127"/>
  <c r="K3" i="127" s="1"/>
  <c r="C5" i="27"/>
  <c r="E6" i="27"/>
  <c r="J6" i="27"/>
  <c r="K6" i="27" s="1"/>
  <c r="E4" i="64"/>
  <c r="C3" i="64"/>
  <c r="J4" i="64"/>
  <c r="K4" i="64" s="1"/>
  <c r="CM6" i="2"/>
  <c r="E4" i="68"/>
  <c r="C3" i="68"/>
  <c r="J4" i="68"/>
  <c r="K4" i="68" s="1"/>
  <c r="F67" i="111"/>
  <c r="E2" i="111"/>
  <c r="J2" i="111"/>
  <c r="K2" i="111" s="1"/>
  <c r="I65" i="167"/>
  <c r="J64" i="167"/>
  <c r="K64" i="132"/>
  <c r="C3" i="75"/>
  <c r="J4" i="75"/>
  <c r="K4" i="75" s="1"/>
  <c r="E4" i="75"/>
  <c r="BQ7" i="2"/>
  <c r="AU7" i="1"/>
  <c r="I64" i="162"/>
  <c r="J63" i="162"/>
  <c r="J63" i="19"/>
  <c r="K62" i="19" s="1"/>
  <c r="I64" i="19"/>
  <c r="C3" i="67"/>
  <c r="E4" i="67"/>
  <c r="J4" i="67"/>
  <c r="K4" i="67" s="1"/>
  <c r="K63" i="167"/>
  <c r="J64" i="158"/>
  <c r="I65" i="158"/>
  <c r="K62" i="93"/>
  <c r="K63" i="149"/>
  <c r="I67" i="71"/>
  <c r="J67" i="71" s="1"/>
  <c r="J66" i="71"/>
  <c r="C3" i="57"/>
  <c r="E4" i="57"/>
  <c r="J4" i="57"/>
  <c r="K4" i="57" s="1"/>
  <c r="E6" i="100"/>
  <c r="C5" i="100"/>
  <c r="J6" i="100"/>
  <c r="K6" i="100" s="1"/>
  <c r="C5" i="7"/>
  <c r="J6" i="7"/>
  <c r="K6" i="7" s="1"/>
  <c r="E6" i="7"/>
  <c r="AT6" i="1"/>
  <c r="K64" i="172"/>
  <c r="I63" i="112"/>
  <c r="J62" i="112"/>
  <c r="K66" i="46"/>
  <c r="J65" i="107"/>
  <c r="I66" i="107"/>
  <c r="E4" i="167"/>
  <c r="C3" i="167"/>
  <c r="J4" i="167"/>
  <c r="K4" i="167" s="1"/>
  <c r="E5" i="119"/>
  <c r="C4" i="119"/>
  <c r="J5" i="119"/>
  <c r="K5" i="119" s="1"/>
  <c r="E5" i="63"/>
  <c r="C4" i="63"/>
  <c r="J5" i="63"/>
  <c r="K5" i="63" s="1"/>
  <c r="K64" i="62"/>
  <c r="K66" i="15"/>
  <c r="E6" i="52"/>
  <c r="C5" i="52"/>
  <c r="BP6" i="2"/>
  <c r="J6" i="52"/>
  <c r="K6" i="52" s="1"/>
  <c r="I65" i="149"/>
  <c r="J64" i="149"/>
  <c r="J65" i="172"/>
  <c r="I66" i="172"/>
  <c r="C3" i="161"/>
  <c r="E4" i="161"/>
  <c r="J4" i="161"/>
  <c r="K4" i="161" s="1"/>
  <c r="C2" i="120"/>
  <c r="E3" i="120"/>
  <c r="J3" i="120"/>
  <c r="K3" i="120" s="1"/>
  <c r="C4" i="114"/>
  <c r="E5" i="114"/>
  <c r="J5" i="114"/>
  <c r="K5" i="114" s="1"/>
  <c r="K61" i="112"/>
  <c r="C2" i="37"/>
  <c r="J3" i="37"/>
  <c r="K3" i="37" s="1"/>
  <c r="E3" i="37"/>
  <c r="I66" i="77"/>
  <c r="J65" i="77"/>
  <c r="K61" i="130"/>
  <c r="I64" i="4"/>
  <c r="J63" i="4"/>
  <c r="I64" i="126"/>
  <c r="J63" i="126"/>
  <c r="I64" i="153"/>
  <c r="J63" i="153"/>
  <c r="I66" i="62"/>
  <c r="J65" i="62"/>
  <c r="C3" i="54"/>
  <c r="E4" i="54"/>
  <c r="J4" i="54"/>
  <c r="K4" i="54" s="1"/>
  <c r="C4" i="78"/>
  <c r="E5" i="78"/>
  <c r="J5" i="78"/>
  <c r="K5" i="78" s="1"/>
  <c r="I64" i="31"/>
  <c r="J63" i="31"/>
  <c r="K62" i="31" s="1"/>
  <c r="K62" i="103"/>
  <c r="K64" i="77"/>
  <c r="K64" i="29"/>
  <c r="I65" i="18"/>
  <c r="J64" i="18"/>
  <c r="K63" i="18" s="1"/>
  <c r="K62" i="167"/>
  <c r="I64" i="103"/>
  <c r="J63" i="103"/>
  <c r="C5" i="49"/>
  <c r="E6" i="49"/>
  <c r="J6" i="49"/>
  <c r="K6" i="49" s="1"/>
  <c r="J62" i="130"/>
  <c r="I63" i="130"/>
  <c r="K62" i="4"/>
  <c r="K62" i="126"/>
  <c r="K62" i="83"/>
  <c r="K62" i="153"/>
  <c r="C3" i="148"/>
  <c r="E4" i="148"/>
  <c r="J4" i="148"/>
  <c r="K4" i="148" s="1"/>
  <c r="K61" i="91"/>
  <c r="I64" i="53"/>
  <c r="J63" i="53"/>
  <c r="C4" i="36"/>
  <c r="E5" i="36"/>
  <c r="J5" i="36"/>
  <c r="K5" i="36" s="1"/>
  <c r="E5" i="95"/>
  <c r="C4" i="95"/>
  <c r="J5" i="95"/>
  <c r="K5" i="95" s="1"/>
  <c r="E5" i="79"/>
  <c r="C4" i="79"/>
  <c r="J5" i="79"/>
  <c r="K5" i="79" s="1"/>
  <c r="E4" i="5"/>
  <c r="C3" i="5"/>
  <c r="J4" i="5"/>
  <c r="K4" i="5" s="1"/>
  <c r="E3" i="84"/>
  <c r="C2" i="84"/>
  <c r="J3" i="84"/>
  <c r="K3" i="84" s="1"/>
  <c r="E5" i="164"/>
  <c r="C4" i="164"/>
  <c r="J5" i="164"/>
  <c r="K5" i="164" s="1"/>
  <c r="J65" i="29"/>
  <c r="I66" i="29"/>
  <c r="K64" i="128"/>
  <c r="K65" i="61"/>
  <c r="E6" i="3"/>
  <c r="C5" i="3"/>
  <c r="J6" i="3"/>
  <c r="K6" i="3" s="1"/>
  <c r="K62" i="5"/>
  <c r="K62" i="123"/>
  <c r="J62" i="91"/>
  <c r="I63" i="91"/>
  <c r="C3" i="139"/>
  <c r="E4" i="139"/>
  <c r="J4" i="139"/>
  <c r="K4" i="139" s="1"/>
  <c r="J65" i="128"/>
  <c r="I66" i="128"/>
  <c r="C4" i="20"/>
  <c r="E5" i="20"/>
  <c r="J5" i="20"/>
  <c r="K5" i="20" s="1"/>
  <c r="J2" i="165"/>
  <c r="K2" i="165" s="1"/>
  <c r="E2" i="165"/>
  <c r="F67" i="165"/>
  <c r="J63" i="5"/>
  <c r="I64" i="5"/>
  <c r="E4" i="11"/>
  <c r="C3" i="11"/>
  <c r="J4" i="11"/>
  <c r="K4" i="11" s="1"/>
  <c r="I64" i="123"/>
  <c r="J63" i="123"/>
  <c r="K66" i="75"/>
  <c r="C4" i="21"/>
  <c r="E5" i="21"/>
  <c r="J5" i="21"/>
  <c r="K5" i="21" s="1"/>
  <c r="E2" i="43"/>
  <c r="J2" i="43"/>
  <c r="K2" i="43" s="1"/>
  <c r="N7" i="1"/>
  <c r="I64" i="87"/>
  <c r="J63" i="87"/>
  <c r="E6" i="90"/>
  <c r="C5" i="90"/>
  <c r="J6" i="90"/>
  <c r="K6" i="90" s="1"/>
  <c r="I66" i="152"/>
  <c r="J65" i="152"/>
  <c r="F67" i="102"/>
  <c r="E2" i="102"/>
  <c r="J2" i="102"/>
  <c r="K2" i="102" s="1"/>
  <c r="I64" i="57"/>
  <c r="J63" i="57"/>
  <c r="C4" i="41"/>
  <c r="E5" i="41"/>
  <c r="J5" i="41"/>
  <c r="K5" i="41" s="1"/>
  <c r="K63" i="62"/>
  <c r="E4" i="99"/>
  <c r="C3" i="99"/>
  <c r="J4" i="99"/>
  <c r="K4" i="99" s="1"/>
  <c r="K61" i="105"/>
  <c r="AU7" i="2"/>
  <c r="C4" i="101"/>
  <c r="E5" i="101"/>
  <c r="J5" i="101"/>
  <c r="K5" i="101" s="1"/>
  <c r="E6" i="28"/>
  <c r="C5" i="28"/>
  <c r="J6" i="28"/>
  <c r="K6" i="28" s="1"/>
  <c r="J63" i="56"/>
  <c r="I64" i="56"/>
  <c r="Y7" i="2"/>
  <c r="J64" i="60"/>
  <c r="K63" i="60" s="1"/>
  <c r="I65" i="60"/>
  <c r="I64" i="20"/>
  <c r="J63" i="20"/>
  <c r="I64" i="39"/>
  <c r="J63" i="39"/>
  <c r="E3" i="47"/>
  <c r="C2" i="47"/>
  <c r="J3" i="47"/>
  <c r="K3" i="47" s="1"/>
  <c r="K61" i="109"/>
  <c r="K64" i="152"/>
  <c r="J63" i="138"/>
  <c r="I64" i="138"/>
  <c r="BF7" i="2"/>
  <c r="E5" i="38"/>
  <c r="C4" i="38"/>
  <c r="J5" i="38"/>
  <c r="K5" i="38" s="1"/>
  <c r="FA6" i="2"/>
  <c r="C2" i="123"/>
  <c r="E3" i="123"/>
  <c r="J3" i="123"/>
  <c r="K3" i="123" s="1"/>
  <c r="E6" i="92"/>
  <c r="C5" i="92"/>
  <c r="J6" i="92"/>
  <c r="K6" i="92" s="1"/>
  <c r="J62" i="105"/>
  <c r="I63" i="105"/>
  <c r="I65" i="68"/>
  <c r="J64" i="68"/>
  <c r="E4" i="17"/>
  <c r="C3" i="17"/>
  <c r="J4" i="17"/>
  <c r="K4" i="17" s="1"/>
  <c r="C5" i="50"/>
  <c r="E6" i="50"/>
  <c r="AT6" i="2"/>
  <c r="J6" i="50"/>
  <c r="K6" i="50" s="1"/>
  <c r="K62" i="86"/>
  <c r="E4" i="144"/>
  <c r="C3" i="144"/>
  <c r="J4" i="144"/>
  <c r="K4" i="144" s="1"/>
  <c r="K63" i="25"/>
  <c r="HN6" i="2"/>
  <c r="E6" i="174"/>
  <c r="C5" i="174"/>
  <c r="J6" i="174"/>
  <c r="K6" i="174" s="1"/>
  <c r="J63" i="106"/>
  <c r="K62" i="106" s="1"/>
  <c r="I64" i="106"/>
  <c r="K62" i="138"/>
  <c r="J63" i="70"/>
  <c r="I64" i="70"/>
  <c r="I66" i="16"/>
  <c r="J65" i="16"/>
  <c r="C4" i="134"/>
  <c r="E5" i="134"/>
  <c r="EZ5" i="2"/>
  <c r="J5" i="134"/>
  <c r="K5" i="134" s="1"/>
  <c r="J62" i="65"/>
  <c r="I63" i="65"/>
  <c r="K63" i="68"/>
  <c r="J63" i="86"/>
  <c r="I64" i="86"/>
  <c r="E3" i="73"/>
  <c r="C2" i="73"/>
  <c r="J3" i="73"/>
  <c r="K3" i="73" s="1"/>
  <c r="I65" i="25"/>
  <c r="J64" i="25"/>
  <c r="I63" i="171"/>
  <c r="J62" i="171"/>
  <c r="J64" i="72"/>
  <c r="K63" i="72" s="1"/>
  <c r="I65" i="72"/>
  <c r="J62" i="166"/>
  <c r="I63" i="166"/>
  <c r="I65" i="99"/>
  <c r="J64" i="99"/>
  <c r="E4" i="74"/>
  <c r="C3" i="74"/>
  <c r="J4" i="74"/>
  <c r="K4" i="74" s="1"/>
  <c r="E6" i="12"/>
  <c r="C5" i="12"/>
  <c r="M6" i="1"/>
  <c r="X6" i="2"/>
  <c r="J6" i="12"/>
  <c r="K6" i="12" s="1"/>
  <c r="K63" i="10"/>
  <c r="K64" i="16"/>
  <c r="E6" i="93"/>
  <c r="C5" i="93"/>
  <c r="J6" i="93"/>
  <c r="K6" i="93" s="1"/>
  <c r="C4" i="10"/>
  <c r="E5" i="10"/>
  <c r="J5" i="10"/>
  <c r="K5" i="10" s="1"/>
  <c r="K63" i="63"/>
  <c r="E3" i="85"/>
  <c r="C2" i="85"/>
  <c r="J3" i="85"/>
  <c r="K3" i="85" s="1"/>
  <c r="I66" i="136"/>
  <c r="J65" i="136"/>
  <c r="J62" i="160"/>
  <c r="I63" i="160"/>
  <c r="K61" i="166"/>
  <c r="K63" i="99"/>
  <c r="C3" i="103"/>
  <c r="E4" i="103"/>
  <c r="J4" i="103"/>
  <c r="K4" i="103" s="1"/>
  <c r="J65" i="89"/>
  <c r="I66" i="89"/>
  <c r="E4" i="19"/>
  <c r="C3" i="19"/>
  <c r="J4" i="19"/>
  <c r="K4" i="19" s="1"/>
  <c r="HZ6" i="2"/>
  <c r="IK6" i="2"/>
  <c r="J64" i="63"/>
  <c r="I65" i="63"/>
  <c r="K62" i="18"/>
  <c r="K65" i="27"/>
  <c r="J65" i="117"/>
  <c r="I66" i="117"/>
  <c r="I64" i="50"/>
  <c r="J63" i="50"/>
  <c r="K62" i="149"/>
  <c r="FW7" i="2"/>
  <c r="C4" i="140"/>
  <c r="E5" i="140"/>
  <c r="J5" i="140"/>
  <c r="K5" i="140" s="1"/>
  <c r="K64" i="136"/>
  <c r="C4" i="89"/>
  <c r="E5" i="89"/>
  <c r="J5" i="89"/>
  <c r="K5" i="89" s="1"/>
  <c r="K61" i="160"/>
  <c r="I63" i="58"/>
  <c r="J62" i="58"/>
  <c r="K65" i="12"/>
  <c r="K62" i="87"/>
  <c r="EE7" i="2"/>
  <c r="E6" i="55"/>
  <c r="C5" i="55"/>
  <c r="J6" i="55"/>
  <c r="K6" i="55" s="1"/>
  <c r="E4" i="83"/>
  <c r="C3" i="83"/>
  <c r="J4" i="83"/>
  <c r="K4" i="83" s="1"/>
  <c r="E3" i="106"/>
  <c r="C2" i="106"/>
  <c r="J3" i="106"/>
  <c r="K3" i="106" s="1"/>
  <c r="E6" i="121"/>
  <c r="C5" i="121"/>
  <c r="J6" i="121"/>
  <c r="K6" i="121" s="1"/>
  <c r="E3" i="171"/>
  <c r="C2" i="171"/>
  <c r="J3" i="171"/>
  <c r="K3" i="171" s="1"/>
  <c r="J66" i="27"/>
  <c r="I67" i="27"/>
  <c r="J67" i="27" s="1"/>
  <c r="I66" i="98"/>
  <c r="J65" i="98"/>
  <c r="K64" i="98" s="1"/>
  <c r="J63" i="137"/>
  <c r="K62" i="137" s="1"/>
  <c r="I64" i="137"/>
  <c r="K62" i="50"/>
  <c r="C5" i="155"/>
  <c r="CL5" i="2" s="1"/>
  <c r="E6" i="155"/>
  <c r="J6" i="155"/>
  <c r="K6" i="155" s="1"/>
  <c r="K61" i="153"/>
  <c r="K61" i="35"/>
  <c r="E4" i="130"/>
  <c r="C3" i="130"/>
  <c r="J4" i="130"/>
  <c r="K4" i="130" s="1"/>
  <c r="K66" i="7"/>
  <c r="J65" i="156"/>
  <c r="K64" i="156" s="1"/>
  <c r="I66" i="156"/>
  <c r="I64" i="21"/>
  <c r="J63" i="21"/>
  <c r="GS7" i="2"/>
  <c r="E6" i="109"/>
  <c r="C5" i="109"/>
  <c r="ED6" i="2"/>
  <c r="J6" i="109"/>
  <c r="K6" i="109" s="1"/>
  <c r="K63" i="51"/>
  <c r="K66" i="145"/>
  <c r="E5" i="169"/>
  <c r="C4" i="169"/>
  <c r="J5" i="169"/>
  <c r="K5" i="169" s="1"/>
  <c r="C2" i="149"/>
  <c r="E3" i="149"/>
  <c r="J3" i="149"/>
  <c r="K3" i="149" s="1"/>
  <c r="C4" i="117"/>
  <c r="E5" i="117"/>
  <c r="J5" i="117"/>
  <c r="K5" i="117" s="1"/>
  <c r="J62" i="140"/>
  <c r="I63" i="140"/>
  <c r="K61" i="96"/>
  <c r="E6" i="42"/>
  <c r="C5" i="42"/>
  <c r="J6" i="42"/>
  <c r="K6" i="42" s="1"/>
  <c r="FV6" i="2"/>
  <c r="I67" i="82"/>
  <c r="J67" i="82" s="1"/>
  <c r="J66" i="82"/>
  <c r="K66" i="82" s="1"/>
  <c r="I66" i="26"/>
  <c r="J65" i="26"/>
  <c r="E5" i="147"/>
  <c r="C4" i="147"/>
  <c r="J5" i="147"/>
  <c r="K5" i="147" s="1"/>
  <c r="I65" i="159"/>
  <c r="J64" i="159"/>
  <c r="F67" i="105"/>
  <c r="E2" i="105"/>
  <c r="J2" i="105"/>
  <c r="K2" i="105" s="1"/>
  <c r="I63" i="35"/>
  <c r="J62" i="35"/>
  <c r="E6" i="170"/>
  <c r="C5" i="170"/>
  <c r="J6" i="170"/>
  <c r="K6" i="170" s="1"/>
  <c r="J64" i="113"/>
  <c r="K63" i="113" s="1"/>
  <c r="I65" i="113"/>
  <c r="C5" i="58"/>
  <c r="E6" i="58"/>
  <c r="J6" i="58"/>
  <c r="K6" i="58" s="1"/>
  <c r="K63" i="159"/>
  <c r="D45" i="1"/>
  <c r="Z45" i="1"/>
  <c r="O45" i="1"/>
  <c r="BR45" i="1"/>
  <c r="AV45" i="1"/>
  <c r="CC45" i="1"/>
  <c r="AK45" i="1"/>
  <c r="C4" i="154"/>
  <c r="E5" i="154"/>
  <c r="J5" i="154"/>
  <c r="K5" i="154" s="1"/>
  <c r="IJ5" i="2"/>
  <c r="C4" i="142"/>
  <c r="E5" i="142"/>
  <c r="J5" i="142"/>
  <c r="K5" i="142" s="1"/>
  <c r="J62" i="96"/>
  <c r="I63" i="96"/>
  <c r="I67" i="32"/>
  <c r="J67" i="32" s="1"/>
  <c r="J66" i="32"/>
  <c r="K65" i="32" s="1"/>
  <c r="J63" i="116"/>
  <c r="I64" i="116"/>
  <c r="E3" i="115"/>
  <c r="C2" i="115"/>
  <c r="J3" i="115"/>
  <c r="K3" i="115" s="1"/>
  <c r="K62" i="144"/>
  <c r="I63" i="43"/>
  <c r="J62" i="43"/>
  <c r="K61" i="70"/>
  <c r="J63" i="108"/>
  <c r="I64" i="108"/>
  <c r="K60" i="96"/>
  <c r="K63" i="23"/>
  <c r="C5" i="53"/>
  <c r="E6" i="53"/>
  <c r="J6" i="53"/>
  <c r="K6" i="53" s="1"/>
  <c r="I63" i="64"/>
  <c r="J62" i="64"/>
  <c r="D45" i="2"/>
  <c r="CY45" i="2"/>
  <c r="DU45" i="2"/>
  <c r="CN45" i="2"/>
  <c r="EQ45" i="2"/>
  <c r="HP45" i="2"/>
  <c r="IW45" i="2"/>
  <c r="CC45" i="2"/>
  <c r="O45" i="2"/>
  <c r="IA45" i="2"/>
  <c r="FB45" i="2"/>
  <c r="DJ45" i="2"/>
  <c r="FM45" i="2"/>
  <c r="IL45" i="2"/>
  <c r="FX45" i="2"/>
  <c r="BG45" i="2"/>
  <c r="EF45" i="2"/>
  <c r="BR45" i="2"/>
  <c r="AK45" i="2"/>
  <c r="HE45" i="2"/>
  <c r="AV45" i="2"/>
  <c r="Z45" i="2"/>
  <c r="GT45" i="2"/>
  <c r="J63" i="121"/>
  <c r="K62" i="121" s="1"/>
  <c r="I64" i="121"/>
  <c r="K65" i="133"/>
  <c r="I64" i="170"/>
  <c r="J63" i="170"/>
  <c r="J65" i="135"/>
  <c r="I66" i="135"/>
  <c r="K61" i="108"/>
  <c r="I63" i="110"/>
  <c r="J62" i="110"/>
  <c r="J63" i="97"/>
  <c r="I64" i="97"/>
  <c r="I65" i="23"/>
  <c r="J64" i="23"/>
  <c r="E5" i="35"/>
  <c r="C4" i="35"/>
  <c r="J5" i="35"/>
  <c r="K5" i="35" s="1"/>
  <c r="E5" i="153"/>
  <c r="C4" i="153"/>
  <c r="J5" i="153"/>
  <c r="K5" i="153" s="1"/>
  <c r="BG45" i="1"/>
  <c r="BF45" i="1"/>
  <c r="K63" i="118"/>
  <c r="K62" i="99"/>
  <c r="E3" i="40"/>
  <c r="C2" i="40"/>
  <c r="J3" i="40"/>
  <c r="K3" i="40" s="1"/>
  <c r="I64" i="154"/>
  <c r="J63" i="154"/>
  <c r="CB7" i="1"/>
  <c r="J64" i="66"/>
  <c r="K63" i="66" s="1"/>
  <c r="I65" i="66"/>
  <c r="K61" i="110"/>
  <c r="K63" i="92"/>
  <c r="K62" i="97"/>
  <c r="K61" i="97"/>
  <c r="C4" i="162"/>
  <c r="E5" i="162"/>
  <c r="J5" i="162"/>
  <c r="K5" i="162" s="1"/>
  <c r="C3" i="137"/>
  <c r="E4" i="137"/>
  <c r="J4" i="137"/>
  <c r="K4" i="137" s="1"/>
  <c r="GI45" i="2"/>
  <c r="GH45" i="2"/>
  <c r="I65" i="118"/>
  <c r="J64" i="118"/>
  <c r="EO6" i="2"/>
  <c r="C5" i="56"/>
  <c r="E6" i="56"/>
  <c r="J6" i="56"/>
  <c r="K6" i="56" s="1"/>
  <c r="K62" i="116"/>
  <c r="I63" i="40"/>
  <c r="J62" i="40"/>
  <c r="K61" i="40"/>
  <c r="HZ7" i="2"/>
  <c r="C5" i="6"/>
  <c r="E6" i="6"/>
  <c r="CA6" i="1"/>
  <c r="I65" i="92"/>
  <c r="J64" i="92"/>
  <c r="K62" i="168"/>
  <c r="I64" i="52"/>
  <c r="J63" i="52"/>
  <c r="C5" i="91"/>
  <c r="E6" i="91"/>
  <c r="J6" i="91"/>
  <c r="K6" i="91" s="1"/>
  <c r="I66" i="101"/>
  <c r="J65" i="101"/>
  <c r="K63" i="172"/>
  <c r="E3" i="61"/>
  <c r="C2" i="61"/>
  <c r="J3" i="61"/>
  <c r="K3" i="61" s="1"/>
  <c r="E44" i="24"/>
  <c r="C43" i="24"/>
  <c r="GG44" i="2"/>
  <c r="BE44" i="1"/>
  <c r="C44" i="2"/>
  <c r="C44" i="1"/>
  <c r="J44" i="24"/>
  <c r="K44" i="24" s="1"/>
  <c r="E5" i="132"/>
  <c r="C4" i="132"/>
  <c r="J5" i="132"/>
  <c r="K5" i="132" s="1"/>
  <c r="E5" i="97"/>
  <c r="C4" i="97"/>
  <c r="EO5" i="2"/>
  <c r="J5" i="97"/>
  <c r="K5" i="97" s="1"/>
  <c r="K60" i="166"/>
  <c r="J62" i="38"/>
  <c r="I63" i="38"/>
  <c r="K64" i="164"/>
  <c r="DI6" i="2"/>
  <c r="E6" i="107"/>
  <c r="C5" i="107"/>
  <c r="J6" i="107"/>
  <c r="K6" i="107" s="1"/>
  <c r="I67" i="22"/>
  <c r="J67" i="22" s="1"/>
  <c r="J66" i="22"/>
  <c r="K66" i="22" s="1"/>
  <c r="E4" i="65"/>
  <c r="C3" i="65"/>
  <c r="J4" i="65"/>
  <c r="K4" i="65" s="1"/>
  <c r="C4" i="71"/>
  <c r="J5" i="71"/>
  <c r="K5" i="71" s="1"/>
  <c r="E5" i="71"/>
  <c r="J65" i="164"/>
  <c r="I66" i="164"/>
  <c r="E5" i="122"/>
  <c r="C4" i="122"/>
  <c r="J5" i="122"/>
  <c r="K5" i="122" s="1"/>
  <c r="C2" i="26"/>
  <c r="E3" i="26"/>
  <c r="J3" i="26"/>
  <c r="K3" i="26" s="1"/>
  <c r="C3" i="66"/>
  <c r="E4" i="66"/>
  <c r="J4" i="66"/>
  <c r="K4" i="66" s="1"/>
  <c r="I65" i="37"/>
  <c r="J64" i="37"/>
  <c r="J63" i="168"/>
  <c r="I64" i="168"/>
  <c r="K62" i="52"/>
  <c r="K61" i="54"/>
  <c r="I64" i="111"/>
  <c r="J63" i="111"/>
  <c r="K60" i="130"/>
  <c r="CA6" i="2"/>
  <c r="CW5" i="2"/>
  <c r="K63" i="136"/>
  <c r="J62" i="81"/>
  <c r="I63" i="81"/>
  <c r="J62" i="125"/>
  <c r="I63" i="125"/>
  <c r="J62" i="47"/>
  <c r="I63" i="47"/>
  <c r="C4" i="133"/>
  <c r="E5" i="133"/>
  <c r="J5" i="133"/>
  <c r="K5" i="133" s="1"/>
  <c r="DH5" i="2"/>
  <c r="E5" i="108"/>
  <c r="C4" i="108"/>
  <c r="J5" i="108"/>
  <c r="K5" i="108" s="1"/>
  <c r="K61" i="5"/>
  <c r="E5" i="31"/>
  <c r="C4" i="31"/>
  <c r="CA5" i="2"/>
  <c r="J5" i="31"/>
  <c r="K5" i="31" s="1"/>
  <c r="E4" i="112"/>
  <c r="C3" i="112"/>
  <c r="J4" i="112"/>
  <c r="K4" i="112" s="1"/>
  <c r="I64" i="73"/>
  <c r="J63" i="73"/>
  <c r="K62" i="73" s="1"/>
  <c r="K61" i="125"/>
  <c r="J66" i="42"/>
  <c r="K66" i="42" s="1"/>
  <c r="I67" i="42"/>
  <c r="J67" i="42" s="1"/>
  <c r="E5" i="88"/>
  <c r="C4" i="88"/>
  <c r="FK5" i="2"/>
  <c r="J5" i="88"/>
  <c r="K5" i="88" s="1"/>
  <c r="K62" i="154"/>
  <c r="I64" i="114"/>
  <c r="J63" i="114"/>
  <c r="E6" i="14"/>
  <c r="C5" i="14"/>
  <c r="J6" i="14"/>
  <c r="K6" i="14" s="1"/>
  <c r="K65" i="46"/>
  <c r="J62" i="120"/>
  <c r="I63" i="120"/>
  <c r="K62" i="10"/>
  <c r="K61" i="120"/>
  <c r="E5" i="96"/>
  <c r="C4" i="96"/>
  <c r="J5" i="96"/>
  <c r="K5" i="96" s="1"/>
  <c r="E4" i="126"/>
  <c r="C3" i="126"/>
  <c r="J4" i="126"/>
  <c r="K4" i="126" s="1"/>
  <c r="K62" i="158"/>
  <c r="I65" i="28"/>
  <c r="J64" i="28"/>
  <c r="K62" i="68"/>
  <c r="E5" i="44"/>
  <c r="C4" i="44"/>
  <c r="J5" i="44"/>
  <c r="K5" i="44" s="1"/>
  <c r="K64" i="9"/>
  <c r="C4" i="77"/>
  <c r="E5" i="77"/>
  <c r="J5" i="77"/>
  <c r="K5" i="77" s="1"/>
  <c r="C4" i="125"/>
  <c r="E5" i="125"/>
  <c r="J5" i="125"/>
  <c r="K5" i="125" s="1"/>
  <c r="C3" i="18"/>
  <c r="E4" i="18"/>
  <c r="J4" i="18"/>
  <c r="K4" i="18" s="1"/>
  <c r="K63" i="142"/>
  <c r="E3" i="141"/>
  <c r="C2" i="141"/>
  <c r="J3" i="141"/>
  <c r="K3" i="141" s="1"/>
  <c r="E4" i="81"/>
  <c r="C3" i="81"/>
  <c r="J4" i="81"/>
  <c r="K4" i="81" s="1"/>
  <c r="I65" i="124"/>
  <c r="J64" i="124"/>
  <c r="K63" i="124" s="1"/>
  <c r="E4" i="118"/>
  <c r="C3" i="118"/>
  <c r="J4" i="118"/>
  <c r="K4" i="118" s="1"/>
  <c r="I64" i="84"/>
  <c r="J63" i="84"/>
  <c r="K62" i="84" s="1"/>
  <c r="K63" i="26"/>
  <c r="E3" i="86"/>
  <c r="C2" i="86"/>
  <c r="J3" i="86"/>
  <c r="K3" i="86" s="1"/>
  <c r="E3" i="163"/>
  <c r="C2" i="163"/>
  <c r="J3" i="163"/>
  <c r="K3" i="163" s="1"/>
  <c r="K62" i="3"/>
  <c r="J65" i="9"/>
  <c r="I66" i="9"/>
  <c r="J66" i="59"/>
  <c r="K66" i="59" s="1"/>
  <c r="I67" i="59"/>
  <c r="J67" i="59" s="1"/>
  <c r="K62" i="21"/>
  <c r="K65" i="24"/>
  <c r="I64" i="104"/>
  <c r="J63" i="104"/>
  <c r="I64" i="76"/>
  <c r="J63" i="76"/>
  <c r="E6" i="152"/>
  <c r="C5" i="152"/>
  <c r="J6" i="152"/>
  <c r="K6" i="152" s="1"/>
  <c r="C3" i="94"/>
  <c r="E4" i="94"/>
  <c r="J4" i="94"/>
  <c r="K4" i="94" s="1"/>
  <c r="K63" i="132"/>
  <c r="J62" i="34"/>
  <c r="K61" i="34" s="1"/>
  <c r="I63" i="34"/>
  <c r="I65" i="157"/>
  <c r="J64" i="157"/>
  <c r="AJ7" i="1"/>
  <c r="I65" i="165"/>
  <c r="J64" i="165"/>
  <c r="Y7" i="1"/>
  <c r="C4" i="23"/>
  <c r="E5" i="23"/>
  <c r="J5" i="23"/>
  <c r="K5" i="23" s="1"/>
  <c r="M6" i="2"/>
  <c r="J63" i="3"/>
  <c r="I64" i="3"/>
  <c r="J62" i="17"/>
  <c r="I63" i="17"/>
  <c r="K62" i="170"/>
  <c r="E4" i="129"/>
  <c r="C3" i="129"/>
  <c r="J4" i="129"/>
  <c r="K4" i="129" s="1"/>
  <c r="DS4" i="2"/>
  <c r="I66" i="142"/>
  <c r="J65" i="142"/>
  <c r="I66" i="78"/>
  <c r="J65" i="78"/>
  <c r="C4" i="70"/>
  <c r="E5" i="70"/>
  <c r="J5" i="70"/>
  <c r="K5" i="70" s="1"/>
  <c r="C2" i="51"/>
  <c r="E3" i="51"/>
  <c r="J3" i="51"/>
  <c r="K3" i="51" s="1"/>
  <c r="K61" i="39"/>
  <c r="E5" i="13"/>
  <c r="C4" i="13"/>
  <c r="J5" i="13"/>
  <c r="K5" i="13" s="1"/>
  <c r="K62" i="104"/>
  <c r="K65" i="79"/>
  <c r="E4" i="16"/>
  <c r="C3" i="16"/>
  <c r="J4" i="16"/>
  <c r="K4" i="16" s="1"/>
  <c r="K62" i="76"/>
  <c r="K61" i="144"/>
  <c r="C2" i="168"/>
  <c r="E3" i="168"/>
  <c r="J3" i="168"/>
  <c r="K3" i="168" s="1"/>
  <c r="K63" i="98"/>
  <c r="E4" i="113"/>
  <c r="C3" i="113"/>
  <c r="J4" i="113"/>
  <c r="K4" i="113" s="1"/>
  <c r="K62" i="124"/>
  <c r="J62" i="102"/>
  <c r="I63" i="102"/>
  <c r="E3" i="69"/>
  <c r="C2" i="69"/>
  <c r="J3" i="69"/>
  <c r="K3" i="69" s="1"/>
  <c r="I64" i="33"/>
  <c r="J63" i="33"/>
  <c r="C4" i="33"/>
  <c r="E5" i="33"/>
  <c r="M5" i="2"/>
  <c r="J5" i="33"/>
  <c r="K5" i="33" s="1"/>
  <c r="I63" i="45"/>
  <c r="J62" i="45"/>
  <c r="J65" i="127"/>
  <c r="I66" i="127"/>
  <c r="C2" i="159"/>
  <c r="J3" i="159"/>
  <c r="K3" i="159" s="1"/>
  <c r="E3" i="159"/>
  <c r="K63" i="107"/>
  <c r="J66" i="24"/>
  <c r="E4" i="9"/>
  <c r="C3" i="9"/>
  <c r="J4" i="9"/>
  <c r="K4" i="9" s="1"/>
  <c r="I67" i="79"/>
  <c r="J67" i="79" s="1"/>
  <c r="J66" i="79"/>
  <c r="K66" i="79" s="1"/>
  <c r="I64" i="85"/>
  <c r="J63" i="85"/>
  <c r="K62" i="85" s="1"/>
  <c r="C2" i="39"/>
  <c r="E3" i="39"/>
  <c r="J3" i="39"/>
  <c r="K3" i="39" s="1"/>
  <c r="I65" i="173"/>
  <c r="J64" i="173"/>
  <c r="K63" i="173" s="1"/>
  <c r="K61" i="138"/>
  <c r="K60" i="64"/>
  <c r="K61" i="102"/>
  <c r="I65" i="44"/>
  <c r="J64" i="44"/>
  <c r="K63" i="44" s="1"/>
  <c r="K62" i="33"/>
  <c r="E4" i="150"/>
  <c r="C3" i="150"/>
  <c r="J4" i="150"/>
  <c r="K4" i="150" s="1"/>
  <c r="I63" i="174"/>
  <c r="J62" i="174"/>
  <c r="K61" i="45"/>
  <c r="I64" i="161"/>
  <c r="J63" i="161"/>
  <c r="E3" i="62"/>
  <c r="C2" i="62"/>
  <c r="J3" i="62"/>
  <c r="K3" i="62" s="1"/>
  <c r="I64" i="155"/>
  <c r="J63" i="155"/>
  <c r="I63" i="148"/>
  <c r="J62" i="148"/>
  <c r="I65" i="129"/>
  <c r="J64" i="129"/>
  <c r="K63" i="129" s="1"/>
  <c r="K61" i="148"/>
  <c r="IV6" i="2"/>
  <c r="I66" i="13"/>
  <c r="J65" i="13"/>
  <c r="I66" i="122"/>
  <c r="J65" i="122"/>
  <c r="C5" i="136"/>
  <c r="E6" i="136"/>
  <c r="J6" i="136"/>
  <c r="K6" i="136" s="1"/>
  <c r="E5" i="151"/>
  <c r="C4" i="151"/>
  <c r="J5" i="151"/>
  <c r="K5" i="151" s="1"/>
  <c r="J63" i="131"/>
  <c r="K62" i="131" s="1"/>
  <c r="I64" i="131"/>
  <c r="K60" i="34"/>
  <c r="K61" i="154"/>
  <c r="I63" i="69"/>
  <c r="J62" i="69"/>
  <c r="E6" i="29"/>
  <c r="C5" i="29"/>
  <c r="J6" i="29"/>
  <c r="K6" i="29" s="1"/>
  <c r="X6" i="1"/>
  <c r="K60" i="35"/>
  <c r="E4" i="128"/>
  <c r="C3" i="128"/>
  <c r="J4" i="128"/>
  <c r="K4" i="128" s="1"/>
  <c r="I65" i="30"/>
  <c r="J64" i="30"/>
  <c r="K63" i="30" s="1"/>
  <c r="K62" i="114"/>
  <c r="J2" i="131"/>
  <c r="K2" i="131" s="1"/>
  <c r="E2" i="131"/>
  <c r="F67" i="131"/>
  <c r="E5" i="145"/>
  <c r="C4" i="145"/>
  <c r="CW4" i="2" s="1"/>
  <c r="J5" i="145"/>
  <c r="K5" i="145" s="1"/>
  <c r="I63" i="163"/>
  <c r="J62" i="163"/>
  <c r="K64" i="24"/>
  <c r="K64" i="13"/>
  <c r="K63" i="139"/>
  <c r="K62" i="67"/>
  <c r="J66" i="94"/>
  <c r="I67" i="94"/>
  <c r="J67" i="94" s="1"/>
  <c r="IV7" i="2"/>
  <c r="I63" i="11"/>
  <c r="J62" i="11"/>
  <c r="E6" i="158"/>
  <c r="C5" i="158"/>
  <c r="J6" i="158"/>
  <c r="K6" i="158" s="1"/>
  <c r="K60" i="146"/>
  <c r="E6" i="143"/>
  <c r="C5" i="143"/>
  <c r="J6" i="143"/>
  <c r="K6" i="143" s="1"/>
  <c r="IU5" i="2"/>
  <c r="E4" i="116"/>
  <c r="C3" i="116"/>
  <c r="J4" i="116"/>
  <c r="K4" i="116" s="1"/>
  <c r="K61" i="116"/>
  <c r="C3" i="135"/>
  <c r="J4" i="135"/>
  <c r="K4" i="135" s="1"/>
  <c r="E4" i="135"/>
  <c r="K61" i="123"/>
  <c r="K64" i="82"/>
  <c r="E2" i="34"/>
  <c r="J2" i="34"/>
  <c r="K2" i="34" s="1"/>
  <c r="C3" i="22"/>
  <c r="E4" i="22"/>
  <c r="J4" i="22"/>
  <c r="K4" i="22" s="1"/>
  <c r="C2" i="124"/>
  <c r="J3" i="124"/>
  <c r="K3" i="124" s="1"/>
  <c r="E3" i="124"/>
  <c r="K61" i="43"/>
  <c r="I65" i="139"/>
  <c r="J64" i="139"/>
  <c r="I64" i="67"/>
  <c r="J63" i="67"/>
  <c r="I65" i="41"/>
  <c r="J64" i="41"/>
  <c r="I63" i="55"/>
  <c r="J62" i="55"/>
  <c r="J64" i="115"/>
  <c r="I65" i="115"/>
  <c r="C3" i="110"/>
  <c r="E4" i="110"/>
  <c r="J4" i="110"/>
  <c r="K4" i="110" s="1"/>
  <c r="K60" i="109"/>
  <c r="K64" i="48"/>
  <c r="E2" i="59"/>
  <c r="F67" i="59"/>
  <c r="J2" i="59"/>
  <c r="K2" i="59" s="1"/>
  <c r="FL7" i="2"/>
  <c r="K64" i="22"/>
  <c r="E6" i="46"/>
  <c r="C5" i="46"/>
  <c r="J6" i="46"/>
  <c r="K6" i="46" s="1"/>
  <c r="K61" i="141"/>
  <c r="E4" i="104"/>
  <c r="C3" i="104"/>
  <c r="J4" i="104"/>
  <c r="K4" i="104" s="1"/>
  <c r="E5" i="15"/>
  <c r="J5" i="15"/>
  <c r="K5" i="15" s="1"/>
  <c r="C4" i="15"/>
  <c r="K61" i="8"/>
  <c r="K63" i="16"/>
  <c r="K62" i="63"/>
  <c r="K65" i="145"/>
  <c r="K62" i="49"/>
  <c r="I64" i="88"/>
  <c r="J63" i="88"/>
  <c r="K60" i="95"/>
  <c r="BQ7" i="1"/>
  <c r="I64" i="119"/>
  <c r="J63" i="119"/>
  <c r="K62" i="119" s="1"/>
  <c r="I63" i="147"/>
  <c r="J62" i="147"/>
  <c r="K61" i="147" s="1"/>
  <c r="CX4" i="2" l="1"/>
  <c r="CM5" i="2"/>
  <c r="J64" i="119"/>
  <c r="I65" i="119"/>
  <c r="I64" i="17"/>
  <c r="J63" i="17"/>
  <c r="E3" i="18"/>
  <c r="J3" i="18"/>
  <c r="K3" i="18" s="1"/>
  <c r="C2" i="18"/>
  <c r="E4" i="71"/>
  <c r="C3" i="71"/>
  <c r="J4" i="71"/>
  <c r="K4" i="71" s="1"/>
  <c r="K64" i="23"/>
  <c r="E4" i="142"/>
  <c r="C3" i="142"/>
  <c r="J4" i="142"/>
  <c r="K4" i="142" s="1"/>
  <c r="J65" i="159"/>
  <c r="I66" i="159"/>
  <c r="I67" i="117"/>
  <c r="J67" i="117" s="1"/>
  <c r="J66" i="117"/>
  <c r="K66" i="117" s="1"/>
  <c r="I66" i="68"/>
  <c r="J65" i="68"/>
  <c r="I65" i="56"/>
  <c r="J64" i="56"/>
  <c r="J64" i="87"/>
  <c r="I65" i="87"/>
  <c r="E4" i="36"/>
  <c r="C3" i="36"/>
  <c r="J4" i="36"/>
  <c r="K4" i="36" s="1"/>
  <c r="I66" i="149"/>
  <c r="J65" i="149"/>
  <c r="C4" i="143"/>
  <c r="E5" i="143"/>
  <c r="J5" i="143"/>
  <c r="K5" i="143" s="1"/>
  <c r="I64" i="148"/>
  <c r="J63" i="148"/>
  <c r="C2" i="9"/>
  <c r="E3" i="9"/>
  <c r="J3" i="9"/>
  <c r="K3" i="9" s="1"/>
  <c r="E2" i="168"/>
  <c r="F67" i="168"/>
  <c r="J2" i="168"/>
  <c r="K2" i="168" s="1"/>
  <c r="K62" i="17"/>
  <c r="I67" i="9"/>
  <c r="J67" i="9" s="1"/>
  <c r="J66" i="9"/>
  <c r="K66" i="9" s="1"/>
  <c r="I65" i="114"/>
  <c r="J64" i="114"/>
  <c r="I64" i="125"/>
  <c r="J63" i="125"/>
  <c r="F67" i="61"/>
  <c r="E2" i="61"/>
  <c r="J2" i="61"/>
  <c r="K2" i="61" s="1"/>
  <c r="J65" i="23"/>
  <c r="I66" i="23"/>
  <c r="IK5" i="2"/>
  <c r="I64" i="65"/>
  <c r="J63" i="65"/>
  <c r="J63" i="105"/>
  <c r="I64" i="105"/>
  <c r="K63" i="56"/>
  <c r="C2" i="54"/>
  <c r="E3" i="54"/>
  <c r="J3" i="54"/>
  <c r="K3" i="54" s="1"/>
  <c r="E3" i="57"/>
  <c r="C2" i="57"/>
  <c r="J3" i="57"/>
  <c r="K3" i="57" s="1"/>
  <c r="C2" i="68"/>
  <c r="J3" i="68"/>
  <c r="K3" i="68" s="1"/>
  <c r="E3" i="68"/>
  <c r="I65" i="3"/>
  <c r="J64" i="3"/>
  <c r="K62" i="125"/>
  <c r="E3" i="65"/>
  <c r="C2" i="65"/>
  <c r="J3" i="65"/>
  <c r="K3" i="65" s="1"/>
  <c r="I65" i="97"/>
  <c r="J64" i="97"/>
  <c r="E4" i="147"/>
  <c r="C3" i="147"/>
  <c r="J4" i="147"/>
  <c r="K4" i="147" s="1"/>
  <c r="F67" i="106"/>
  <c r="E2" i="106"/>
  <c r="J2" i="106"/>
  <c r="K2" i="106" s="1"/>
  <c r="K62" i="65"/>
  <c r="J64" i="53"/>
  <c r="K63" i="53" s="1"/>
  <c r="I65" i="53"/>
  <c r="K65" i="62"/>
  <c r="BQ6" i="2"/>
  <c r="K66" i="71"/>
  <c r="K64" i="41"/>
  <c r="K61" i="17"/>
  <c r="C3" i="125"/>
  <c r="E4" i="125"/>
  <c r="J4" i="125"/>
  <c r="K4" i="125" s="1"/>
  <c r="K63" i="21"/>
  <c r="E4" i="10"/>
  <c r="C3" i="10"/>
  <c r="J4" i="10"/>
  <c r="K4" i="10" s="1"/>
  <c r="E5" i="28"/>
  <c r="C4" i="28"/>
  <c r="J5" i="28"/>
  <c r="K5" i="28" s="1"/>
  <c r="K62" i="56"/>
  <c r="E5" i="3"/>
  <c r="C4" i="3"/>
  <c r="J5" i="3"/>
  <c r="K5" i="3" s="1"/>
  <c r="I67" i="62"/>
  <c r="J67" i="62" s="1"/>
  <c r="J66" i="62"/>
  <c r="K66" i="62" s="1"/>
  <c r="E5" i="52"/>
  <c r="C4" i="52"/>
  <c r="BP5" i="2"/>
  <c r="J5" i="52"/>
  <c r="K5" i="52" s="1"/>
  <c r="K64" i="51"/>
  <c r="E5" i="172"/>
  <c r="C4" i="172"/>
  <c r="J5" i="172"/>
  <c r="K5" i="172" s="1"/>
  <c r="J63" i="81"/>
  <c r="I64" i="81"/>
  <c r="E4" i="154"/>
  <c r="C3" i="154"/>
  <c r="J4" i="154"/>
  <c r="K4" i="154" s="1"/>
  <c r="K65" i="26"/>
  <c r="I65" i="21"/>
  <c r="J64" i="21"/>
  <c r="FA5" i="2"/>
  <c r="E5" i="92"/>
  <c r="C4" i="92"/>
  <c r="J5" i="92"/>
  <c r="K5" i="92" s="1"/>
  <c r="K62" i="53"/>
  <c r="J66" i="51"/>
  <c r="K66" i="51" s="1"/>
  <c r="I67" i="51"/>
  <c r="J67" i="51" s="1"/>
  <c r="E3" i="137"/>
  <c r="C2" i="137"/>
  <c r="J3" i="137"/>
  <c r="K3" i="137" s="1"/>
  <c r="E4" i="88"/>
  <c r="C3" i="88"/>
  <c r="J4" i="88"/>
  <c r="K4" i="88" s="1"/>
  <c r="I67" i="101"/>
  <c r="J67" i="101" s="1"/>
  <c r="J66" i="101"/>
  <c r="K66" i="101" s="1"/>
  <c r="I64" i="110"/>
  <c r="J63" i="110"/>
  <c r="K62" i="110" s="1"/>
  <c r="I67" i="26"/>
  <c r="J67" i="26" s="1"/>
  <c r="J66" i="26"/>
  <c r="K62" i="155"/>
  <c r="J65" i="63"/>
  <c r="I66" i="63"/>
  <c r="E5" i="93"/>
  <c r="C4" i="93"/>
  <c r="J5" i="93"/>
  <c r="K5" i="93" s="1"/>
  <c r="K65" i="42"/>
  <c r="J64" i="80"/>
  <c r="I65" i="80"/>
  <c r="FL5" i="2"/>
  <c r="I65" i="67"/>
  <c r="J64" i="67"/>
  <c r="F67" i="163"/>
  <c r="E2" i="163"/>
  <c r="J2" i="163"/>
  <c r="K2" i="163" s="1"/>
  <c r="C3" i="77"/>
  <c r="J4" i="77"/>
  <c r="K4" i="77" s="1"/>
  <c r="E4" i="77"/>
  <c r="K65" i="59"/>
  <c r="E3" i="83"/>
  <c r="C2" i="83"/>
  <c r="J3" i="83"/>
  <c r="K3" i="83" s="1"/>
  <c r="E4" i="134"/>
  <c r="C3" i="134"/>
  <c r="EZ4" i="2"/>
  <c r="J4" i="134"/>
  <c r="K4" i="134" s="1"/>
  <c r="E3" i="148"/>
  <c r="C2" i="148"/>
  <c r="J3" i="148"/>
  <c r="K3" i="148" s="1"/>
  <c r="J64" i="153"/>
  <c r="I65" i="153"/>
  <c r="J65" i="158"/>
  <c r="I66" i="158"/>
  <c r="J63" i="8"/>
  <c r="I64" i="8"/>
  <c r="J65" i="41"/>
  <c r="I66" i="41"/>
  <c r="E5" i="158"/>
  <c r="C4" i="158"/>
  <c r="J5" i="158"/>
  <c r="K5" i="158" s="1"/>
  <c r="C4" i="29"/>
  <c r="E5" i="29"/>
  <c r="J5" i="29"/>
  <c r="K5" i="29" s="1"/>
  <c r="X5" i="1"/>
  <c r="E2" i="62"/>
  <c r="F67" i="62"/>
  <c r="J2" i="62"/>
  <c r="K2" i="62" s="1"/>
  <c r="K66" i="24"/>
  <c r="N6" i="2"/>
  <c r="I64" i="11"/>
  <c r="J63" i="11"/>
  <c r="J63" i="69"/>
  <c r="I64" i="69"/>
  <c r="I65" i="161"/>
  <c r="J64" i="161"/>
  <c r="E3" i="16"/>
  <c r="C2" i="16"/>
  <c r="J3" i="16"/>
  <c r="K3" i="16" s="1"/>
  <c r="E4" i="23"/>
  <c r="C3" i="23"/>
  <c r="J4" i="23"/>
  <c r="K4" i="23" s="1"/>
  <c r="CX5" i="2"/>
  <c r="E5" i="107"/>
  <c r="C4" i="107"/>
  <c r="J5" i="107"/>
  <c r="K5" i="107" s="1"/>
  <c r="C3" i="162"/>
  <c r="E4" i="162"/>
  <c r="J4" i="162"/>
  <c r="K4" i="162" s="1"/>
  <c r="I64" i="64"/>
  <c r="J63" i="64"/>
  <c r="K62" i="64" s="1"/>
  <c r="J66" i="156"/>
  <c r="K65" i="156" s="1"/>
  <c r="I67" i="156"/>
  <c r="J67" i="156" s="1"/>
  <c r="K65" i="16"/>
  <c r="K63" i="126"/>
  <c r="K64" i="158"/>
  <c r="E3" i="64"/>
  <c r="C2" i="64"/>
  <c r="J3" i="64"/>
  <c r="K3" i="64" s="1"/>
  <c r="E4" i="76"/>
  <c r="C3" i="76"/>
  <c r="J4" i="76"/>
  <c r="K4" i="76" s="1"/>
  <c r="C2" i="60"/>
  <c r="J3" i="60"/>
  <c r="K3" i="60" s="1"/>
  <c r="E3" i="60"/>
  <c r="FW6" i="2"/>
  <c r="I67" i="16"/>
  <c r="J67" i="16" s="1"/>
  <c r="J66" i="16"/>
  <c r="F67" i="123"/>
  <c r="E2" i="123"/>
  <c r="J2" i="123"/>
  <c r="K2" i="123" s="1"/>
  <c r="E4" i="101"/>
  <c r="J4" i="101"/>
  <c r="K4" i="101" s="1"/>
  <c r="C3" i="101"/>
  <c r="E4" i="21"/>
  <c r="C3" i="21"/>
  <c r="J4" i="21"/>
  <c r="K4" i="21" s="1"/>
  <c r="J64" i="126"/>
  <c r="I65" i="126"/>
  <c r="K62" i="141"/>
  <c r="F67" i="86"/>
  <c r="E2" i="86"/>
  <c r="J2" i="86"/>
  <c r="K2" i="86" s="1"/>
  <c r="K63" i="52"/>
  <c r="E5" i="55"/>
  <c r="C4" i="55"/>
  <c r="J5" i="55"/>
  <c r="K5" i="55" s="1"/>
  <c r="I65" i="70"/>
  <c r="J64" i="70"/>
  <c r="C3" i="63"/>
  <c r="E4" i="63"/>
  <c r="J4" i="63"/>
  <c r="K4" i="63" s="1"/>
  <c r="I64" i="141"/>
  <c r="J63" i="141"/>
  <c r="I67" i="127"/>
  <c r="J67" i="127" s="1"/>
  <c r="J66" i="127"/>
  <c r="K64" i="165"/>
  <c r="E4" i="44"/>
  <c r="C3" i="44"/>
  <c r="J4" i="44"/>
  <c r="K4" i="44" s="1"/>
  <c r="K64" i="101"/>
  <c r="J64" i="52"/>
  <c r="I65" i="52"/>
  <c r="E5" i="53"/>
  <c r="C4" i="53"/>
  <c r="J5" i="53"/>
  <c r="K5" i="53" s="1"/>
  <c r="E5" i="42"/>
  <c r="C4" i="42"/>
  <c r="J5" i="42"/>
  <c r="K5" i="42" s="1"/>
  <c r="FV5" i="2"/>
  <c r="Y6" i="2"/>
  <c r="I67" i="29"/>
  <c r="J67" i="29" s="1"/>
  <c r="J66" i="29"/>
  <c r="K66" i="29" s="1"/>
  <c r="I65" i="4"/>
  <c r="J64" i="4"/>
  <c r="I65" i="169"/>
  <c r="J64" i="169"/>
  <c r="I64" i="90"/>
  <c r="J63" i="90"/>
  <c r="K65" i="127"/>
  <c r="K63" i="111"/>
  <c r="J64" i="170"/>
  <c r="K63" i="170" s="1"/>
  <c r="I65" i="170"/>
  <c r="E3" i="130"/>
  <c r="C2" i="130"/>
  <c r="J3" i="130"/>
  <c r="K3" i="130" s="1"/>
  <c r="N6" i="1"/>
  <c r="J64" i="123"/>
  <c r="I65" i="123"/>
  <c r="I64" i="130"/>
  <c r="J63" i="130"/>
  <c r="E3" i="67"/>
  <c r="C2" i="67"/>
  <c r="J3" i="67"/>
  <c r="K3" i="67" s="1"/>
  <c r="E5" i="27"/>
  <c r="C4" i="27"/>
  <c r="IJ4" i="2" s="1"/>
  <c r="J5" i="27"/>
  <c r="K5" i="27" s="1"/>
  <c r="K63" i="169"/>
  <c r="K61" i="90"/>
  <c r="J64" i="155"/>
  <c r="K63" i="155" s="1"/>
  <c r="I65" i="155"/>
  <c r="I64" i="174"/>
  <c r="J63" i="174"/>
  <c r="K66" i="94"/>
  <c r="I65" i="73"/>
  <c r="J64" i="73"/>
  <c r="K63" i="73" s="1"/>
  <c r="E3" i="104"/>
  <c r="C2" i="104"/>
  <c r="J3" i="104"/>
  <c r="K3" i="104" s="1"/>
  <c r="E2" i="124"/>
  <c r="F67" i="124"/>
  <c r="J2" i="124"/>
  <c r="K2" i="124" s="1"/>
  <c r="K63" i="41"/>
  <c r="E3" i="150"/>
  <c r="C2" i="150"/>
  <c r="J3" i="150"/>
  <c r="K3" i="150" s="1"/>
  <c r="C3" i="13"/>
  <c r="E4" i="13"/>
  <c r="J4" i="13"/>
  <c r="K4" i="13" s="1"/>
  <c r="IU4" i="2"/>
  <c r="K63" i="165"/>
  <c r="I65" i="111"/>
  <c r="J64" i="111"/>
  <c r="K65" i="22"/>
  <c r="I66" i="66"/>
  <c r="J65" i="66"/>
  <c r="K64" i="66" s="1"/>
  <c r="E3" i="19"/>
  <c r="C2" i="19"/>
  <c r="J3" i="19"/>
  <c r="K3" i="19" s="1"/>
  <c r="E5" i="12"/>
  <c r="C4" i="12"/>
  <c r="J5" i="12"/>
  <c r="K5" i="12" s="1"/>
  <c r="X5" i="2"/>
  <c r="M5" i="1"/>
  <c r="I65" i="106"/>
  <c r="J64" i="106"/>
  <c r="E4" i="38"/>
  <c r="C3" i="38"/>
  <c r="J4" i="38"/>
  <c r="K4" i="38" s="1"/>
  <c r="K62" i="130"/>
  <c r="E4" i="119"/>
  <c r="C3" i="119"/>
  <c r="J4" i="119"/>
  <c r="K4" i="119" s="1"/>
  <c r="I65" i="19"/>
  <c r="J64" i="19"/>
  <c r="I64" i="36"/>
  <c r="J63" i="36"/>
  <c r="K62" i="36" s="1"/>
  <c r="K62" i="174"/>
  <c r="E2" i="159"/>
  <c r="F67" i="159"/>
  <c r="J2" i="159"/>
  <c r="K2" i="159" s="1"/>
  <c r="I66" i="165"/>
  <c r="J65" i="165"/>
  <c r="I64" i="38"/>
  <c r="J63" i="38"/>
  <c r="J65" i="92"/>
  <c r="I66" i="92"/>
  <c r="I65" i="121"/>
  <c r="J64" i="121"/>
  <c r="I65" i="108"/>
  <c r="J64" i="108"/>
  <c r="E3" i="99"/>
  <c r="C2" i="99"/>
  <c r="J3" i="99"/>
  <c r="K3" i="99" s="1"/>
  <c r="C2" i="11"/>
  <c r="E3" i="11"/>
  <c r="J3" i="11"/>
  <c r="K3" i="11" s="1"/>
  <c r="C3" i="164"/>
  <c r="E4" i="164"/>
  <c r="J4" i="164"/>
  <c r="K4" i="164" s="1"/>
  <c r="I67" i="77"/>
  <c r="J67" i="77" s="1"/>
  <c r="J66" i="77"/>
  <c r="K63" i="19"/>
  <c r="I64" i="95"/>
  <c r="J63" i="95"/>
  <c r="K62" i="169"/>
  <c r="C2" i="112"/>
  <c r="E3" i="112"/>
  <c r="J3" i="112"/>
  <c r="K3" i="112" s="1"/>
  <c r="CB6" i="1"/>
  <c r="K63" i="121"/>
  <c r="K63" i="108"/>
  <c r="J63" i="140"/>
  <c r="K62" i="140" s="1"/>
  <c r="I64" i="140"/>
  <c r="I67" i="89"/>
  <c r="J67" i="89" s="1"/>
  <c r="J66" i="89"/>
  <c r="E2" i="127"/>
  <c r="F67" i="127"/>
  <c r="J2" i="127"/>
  <c r="K2" i="127" s="1"/>
  <c r="K62" i="95"/>
  <c r="K62" i="109"/>
  <c r="J66" i="48"/>
  <c r="K66" i="48" s="1"/>
  <c r="I67" i="48"/>
  <c r="J67" i="48" s="1"/>
  <c r="E3" i="22"/>
  <c r="C2" i="22"/>
  <c r="J3" i="22"/>
  <c r="K3" i="22" s="1"/>
  <c r="N5" i="2"/>
  <c r="I66" i="28"/>
  <c r="J65" i="28"/>
  <c r="I65" i="168"/>
  <c r="J64" i="168"/>
  <c r="K65" i="89"/>
  <c r="E3" i="74"/>
  <c r="J3" i="74"/>
  <c r="K3" i="74" s="1"/>
  <c r="C2" i="74"/>
  <c r="C4" i="174"/>
  <c r="E5" i="174"/>
  <c r="J5" i="174"/>
  <c r="K5" i="174" s="1"/>
  <c r="I65" i="5"/>
  <c r="J64" i="5"/>
  <c r="K63" i="5" s="1"/>
  <c r="E5" i="49"/>
  <c r="C4" i="49"/>
  <c r="J5" i="49"/>
  <c r="K5" i="49" s="1"/>
  <c r="E3" i="167"/>
  <c r="J3" i="167"/>
  <c r="K3" i="167" s="1"/>
  <c r="C2" i="167"/>
  <c r="I65" i="162"/>
  <c r="J64" i="162"/>
  <c r="J63" i="109"/>
  <c r="I64" i="109"/>
  <c r="K65" i="48"/>
  <c r="J63" i="45"/>
  <c r="K62" i="45" s="1"/>
  <c r="I64" i="45"/>
  <c r="K65" i="94"/>
  <c r="K64" i="28"/>
  <c r="K64" i="44"/>
  <c r="I66" i="157"/>
  <c r="J65" i="157"/>
  <c r="K64" i="157" s="1"/>
  <c r="K63" i="157"/>
  <c r="K64" i="26"/>
  <c r="K61" i="55"/>
  <c r="I66" i="44"/>
  <c r="J65" i="44"/>
  <c r="I64" i="34"/>
  <c r="J63" i="34"/>
  <c r="E5" i="6"/>
  <c r="C4" i="6"/>
  <c r="CA5" i="1"/>
  <c r="K63" i="154"/>
  <c r="K62" i="43"/>
  <c r="K65" i="82"/>
  <c r="I64" i="58"/>
  <c r="J63" i="58"/>
  <c r="K62" i="58" s="1"/>
  <c r="K62" i="70"/>
  <c r="F67" i="84"/>
  <c r="E2" i="84"/>
  <c r="J2" i="84"/>
  <c r="K2" i="84" s="1"/>
  <c r="K63" i="103"/>
  <c r="J2" i="37"/>
  <c r="K2" i="37" s="1"/>
  <c r="E2" i="37"/>
  <c r="E3" i="4"/>
  <c r="C2" i="4"/>
  <c r="J3" i="4"/>
  <c r="K3" i="4" s="1"/>
  <c r="K64" i="10"/>
  <c r="I64" i="55"/>
  <c r="J63" i="55"/>
  <c r="E5" i="91"/>
  <c r="C4" i="91"/>
  <c r="J5" i="91"/>
  <c r="K5" i="91" s="1"/>
  <c r="E4" i="151"/>
  <c r="C3" i="151"/>
  <c r="J4" i="151"/>
  <c r="K4" i="151" s="1"/>
  <c r="I65" i="84"/>
  <c r="J64" i="84"/>
  <c r="K63" i="84" s="1"/>
  <c r="C4" i="46"/>
  <c r="AI4" i="1" s="1"/>
  <c r="E5" i="46"/>
  <c r="J5" i="46"/>
  <c r="K5" i="46" s="1"/>
  <c r="E5" i="136"/>
  <c r="C4" i="136"/>
  <c r="J5" i="136"/>
  <c r="K5" i="136" s="1"/>
  <c r="K61" i="69"/>
  <c r="C3" i="33"/>
  <c r="E4" i="33"/>
  <c r="J4" i="33"/>
  <c r="K4" i="33" s="1"/>
  <c r="J2" i="51"/>
  <c r="K2" i="51" s="1"/>
  <c r="E2" i="51"/>
  <c r="K62" i="34"/>
  <c r="CB5" i="2"/>
  <c r="K64" i="37"/>
  <c r="EP5" i="2"/>
  <c r="J64" i="154"/>
  <c r="I65" i="154"/>
  <c r="I64" i="43"/>
  <c r="J63" i="43"/>
  <c r="K61" i="64"/>
  <c r="C4" i="155"/>
  <c r="E5" i="155"/>
  <c r="J5" i="155"/>
  <c r="K5" i="155" s="1"/>
  <c r="K64" i="99"/>
  <c r="I65" i="138"/>
  <c r="J64" i="138"/>
  <c r="BE5" i="2"/>
  <c r="I65" i="103"/>
  <c r="J64" i="103"/>
  <c r="J66" i="107"/>
  <c r="K66" i="107" s="1"/>
  <c r="I67" i="107"/>
  <c r="J67" i="107" s="1"/>
  <c r="J65" i="10"/>
  <c r="I66" i="10"/>
  <c r="E4" i="80"/>
  <c r="C3" i="80"/>
  <c r="J4" i="80"/>
  <c r="K4" i="80" s="1"/>
  <c r="K61" i="174"/>
  <c r="E3" i="118"/>
  <c r="C2" i="118"/>
  <c r="J3" i="118"/>
  <c r="K3" i="118" s="1"/>
  <c r="C3" i="31"/>
  <c r="E4" i="31"/>
  <c r="CA4" i="2"/>
  <c r="J4" i="31"/>
  <c r="K4" i="31" s="1"/>
  <c r="J65" i="37"/>
  <c r="I66" i="37"/>
  <c r="E4" i="97"/>
  <c r="C3" i="97"/>
  <c r="EO4" i="2"/>
  <c r="J4" i="97"/>
  <c r="K4" i="97" s="1"/>
  <c r="C3" i="117"/>
  <c r="E4" i="117"/>
  <c r="J4" i="117"/>
  <c r="K4" i="117" s="1"/>
  <c r="HN5" i="2"/>
  <c r="C2" i="103"/>
  <c r="E3" i="103"/>
  <c r="J3" i="103"/>
  <c r="K3" i="103" s="1"/>
  <c r="J65" i="99"/>
  <c r="I66" i="99"/>
  <c r="HO6" i="2"/>
  <c r="E2" i="173"/>
  <c r="F67" i="173"/>
  <c r="J2" i="173"/>
  <c r="K2" i="173" s="1"/>
  <c r="K63" i="151"/>
  <c r="I65" i="131"/>
  <c r="J64" i="131"/>
  <c r="J66" i="122"/>
  <c r="I67" i="122"/>
  <c r="J67" i="122" s="1"/>
  <c r="K63" i="33"/>
  <c r="E3" i="126"/>
  <c r="C2" i="126"/>
  <c r="J3" i="126"/>
  <c r="K3" i="126" s="1"/>
  <c r="J64" i="137"/>
  <c r="K63" i="137" s="1"/>
  <c r="I65" i="137"/>
  <c r="I64" i="166"/>
  <c r="J63" i="166"/>
  <c r="K62" i="166" s="1"/>
  <c r="C3" i="41"/>
  <c r="E4" i="41"/>
  <c r="BE4" i="2"/>
  <c r="J4" i="41"/>
  <c r="K4" i="41" s="1"/>
  <c r="C2" i="5"/>
  <c r="E3" i="5"/>
  <c r="J3" i="5"/>
  <c r="K3" i="5" s="1"/>
  <c r="K62" i="162"/>
  <c r="K63" i="54"/>
  <c r="I65" i="151"/>
  <c r="J64" i="151"/>
  <c r="E4" i="15"/>
  <c r="C3" i="15"/>
  <c r="J4" i="15"/>
  <c r="K4" i="15" s="1"/>
  <c r="CB6" i="2"/>
  <c r="J63" i="163"/>
  <c r="K62" i="163" s="1"/>
  <c r="I64" i="163"/>
  <c r="K61" i="11"/>
  <c r="J64" i="33"/>
  <c r="I65" i="33"/>
  <c r="E4" i="70"/>
  <c r="C3" i="70"/>
  <c r="J4" i="70"/>
  <c r="K4" i="70" s="1"/>
  <c r="K64" i="124"/>
  <c r="K61" i="47"/>
  <c r="E2" i="40"/>
  <c r="J2" i="40"/>
  <c r="K2" i="40" s="1"/>
  <c r="E2" i="115"/>
  <c r="F67" i="115"/>
  <c r="J2" i="115"/>
  <c r="K2" i="115" s="1"/>
  <c r="C4" i="58"/>
  <c r="E5" i="58"/>
  <c r="J5" i="58"/>
  <c r="K5" i="58" s="1"/>
  <c r="C3" i="114"/>
  <c r="E4" i="114"/>
  <c r="J4" i="114"/>
  <c r="K4" i="114" s="1"/>
  <c r="I65" i="54"/>
  <c r="J64" i="54"/>
  <c r="BQ6" i="1"/>
  <c r="K61" i="95"/>
  <c r="I65" i="144"/>
  <c r="J64" i="144"/>
  <c r="Y6" i="1"/>
  <c r="I67" i="135"/>
  <c r="J67" i="135" s="1"/>
  <c r="J66" i="135"/>
  <c r="K66" i="135" s="1"/>
  <c r="K63" i="131"/>
  <c r="K65" i="122"/>
  <c r="C3" i="145"/>
  <c r="E4" i="145"/>
  <c r="J4" i="145"/>
  <c r="K4" i="145" s="1"/>
  <c r="K65" i="13"/>
  <c r="K61" i="163"/>
  <c r="C2" i="94"/>
  <c r="J3" i="94"/>
  <c r="K3" i="94" s="1"/>
  <c r="E3" i="94"/>
  <c r="J65" i="124"/>
  <c r="I66" i="124"/>
  <c r="K62" i="111"/>
  <c r="E3" i="66"/>
  <c r="C2" i="66"/>
  <c r="J3" i="66"/>
  <c r="K3" i="66" s="1"/>
  <c r="J4" i="132"/>
  <c r="K4" i="132" s="1"/>
  <c r="E4" i="132"/>
  <c r="C3" i="132"/>
  <c r="K62" i="40"/>
  <c r="I66" i="113"/>
  <c r="J65" i="113"/>
  <c r="F67" i="149"/>
  <c r="E2" i="149"/>
  <c r="J2" i="149"/>
  <c r="K2" i="149" s="1"/>
  <c r="K65" i="98"/>
  <c r="E4" i="89"/>
  <c r="C3" i="89"/>
  <c r="J4" i="89"/>
  <c r="K4" i="89" s="1"/>
  <c r="K61" i="58"/>
  <c r="I66" i="72"/>
  <c r="J65" i="72"/>
  <c r="E3" i="144"/>
  <c r="C2" i="144"/>
  <c r="J3" i="144"/>
  <c r="K3" i="144" s="1"/>
  <c r="J64" i="57"/>
  <c r="K63" i="57" s="1"/>
  <c r="I65" i="57"/>
  <c r="I66" i="18"/>
  <c r="J65" i="18"/>
  <c r="K64" i="18" s="1"/>
  <c r="K62" i="112"/>
  <c r="K65" i="132"/>
  <c r="HD6" i="2"/>
  <c r="AI5" i="1"/>
  <c r="J63" i="40"/>
  <c r="I64" i="40"/>
  <c r="I65" i="116"/>
  <c r="J64" i="116"/>
  <c r="K64" i="113"/>
  <c r="I67" i="98"/>
  <c r="J67" i="98" s="1"/>
  <c r="J66" i="98"/>
  <c r="J63" i="160"/>
  <c r="I64" i="160"/>
  <c r="K64" i="72"/>
  <c r="E2" i="47"/>
  <c r="J2" i="47"/>
  <c r="K2" i="47" s="1"/>
  <c r="C3" i="20"/>
  <c r="E4" i="20"/>
  <c r="J4" i="20"/>
  <c r="K4" i="20" s="1"/>
  <c r="I64" i="112"/>
  <c r="J63" i="112"/>
  <c r="I67" i="132"/>
  <c r="J67" i="132" s="1"/>
  <c r="J66" i="132"/>
  <c r="E5" i="8"/>
  <c r="C4" i="8"/>
  <c r="BP5" i="1"/>
  <c r="HC5" i="2"/>
  <c r="J5" i="8"/>
  <c r="K5" i="8" s="1"/>
  <c r="F67" i="72"/>
  <c r="E2" i="72"/>
  <c r="J2" i="72"/>
  <c r="K2" i="72" s="1"/>
  <c r="J66" i="13"/>
  <c r="I67" i="13"/>
  <c r="J67" i="13" s="1"/>
  <c r="F67" i="69"/>
  <c r="E2" i="69"/>
  <c r="J2" i="69"/>
  <c r="K2" i="69" s="1"/>
  <c r="E4" i="96"/>
  <c r="C3" i="96"/>
  <c r="J4" i="96"/>
  <c r="K4" i="96" s="1"/>
  <c r="K63" i="115"/>
  <c r="I66" i="173"/>
  <c r="J65" i="173"/>
  <c r="K64" i="173" s="1"/>
  <c r="I67" i="78"/>
  <c r="J67" i="78" s="1"/>
  <c r="J66" i="78"/>
  <c r="K66" i="78" s="1"/>
  <c r="C4" i="152"/>
  <c r="M4" i="2" s="1"/>
  <c r="E5" i="152"/>
  <c r="J5" i="152"/>
  <c r="K5" i="152" s="1"/>
  <c r="E3" i="81"/>
  <c r="C2" i="81"/>
  <c r="J3" i="81"/>
  <c r="K3" i="81" s="1"/>
  <c r="E4" i="108"/>
  <c r="C3" i="108"/>
  <c r="J4" i="108"/>
  <c r="K4" i="108" s="1"/>
  <c r="K61" i="81"/>
  <c r="K63" i="116"/>
  <c r="HY5" i="2"/>
  <c r="K62" i="160"/>
  <c r="I67" i="128"/>
  <c r="J67" i="128" s="1"/>
  <c r="J66" i="128"/>
  <c r="E4" i="79"/>
  <c r="C3" i="79"/>
  <c r="J4" i="79"/>
  <c r="K4" i="79" s="1"/>
  <c r="F67" i="120"/>
  <c r="E2" i="120"/>
  <c r="J2" i="120"/>
  <c r="K2" i="120" s="1"/>
  <c r="C2" i="75"/>
  <c r="E3" i="75"/>
  <c r="J3" i="75"/>
  <c r="K3" i="75" s="1"/>
  <c r="I64" i="102"/>
  <c r="J63" i="102"/>
  <c r="K65" i="142"/>
  <c r="E2" i="26"/>
  <c r="J2" i="26"/>
  <c r="K2" i="26" s="1"/>
  <c r="K64" i="135"/>
  <c r="E5" i="170"/>
  <c r="C4" i="170"/>
  <c r="J5" i="170"/>
  <c r="K5" i="170" s="1"/>
  <c r="C3" i="169"/>
  <c r="E4" i="169"/>
  <c r="HY4" i="2"/>
  <c r="J4" i="169"/>
  <c r="K4" i="169" s="1"/>
  <c r="K66" i="27"/>
  <c r="AI5" i="2"/>
  <c r="K61" i="171"/>
  <c r="I64" i="171"/>
  <c r="J63" i="171"/>
  <c r="K62" i="171" s="1"/>
  <c r="K63" i="39"/>
  <c r="K65" i="128"/>
  <c r="AU6" i="1"/>
  <c r="I66" i="93"/>
  <c r="J65" i="93"/>
  <c r="K64" i="93" s="1"/>
  <c r="E3" i="135"/>
  <c r="C2" i="135"/>
  <c r="J3" i="135"/>
  <c r="K3" i="135" s="1"/>
  <c r="K62" i="88"/>
  <c r="K62" i="102"/>
  <c r="I67" i="142"/>
  <c r="J67" i="142" s="1"/>
  <c r="J66" i="142"/>
  <c r="K63" i="28"/>
  <c r="D44" i="1"/>
  <c r="AK44" i="1"/>
  <c r="CC44" i="1"/>
  <c r="Z44" i="1"/>
  <c r="O44" i="1"/>
  <c r="AV44" i="1"/>
  <c r="BR44" i="1"/>
  <c r="K61" i="38"/>
  <c r="K66" i="32"/>
  <c r="K61" i="140"/>
  <c r="K65" i="136"/>
  <c r="AU6" i="2"/>
  <c r="I65" i="39"/>
  <c r="J64" i="39"/>
  <c r="K65" i="152"/>
  <c r="K62" i="57"/>
  <c r="K63" i="93"/>
  <c r="J65" i="83"/>
  <c r="I66" i="83"/>
  <c r="K62" i="143"/>
  <c r="I65" i="76"/>
  <c r="J64" i="76"/>
  <c r="K63" i="76" s="1"/>
  <c r="E2" i="141"/>
  <c r="F67" i="141"/>
  <c r="J2" i="141"/>
  <c r="K2" i="141" s="1"/>
  <c r="J63" i="120"/>
  <c r="I64" i="120"/>
  <c r="DI5" i="2"/>
  <c r="C3" i="122"/>
  <c r="E4" i="122"/>
  <c r="J4" i="122"/>
  <c r="K4" i="122" s="1"/>
  <c r="D44" i="2"/>
  <c r="CY44" i="2"/>
  <c r="DU44" i="2"/>
  <c r="GT44" i="2"/>
  <c r="HP44" i="2"/>
  <c r="CN44" i="2"/>
  <c r="IL44" i="2"/>
  <c r="AK44" i="2"/>
  <c r="DJ44" i="2"/>
  <c r="EQ44" i="2"/>
  <c r="FM44" i="2"/>
  <c r="FB44" i="2"/>
  <c r="HE44" i="2"/>
  <c r="BG44" i="2"/>
  <c r="CC44" i="2"/>
  <c r="AV44" i="2"/>
  <c r="EF44" i="2"/>
  <c r="BR44" i="2"/>
  <c r="IW44" i="2"/>
  <c r="Z44" i="2"/>
  <c r="O44" i="2"/>
  <c r="FX44" i="2"/>
  <c r="IA44" i="2"/>
  <c r="K62" i="35"/>
  <c r="E4" i="140"/>
  <c r="C3" i="140"/>
  <c r="AI4" i="2"/>
  <c r="J4" i="140"/>
  <c r="K4" i="140" s="1"/>
  <c r="J66" i="136"/>
  <c r="I67" i="136"/>
  <c r="J67" i="136" s="1"/>
  <c r="I66" i="25"/>
  <c r="J65" i="25"/>
  <c r="K64" i="25" s="1"/>
  <c r="I67" i="152"/>
  <c r="J67" i="152" s="1"/>
  <c r="J66" i="152"/>
  <c r="K66" i="152" s="1"/>
  <c r="C3" i="95"/>
  <c r="E4" i="95"/>
  <c r="J4" i="95"/>
  <c r="K4" i="95" s="1"/>
  <c r="K63" i="158"/>
  <c r="I64" i="143"/>
  <c r="J63" i="143"/>
  <c r="K62" i="147"/>
  <c r="J2" i="39"/>
  <c r="K2" i="39" s="1"/>
  <c r="E2" i="39"/>
  <c r="DT4" i="2"/>
  <c r="J63" i="147"/>
  <c r="I64" i="147"/>
  <c r="K64" i="30"/>
  <c r="K64" i="78"/>
  <c r="K64" i="122"/>
  <c r="K63" i="104"/>
  <c r="BF44" i="1"/>
  <c r="BG44" i="1"/>
  <c r="E4" i="153"/>
  <c r="C3" i="153"/>
  <c r="J4" i="153"/>
  <c r="K4" i="153" s="1"/>
  <c r="I64" i="96"/>
  <c r="J63" i="96"/>
  <c r="I64" i="35"/>
  <c r="J63" i="35"/>
  <c r="F67" i="171"/>
  <c r="E2" i="171"/>
  <c r="J2" i="171"/>
  <c r="K2" i="171" s="1"/>
  <c r="K64" i="117"/>
  <c r="C4" i="50"/>
  <c r="X4" i="1" s="1"/>
  <c r="E5" i="50"/>
  <c r="AT5" i="2"/>
  <c r="J5" i="50"/>
  <c r="K5" i="50" s="1"/>
  <c r="J64" i="20"/>
  <c r="I65" i="20"/>
  <c r="I65" i="31"/>
  <c r="J64" i="31"/>
  <c r="C2" i="161"/>
  <c r="E3" i="161"/>
  <c r="J3" i="161"/>
  <c r="K3" i="161" s="1"/>
  <c r="C4" i="7"/>
  <c r="J5" i="7"/>
  <c r="K5" i="7" s="1"/>
  <c r="E5" i="7"/>
  <c r="AT5" i="1"/>
  <c r="K64" i="167"/>
  <c r="K61" i="146"/>
  <c r="K62" i="100"/>
  <c r="C2" i="116"/>
  <c r="E3" i="116"/>
  <c r="J3" i="116"/>
  <c r="K3" i="116" s="1"/>
  <c r="I66" i="30"/>
  <c r="J65" i="30"/>
  <c r="E3" i="113"/>
  <c r="C2" i="113"/>
  <c r="J3" i="113"/>
  <c r="K3" i="113" s="1"/>
  <c r="C2" i="129"/>
  <c r="J3" i="129"/>
  <c r="K3" i="129" s="1"/>
  <c r="E3" i="129"/>
  <c r="DS3" i="2"/>
  <c r="I65" i="104"/>
  <c r="J64" i="104"/>
  <c r="J66" i="164"/>
  <c r="I67" i="164"/>
  <c r="J67" i="164" s="1"/>
  <c r="GI44" i="2"/>
  <c r="GH44" i="2"/>
  <c r="E5" i="56"/>
  <c r="C4" i="56"/>
  <c r="J5" i="56"/>
  <c r="K5" i="56" s="1"/>
  <c r="K64" i="142"/>
  <c r="F67" i="73"/>
  <c r="E2" i="73"/>
  <c r="J2" i="73"/>
  <c r="K2" i="73" s="1"/>
  <c r="I66" i="60"/>
  <c r="J65" i="60"/>
  <c r="C4" i="90"/>
  <c r="E5" i="90"/>
  <c r="J5" i="90"/>
  <c r="K5" i="90" s="1"/>
  <c r="C2" i="139"/>
  <c r="E3" i="139"/>
  <c r="J3" i="139"/>
  <c r="K3" i="139" s="1"/>
  <c r="K62" i="161"/>
  <c r="I67" i="172"/>
  <c r="J67" i="172" s="1"/>
  <c r="J66" i="172"/>
  <c r="K66" i="172" s="1"/>
  <c r="I66" i="167"/>
  <c r="J65" i="167"/>
  <c r="E4" i="48"/>
  <c r="C3" i="48"/>
  <c r="J4" i="48"/>
  <c r="K4" i="48" s="1"/>
  <c r="I64" i="100"/>
  <c r="J63" i="100"/>
  <c r="J64" i="85"/>
  <c r="K63" i="85" s="1"/>
  <c r="I65" i="85"/>
  <c r="C3" i="133"/>
  <c r="E4" i="133"/>
  <c r="J4" i="133"/>
  <c r="K4" i="133" s="1"/>
  <c r="DH4" i="2"/>
  <c r="K65" i="164"/>
  <c r="C42" i="24"/>
  <c r="E43" i="24"/>
  <c r="GG43" i="2"/>
  <c r="BE43" i="1"/>
  <c r="C43" i="2"/>
  <c r="C43" i="1"/>
  <c r="J43" i="24"/>
  <c r="K43" i="24" s="1"/>
  <c r="EP6" i="2"/>
  <c r="K62" i="108"/>
  <c r="K64" i="89"/>
  <c r="F67" i="85"/>
  <c r="J2" i="85"/>
  <c r="K2" i="85" s="1"/>
  <c r="E2" i="85"/>
  <c r="C2" i="17"/>
  <c r="E3" i="17"/>
  <c r="J3" i="17"/>
  <c r="K3" i="17" s="1"/>
  <c r="K64" i="60"/>
  <c r="K62" i="20"/>
  <c r="K64" i="107"/>
  <c r="K65" i="172"/>
  <c r="E5" i="100"/>
  <c r="C4" i="100"/>
  <c r="FK4" i="2" s="1"/>
  <c r="J5" i="100"/>
  <c r="K5" i="100" s="1"/>
  <c r="C2" i="25"/>
  <c r="E3" i="25"/>
  <c r="J3" i="25"/>
  <c r="K3" i="25" s="1"/>
  <c r="J64" i="49"/>
  <c r="I65" i="49"/>
  <c r="J64" i="88"/>
  <c r="K63" i="88" s="1"/>
  <c r="I65" i="88"/>
  <c r="I66" i="139"/>
  <c r="J65" i="139"/>
  <c r="IV5" i="2"/>
  <c r="C2" i="128"/>
  <c r="E3" i="128"/>
  <c r="J3" i="128"/>
  <c r="K3" i="128" s="1"/>
  <c r="I66" i="129"/>
  <c r="J65" i="129"/>
  <c r="E5" i="14"/>
  <c r="J5" i="14"/>
  <c r="K5" i="14" s="1"/>
  <c r="C4" i="14"/>
  <c r="GR5" i="2"/>
  <c r="K63" i="37"/>
  <c r="K64" i="118"/>
  <c r="C3" i="35"/>
  <c r="E4" i="35"/>
  <c r="J4" i="35"/>
  <c r="K4" i="35" s="1"/>
  <c r="EE6" i="2"/>
  <c r="I65" i="86"/>
  <c r="J64" i="86"/>
  <c r="K62" i="39"/>
  <c r="I64" i="91"/>
  <c r="J63" i="91"/>
  <c r="C3" i="78"/>
  <c r="E4" i="78"/>
  <c r="J4" i="78"/>
  <c r="K4" i="78" s="1"/>
  <c r="K65" i="71"/>
  <c r="K63" i="83"/>
  <c r="K63" i="49"/>
  <c r="K63" i="119"/>
  <c r="E3" i="110"/>
  <c r="C2" i="110"/>
  <c r="J3" i="110"/>
  <c r="K3" i="110" s="1"/>
  <c r="I66" i="115"/>
  <c r="J65" i="115"/>
  <c r="K62" i="148"/>
  <c r="K64" i="127"/>
  <c r="J63" i="47"/>
  <c r="K62" i="47" s="1"/>
  <c r="I64" i="47"/>
  <c r="I66" i="118"/>
  <c r="J65" i="118"/>
  <c r="K64" i="159"/>
  <c r="E5" i="109"/>
  <c r="C4" i="109"/>
  <c r="ED5" i="2"/>
  <c r="J5" i="109"/>
  <c r="K5" i="109" s="1"/>
  <c r="C4" i="121"/>
  <c r="E5" i="121"/>
  <c r="J5" i="121"/>
  <c r="K5" i="121" s="1"/>
  <c r="I65" i="50"/>
  <c r="J64" i="50"/>
  <c r="K61" i="65"/>
  <c r="K63" i="86"/>
  <c r="K64" i="68"/>
  <c r="K63" i="87"/>
  <c r="K62" i="91"/>
  <c r="K64" i="149"/>
  <c r="I64" i="146"/>
  <c r="J63" i="146"/>
  <c r="K62" i="146" s="1"/>
  <c r="K61" i="143"/>
  <c r="AJ4" i="1" l="1"/>
  <c r="FL4" i="2"/>
  <c r="IK4" i="2"/>
  <c r="Y4" i="1"/>
  <c r="N4" i="2"/>
  <c r="I65" i="102"/>
  <c r="J64" i="102"/>
  <c r="BF5" i="2"/>
  <c r="J65" i="84"/>
  <c r="I66" i="84"/>
  <c r="I65" i="34"/>
  <c r="J64" i="34"/>
  <c r="I65" i="130"/>
  <c r="J64" i="130"/>
  <c r="C2" i="162"/>
  <c r="E3" i="162"/>
  <c r="J3" i="162"/>
  <c r="K3" i="162" s="1"/>
  <c r="E3" i="122"/>
  <c r="J3" i="122"/>
  <c r="K3" i="122" s="1"/>
  <c r="C2" i="122"/>
  <c r="I66" i="116"/>
  <c r="J65" i="116"/>
  <c r="E2" i="112"/>
  <c r="F67" i="112"/>
  <c r="J2" i="112"/>
  <c r="K2" i="112" s="1"/>
  <c r="IV4" i="2"/>
  <c r="K65" i="29"/>
  <c r="I66" i="52"/>
  <c r="J65" i="52"/>
  <c r="E3" i="21"/>
  <c r="C2" i="21"/>
  <c r="J3" i="21"/>
  <c r="K3" i="21" s="1"/>
  <c r="I67" i="41"/>
  <c r="J67" i="41" s="1"/>
  <c r="J66" i="41"/>
  <c r="K65" i="41" s="1"/>
  <c r="J65" i="67"/>
  <c r="K64" i="67" s="1"/>
  <c r="I66" i="67"/>
  <c r="I66" i="97"/>
  <c r="J65" i="97"/>
  <c r="K64" i="97" s="1"/>
  <c r="K63" i="125"/>
  <c r="I67" i="68"/>
  <c r="J67" i="68" s="1"/>
  <c r="J66" i="68"/>
  <c r="K66" i="68" s="1"/>
  <c r="J66" i="99"/>
  <c r="K66" i="99" s="1"/>
  <c r="I67" i="99"/>
  <c r="J67" i="99" s="1"/>
  <c r="E4" i="121"/>
  <c r="C3" i="121"/>
  <c r="J4" i="121"/>
  <c r="K4" i="121" s="1"/>
  <c r="I65" i="96"/>
  <c r="J64" i="96"/>
  <c r="K66" i="136"/>
  <c r="E3" i="96"/>
  <c r="C2" i="96"/>
  <c r="J3" i="96"/>
  <c r="K3" i="96" s="1"/>
  <c r="J64" i="40"/>
  <c r="I65" i="40"/>
  <c r="K65" i="99"/>
  <c r="K65" i="30"/>
  <c r="K66" i="142"/>
  <c r="K63" i="40"/>
  <c r="I66" i="138"/>
  <c r="J65" i="138"/>
  <c r="E3" i="151"/>
  <c r="C2" i="151"/>
  <c r="J3" i="151"/>
  <c r="K3" i="151" s="1"/>
  <c r="I67" i="44"/>
  <c r="J67" i="44" s="1"/>
  <c r="J66" i="44"/>
  <c r="I66" i="123"/>
  <c r="J65" i="123"/>
  <c r="K64" i="52"/>
  <c r="C3" i="107"/>
  <c r="E4" i="107"/>
  <c r="J4" i="107"/>
  <c r="K4" i="107" s="1"/>
  <c r="J64" i="125"/>
  <c r="I65" i="125"/>
  <c r="EE5" i="2"/>
  <c r="E3" i="35"/>
  <c r="C2" i="35"/>
  <c r="J3" i="35"/>
  <c r="K3" i="35" s="1"/>
  <c r="E2" i="17"/>
  <c r="J2" i="17"/>
  <c r="K2" i="17" s="1"/>
  <c r="J66" i="30"/>
  <c r="I67" i="30"/>
  <c r="J67" i="30" s="1"/>
  <c r="C2" i="153"/>
  <c r="E3" i="153"/>
  <c r="J3" i="153"/>
  <c r="K3" i="153" s="1"/>
  <c r="AJ4" i="2"/>
  <c r="J64" i="120"/>
  <c r="I65" i="120"/>
  <c r="K65" i="78"/>
  <c r="F67" i="66"/>
  <c r="E2" i="66"/>
  <c r="J2" i="66"/>
  <c r="K2" i="66" s="1"/>
  <c r="K64" i="123"/>
  <c r="C2" i="101"/>
  <c r="E3" i="101"/>
  <c r="J3" i="101"/>
  <c r="K3" i="101" s="1"/>
  <c r="I65" i="8"/>
  <c r="J64" i="8"/>
  <c r="K63" i="8" s="1"/>
  <c r="E4" i="92"/>
  <c r="C3" i="92"/>
  <c r="J4" i="92"/>
  <c r="K4" i="92" s="1"/>
  <c r="E2" i="65"/>
  <c r="F67" i="65"/>
  <c r="J2" i="65"/>
  <c r="K2" i="65" s="1"/>
  <c r="K64" i="114"/>
  <c r="K63" i="120"/>
  <c r="K63" i="95"/>
  <c r="E3" i="13"/>
  <c r="C2" i="13"/>
  <c r="J3" i="13"/>
  <c r="K3" i="13" s="1"/>
  <c r="J65" i="114"/>
  <c r="I66" i="114"/>
  <c r="I67" i="159"/>
  <c r="J67" i="159" s="1"/>
  <c r="J66" i="159"/>
  <c r="K66" i="159" s="1"/>
  <c r="I67" i="167"/>
  <c r="J67" i="167" s="1"/>
  <c r="J66" i="167"/>
  <c r="K66" i="167" s="1"/>
  <c r="E4" i="109"/>
  <c r="C3" i="109"/>
  <c r="ED4" i="2"/>
  <c r="J4" i="109"/>
  <c r="K4" i="109" s="1"/>
  <c r="E3" i="140"/>
  <c r="C2" i="140"/>
  <c r="J3" i="140"/>
  <c r="K3" i="140" s="1"/>
  <c r="F67" i="75"/>
  <c r="E2" i="75"/>
  <c r="J2" i="75"/>
  <c r="K2" i="75" s="1"/>
  <c r="E2" i="103"/>
  <c r="J2" i="103"/>
  <c r="K2" i="103" s="1"/>
  <c r="F67" i="103"/>
  <c r="J65" i="168"/>
  <c r="I66" i="168"/>
  <c r="K62" i="8"/>
  <c r="C3" i="28"/>
  <c r="E4" i="28"/>
  <c r="J4" i="28"/>
  <c r="K4" i="28" s="1"/>
  <c r="AJ5" i="1"/>
  <c r="J2" i="5"/>
  <c r="K2" i="5" s="1"/>
  <c r="E2" i="5"/>
  <c r="HO5" i="2"/>
  <c r="E4" i="91"/>
  <c r="C3" i="91"/>
  <c r="J4" i="91"/>
  <c r="K4" i="91" s="1"/>
  <c r="I65" i="95"/>
  <c r="J64" i="95"/>
  <c r="J64" i="36"/>
  <c r="K63" i="36" s="1"/>
  <c r="I65" i="36"/>
  <c r="I67" i="158"/>
  <c r="J67" i="158" s="1"/>
  <c r="J66" i="158"/>
  <c r="K65" i="158" s="1"/>
  <c r="J65" i="80"/>
  <c r="K64" i="80" s="1"/>
  <c r="I66" i="80"/>
  <c r="K65" i="159"/>
  <c r="E4" i="155"/>
  <c r="C3" i="155"/>
  <c r="J4" i="155"/>
  <c r="K4" i="155" s="1"/>
  <c r="I67" i="28"/>
  <c r="J67" i="28" s="1"/>
  <c r="J66" i="28"/>
  <c r="C2" i="44"/>
  <c r="J3" i="44"/>
  <c r="K3" i="44" s="1"/>
  <c r="E3" i="44"/>
  <c r="K65" i="9"/>
  <c r="C3" i="14"/>
  <c r="J4" i="14"/>
  <c r="K4" i="14" s="1"/>
  <c r="E4" i="14"/>
  <c r="K62" i="120"/>
  <c r="E2" i="135"/>
  <c r="J2" i="135"/>
  <c r="K2" i="135" s="1"/>
  <c r="F67" i="135"/>
  <c r="K66" i="13"/>
  <c r="K65" i="124"/>
  <c r="E4" i="58"/>
  <c r="C3" i="58"/>
  <c r="J4" i="58"/>
  <c r="K4" i="58" s="1"/>
  <c r="BF4" i="2"/>
  <c r="K63" i="55"/>
  <c r="K66" i="77"/>
  <c r="J65" i="19"/>
  <c r="K64" i="19" s="1"/>
  <c r="I66" i="19"/>
  <c r="F67" i="150"/>
  <c r="E2" i="150"/>
  <c r="J2" i="150"/>
  <c r="K2" i="150" s="1"/>
  <c r="E2" i="130"/>
  <c r="F67" i="130"/>
  <c r="J2" i="130"/>
  <c r="K2" i="130" s="1"/>
  <c r="E3" i="23"/>
  <c r="C2" i="23"/>
  <c r="J3" i="23"/>
  <c r="K3" i="23" s="1"/>
  <c r="I66" i="153"/>
  <c r="J65" i="153"/>
  <c r="E3" i="10"/>
  <c r="C2" i="10"/>
  <c r="J3" i="10"/>
  <c r="K3" i="10" s="1"/>
  <c r="K64" i="3"/>
  <c r="C2" i="142"/>
  <c r="E3" i="142"/>
  <c r="J3" i="142"/>
  <c r="K3" i="142" s="1"/>
  <c r="J66" i="124"/>
  <c r="I67" i="124"/>
  <c r="J67" i="124" s="1"/>
  <c r="E3" i="117"/>
  <c r="C2" i="117"/>
  <c r="J3" i="117"/>
  <c r="K3" i="117" s="1"/>
  <c r="K63" i="43"/>
  <c r="I65" i="55"/>
  <c r="J64" i="55"/>
  <c r="K64" i="153"/>
  <c r="K63" i="153"/>
  <c r="J65" i="21"/>
  <c r="K64" i="21" s="1"/>
  <c r="I66" i="21"/>
  <c r="I66" i="3"/>
  <c r="J65" i="3"/>
  <c r="J64" i="43"/>
  <c r="I65" i="43"/>
  <c r="I67" i="157"/>
  <c r="J67" i="157" s="1"/>
  <c r="J66" i="157"/>
  <c r="E3" i="119"/>
  <c r="C2" i="119"/>
  <c r="J3" i="119"/>
  <c r="K3" i="119" s="1"/>
  <c r="I66" i="170"/>
  <c r="J65" i="170"/>
  <c r="K66" i="127"/>
  <c r="K66" i="16"/>
  <c r="EP4" i="2"/>
  <c r="K64" i="170"/>
  <c r="E2" i="16"/>
  <c r="J2" i="16"/>
  <c r="K2" i="16" s="1"/>
  <c r="E2" i="148"/>
  <c r="F67" i="148"/>
  <c r="J2" i="148"/>
  <c r="K2" i="148" s="1"/>
  <c r="E4" i="93"/>
  <c r="C3" i="93"/>
  <c r="J4" i="93"/>
  <c r="K4" i="93" s="1"/>
  <c r="K63" i="97"/>
  <c r="K65" i="60"/>
  <c r="I66" i="154"/>
  <c r="J65" i="154"/>
  <c r="J2" i="22"/>
  <c r="K2" i="22" s="1"/>
  <c r="E2" i="22"/>
  <c r="J66" i="129"/>
  <c r="K65" i="129" s="1"/>
  <c r="I67" i="129"/>
  <c r="J67" i="129" s="1"/>
  <c r="I67" i="60"/>
  <c r="J67" i="60" s="1"/>
  <c r="J66" i="60"/>
  <c r="I67" i="83"/>
  <c r="J67" i="83" s="1"/>
  <c r="J66" i="83"/>
  <c r="K66" i="83" s="1"/>
  <c r="K66" i="128"/>
  <c r="I67" i="18"/>
  <c r="J67" i="18" s="1"/>
  <c r="J66" i="18"/>
  <c r="I65" i="166"/>
  <c r="J64" i="166"/>
  <c r="C2" i="97"/>
  <c r="E3" i="97"/>
  <c r="J3" i="97"/>
  <c r="K3" i="97" s="1"/>
  <c r="K64" i="154"/>
  <c r="C2" i="164"/>
  <c r="E3" i="164"/>
  <c r="J3" i="164"/>
  <c r="K3" i="164" s="1"/>
  <c r="K65" i="77"/>
  <c r="E2" i="68"/>
  <c r="F67" i="68"/>
  <c r="J2" i="68"/>
  <c r="K2" i="68" s="1"/>
  <c r="E3" i="71"/>
  <c r="C2" i="71"/>
  <c r="J3" i="71"/>
  <c r="K3" i="71" s="1"/>
  <c r="K65" i="83"/>
  <c r="J65" i="137"/>
  <c r="I66" i="137"/>
  <c r="E2" i="4"/>
  <c r="J2" i="4"/>
  <c r="K2" i="4" s="1"/>
  <c r="I65" i="141"/>
  <c r="J64" i="141"/>
  <c r="K64" i="161"/>
  <c r="I67" i="63"/>
  <c r="J67" i="63" s="1"/>
  <c r="J66" i="63"/>
  <c r="K66" i="63" s="1"/>
  <c r="E3" i="154"/>
  <c r="C2" i="154"/>
  <c r="J3" i="154"/>
  <c r="K3" i="154" s="1"/>
  <c r="HD5" i="2"/>
  <c r="I66" i="57"/>
  <c r="J65" i="57"/>
  <c r="D43" i="2"/>
  <c r="DU43" i="2"/>
  <c r="FM43" i="2"/>
  <c r="DJ43" i="2"/>
  <c r="CN43" i="2"/>
  <c r="IW43" i="2"/>
  <c r="IL43" i="2"/>
  <c r="FB43" i="2"/>
  <c r="CY43" i="2"/>
  <c r="GT43" i="2"/>
  <c r="EQ43" i="2"/>
  <c r="IA43" i="2"/>
  <c r="AK43" i="2"/>
  <c r="HP43" i="2"/>
  <c r="CC43" i="2"/>
  <c r="FX43" i="2"/>
  <c r="O43" i="2"/>
  <c r="BG43" i="2"/>
  <c r="Z43" i="2"/>
  <c r="EF43" i="2"/>
  <c r="AV43" i="2"/>
  <c r="BR43" i="2"/>
  <c r="HE43" i="2"/>
  <c r="E4" i="7"/>
  <c r="C3" i="7"/>
  <c r="EO3" i="2" s="1"/>
  <c r="AT4" i="1"/>
  <c r="J4" i="7"/>
  <c r="K4" i="7" s="1"/>
  <c r="BQ5" i="1"/>
  <c r="K64" i="57"/>
  <c r="K64" i="137"/>
  <c r="I67" i="37"/>
  <c r="J67" i="37" s="1"/>
  <c r="J66" i="37"/>
  <c r="K66" i="37" s="1"/>
  <c r="I65" i="45"/>
  <c r="J64" i="45"/>
  <c r="K63" i="90"/>
  <c r="K62" i="90"/>
  <c r="J65" i="161"/>
  <c r="I66" i="161"/>
  <c r="FA4" i="2"/>
  <c r="E3" i="125"/>
  <c r="C2" i="125"/>
  <c r="J3" i="125"/>
  <c r="K3" i="125" s="1"/>
  <c r="E2" i="57"/>
  <c r="F67" i="57"/>
  <c r="J2" i="57"/>
  <c r="K2" i="57" s="1"/>
  <c r="J2" i="9"/>
  <c r="K2" i="9" s="1"/>
  <c r="E2" i="9"/>
  <c r="AU5" i="1"/>
  <c r="E2" i="11"/>
  <c r="J2" i="11"/>
  <c r="K2" i="11" s="1"/>
  <c r="E3" i="38"/>
  <c r="C2" i="38"/>
  <c r="J3" i="38"/>
  <c r="K3" i="38" s="1"/>
  <c r="F67" i="104"/>
  <c r="E2" i="104"/>
  <c r="J2" i="104"/>
  <c r="K2" i="104" s="1"/>
  <c r="I65" i="90"/>
  <c r="J64" i="90"/>
  <c r="CL4" i="2"/>
  <c r="I65" i="69"/>
  <c r="J64" i="69"/>
  <c r="E3" i="134"/>
  <c r="C2" i="134"/>
  <c r="J3" i="134"/>
  <c r="K3" i="134" s="1"/>
  <c r="EZ3" i="2"/>
  <c r="K63" i="114"/>
  <c r="K64" i="169"/>
  <c r="K66" i="26"/>
  <c r="K65" i="101"/>
  <c r="K63" i="3"/>
  <c r="K62" i="55"/>
  <c r="C3" i="8"/>
  <c r="E4" i="8"/>
  <c r="HC4" i="2"/>
  <c r="BP4" i="1"/>
  <c r="J4" i="8"/>
  <c r="K4" i="8" s="1"/>
  <c r="K63" i="171"/>
  <c r="HZ5" i="2"/>
  <c r="F67" i="144"/>
  <c r="E2" i="144"/>
  <c r="J2" i="144"/>
  <c r="K2" i="144" s="1"/>
  <c r="E3" i="145"/>
  <c r="C2" i="145"/>
  <c r="J3" i="145"/>
  <c r="K3" i="145" s="1"/>
  <c r="F67" i="126"/>
  <c r="E2" i="126"/>
  <c r="J2" i="126"/>
  <c r="K2" i="126" s="1"/>
  <c r="E2" i="110"/>
  <c r="F67" i="110"/>
  <c r="J2" i="110"/>
  <c r="K2" i="110" s="1"/>
  <c r="K62" i="96"/>
  <c r="K64" i="39"/>
  <c r="I65" i="171"/>
  <c r="J64" i="171"/>
  <c r="K66" i="132"/>
  <c r="CB4" i="2"/>
  <c r="I65" i="109"/>
  <c r="J64" i="109"/>
  <c r="E2" i="99"/>
  <c r="J2" i="99"/>
  <c r="K2" i="99" s="1"/>
  <c r="F67" i="99"/>
  <c r="I66" i="169"/>
  <c r="J65" i="169"/>
  <c r="F67" i="60"/>
  <c r="J2" i="60"/>
  <c r="K2" i="60" s="1"/>
  <c r="E2" i="60"/>
  <c r="K64" i="63"/>
  <c r="J64" i="81"/>
  <c r="I65" i="81"/>
  <c r="J2" i="18"/>
  <c r="K2" i="18" s="1"/>
  <c r="E2" i="18"/>
  <c r="F67" i="116"/>
  <c r="E2" i="116"/>
  <c r="J2" i="116"/>
  <c r="K2" i="116" s="1"/>
  <c r="I66" i="106"/>
  <c r="J65" i="106"/>
  <c r="I66" i="73"/>
  <c r="J65" i="73"/>
  <c r="C2" i="63"/>
  <c r="E3" i="63"/>
  <c r="J3" i="63"/>
  <c r="K3" i="63" s="1"/>
  <c r="J64" i="11"/>
  <c r="K63" i="11" s="1"/>
  <c r="I65" i="11"/>
  <c r="K63" i="81"/>
  <c r="F67" i="54"/>
  <c r="E2" i="54"/>
  <c r="J2" i="54"/>
  <c r="K2" i="54" s="1"/>
  <c r="E3" i="41"/>
  <c r="C2" i="41"/>
  <c r="J3" i="41"/>
  <c r="K3" i="41" s="1"/>
  <c r="D43" i="1"/>
  <c r="AV43" i="1"/>
  <c r="BR43" i="1"/>
  <c r="O43" i="1"/>
  <c r="AK43" i="1"/>
  <c r="CC43" i="1"/>
  <c r="Z43" i="1"/>
  <c r="I65" i="147"/>
  <c r="J64" i="147"/>
  <c r="F67" i="128"/>
  <c r="J2" i="128"/>
  <c r="K2" i="128" s="1"/>
  <c r="E2" i="128"/>
  <c r="I66" i="39"/>
  <c r="J65" i="39"/>
  <c r="J66" i="72"/>
  <c r="K66" i="72" s="1"/>
  <c r="I67" i="72"/>
  <c r="J67" i="72" s="1"/>
  <c r="E3" i="31"/>
  <c r="C2" i="31"/>
  <c r="J3" i="31"/>
  <c r="K3" i="31" s="1"/>
  <c r="K63" i="106"/>
  <c r="N5" i="1"/>
  <c r="I66" i="4"/>
  <c r="J65" i="4"/>
  <c r="K63" i="4"/>
  <c r="C2" i="76"/>
  <c r="E3" i="76"/>
  <c r="J3" i="76"/>
  <c r="K3" i="76" s="1"/>
  <c r="K64" i="139"/>
  <c r="I65" i="110"/>
  <c r="J64" i="110"/>
  <c r="I65" i="148"/>
  <c r="J64" i="148"/>
  <c r="K65" i="37"/>
  <c r="E3" i="108"/>
  <c r="C2" i="108"/>
  <c r="J3" i="108"/>
  <c r="K3" i="108" s="1"/>
  <c r="K64" i="108"/>
  <c r="F67" i="83"/>
  <c r="J2" i="83"/>
  <c r="K2" i="83" s="1"/>
  <c r="E2" i="83"/>
  <c r="K63" i="17"/>
  <c r="J66" i="115"/>
  <c r="K66" i="115" s="1"/>
  <c r="I67" i="115"/>
  <c r="J67" i="115" s="1"/>
  <c r="BG43" i="1"/>
  <c r="BF43" i="1"/>
  <c r="GI43" i="2"/>
  <c r="GH43" i="2"/>
  <c r="I65" i="112"/>
  <c r="J64" i="112"/>
  <c r="J65" i="33"/>
  <c r="I66" i="33"/>
  <c r="K66" i="122"/>
  <c r="J65" i="162"/>
  <c r="I66" i="162"/>
  <c r="K63" i="162"/>
  <c r="Y5" i="2"/>
  <c r="K64" i="70"/>
  <c r="E4" i="172"/>
  <c r="C3" i="172"/>
  <c r="J4" i="172"/>
  <c r="K4" i="172" s="1"/>
  <c r="I66" i="20"/>
  <c r="J65" i="20"/>
  <c r="J64" i="143"/>
  <c r="I65" i="143"/>
  <c r="HN4" i="2"/>
  <c r="K64" i="33"/>
  <c r="E2" i="118"/>
  <c r="F67" i="118"/>
  <c r="J2" i="118"/>
  <c r="K2" i="118" s="1"/>
  <c r="F67" i="167"/>
  <c r="J2" i="167"/>
  <c r="K2" i="167" s="1"/>
  <c r="E2" i="167"/>
  <c r="K66" i="89"/>
  <c r="I66" i="108"/>
  <c r="J65" i="108"/>
  <c r="I65" i="174"/>
  <c r="J64" i="174"/>
  <c r="K63" i="174" s="1"/>
  <c r="J65" i="70"/>
  <c r="I66" i="70"/>
  <c r="I65" i="105"/>
  <c r="J64" i="105"/>
  <c r="I65" i="17"/>
  <c r="J64" i="17"/>
  <c r="K65" i="72"/>
  <c r="K63" i="109"/>
  <c r="E4" i="56"/>
  <c r="C3" i="56"/>
  <c r="J4" i="56"/>
  <c r="K4" i="56" s="1"/>
  <c r="K64" i="131"/>
  <c r="K64" i="121"/>
  <c r="E4" i="12"/>
  <c r="C3" i="12"/>
  <c r="J4" i="12"/>
  <c r="K4" i="12" s="1"/>
  <c r="M4" i="1"/>
  <c r="X4" i="2"/>
  <c r="I66" i="155"/>
  <c r="J65" i="155"/>
  <c r="K63" i="123"/>
  <c r="E2" i="64"/>
  <c r="F67" i="64"/>
  <c r="J2" i="64"/>
  <c r="K2" i="64" s="1"/>
  <c r="K62" i="81"/>
  <c r="E4" i="143"/>
  <c r="C3" i="143"/>
  <c r="J4" i="143"/>
  <c r="K4" i="143" s="1"/>
  <c r="K64" i="115"/>
  <c r="F67" i="81"/>
  <c r="E2" i="81"/>
  <c r="J2" i="81"/>
  <c r="K2" i="81" s="1"/>
  <c r="C2" i="20"/>
  <c r="E3" i="20"/>
  <c r="J3" i="20"/>
  <c r="K3" i="20" s="1"/>
  <c r="E3" i="89"/>
  <c r="C2" i="89"/>
  <c r="J3" i="89"/>
  <c r="K3" i="89" s="1"/>
  <c r="HN3" i="2"/>
  <c r="I65" i="163"/>
  <c r="J64" i="163"/>
  <c r="I66" i="131"/>
  <c r="J65" i="131"/>
  <c r="I65" i="140"/>
  <c r="J64" i="140"/>
  <c r="I66" i="121"/>
  <c r="J65" i="121"/>
  <c r="K64" i="155"/>
  <c r="K63" i="70"/>
  <c r="C3" i="55"/>
  <c r="E4" i="55"/>
  <c r="J4" i="55"/>
  <c r="K4" i="55" s="1"/>
  <c r="K65" i="51"/>
  <c r="I66" i="53"/>
  <c r="J65" i="53"/>
  <c r="K63" i="65"/>
  <c r="I66" i="119"/>
  <c r="J65" i="119"/>
  <c r="I65" i="47"/>
  <c r="J64" i="47"/>
  <c r="K63" i="47" s="1"/>
  <c r="AJ5" i="2"/>
  <c r="E3" i="33"/>
  <c r="C2" i="33"/>
  <c r="J3" i="33"/>
  <c r="K3" i="33" s="1"/>
  <c r="I65" i="58"/>
  <c r="J64" i="58"/>
  <c r="K63" i="58" s="1"/>
  <c r="K63" i="140"/>
  <c r="K64" i="53"/>
  <c r="I65" i="65"/>
  <c r="J64" i="65"/>
  <c r="K65" i="149"/>
  <c r="K64" i="119"/>
  <c r="E4" i="90"/>
  <c r="C3" i="90"/>
  <c r="J4" i="90"/>
  <c r="K4" i="90" s="1"/>
  <c r="I67" i="93"/>
  <c r="J67" i="93" s="1"/>
  <c r="J66" i="93"/>
  <c r="K66" i="93" s="1"/>
  <c r="K65" i="18"/>
  <c r="F67" i="94"/>
  <c r="E2" i="94"/>
  <c r="J2" i="94"/>
  <c r="K2" i="94" s="1"/>
  <c r="K63" i="166"/>
  <c r="C2" i="80"/>
  <c r="E3" i="80"/>
  <c r="J3" i="80"/>
  <c r="K3" i="80" s="1"/>
  <c r="E4" i="49"/>
  <c r="C3" i="49"/>
  <c r="J4" i="49"/>
  <c r="K4" i="49" s="1"/>
  <c r="I67" i="92"/>
  <c r="J67" i="92" s="1"/>
  <c r="J66" i="92"/>
  <c r="K66" i="92" s="1"/>
  <c r="J2" i="19"/>
  <c r="K2" i="19" s="1"/>
  <c r="E2" i="19"/>
  <c r="K65" i="135"/>
  <c r="E3" i="88"/>
  <c r="C2" i="88"/>
  <c r="J3" i="88"/>
  <c r="K3" i="88" s="1"/>
  <c r="BQ5" i="2"/>
  <c r="K62" i="105"/>
  <c r="K65" i="117"/>
  <c r="J66" i="149"/>
  <c r="I67" i="149"/>
  <c r="J67" i="149" s="1"/>
  <c r="IU3" i="2"/>
  <c r="FW5" i="2"/>
  <c r="E3" i="77"/>
  <c r="C2" i="77"/>
  <c r="J3" i="77"/>
  <c r="K3" i="77" s="1"/>
  <c r="E4" i="52"/>
  <c r="C3" i="52"/>
  <c r="BP4" i="2"/>
  <c r="J4" i="52"/>
  <c r="K4" i="52" s="1"/>
  <c r="K63" i="112"/>
  <c r="K63" i="143"/>
  <c r="K64" i="83"/>
  <c r="J64" i="146"/>
  <c r="I65" i="146"/>
  <c r="J3" i="133"/>
  <c r="K3" i="133" s="1"/>
  <c r="E3" i="133"/>
  <c r="C2" i="133"/>
  <c r="DH3" i="2"/>
  <c r="AU5" i="2"/>
  <c r="E3" i="169"/>
  <c r="C2" i="169"/>
  <c r="J3" i="169"/>
  <c r="K3" i="169" s="1"/>
  <c r="I66" i="144"/>
  <c r="J65" i="144"/>
  <c r="K64" i="144" s="1"/>
  <c r="K63" i="91"/>
  <c r="E2" i="25"/>
  <c r="J2" i="25"/>
  <c r="K2" i="25" s="1"/>
  <c r="K64" i="129"/>
  <c r="J65" i="104"/>
  <c r="I66" i="104"/>
  <c r="E4" i="50"/>
  <c r="C3" i="50"/>
  <c r="AT4" i="2"/>
  <c r="J4" i="50"/>
  <c r="K4" i="50" s="1"/>
  <c r="C3" i="170"/>
  <c r="E4" i="170"/>
  <c r="J4" i="170"/>
  <c r="K4" i="170" s="1"/>
  <c r="I65" i="91"/>
  <c r="J64" i="91"/>
  <c r="DT3" i="2"/>
  <c r="E3" i="95"/>
  <c r="C2" i="95"/>
  <c r="J3" i="95"/>
  <c r="K3" i="95" s="1"/>
  <c r="E4" i="152"/>
  <c r="C3" i="152"/>
  <c r="M3" i="2" s="1"/>
  <c r="J4" i="152"/>
  <c r="K4" i="152" s="1"/>
  <c r="I65" i="160"/>
  <c r="J64" i="160"/>
  <c r="I67" i="10"/>
  <c r="J67" i="10" s="1"/>
  <c r="J66" i="10"/>
  <c r="C3" i="136"/>
  <c r="E4" i="136"/>
  <c r="J4" i="136"/>
  <c r="K4" i="136" s="1"/>
  <c r="K64" i="5"/>
  <c r="K63" i="38"/>
  <c r="E4" i="27"/>
  <c r="C3" i="27"/>
  <c r="J4" i="27"/>
  <c r="K4" i="27" s="1"/>
  <c r="Y5" i="1"/>
  <c r="K63" i="67"/>
  <c r="E3" i="36"/>
  <c r="C2" i="36"/>
  <c r="J3" i="36"/>
  <c r="K3" i="36" s="1"/>
  <c r="E2" i="139"/>
  <c r="F67" i="139"/>
  <c r="J2" i="139"/>
  <c r="K2" i="139" s="1"/>
  <c r="E42" i="24"/>
  <c r="C41" i="24"/>
  <c r="GG42" i="2"/>
  <c r="BE42" i="1"/>
  <c r="C42" i="2"/>
  <c r="C42" i="1"/>
  <c r="J42" i="24"/>
  <c r="K42" i="24" s="1"/>
  <c r="E3" i="70"/>
  <c r="C2" i="70"/>
  <c r="J3" i="70"/>
  <c r="K3" i="70" s="1"/>
  <c r="CB5" i="1"/>
  <c r="I66" i="5"/>
  <c r="J65" i="5"/>
  <c r="I65" i="38"/>
  <c r="J64" i="38"/>
  <c r="I67" i="66"/>
  <c r="J67" i="66" s="1"/>
  <c r="J66" i="66"/>
  <c r="K65" i="66" s="1"/>
  <c r="C3" i="42"/>
  <c r="J4" i="42"/>
  <c r="K4" i="42" s="1"/>
  <c r="E4" i="42"/>
  <c r="FV4" i="2"/>
  <c r="K66" i="156"/>
  <c r="I67" i="23"/>
  <c r="J67" i="23" s="1"/>
  <c r="J66" i="23"/>
  <c r="K66" i="23" s="1"/>
  <c r="K63" i="45"/>
  <c r="I67" i="139"/>
  <c r="J67" i="139" s="1"/>
  <c r="J66" i="139"/>
  <c r="K66" i="139" s="1"/>
  <c r="K66" i="98"/>
  <c r="I66" i="54"/>
  <c r="J65" i="54"/>
  <c r="K65" i="107"/>
  <c r="C3" i="6"/>
  <c r="E4" i="6"/>
  <c r="CA4" i="1"/>
  <c r="K62" i="38"/>
  <c r="K64" i="92"/>
  <c r="K63" i="64"/>
  <c r="F67" i="137"/>
  <c r="E2" i="137"/>
  <c r="J2" i="137"/>
  <c r="K2" i="137" s="1"/>
  <c r="K65" i="23"/>
  <c r="I66" i="87"/>
  <c r="J65" i="87"/>
  <c r="K64" i="31"/>
  <c r="J65" i="88"/>
  <c r="K64" i="88" s="1"/>
  <c r="I66" i="88"/>
  <c r="K63" i="146"/>
  <c r="I66" i="49"/>
  <c r="J65" i="49"/>
  <c r="K64" i="20"/>
  <c r="K64" i="49"/>
  <c r="K66" i="164"/>
  <c r="C2" i="78"/>
  <c r="E3" i="78"/>
  <c r="J3" i="78"/>
  <c r="K3" i="78" s="1"/>
  <c r="E4" i="100"/>
  <c r="C3" i="100"/>
  <c r="J4" i="100"/>
  <c r="K4" i="100" s="1"/>
  <c r="C2" i="15"/>
  <c r="J3" i="15"/>
  <c r="K3" i="15" s="1"/>
  <c r="E3" i="15"/>
  <c r="I66" i="86"/>
  <c r="J65" i="86"/>
  <c r="E3" i="48"/>
  <c r="C2" i="48"/>
  <c r="J3" i="48"/>
  <c r="K3" i="48" s="1"/>
  <c r="E2" i="129"/>
  <c r="F67" i="129"/>
  <c r="J2" i="129"/>
  <c r="K2" i="129" s="1"/>
  <c r="DS2" i="2"/>
  <c r="K63" i="20"/>
  <c r="I67" i="113"/>
  <c r="J67" i="113" s="1"/>
  <c r="J66" i="113"/>
  <c r="K66" i="113" s="1"/>
  <c r="K63" i="144"/>
  <c r="K63" i="138"/>
  <c r="K65" i="165"/>
  <c r="F67" i="67"/>
  <c r="E2" i="67"/>
  <c r="J2" i="67"/>
  <c r="K2" i="67" s="1"/>
  <c r="I65" i="64"/>
  <c r="J64" i="64"/>
  <c r="C3" i="29"/>
  <c r="E4" i="29"/>
  <c r="J4" i="29"/>
  <c r="K4" i="29" s="1"/>
  <c r="K63" i="161"/>
  <c r="F67" i="161"/>
  <c r="E2" i="161"/>
  <c r="J2" i="161"/>
  <c r="K2" i="161" s="1"/>
  <c r="DI4" i="2"/>
  <c r="J65" i="31"/>
  <c r="I66" i="31"/>
  <c r="HZ4" i="2"/>
  <c r="I66" i="85"/>
  <c r="J65" i="85"/>
  <c r="K64" i="85" s="1"/>
  <c r="K63" i="31"/>
  <c r="J64" i="100"/>
  <c r="I65" i="100"/>
  <c r="K64" i="54"/>
  <c r="I66" i="50"/>
  <c r="J65" i="50"/>
  <c r="K63" i="50"/>
  <c r="K63" i="35"/>
  <c r="K65" i="25"/>
  <c r="I67" i="173"/>
  <c r="J67" i="173" s="1"/>
  <c r="J66" i="173"/>
  <c r="K66" i="173" s="1"/>
  <c r="K64" i="151"/>
  <c r="E4" i="46"/>
  <c r="C3" i="46"/>
  <c r="J4" i="46"/>
  <c r="K4" i="46" s="1"/>
  <c r="K63" i="168"/>
  <c r="C3" i="174"/>
  <c r="E4" i="174"/>
  <c r="J4" i="174"/>
  <c r="K4" i="174" s="1"/>
  <c r="CW3" i="2"/>
  <c r="J66" i="165"/>
  <c r="I67" i="165"/>
  <c r="J67" i="165" s="1"/>
  <c r="K64" i="111"/>
  <c r="E4" i="53"/>
  <c r="C3" i="53"/>
  <c r="BE3" i="2" s="1"/>
  <c r="J4" i="53"/>
  <c r="K4" i="53" s="1"/>
  <c r="I66" i="126"/>
  <c r="J65" i="126"/>
  <c r="K62" i="69"/>
  <c r="K63" i="80"/>
  <c r="E4" i="3"/>
  <c r="C3" i="3"/>
  <c r="J4" i="3"/>
  <c r="K4" i="3" s="1"/>
  <c r="E3" i="147"/>
  <c r="C2" i="147"/>
  <c r="J3" i="147"/>
  <c r="K3" i="147" s="1"/>
  <c r="K64" i="56"/>
  <c r="GS5" i="2"/>
  <c r="J66" i="118"/>
  <c r="K65" i="118" s="1"/>
  <c r="I67" i="118"/>
  <c r="J67" i="118" s="1"/>
  <c r="I66" i="76"/>
  <c r="J65" i="76"/>
  <c r="K65" i="93"/>
  <c r="C2" i="79"/>
  <c r="E3" i="79"/>
  <c r="J3" i="79"/>
  <c r="K3" i="79" s="1"/>
  <c r="K65" i="167"/>
  <c r="E2" i="113"/>
  <c r="F67" i="113"/>
  <c r="J2" i="113"/>
  <c r="K2" i="113" s="1"/>
  <c r="I65" i="35"/>
  <c r="J64" i="35"/>
  <c r="I67" i="25"/>
  <c r="J67" i="25" s="1"/>
  <c r="J66" i="25"/>
  <c r="K63" i="102"/>
  <c r="K64" i="116"/>
  <c r="J3" i="132"/>
  <c r="K3" i="132" s="1"/>
  <c r="C2" i="132"/>
  <c r="E3" i="132"/>
  <c r="E3" i="114"/>
  <c r="C2" i="114"/>
  <c r="J3" i="114"/>
  <c r="K3" i="114" s="1"/>
  <c r="I66" i="151"/>
  <c r="J65" i="151"/>
  <c r="J65" i="103"/>
  <c r="K64" i="103" s="1"/>
  <c r="I66" i="103"/>
  <c r="K64" i="84"/>
  <c r="K63" i="34"/>
  <c r="F67" i="74"/>
  <c r="E2" i="74"/>
  <c r="J2" i="74"/>
  <c r="K2" i="74" s="1"/>
  <c r="I66" i="111"/>
  <c r="J65" i="111"/>
  <c r="K63" i="130"/>
  <c r="K64" i="126"/>
  <c r="C3" i="158"/>
  <c r="E4" i="158"/>
  <c r="J4" i="158"/>
  <c r="K4" i="158" s="1"/>
  <c r="K62" i="11"/>
  <c r="J65" i="56"/>
  <c r="I66" i="56"/>
  <c r="GR4" i="2"/>
  <c r="N3" i="2" l="1"/>
  <c r="EP3" i="2"/>
  <c r="BF3" i="2"/>
  <c r="I67" i="39"/>
  <c r="J67" i="39" s="1"/>
  <c r="J66" i="39"/>
  <c r="I66" i="45"/>
  <c r="J65" i="45"/>
  <c r="J2" i="13"/>
  <c r="K2" i="13" s="1"/>
  <c r="E2" i="13"/>
  <c r="K64" i="96"/>
  <c r="E2" i="122"/>
  <c r="F67" i="122"/>
  <c r="J2" i="122"/>
  <c r="K2" i="122" s="1"/>
  <c r="E2" i="77"/>
  <c r="F67" i="77"/>
  <c r="J2" i="77"/>
  <c r="K2" i="77" s="1"/>
  <c r="E3" i="55"/>
  <c r="C2" i="55"/>
  <c r="J3" i="55"/>
  <c r="K3" i="55" s="1"/>
  <c r="K65" i="139"/>
  <c r="I67" i="73"/>
  <c r="J67" i="73" s="1"/>
  <c r="J66" i="73"/>
  <c r="K66" i="73" s="1"/>
  <c r="K64" i="69"/>
  <c r="E2" i="164"/>
  <c r="F67" i="164"/>
  <c r="J2" i="164"/>
  <c r="K2" i="164" s="1"/>
  <c r="C2" i="14"/>
  <c r="E3" i="14"/>
  <c r="J3" i="14"/>
  <c r="K3" i="14" s="1"/>
  <c r="I66" i="96"/>
  <c r="J65" i="96"/>
  <c r="E3" i="100"/>
  <c r="C2" i="100"/>
  <c r="J3" i="100"/>
  <c r="K3" i="100" s="1"/>
  <c r="AU4" i="2"/>
  <c r="J65" i="69"/>
  <c r="I66" i="69"/>
  <c r="E2" i="10"/>
  <c r="J2" i="10"/>
  <c r="K2" i="10" s="1"/>
  <c r="E2" i="35"/>
  <c r="J2" i="35"/>
  <c r="K2" i="35" s="1"/>
  <c r="E3" i="170"/>
  <c r="C2" i="170"/>
  <c r="J3" i="170"/>
  <c r="K3" i="170" s="1"/>
  <c r="E2" i="36"/>
  <c r="J2" i="36"/>
  <c r="K2" i="36" s="1"/>
  <c r="E3" i="29"/>
  <c r="C2" i="29"/>
  <c r="J3" i="29"/>
  <c r="K3" i="29" s="1"/>
  <c r="X3" i="1"/>
  <c r="I67" i="106"/>
  <c r="J67" i="106" s="1"/>
  <c r="J66" i="106"/>
  <c r="K66" i="106" s="1"/>
  <c r="CM4" i="2"/>
  <c r="K65" i="115"/>
  <c r="E3" i="121"/>
  <c r="C2" i="121"/>
  <c r="J3" i="121"/>
  <c r="K3" i="121" s="1"/>
  <c r="K63" i="96"/>
  <c r="C2" i="46"/>
  <c r="E3" i="46"/>
  <c r="J3" i="46"/>
  <c r="K3" i="46" s="1"/>
  <c r="E3" i="50"/>
  <c r="C2" i="50"/>
  <c r="AT3" i="2"/>
  <c r="J3" i="50"/>
  <c r="K3" i="50" s="1"/>
  <c r="HO4" i="2"/>
  <c r="K65" i="111"/>
  <c r="K65" i="76"/>
  <c r="E3" i="90"/>
  <c r="C2" i="90"/>
  <c r="J3" i="90"/>
  <c r="K3" i="90" s="1"/>
  <c r="K65" i="121"/>
  <c r="J66" i="155"/>
  <c r="K66" i="155" s="1"/>
  <c r="I67" i="155"/>
  <c r="J67" i="155" s="1"/>
  <c r="I66" i="143"/>
  <c r="J65" i="143"/>
  <c r="K65" i="57"/>
  <c r="K65" i="68"/>
  <c r="E3" i="174"/>
  <c r="C2" i="174"/>
  <c r="J3" i="174"/>
  <c r="K3" i="174" s="1"/>
  <c r="E3" i="158"/>
  <c r="C2" i="158"/>
  <c r="J3" i="158"/>
  <c r="K3" i="158" s="1"/>
  <c r="E2" i="79"/>
  <c r="F67" i="79"/>
  <c r="J2" i="79"/>
  <c r="K2" i="79" s="1"/>
  <c r="J66" i="111"/>
  <c r="I67" i="111"/>
  <c r="J67" i="111" s="1"/>
  <c r="J66" i="76"/>
  <c r="I67" i="76"/>
  <c r="J67" i="76" s="1"/>
  <c r="J65" i="64"/>
  <c r="K64" i="64" s="1"/>
  <c r="I66" i="64"/>
  <c r="F67" i="78"/>
  <c r="E2" i="78"/>
  <c r="J2" i="78"/>
  <c r="K2" i="78" s="1"/>
  <c r="J66" i="104"/>
  <c r="I67" i="104"/>
  <c r="J67" i="104" s="1"/>
  <c r="K65" i="92"/>
  <c r="I67" i="121"/>
  <c r="J67" i="121" s="1"/>
  <c r="J66" i="121"/>
  <c r="Y4" i="2"/>
  <c r="K64" i="143"/>
  <c r="E2" i="108"/>
  <c r="F67" i="108"/>
  <c r="J2" i="108"/>
  <c r="K2" i="108" s="1"/>
  <c r="K64" i="147"/>
  <c r="J65" i="90"/>
  <c r="I66" i="90"/>
  <c r="I67" i="57"/>
  <c r="J67" i="57" s="1"/>
  <c r="J66" i="57"/>
  <c r="E3" i="28"/>
  <c r="C2" i="28"/>
  <c r="J3" i="28"/>
  <c r="K3" i="28" s="1"/>
  <c r="FW4" i="2"/>
  <c r="IV3" i="2"/>
  <c r="N4" i="1"/>
  <c r="K65" i="20"/>
  <c r="I66" i="147"/>
  <c r="J65" i="147"/>
  <c r="J2" i="97"/>
  <c r="K2" i="97" s="1"/>
  <c r="E2" i="97"/>
  <c r="F67" i="97"/>
  <c r="I67" i="170"/>
  <c r="J67" i="170" s="1"/>
  <c r="J66" i="170"/>
  <c r="K66" i="170" s="1"/>
  <c r="J66" i="153"/>
  <c r="K65" i="153" s="1"/>
  <c r="I67" i="153"/>
  <c r="J67" i="153" s="1"/>
  <c r="J65" i="125"/>
  <c r="I66" i="125"/>
  <c r="C2" i="27"/>
  <c r="IJ2" i="2" s="1"/>
  <c r="E3" i="27"/>
  <c r="J3" i="27"/>
  <c r="K3" i="27" s="1"/>
  <c r="J65" i="140"/>
  <c r="I66" i="140"/>
  <c r="I67" i="20"/>
  <c r="J67" i="20" s="1"/>
  <c r="J66" i="20"/>
  <c r="K66" i="20" s="1"/>
  <c r="K63" i="147"/>
  <c r="K66" i="149"/>
  <c r="C2" i="12"/>
  <c r="J3" i="12"/>
  <c r="K3" i="12" s="1"/>
  <c r="E3" i="12"/>
  <c r="M3" i="1"/>
  <c r="X3" i="2"/>
  <c r="IJ3" i="2"/>
  <c r="I66" i="166"/>
  <c r="J65" i="166"/>
  <c r="K64" i="166" s="1"/>
  <c r="F67" i="119"/>
  <c r="E2" i="119"/>
  <c r="J2" i="119"/>
  <c r="K2" i="119" s="1"/>
  <c r="E2" i="23"/>
  <c r="J2" i="23"/>
  <c r="K2" i="23" s="1"/>
  <c r="E2" i="44"/>
  <c r="J2" i="44"/>
  <c r="K2" i="44" s="1"/>
  <c r="K65" i="49"/>
  <c r="C2" i="42"/>
  <c r="E3" i="42"/>
  <c r="J3" i="42"/>
  <c r="K3" i="42" s="1"/>
  <c r="FV3" i="2"/>
  <c r="I66" i="65"/>
  <c r="J65" i="65"/>
  <c r="K64" i="148"/>
  <c r="F67" i="145"/>
  <c r="E2" i="145"/>
  <c r="J2" i="145"/>
  <c r="K2" i="145" s="1"/>
  <c r="AU4" i="1"/>
  <c r="K66" i="18"/>
  <c r="J66" i="168"/>
  <c r="I67" i="168"/>
  <c r="J67" i="168" s="1"/>
  <c r="E3" i="92"/>
  <c r="C2" i="92"/>
  <c r="J3" i="92"/>
  <c r="K3" i="92" s="1"/>
  <c r="F67" i="162"/>
  <c r="E2" i="162"/>
  <c r="J2" i="162"/>
  <c r="K2" i="162" s="1"/>
  <c r="I67" i="131"/>
  <c r="J67" i="131" s="1"/>
  <c r="J66" i="131"/>
  <c r="K66" i="131" s="1"/>
  <c r="C2" i="172"/>
  <c r="E3" i="172"/>
  <c r="J3" i="172"/>
  <c r="K3" i="172" s="1"/>
  <c r="I66" i="148"/>
  <c r="J65" i="148"/>
  <c r="E2" i="38"/>
  <c r="J2" i="38"/>
  <c r="K2" i="38" s="1"/>
  <c r="E3" i="7"/>
  <c r="J3" i="7"/>
  <c r="K3" i="7" s="1"/>
  <c r="C2" i="7"/>
  <c r="AT3" i="1"/>
  <c r="E2" i="154"/>
  <c r="F67" i="154"/>
  <c r="J2" i="154"/>
  <c r="K2" i="154" s="1"/>
  <c r="K66" i="157"/>
  <c r="K66" i="28"/>
  <c r="K65" i="168"/>
  <c r="K65" i="97"/>
  <c r="K66" i="118"/>
  <c r="I66" i="81"/>
  <c r="J65" i="81"/>
  <c r="E3" i="107"/>
  <c r="C2" i="107"/>
  <c r="J3" i="107"/>
  <c r="K3" i="107" s="1"/>
  <c r="I67" i="97"/>
  <c r="J67" i="97" s="1"/>
  <c r="J66" i="97"/>
  <c r="J65" i="130"/>
  <c r="K64" i="130" s="1"/>
  <c r="I66" i="130"/>
  <c r="I67" i="103"/>
  <c r="J67" i="103" s="1"/>
  <c r="J66" i="103"/>
  <c r="E2" i="147"/>
  <c r="F67" i="147"/>
  <c r="J2" i="147"/>
  <c r="K2" i="147" s="1"/>
  <c r="K64" i="58"/>
  <c r="J65" i="163"/>
  <c r="I66" i="163"/>
  <c r="I66" i="110"/>
  <c r="J65" i="110"/>
  <c r="K64" i="81"/>
  <c r="I66" i="43"/>
  <c r="J65" i="43"/>
  <c r="J65" i="8"/>
  <c r="I66" i="8"/>
  <c r="I67" i="67"/>
  <c r="J67" i="67" s="1"/>
  <c r="J66" i="67"/>
  <c r="K66" i="67" s="1"/>
  <c r="J66" i="88"/>
  <c r="K66" i="88" s="1"/>
  <c r="I67" i="88"/>
  <c r="J67" i="88" s="1"/>
  <c r="J66" i="144"/>
  <c r="I67" i="144"/>
  <c r="J67" i="144" s="1"/>
  <c r="I67" i="50"/>
  <c r="J67" i="50" s="1"/>
  <c r="J66" i="50"/>
  <c r="K65" i="50" s="1"/>
  <c r="I66" i="38"/>
  <c r="J65" i="38"/>
  <c r="J65" i="58"/>
  <c r="I66" i="58"/>
  <c r="C2" i="56"/>
  <c r="E3" i="56"/>
  <c r="J3" i="56"/>
  <c r="K3" i="56" s="1"/>
  <c r="GR3" i="2"/>
  <c r="K64" i="43"/>
  <c r="E3" i="155"/>
  <c r="C2" i="155"/>
  <c r="J3" i="155"/>
  <c r="K3" i="155" s="1"/>
  <c r="K65" i="123"/>
  <c r="J65" i="34"/>
  <c r="K64" i="34" s="1"/>
  <c r="I66" i="34"/>
  <c r="C2" i="136"/>
  <c r="J3" i="136"/>
  <c r="K3" i="136" s="1"/>
  <c r="E3" i="136"/>
  <c r="HY3" i="2"/>
  <c r="FK3" i="2"/>
  <c r="HO3" i="2"/>
  <c r="K66" i="60"/>
  <c r="I67" i="123"/>
  <c r="J67" i="123" s="1"/>
  <c r="J66" i="123"/>
  <c r="K66" i="41"/>
  <c r="I67" i="84"/>
  <c r="J67" i="84" s="1"/>
  <c r="J66" i="84"/>
  <c r="K65" i="173"/>
  <c r="I67" i="151"/>
  <c r="J67" i="151" s="1"/>
  <c r="J66" i="151"/>
  <c r="K66" i="151" s="1"/>
  <c r="E3" i="3"/>
  <c r="C2" i="3"/>
  <c r="J3" i="3"/>
  <c r="K3" i="3" s="1"/>
  <c r="I66" i="100"/>
  <c r="J65" i="100"/>
  <c r="K65" i="87"/>
  <c r="I67" i="5"/>
  <c r="J67" i="5" s="1"/>
  <c r="J66" i="5"/>
  <c r="K65" i="5" s="1"/>
  <c r="K66" i="10"/>
  <c r="E2" i="169"/>
  <c r="F67" i="169"/>
  <c r="HY2" i="2"/>
  <c r="J2" i="169"/>
  <c r="K2" i="169" s="1"/>
  <c r="E2" i="88"/>
  <c r="F67" i="88"/>
  <c r="FK2" i="2"/>
  <c r="J2" i="88"/>
  <c r="K2" i="88" s="1"/>
  <c r="J66" i="3"/>
  <c r="I67" i="3"/>
  <c r="J67" i="3" s="1"/>
  <c r="E2" i="101"/>
  <c r="F67" i="101"/>
  <c r="J2" i="101"/>
  <c r="K2" i="101" s="1"/>
  <c r="K66" i="44"/>
  <c r="K65" i="84"/>
  <c r="J2" i="41"/>
  <c r="K2" i="41" s="1"/>
  <c r="E2" i="41"/>
  <c r="I66" i="141"/>
  <c r="J65" i="141"/>
  <c r="K64" i="141" s="1"/>
  <c r="I67" i="21"/>
  <c r="J67" i="21" s="1"/>
  <c r="J66" i="21"/>
  <c r="I67" i="19"/>
  <c r="J67" i="19" s="1"/>
  <c r="J66" i="19"/>
  <c r="K66" i="19" s="1"/>
  <c r="I67" i="80"/>
  <c r="J67" i="80" s="1"/>
  <c r="J66" i="80"/>
  <c r="K66" i="80" s="1"/>
  <c r="J2" i="33"/>
  <c r="K2" i="33" s="1"/>
  <c r="E2" i="33"/>
  <c r="M2" i="2"/>
  <c r="K64" i="17"/>
  <c r="I67" i="162"/>
  <c r="J67" i="162" s="1"/>
  <c r="J66" i="162"/>
  <c r="K66" i="162" s="1"/>
  <c r="E2" i="76"/>
  <c r="F67" i="76"/>
  <c r="J2" i="76"/>
  <c r="K2" i="76" s="1"/>
  <c r="K66" i="129"/>
  <c r="K65" i="21"/>
  <c r="K65" i="80"/>
  <c r="K64" i="168"/>
  <c r="E2" i="21"/>
  <c r="J2" i="21"/>
  <c r="K2" i="21" s="1"/>
  <c r="K64" i="104"/>
  <c r="K64" i="160"/>
  <c r="K65" i="10"/>
  <c r="J65" i="160"/>
  <c r="I66" i="160"/>
  <c r="K63" i="163"/>
  <c r="J65" i="17"/>
  <c r="I66" i="17"/>
  <c r="K64" i="76"/>
  <c r="K65" i="169"/>
  <c r="BQ4" i="1"/>
  <c r="K66" i="158"/>
  <c r="AI3" i="2"/>
  <c r="F67" i="151"/>
  <c r="E2" i="151"/>
  <c r="J2" i="151"/>
  <c r="K2" i="151" s="1"/>
  <c r="K64" i="102"/>
  <c r="DI3" i="2"/>
  <c r="K64" i="105"/>
  <c r="K63" i="148"/>
  <c r="J66" i="169"/>
  <c r="I67" i="169"/>
  <c r="J67" i="169" s="1"/>
  <c r="HD4" i="2"/>
  <c r="F67" i="140"/>
  <c r="E2" i="140"/>
  <c r="J2" i="140"/>
  <c r="K2" i="140" s="1"/>
  <c r="J65" i="102"/>
  <c r="I66" i="102"/>
  <c r="J66" i="49"/>
  <c r="K66" i="49" s="1"/>
  <c r="I67" i="49"/>
  <c r="J67" i="49" s="1"/>
  <c r="F67" i="70"/>
  <c r="J2" i="70"/>
  <c r="K2" i="70" s="1"/>
  <c r="E2" i="70"/>
  <c r="E3" i="152"/>
  <c r="C2" i="152"/>
  <c r="J3" i="152"/>
  <c r="K3" i="152" s="1"/>
  <c r="J2" i="133"/>
  <c r="K2" i="133" s="1"/>
  <c r="E2" i="133"/>
  <c r="F67" i="133"/>
  <c r="DH2" i="2"/>
  <c r="J2" i="20"/>
  <c r="K2" i="20" s="1"/>
  <c r="E2" i="20"/>
  <c r="J65" i="105"/>
  <c r="I66" i="105"/>
  <c r="I67" i="33"/>
  <c r="J67" i="33" s="1"/>
  <c r="J66" i="33"/>
  <c r="K66" i="33" s="1"/>
  <c r="I67" i="4"/>
  <c r="J67" i="4" s="1"/>
  <c r="J66" i="4"/>
  <c r="K64" i="73"/>
  <c r="I67" i="137"/>
  <c r="J67" i="137" s="1"/>
  <c r="J66" i="137"/>
  <c r="K65" i="157"/>
  <c r="I66" i="36"/>
  <c r="J65" i="36"/>
  <c r="J66" i="52"/>
  <c r="K66" i="52" s="1"/>
  <c r="I67" i="52"/>
  <c r="J67" i="52" s="1"/>
  <c r="E2" i="114"/>
  <c r="F67" i="114"/>
  <c r="J2" i="114"/>
  <c r="K2" i="114" s="1"/>
  <c r="K64" i="47"/>
  <c r="I67" i="70"/>
  <c r="J67" i="70" s="1"/>
  <c r="J66" i="70"/>
  <c r="K66" i="70" s="1"/>
  <c r="K64" i="106"/>
  <c r="E3" i="8"/>
  <c r="C2" i="8"/>
  <c r="HC3" i="2"/>
  <c r="BP3" i="1"/>
  <c r="J3" i="8"/>
  <c r="K3" i="8" s="1"/>
  <c r="I67" i="154"/>
  <c r="J67" i="154" s="1"/>
  <c r="J66" i="154"/>
  <c r="K66" i="154" s="1"/>
  <c r="K64" i="55"/>
  <c r="J66" i="138"/>
  <c r="I67" i="138"/>
  <c r="J67" i="138" s="1"/>
  <c r="DT2" i="2"/>
  <c r="I67" i="85"/>
  <c r="J67" i="85" s="1"/>
  <c r="J66" i="85"/>
  <c r="K66" i="85" s="1"/>
  <c r="K65" i="126"/>
  <c r="J2" i="48"/>
  <c r="K2" i="48" s="1"/>
  <c r="E2" i="48"/>
  <c r="J66" i="126"/>
  <c r="I67" i="126"/>
  <c r="J67" i="126" s="1"/>
  <c r="J65" i="47"/>
  <c r="I66" i="47"/>
  <c r="E2" i="125"/>
  <c r="F67" i="125"/>
  <c r="J2" i="125"/>
  <c r="K2" i="125" s="1"/>
  <c r="J65" i="55"/>
  <c r="I66" i="55"/>
  <c r="EE4" i="2"/>
  <c r="I66" i="120"/>
  <c r="J65" i="120"/>
  <c r="F67" i="95"/>
  <c r="E2" i="95"/>
  <c r="J2" i="95"/>
  <c r="K2" i="95" s="1"/>
  <c r="I66" i="146"/>
  <c r="J65" i="146"/>
  <c r="K64" i="146" s="1"/>
  <c r="E3" i="49"/>
  <c r="C2" i="49"/>
  <c r="J3" i="49"/>
  <c r="K3" i="49" s="1"/>
  <c r="K64" i="174"/>
  <c r="I66" i="112"/>
  <c r="J65" i="112"/>
  <c r="E3" i="58"/>
  <c r="C2" i="58"/>
  <c r="J3" i="58"/>
  <c r="K3" i="58" s="1"/>
  <c r="I66" i="95"/>
  <c r="J65" i="95"/>
  <c r="E3" i="109"/>
  <c r="C2" i="109"/>
  <c r="ED3" i="2"/>
  <c r="J3" i="109"/>
  <c r="K3" i="109" s="1"/>
  <c r="K64" i="120"/>
  <c r="K64" i="100"/>
  <c r="J2" i="89"/>
  <c r="K2" i="89" s="1"/>
  <c r="E2" i="89"/>
  <c r="F67" i="89"/>
  <c r="HN2" i="2"/>
  <c r="D42" i="1"/>
  <c r="Z42" i="1"/>
  <c r="O42" i="1"/>
  <c r="CC42" i="1"/>
  <c r="BR42" i="1"/>
  <c r="AV42" i="1"/>
  <c r="AK42" i="1"/>
  <c r="K66" i="25"/>
  <c r="E3" i="53"/>
  <c r="C2" i="53"/>
  <c r="X2" i="1" s="1"/>
  <c r="J3" i="53"/>
  <c r="K3" i="53" s="1"/>
  <c r="I67" i="86"/>
  <c r="J67" i="86" s="1"/>
  <c r="J66" i="86"/>
  <c r="K66" i="86" s="1"/>
  <c r="CB4" i="1"/>
  <c r="D42" i="2"/>
  <c r="DU42" i="2"/>
  <c r="EQ42" i="2"/>
  <c r="FB42" i="2"/>
  <c r="AK42" i="2"/>
  <c r="CY42" i="2"/>
  <c r="HP42" i="2"/>
  <c r="BG42" i="2"/>
  <c r="CC42" i="2"/>
  <c r="CN42" i="2"/>
  <c r="DJ42" i="2"/>
  <c r="IL42" i="2"/>
  <c r="O42" i="2"/>
  <c r="FX42" i="2"/>
  <c r="IW42" i="2"/>
  <c r="IA42" i="2"/>
  <c r="GT42" i="2"/>
  <c r="AV42" i="2"/>
  <c r="EF42" i="2"/>
  <c r="Z42" i="2"/>
  <c r="BR42" i="2"/>
  <c r="HE42" i="2"/>
  <c r="FM42" i="2"/>
  <c r="I67" i="119"/>
  <c r="J67" i="119" s="1"/>
  <c r="J66" i="119"/>
  <c r="K66" i="119" s="1"/>
  <c r="I66" i="174"/>
  <c r="J65" i="174"/>
  <c r="K64" i="162"/>
  <c r="K63" i="110"/>
  <c r="K65" i="63"/>
  <c r="J2" i="71"/>
  <c r="K2" i="71" s="1"/>
  <c r="F67" i="71"/>
  <c r="E2" i="71"/>
  <c r="K65" i="28"/>
  <c r="K65" i="44"/>
  <c r="K65" i="108"/>
  <c r="I66" i="11"/>
  <c r="J65" i="11"/>
  <c r="K64" i="11" s="1"/>
  <c r="C2" i="93"/>
  <c r="E3" i="93"/>
  <c r="J3" i="93"/>
  <c r="K3" i="93" s="1"/>
  <c r="E2" i="117"/>
  <c r="F67" i="117"/>
  <c r="J2" i="117"/>
  <c r="K2" i="117" s="1"/>
  <c r="K64" i="138"/>
  <c r="AI3" i="1"/>
  <c r="K64" i="50"/>
  <c r="K64" i="86"/>
  <c r="C2" i="6"/>
  <c r="CA3" i="1"/>
  <c r="E3" i="6"/>
  <c r="GI42" i="2"/>
  <c r="GH42" i="2"/>
  <c r="K65" i="53"/>
  <c r="E3" i="143"/>
  <c r="C2" i="143"/>
  <c r="J3" i="143"/>
  <c r="K3" i="143" s="1"/>
  <c r="I67" i="108"/>
  <c r="J67" i="108" s="1"/>
  <c r="J66" i="108"/>
  <c r="K66" i="108" s="1"/>
  <c r="CA3" i="2"/>
  <c r="I66" i="109"/>
  <c r="J65" i="109"/>
  <c r="K63" i="69"/>
  <c r="C2" i="91"/>
  <c r="E3" i="91"/>
  <c r="J3" i="91"/>
  <c r="K3" i="91" s="1"/>
  <c r="J65" i="40"/>
  <c r="I66" i="40"/>
  <c r="BG42" i="1"/>
  <c r="BF42" i="1"/>
  <c r="GS4" i="2"/>
  <c r="J65" i="35"/>
  <c r="K64" i="35" s="1"/>
  <c r="I66" i="35"/>
  <c r="E41" i="24"/>
  <c r="C40" i="24"/>
  <c r="GG41" i="2"/>
  <c r="BE41" i="1"/>
  <c r="C41" i="1"/>
  <c r="C41" i="2"/>
  <c r="J41" i="24"/>
  <c r="K41" i="24" s="1"/>
  <c r="K63" i="100"/>
  <c r="E2" i="31"/>
  <c r="J2" i="31"/>
  <c r="K2" i="31" s="1"/>
  <c r="CL3" i="2"/>
  <c r="I67" i="161"/>
  <c r="J67" i="161" s="1"/>
  <c r="J66" i="161"/>
  <c r="K66" i="161" s="1"/>
  <c r="K64" i="40"/>
  <c r="CW2" i="2"/>
  <c r="K66" i="66"/>
  <c r="J2" i="80"/>
  <c r="K2" i="80" s="1"/>
  <c r="E2" i="80"/>
  <c r="F67" i="80"/>
  <c r="J66" i="53"/>
  <c r="I67" i="53"/>
  <c r="J67" i="53" s="1"/>
  <c r="I67" i="56"/>
  <c r="J67" i="56" s="1"/>
  <c r="J66" i="56"/>
  <c r="K66" i="56" s="1"/>
  <c r="K66" i="165"/>
  <c r="K63" i="105"/>
  <c r="K66" i="124"/>
  <c r="E2" i="153"/>
  <c r="F67" i="153"/>
  <c r="J2" i="153"/>
  <c r="K2" i="153" s="1"/>
  <c r="K65" i="144"/>
  <c r="I67" i="87"/>
  <c r="J67" i="87" s="1"/>
  <c r="J66" i="87"/>
  <c r="K66" i="87" s="1"/>
  <c r="E2" i="15"/>
  <c r="J2" i="15"/>
  <c r="K2" i="15" s="1"/>
  <c r="I67" i="54"/>
  <c r="J67" i="54" s="1"/>
  <c r="J66" i="54"/>
  <c r="K66" i="54" s="1"/>
  <c r="I66" i="91"/>
  <c r="J65" i="91"/>
  <c r="BQ4" i="2"/>
  <c r="FA3" i="2"/>
  <c r="K63" i="141"/>
  <c r="J66" i="114"/>
  <c r="I67" i="114"/>
  <c r="J67" i="114" s="1"/>
  <c r="E2" i="96"/>
  <c r="F67" i="96"/>
  <c r="J2" i="96"/>
  <c r="K2" i="96" s="1"/>
  <c r="I67" i="31"/>
  <c r="J67" i="31" s="1"/>
  <c r="J66" i="31"/>
  <c r="K66" i="31" s="1"/>
  <c r="K63" i="160"/>
  <c r="K65" i="113"/>
  <c r="E2" i="63"/>
  <c r="F67" i="63"/>
  <c r="J2" i="63"/>
  <c r="K2" i="63" s="1"/>
  <c r="CL2" i="2"/>
  <c r="K65" i="114"/>
  <c r="K66" i="30"/>
  <c r="K65" i="116"/>
  <c r="J2" i="132"/>
  <c r="K2" i="132" s="1"/>
  <c r="F67" i="132"/>
  <c r="E2" i="132"/>
  <c r="CX3" i="2"/>
  <c r="E3" i="52"/>
  <c r="C2" i="52"/>
  <c r="BP3" i="2"/>
  <c r="J3" i="52"/>
  <c r="K3" i="52" s="1"/>
  <c r="K64" i="87"/>
  <c r="K65" i="39"/>
  <c r="K64" i="4"/>
  <c r="I66" i="171"/>
  <c r="J65" i="171"/>
  <c r="F67" i="134"/>
  <c r="E2" i="134"/>
  <c r="EZ2" i="2"/>
  <c r="J2" i="134"/>
  <c r="K2" i="134" s="1"/>
  <c r="K64" i="45"/>
  <c r="F67" i="142"/>
  <c r="E2" i="142"/>
  <c r="J2" i="142"/>
  <c r="K2" i="142" s="1"/>
  <c r="J66" i="116"/>
  <c r="I67" i="116"/>
  <c r="J67" i="116" s="1"/>
  <c r="K66" i="3" l="1"/>
  <c r="Y2" i="1"/>
  <c r="IK2" i="2"/>
  <c r="E2" i="158"/>
  <c r="F67" i="158"/>
  <c r="J2" i="158"/>
  <c r="K2" i="158" s="1"/>
  <c r="J66" i="11"/>
  <c r="I67" i="11"/>
  <c r="J67" i="11" s="1"/>
  <c r="K66" i="126"/>
  <c r="I67" i="36"/>
  <c r="J67" i="36" s="1"/>
  <c r="J66" i="36"/>
  <c r="FL3" i="2"/>
  <c r="I67" i="95"/>
  <c r="J67" i="95" s="1"/>
  <c r="J66" i="95"/>
  <c r="K66" i="95" s="1"/>
  <c r="HZ3" i="2"/>
  <c r="K65" i="170"/>
  <c r="K66" i="53"/>
  <c r="K65" i="154"/>
  <c r="K65" i="19"/>
  <c r="FL2" i="2"/>
  <c r="K66" i="57"/>
  <c r="F67" i="174"/>
  <c r="E2" i="174"/>
  <c r="J2" i="174"/>
  <c r="K2" i="174" s="1"/>
  <c r="K65" i="109"/>
  <c r="F67" i="58"/>
  <c r="E2" i="58"/>
  <c r="J2" i="58"/>
  <c r="K2" i="58" s="1"/>
  <c r="K66" i="137"/>
  <c r="J66" i="8"/>
  <c r="I67" i="8"/>
  <c r="J67" i="8" s="1"/>
  <c r="I67" i="140"/>
  <c r="J67" i="140" s="1"/>
  <c r="J66" i="140"/>
  <c r="K66" i="140" s="1"/>
  <c r="E2" i="136"/>
  <c r="F67" i="136"/>
  <c r="J2" i="136"/>
  <c r="K2" i="136" s="1"/>
  <c r="K65" i="8"/>
  <c r="I67" i="90"/>
  <c r="J67" i="90" s="1"/>
  <c r="J66" i="90"/>
  <c r="K66" i="90" s="1"/>
  <c r="I67" i="109"/>
  <c r="J67" i="109" s="1"/>
  <c r="J66" i="109"/>
  <c r="K66" i="109" s="1"/>
  <c r="K66" i="169"/>
  <c r="I67" i="171"/>
  <c r="J67" i="171" s="1"/>
  <c r="J66" i="171"/>
  <c r="K66" i="114"/>
  <c r="K65" i="43"/>
  <c r="K65" i="131"/>
  <c r="Y3" i="1"/>
  <c r="CB3" i="2"/>
  <c r="J66" i="112"/>
  <c r="I67" i="112"/>
  <c r="J67" i="112" s="1"/>
  <c r="K66" i="4"/>
  <c r="K65" i="4"/>
  <c r="HZ2" i="2"/>
  <c r="K65" i="151"/>
  <c r="I67" i="43"/>
  <c r="J67" i="43" s="1"/>
  <c r="J66" i="43"/>
  <c r="K66" i="43" s="1"/>
  <c r="K64" i="90"/>
  <c r="E2" i="91"/>
  <c r="F67" i="91"/>
  <c r="J2" i="91"/>
  <c r="K2" i="91" s="1"/>
  <c r="I67" i="34"/>
  <c r="J67" i="34" s="1"/>
  <c r="J66" i="34"/>
  <c r="K65" i="34" s="1"/>
  <c r="I67" i="65"/>
  <c r="J67" i="65" s="1"/>
  <c r="J66" i="65"/>
  <c r="K66" i="65" s="1"/>
  <c r="E2" i="27"/>
  <c r="J2" i="27"/>
  <c r="K2" i="27" s="1"/>
  <c r="E2" i="29"/>
  <c r="J2" i="29"/>
  <c r="K2" i="29" s="1"/>
  <c r="F67" i="55"/>
  <c r="E2" i="55"/>
  <c r="J2" i="55"/>
  <c r="K2" i="55" s="1"/>
  <c r="K65" i="110"/>
  <c r="FW3" i="2"/>
  <c r="J66" i="125"/>
  <c r="K66" i="125" s="1"/>
  <c r="I67" i="125"/>
  <c r="J67" i="125" s="1"/>
  <c r="I67" i="143"/>
  <c r="J67" i="143" s="1"/>
  <c r="J66" i="143"/>
  <c r="K66" i="143" s="1"/>
  <c r="K66" i="138"/>
  <c r="K65" i="67"/>
  <c r="I67" i="110"/>
  <c r="J67" i="110" s="1"/>
  <c r="J66" i="110"/>
  <c r="K66" i="110" s="1"/>
  <c r="AU3" i="1"/>
  <c r="K65" i="125"/>
  <c r="K65" i="119"/>
  <c r="F67" i="143"/>
  <c r="E2" i="143"/>
  <c r="J2" i="143"/>
  <c r="K2" i="143" s="1"/>
  <c r="K65" i="31"/>
  <c r="E2" i="49"/>
  <c r="J2" i="49"/>
  <c r="K2" i="49" s="1"/>
  <c r="K64" i="36"/>
  <c r="J66" i="105"/>
  <c r="K66" i="105" s="1"/>
  <c r="I67" i="105"/>
  <c r="J67" i="105" s="1"/>
  <c r="K65" i="85"/>
  <c r="K66" i="5"/>
  <c r="I67" i="163"/>
  <c r="J67" i="163" s="1"/>
  <c r="J66" i="163"/>
  <c r="J2" i="7"/>
  <c r="K2" i="7" s="1"/>
  <c r="E2" i="7"/>
  <c r="AT2" i="1"/>
  <c r="N2" i="2"/>
  <c r="K65" i="163"/>
  <c r="E2" i="42"/>
  <c r="J2" i="42"/>
  <c r="K2" i="42" s="1"/>
  <c r="FV2" i="2"/>
  <c r="K66" i="153"/>
  <c r="J2" i="155"/>
  <c r="K2" i="155" s="1"/>
  <c r="F67" i="155"/>
  <c r="E2" i="155"/>
  <c r="F67" i="170"/>
  <c r="E2" i="170"/>
  <c r="J2" i="170"/>
  <c r="K2" i="170" s="1"/>
  <c r="J2" i="52"/>
  <c r="K2" i="52" s="1"/>
  <c r="E2" i="52"/>
  <c r="F67" i="52"/>
  <c r="BP2" i="2"/>
  <c r="I67" i="91"/>
  <c r="J67" i="91" s="1"/>
  <c r="J66" i="91"/>
  <c r="CA2" i="2"/>
  <c r="J66" i="146"/>
  <c r="I67" i="146"/>
  <c r="J67" i="146" s="1"/>
  <c r="K66" i="121"/>
  <c r="E2" i="90"/>
  <c r="F67" i="90"/>
  <c r="J2" i="90"/>
  <c r="K2" i="90" s="1"/>
  <c r="K65" i="171"/>
  <c r="K65" i="137"/>
  <c r="DI2" i="2"/>
  <c r="I67" i="100"/>
  <c r="J67" i="100" s="1"/>
  <c r="J66" i="100"/>
  <c r="K66" i="100" s="1"/>
  <c r="EO2" i="2"/>
  <c r="AJ3" i="2"/>
  <c r="GS3" i="2"/>
  <c r="I67" i="148"/>
  <c r="J67" i="148" s="1"/>
  <c r="J66" i="148"/>
  <c r="K66" i="148" s="1"/>
  <c r="CB3" i="1"/>
  <c r="BQ3" i="1"/>
  <c r="D41" i="2"/>
  <c r="CY41" i="2"/>
  <c r="DU41" i="2"/>
  <c r="EQ41" i="2"/>
  <c r="FM41" i="2"/>
  <c r="IL41" i="2"/>
  <c r="CN41" i="2"/>
  <c r="BG41" i="2"/>
  <c r="AK41" i="2"/>
  <c r="IA41" i="2"/>
  <c r="DJ41" i="2"/>
  <c r="O41" i="2"/>
  <c r="FB41" i="2"/>
  <c r="GT41" i="2"/>
  <c r="Z41" i="2"/>
  <c r="IW41" i="2"/>
  <c r="BR41" i="2"/>
  <c r="HE41" i="2"/>
  <c r="AV41" i="2"/>
  <c r="FX41" i="2"/>
  <c r="EF41" i="2"/>
  <c r="HP41" i="2"/>
  <c r="CC41" i="2"/>
  <c r="E2" i="6"/>
  <c r="CA2" i="1"/>
  <c r="IU2" i="2"/>
  <c r="K65" i="120"/>
  <c r="HD3" i="2"/>
  <c r="F2" i="174"/>
  <c r="F66" i="174" s="1"/>
  <c r="E2" i="3"/>
  <c r="J2" i="3"/>
  <c r="K2" i="3" s="1"/>
  <c r="K66" i="103"/>
  <c r="K66" i="104"/>
  <c r="E2" i="8"/>
  <c r="HC2" i="2"/>
  <c r="BP2" i="1"/>
  <c r="J2" i="8"/>
  <c r="K2" i="8" s="1"/>
  <c r="K66" i="21"/>
  <c r="F67" i="56"/>
  <c r="E2" i="56"/>
  <c r="J2" i="56"/>
  <c r="K2" i="56" s="1"/>
  <c r="I67" i="69"/>
  <c r="J67" i="69" s="1"/>
  <c r="J66" i="69"/>
  <c r="K66" i="69" s="1"/>
  <c r="K65" i="45"/>
  <c r="J66" i="58"/>
  <c r="I67" i="58"/>
  <c r="J67" i="58" s="1"/>
  <c r="I67" i="130"/>
  <c r="J67" i="130" s="1"/>
  <c r="J66" i="130"/>
  <c r="K66" i="130" s="1"/>
  <c r="E2" i="172"/>
  <c r="F67" i="172"/>
  <c r="J2" i="172"/>
  <c r="K2" i="172" s="1"/>
  <c r="I67" i="147"/>
  <c r="J67" i="147" s="1"/>
  <c r="J66" i="147"/>
  <c r="I67" i="45"/>
  <c r="J67" i="45" s="1"/>
  <c r="J66" i="45"/>
  <c r="I67" i="120"/>
  <c r="J67" i="120" s="1"/>
  <c r="J66" i="120"/>
  <c r="K65" i="58"/>
  <c r="K65" i="130"/>
  <c r="K65" i="155"/>
  <c r="K65" i="106"/>
  <c r="K65" i="73"/>
  <c r="K65" i="56"/>
  <c r="C39" i="24"/>
  <c r="E40" i="24"/>
  <c r="GG40" i="2"/>
  <c r="BE40" i="1"/>
  <c r="C40" i="1"/>
  <c r="C40" i="2"/>
  <c r="J40" i="24"/>
  <c r="K40" i="24" s="1"/>
  <c r="K65" i="86"/>
  <c r="K64" i="95"/>
  <c r="K65" i="33"/>
  <c r="K65" i="162"/>
  <c r="I67" i="141"/>
  <c r="J67" i="141" s="1"/>
  <c r="J66" i="141"/>
  <c r="K65" i="38"/>
  <c r="K66" i="97"/>
  <c r="J66" i="166"/>
  <c r="I67" i="166"/>
  <c r="J67" i="166" s="1"/>
  <c r="J66" i="64"/>
  <c r="K66" i="64" s="1"/>
  <c r="I67" i="64"/>
  <c r="J67" i="64" s="1"/>
  <c r="K66" i="39"/>
  <c r="J66" i="38"/>
  <c r="K66" i="38" s="1"/>
  <c r="I67" i="38"/>
  <c r="J67" i="38" s="1"/>
  <c r="IK3" i="2"/>
  <c r="AU3" i="2"/>
  <c r="CX2" i="2"/>
  <c r="J2" i="152"/>
  <c r="K2" i="152" s="1"/>
  <c r="E2" i="152"/>
  <c r="F67" i="152"/>
  <c r="AJ3" i="1"/>
  <c r="HO2" i="2"/>
  <c r="J66" i="55"/>
  <c r="K65" i="55" s="1"/>
  <c r="I67" i="55"/>
  <c r="J67" i="55" s="1"/>
  <c r="BE2" i="2"/>
  <c r="I67" i="35"/>
  <c r="J67" i="35" s="1"/>
  <c r="J66" i="35"/>
  <c r="K66" i="35" s="1"/>
  <c r="K65" i="17"/>
  <c r="K66" i="84"/>
  <c r="K65" i="88"/>
  <c r="Y3" i="2"/>
  <c r="K64" i="140"/>
  <c r="E2" i="50"/>
  <c r="J2" i="50"/>
  <c r="K2" i="50" s="1"/>
  <c r="AT2" i="2"/>
  <c r="K66" i="50"/>
  <c r="F67" i="107"/>
  <c r="E2" i="107"/>
  <c r="J2" i="107"/>
  <c r="K2" i="107" s="1"/>
  <c r="N3" i="1"/>
  <c r="K66" i="76"/>
  <c r="F67" i="100"/>
  <c r="E2" i="100"/>
  <c r="J2" i="100"/>
  <c r="K2" i="100" s="1"/>
  <c r="CM3" i="2"/>
  <c r="I67" i="174"/>
  <c r="J67" i="174" s="1"/>
  <c r="J66" i="174"/>
  <c r="K65" i="174" s="1"/>
  <c r="K65" i="105"/>
  <c r="BQ3" i="2"/>
  <c r="K65" i="91"/>
  <c r="D41" i="1"/>
  <c r="O41" i="1"/>
  <c r="Z41" i="1"/>
  <c r="CC41" i="1"/>
  <c r="AK41" i="1"/>
  <c r="BR41" i="1"/>
  <c r="AV41" i="1"/>
  <c r="I67" i="160"/>
  <c r="J67" i="160" s="1"/>
  <c r="J66" i="160"/>
  <c r="K66" i="160" s="1"/>
  <c r="AI2" i="1"/>
  <c r="K65" i="11"/>
  <c r="GI41" i="2"/>
  <c r="GH41" i="2"/>
  <c r="K65" i="161"/>
  <c r="I67" i="102"/>
  <c r="J67" i="102" s="1"/>
  <c r="J66" i="102"/>
  <c r="K66" i="123"/>
  <c r="K65" i="103"/>
  <c r="K64" i="8"/>
  <c r="F67" i="92"/>
  <c r="J2" i="92"/>
  <c r="K2" i="92" s="1"/>
  <c r="E2" i="92"/>
  <c r="K65" i="104"/>
  <c r="K66" i="111"/>
  <c r="J2" i="53"/>
  <c r="K2" i="53" s="1"/>
  <c r="F67" i="53"/>
  <c r="E2" i="53"/>
  <c r="K64" i="171"/>
  <c r="K65" i="102"/>
  <c r="K65" i="81"/>
  <c r="E2" i="12"/>
  <c r="J2" i="12"/>
  <c r="K2" i="12" s="1"/>
  <c r="M2" i="1"/>
  <c r="X2" i="2"/>
  <c r="E2" i="46"/>
  <c r="J2" i="46"/>
  <c r="K2" i="46" s="1"/>
  <c r="J66" i="96"/>
  <c r="I67" i="96"/>
  <c r="J67" i="96" s="1"/>
  <c r="K65" i="35"/>
  <c r="K66" i="116"/>
  <c r="K64" i="112"/>
  <c r="K64" i="91"/>
  <c r="K65" i="70"/>
  <c r="K65" i="52"/>
  <c r="K65" i="3"/>
  <c r="K66" i="144"/>
  <c r="I67" i="81"/>
  <c r="J67" i="81" s="1"/>
  <c r="J66" i="81"/>
  <c r="K66" i="81" s="1"/>
  <c r="K64" i="65"/>
  <c r="FA2" i="2"/>
  <c r="K65" i="146"/>
  <c r="BG41" i="1"/>
  <c r="BF41" i="1"/>
  <c r="CM2" i="2"/>
  <c r="K65" i="54"/>
  <c r="I67" i="40"/>
  <c r="J67" i="40" s="1"/>
  <c r="J66" i="40"/>
  <c r="K66" i="40" s="1"/>
  <c r="E2" i="93"/>
  <c r="F67" i="93"/>
  <c r="J2" i="93"/>
  <c r="K2" i="93" s="1"/>
  <c r="EE3" i="2"/>
  <c r="I67" i="47"/>
  <c r="J67" i="47" s="1"/>
  <c r="J66" i="47"/>
  <c r="K64" i="38"/>
  <c r="K64" i="110"/>
  <c r="K66" i="168"/>
  <c r="I67" i="17"/>
  <c r="J67" i="17" s="1"/>
  <c r="J66" i="17"/>
  <c r="K66" i="17" s="1"/>
  <c r="K65" i="40"/>
  <c r="K64" i="109"/>
  <c r="F67" i="109"/>
  <c r="E2" i="109"/>
  <c r="ED2" i="2"/>
  <c r="J2" i="109"/>
  <c r="K2" i="109" s="1"/>
  <c r="K65" i="138"/>
  <c r="AI2" i="2"/>
  <c r="K64" i="163"/>
  <c r="K64" i="125"/>
  <c r="E2" i="28"/>
  <c r="J2" i="28"/>
  <c r="K2" i="28" s="1"/>
  <c r="F67" i="121"/>
  <c r="J2" i="121"/>
  <c r="K2" i="121" s="1"/>
  <c r="E2" i="121"/>
  <c r="E2" i="14"/>
  <c r="J2" i="14"/>
  <c r="K2" i="14" s="1"/>
  <c r="GR2" i="2"/>
  <c r="K66" i="36" l="1"/>
  <c r="AU2" i="2"/>
  <c r="K66" i="147"/>
  <c r="CB2" i="1"/>
  <c r="FW2" i="2"/>
  <c r="K66" i="166"/>
  <c r="K66" i="112"/>
  <c r="AJ2" i="1"/>
  <c r="EP2" i="2"/>
  <c r="K66" i="141"/>
  <c r="AU2" i="1"/>
  <c r="K66" i="96"/>
  <c r="K66" i="58"/>
  <c r="K65" i="90"/>
  <c r="K66" i="163"/>
  <c r="Y2" i="2"/>
  <c r="K65" i="112"/>
  <c r="BF2" i="2"/>
  <c r="K65" i="147"/>
  <c r="K66" i="47"/>
  <c r="D40" i="2"/>
  <c r="DU40" i="2"/>
  <c r="O40" i="2"/>
  <c r="AK40" i="2"/>
  <c r="CY40" i="2"/>
  <c r="FB40" i="2"/>
  <c r="CN40" i="2"/>
  <c r="DJ40" i="2"/>
  <c r="EQ40" i="2"/>
  <c r="CC40" i="2"/>
  <c r="FM40" i="2"/>
  <c r="Z40" i="2"/>
  <c r="AV40" i="2"/>
  <c r="IA40" i="2"/>
  <c r="IL40" i="2"/>
  <c r="HP40" i="2"/>
  <c r="IW40" i="2"/>
  <c r="GT40" i="2"/>
  <c r="EF40" i="2"/>
  <c r="BG40" i="2"/>
  <c r="FX40" i="2"/>
  <c r="BR40" i="2"/>
  <c r="HE40" i="2"/>
  <c r="K66" i="171"/>
  <c r="D40" i="1"/>
  <c r="AK40" i="1"/>
  <c r="CC40" i="1"/>
  <c r="O40" i="1"/>
  <c r="AV40" i="1"/>
  <c r="BR40" i="1"/>
  <c r="Z40" i="1"/>
  <c r="BF40" i="1"/>
  <c r="BG40" i="1"/>
  <c r="K65" i="100"/>
  <c r="K65" i="143"/>
  <c r="K66" i="146"/>
  <c r="CB2" i="2"/>
  <c r="GI40" i="2"/>
  <c r="GH40" i="2"/>
  <c r="BQ2" i="1"/>
  <c r="HD2" i="2"/>
  <c r="K66" i="91"/>
  <c r="K65" i="96"/>
  <c r="K66" i="34"/>
  <c r="K65" i="140"/>
  <c r="BQ2" i="2"/>
  <c r="K65" i="95"/>
  <c r="K65" i="166"/>
  <c r="K66" i="11"/>
  <c r="K66" i="55"/>
  <c r="EE2" i="2"/>
  <c r="GS2" i="2"/>
  <c r="N2" i="1"/>
  <c r="K65" i="64"/>
  <c r="K65" i="141"/>
  <c r="K65" i="65"/>
  <c r="K66" i="120"/>
  <c r="K65" i="36"/>
  <c r="K66" i="8"/>
  <c r="K65" i="160"/>
  <c r="K66" i="45"/>
  <c r="AJ2" i="2"/>
  <c r="K65" i="47"/>
  <c r="K66" i="102"/>
  <c r="K66" i="174"/>
  <c r="E39" i="24"/>
  <c r="C38" i="24"/>
  <c r="GG39" i="2"/>
  <c r="BE39" i="1"/>
  <c r="C39" i="2"/>
  <c r="C39" i="1"/>
  <c r="J39" i="24"/>
  <c r="K39" i="24" s="1"/>
  <c r="K65" i="69"/>
  <c r="IV2" i="2"/>
  <c r="K65" i="148"/>
  <c r="GH39" i="2" l="1"/>
  <c r="GI39" i="2"/>
  <c r="D39" i="1"/>
  <c r="O39" i="1"/>
  <c r="CC39" i="1"/>
  <c r="BR39" i="1"/>
  <c r="AV39" i="1"/>
  <c r="AK39" i="1"/>
  <c r="Z39" i="1"/>
  <c r="D39" i="2"/>
  <c r="CY39" i="2"/>
  <c r="DU39" i="2"/>
  <c r="EQ39" i="2"/>
  <c r="BG39" i="2"/>
  <c r="HP39" i="2"/>
  <c r="FM39" i="2"/>
  <c r="IL39" i="2"/>
  <c r="O39" i="2"/>
  <c r="IW39" i="2"/>
  <c r="IA39" i="2"/>
  <c r="DJ39" i="2"/>
  <c r="CC39" i="2"/>
  <c r="FB39" i="2"/>
  <c r="AK39" i="2"/>
  <c r="BR39" i="2"/>
  <c r="EF39" i="2"/>
  <c r="CN39" i="2"/>
  <c r="GT39" i="2"/>
  <c r="Z39" i="2"/>
  <c r="FX39" i="2"/>
  <c r="HE39" i="2"/>
  <c r="AV39" i="2"/>
  <c r="BG39" i="1"/>
  <c r="BF39" i="1"/>
  <c r="E38" i="24"/>
  <c r="C37" i="24"/>
  <c r="GG38" i="2"/>
  <c r="BE38" i="1"/>
  <c r="C38" i="1"/>
  <c r="C38" i="2"/>
  <c r="J38" i="24"/>
  <c r="K38" i="24" s="1"/>
  <c r="D38" i="1" l="1"/>
  <c r="AV38" i="1"/>
  <c r="O38" i="1"/>
  <c r="BR38" i="1"/>
  <c r="Z38" i="1"/>
  <c r="AK38" i="1"/>
  <c r="CC38" i="1"/>
  <c r="BG38" i="1"/>
  <c r="BF38" i="1"/>
  <c r="D38" i="2"/>
  <c r="CY38" i="2"/>
  <c r="DU38" i="2"/>
  <c r="O38" i="2"/>
  <c r="BG38" i="2"/>
  <c r="EQ38" i="2"/>
  <c r="IW38" i="2"/>
  <c r="FB38" i="2"/>
  <c r="FM38" i="2"/>
  <c r="IL38" i="2"/>
  <c r="AK38" i="2"/>
  <c r="DJ38" i="2"/>
  <c r="HE38" i="2"/>
  <c r="BR38" i="2"/>
  <c r="CC38" i="2"/>
  <c r="FX38" i="2"/>
  <c r="HP38" i="2"/>
  <c r="AV38" i="2"/>
  <c r="EF38" i="2"/>
  <c r="IA38" i="2"/>
  <c r="CN38" i="2"/>
  <c r="Z38" i="2"/>
  <c r="GT38" i="2"/>
  <c r="E37" i="24"/>
  <c r="C36" i="24"/>
  <c r="GG37" i="2"/>
  <c r="BE37" i="1"/>
  <c r="C37" i="1"/>
  <c r="C37" i="2"/>
  <c r="J37" i="24"/>
  <c r="K37" i="24" s="1"/>
  <c r="GI38" i="2"/>
  <c r="GH38" i="2"/>
  <c r="D37" i="2" l="1"/>
  <c r="CY37" i="2"/>
  <c r="DU37" i="2"/>
  <c r="O37" i="2"/>
  <c r="IL37" i="2"/>
  <c r="CC37" i="2"/>
  <c r="HP37" i="2"/>
  <c r="FB37" i="2"/>
  <c r="IA37" i="2"/>
  <c r="DJ37" i="2"/>
  <c r="BR37" i="2"/>
  <c r="AV37" i="2"/>
  <c r="AK37" i="2"/>
  <c r="HE37" i="2"/>
  <c r="IW37" i="2"/>
  <c r="GT37" i="2"/>
  <c r="BG37" i="2"/>
  <c r="FX37" i="2"/>
  <c r="EQ37" i="2"/>
  <c r="EF37" i="2"/>
  <c r="FM37" i="2"/>
  <c r="Z37" i="2"/>
  <c r="CN37" i="2"/>
  <c r="D37" i="1"/>
  <c r="AV37" i="1"/>
  <c r="O37" i="1"/>
  <c r="CC37" i="1"/>
  <c r="Z37" i="1"/>
  <c r="AK37" i="1"/>
  <c r="BR37" i="1"/>
  <c r="GI37" i="2"/>
  <c r="GH37" i="2"/>
  <c r="BG37" i="1"/>
  <c r="BF37" i="1"/>
  <c r="E36" i="24"/>
  <c r="C35" i="24"/>
  <c r="GG36" i="2"/>
  <c r="BE36" i="1"/>
  <c r="J36" i="24"/>
  <c r="K36" i="24" s="1"/>
  <c r="C36" i="2"/>
  <c r="C36" i="1"/>
  <c r="D36" i="2" l="1"/>
  <c r="DU36" i="2"/>
  <c r="IL36" i="2"/>
  <c r="EQ36" i="2"/>
  <c r="O36" i="2"/>
  <c r="BG36" i="2"/>
  <c r="FB36" i="2"/>
  <c r="AK36" i="2"/>
  <c r="DJ36" i="2"/>
  <c r="CY36" i="2"/>
  <c r="FM36" i="2"/>
  <c r="CN36" i="2"/>
  <c r="CC36" i="2"/>
  <c r="Z36" i="2"/>
  <c r="GT36" i="2"/>
  <c r="IA36" i="2"/>
  <c r="HP36" i="2"/>
  <c r="EF36" i="2"/>
  <c r="AV36" i="2"/>
  <c r="HE36" i="2"/>
  <c r="BR36" i="2"/>
  <c r="FX36" i="2"/>
  <c r="IW36" i="2"/>
  <c r="D36" i="1"/>
  <c r="CC36" i="1"/>
  <c r="O36" i="1"/>
  <c r="AK36" i="1"/>
  <c r="AV36" i="1"/>
  <c r="BR36" i="1"/>
  <c r="Z36" i="1"/>
  <c r="GI36" i="2"/>
  <c r="GH36" i="2"/>
  <c r="E35" i="24"/>
  <c r="C34" i="24"/>
  <c r="GG35" i="2"/>
  <c r="J35" i="24"/>
  <c r="K35" i="24" s="1"/>
  <c r="BE35" i="1"/>
  <c r="C35" i="2"/>
  <c r="C35" i="1"/>
  <c r="BG36" i="1"/>
  <c r="BF36" i="1"/>
  <c r="D35" i="1" l="1"/>
  <c r="Z35" i="1"/>
  <c r="AK35" i="1"/>
  <c r="AV35" i="1"/>
  <c r="BR35" i="1"/>
  <c r="O35" i="1"/>
  <c r="CC35" i="1"/>
  <c r="GH35" i="2"/>
  <c r="GI35" i="2"/>
  <c r="BG35" i="1"/>
  <c r="BF35" i="1"/>
  <c r="C33" i="24"/>
  <c r="E34" i="24"/>
  <c r="GG34" i="2"/>
  <c r="J34" i="24"/>
  <c r="K34" i="24" s="1"/>
  <c r="BE34" i="1"/>
  <c r="C34" i="2"/>
  <c r="C34" i="1"/>
  <c r="D35" i="2"/>
  <c r="CY35" i="2"/>
  <c r="DU35" i="2"/>
  <c r="CC35" i="2"/>
  <c r="FM35" i="2"/>
  <c r="IA35" i="2"/>
  <c r="CN35" i="2"/>
  <c r="FB35" i="2"/>
  <c r="IL35" i="2"/>
  <c r="DJ35" i="2"/>
  <c r="IW35" i="2"/>
  <c r="HP35" i="2"/>
  <c r="HE35" i="2"/>
  <c r="Z35" i="2"/>
  <c r="EQ35" i="2"/>
  <c r="AK35" i="2"/>
  <c r="O35" i="2"/>
  <c r="AV35" i="2"/>
  <c r="FX35" i="2"/>
  <c r="BR35" i="2"/>
  <c r="BG35" i="2"/>
  <c r="GT35" i="2"/>
  <c r="EF35" i="2"/>
  <c r="D34" i="2" l="1"/>
  <c r="CY34" i="2"/>
  <c r="DU34" i="2"/>
  <c r="O34" i="2"/>
  <c r="CC34" i="2"/>
  <c r="EQ34" i="2"/>
  <c r="FM34" i="2"/>
  <c r="AK34" i="2"/>
  <c r="HP34" i="2"/>
  <c r="DJ34" i="2"/>
  <c r="CN34" i="2"/>
  <c r="IW34" i="2"/>
  <c r="FB34" i="2"/>
  <c r="IA34" i="2"/>
  <c r="BG34" i="2"/>
  <c r="FX34" i="2"/>
  <c r="HE34" i="2"/>
  <c r="IL34" i="2"/>
  <c r="AV34" i="2"/>
  <c r="GT34" i="2"/>
  <c r="EF34" i="2"/>
  <c r="Z34" i="2"/>
  <c r="BR34" i="2"/>
  <c r="BG34" i="1"/>
  <c r="BF34" i="1"/>
  <c r="GH34" i="2"/>
  <c r="GI34" i="2"/>
  <c r="D34" i="1"/>
  <c r="AK34" i="1"/>
  <c r="Z34" i="1"/>
  <c r="BR34" i="1"/>
  <c r="AV34" i="1"/>
  <c r="CC34" i="1"/>
  <c r="O34" i="1"/>
  <c r="C32" i="24"/>
  <c r="E33" i="24"/>
  <c r="GG33" i="2"/>
  <c r="J33" i="24"/>
  <c r="K33" i="24" s="1"/>
  <c r="BE33" i="1"/>
  <c r="C33" i="1"/>
  <c r="C33" i="2"/>
  <c r="D33" i="2" l="1"/>
  <c r="DU33" i="2"/>
  <c r="FB33" i="2"/>
  <c r="CN33" i="2"/>
  <c r="CC33" i="2"/>
  <c r="GT33" i="2"/>
  <c r="AK33" i="2"/>
  <c r="FM33" i="2"/>
  <c r="CY33" i="2"/>
  <c r="HP33" i="2"/>
  <c r="DJ33" i="2"/>
  <c r="IA33" i="2"/>
  <c r="IL33" i="2"/>
  <c r="EF33" i="2"/>
  <c r="BR33" i="2"/>
  <c r="O33" i="2"/>
  <c r="BG33" i="2"/>
  <c r="IW33" i="2"/>
  <c r="EQ33" i="2"/>
  <c r="HE33" i="2"/>
  <c r="AV33" i="2"/>
  <c r="FX33" i="2"/>
  <c r="Z33" i="2"/>
  <c r="BG33" i="1"/>
  <c r="BF33" i="1"/>
  <c r="D33" i="1"/>
  <c r="AK33" i="1"/>
  <c r="Z33" i="1"/>
  <c r="CC33" i="1"/>
  <c r="AV33" i="1"/>
  <c r="BR33" i="1"/>
  <c r="O33" i="1"/>
  <c r="E32" i="24"/>
  <c r="C31" i="24"/>
  <c r="GG32" i="2"/>
  <c r="J32" i="24"/>
  <c r="K32" i="24" s="1"/>
  <c r="BE32" i="1"/>
  <c r="C32" i="1"/>
  <c r="C32" i="2"/>
  <c r="GI33" i="2"/>
  <c r="GH33" i="2"/>
  <c r="D32" i="2" l="1"/>
  <c r="CY32" i="2"/>
  <c r="DU32" i="2"/>
  <c r="CC32" i="2"/>
  <c r="BG32" i="2"/>
  <c r="HP32" i="2"/>
  <c r="DJ32" i="2"/>
  <c r="EQ32" i="2"/>
  <c r="O32" i="2"/>
  <c r="FB32" i="2"/>
  <c r="IA32" i="2"/>
  <c r="AV32" i="2"/>
  <c r="Z32" i="2"/>
  <c r="IL32" i="2"/>
  <c r="EF32" i="2"/>
  <c r="FM32" i="2"/>
  <c r="FX32" i="2"/>
  <c r="AK32" i="2"/>
  <c r="HE32" i="2"/>
  <c r="BR32" i="2"/>
  <c r="GT32" i="2"/>
  <c r="CN32" i="2"/>
  <c r="IW32" i="2"/>
  <c r="D32" i="1"/>
  <c r="AK32" i="1"/>
  <c r="Z32" i="1"/>
  <c r="CC32" i="1"/>
  <c r="AV32" i="1"/>
  <c r="O32" i="1"/>
  <c r="BR32" i="1"/>
  <c r="BG32" i="1"/>
  <c r="BF32" i="1"/>
  <c r="GI32" i="2"/>
  <c r="GH32" i="2"/>
  <c r="C30" i="24"/>
  <c r="E31" i="24"/>
  <c r="GG31" i="2"/>
  <c r="J31" i="24"/>
  <c r="K31" i="24" s="1"/>
  <c r="BE31" i="1"/>
  <c r="C31" i="1"/>
  <c r="C31" i="2"/>
  <c r="D31" i="1" l="1"/>
  <c r="AK31" i="1"/>
  <c r="O31" i="1"/>
  <c r="CC31" i="1"/>
  <c r="Z31" i="1"/>
  <c r="AV31" i="1"/>
  <c r="BR31" i="1"/>
  <c r="BF31" i="1"/>
  <c r="BG31" i="1"/>
  <c r="D31" i="2"/>
  <c r="DU31" i="2"/>
  <c r="FM31" i="2"/>
  <c r="BG31" i="2"/>
  <c r="CC31" i="2"/>
  <c r="CN31" i="2"/>
  <c r="O31" i="2"/>
  <c r="IA31" i="2"/>
  <c r="IL31" i="2"/>
  <c r="EQ31" i="2"/>
  <c r="DJ31" i="2"/>
  <c r="IW31" i="2"/>
  <c r="FB31" i="2"/>
  <c r="CY31" i="2"/>
  <c r="GT31" i="2"/>
  <c r="Z31" i="2"/>
  <c r="BR31" i="2"/>
  <c r="AV31" i="2"/>
  <c r="HP31" i="2"/>
  <c r="HE31" i="2"/>
  <c r="FX31" i="2"/>
  <c r="AK31" i="2"/>
  <c r="EF31" i="2"/>
  <c r="C29" i="24"/>
  <c r="E30" i="24"/>
  <c r="GG30" i="2"/>
  <c r="J30" i="24"/>
  <c r="K30" i="24" s="1"/>
  <c r="BE30" i="1"/>
  <c r="C30" i="2"/>
  <c r="C30" i="1"/>
  <c r="GI31" i="2"/>
  <c r="GH31" i="2"/>
  <c r="D30" i="2" l="1"/>
  <c r="DU30" i="2"/>
  <c r="IL30" i="2"/>
  <c r="IA30" i="2"/>
  <c r="EQ30" i="2"/>
  <c r="BG30" i="2"/>
  <c r="DJ30" i="2"/>
  <c r="AK30" i="2"/>
  <c r="O30" i="2"/>
  <c r="FB30" i="2"/>
  <c r="CY30" i="2"/>
  <c r="FM30" i="2"/>
  <c r="AV30" i="2"/>
  <c r="FX30" i="2"/>
  <c r="CN30" i="2"/>
  <c r="BR30" i="2"/>
  <c r="CC30" i="2"/>
  <c r="HE30" i="2"/>
  <c r="IW30" i="2"/>
  <c r="EF30" i="2"/>
  <c r="GT30" i="2"/>
  <c r="Z30" i="2"/>
  <c r="HP30" i="2"/>
  <c r="BG30" i="1"/>
  <c r="BF30" i="1"/>
  <c r="D30" i="1"/>
  <c r="Z30" i="1"/>
  <c r="O30" i="1"/>
  <c r="CC30" i="1"/>
  <c r="AK30" i="1"/>
  <c r="AV30" i="1"/>
  <c r="BR30" i="1"/>
  <c r="GH30" i="2"/>
  <c r="GI30" i="2"/>
  <c r="E29" i="24"/>
  <c r="C28" i="24"/>
  <c r="GG29" i="2"/>
  <c r="J29" i="24"/>
  <c r="K29" i="24" s="1"/>
  <c r="BE29" i="1"/>
  <c r="C29" i="1"/>
  <c r="C29" i="2"/>
  <c r="D29" i="1" l="1"/>
  <c r="BR29" i="1"/>
  <c r="CC29" i="1"/>
  <c r="O29" i="1"/>
  <c r="AV29" i="1"/>
  <c r="Z29" i="1"/>
  <c r="AK29" i="1"/>
  <c r="D29" i="2"/>
  <c r="DU29" i="2"/>
  <c r="IA29" i="2"/>
  <c r="CC29" i="2"/>
  <c r="AK29" i="2"/>
  <c r="O29" i="2"/>
  <c r="DJ29" i="2"/>
  <c r="FM29" i="2"/>
  <c r="CY29" i="2"/>
  <c r="FB29" i="2"/>
  <c r="HE29" i="2"/>
  <c r="Z29" i="2"/>
  <c r="EQ29" i="2"/>
  <c r="BR29" i="2"/>
  <c r="HP29" i="2"/>
  <c r="BG29" i="2"/>
  <c r="FX29" i="2"/>
  <c r="EF29" i="2"/>
  <c r="IL29" i="2"/>
  <c r="GT29" i="2"/>
  <c r="CN29" i="2"/>
  <c r="IW29" i="2"/>
  <c r="AV29" i="2"/>
  <c r="GI29" i="2"/>
  <c r="GH29" i="2"/>
  <c r="BG29" i="1"/>
  <c r="BF29" i="1"/>
  <c r="C27" i="24"/>
  <c r="E28" i="24"/>
  <c r="GG28" i="2"/>
  <c r="J28" i="24"/>
  <c r="K28" i="24" s="1"/>
  <c r="BE28" i="1"/>
  <c r="C28" i="2"/>
  <c r="C28" i="1"/>
  <c r="D28" i="1" l="1"/>
  <c r="O28" i="1"/>
  <c r="Z28" i="1"/>
  <c r="AV28" i="1"/>
  <c r="AK28" i="1"/>
  <c r="BR28" i="1"/>
  <c r="CC28" i="1"/>
  <c r="BF28" i="1"/>
  <c r="BG28" i="1"/>
  <c r="D28" i="2"/>
  <c r="DU28" i="2"/>
  <c r="CY28" i="2"/>
  <c r="AK28" i="2"/>
  <c r="IL28" i="2"/>
  <c r="BG28" i="2"/>
  <c r="DJ28" i="2"/>
  <c r="IW28" i="2"/>
  <c r="EQ28" i="2"/>
  <c r="CC28" i="2"/>
  <c r="FB28" i="2"/>
  <c r="CN28" i="2"/>
  <c r="Z28" i="2"/>
  <c r="HE28" i="2"/>
  <c r="HP28" i="2"/>
  <c r="BR28" i="2"/>
  <c r="EF28" i="2"/>
  <c r="FX28" i="2"/>
  <c r="FM28" i="2"/>
  <c r="AV28" i="2"/>
  <c r="GT28" i="2"/>
  <c r="IA28" i="2"/>
  <c r="O28" i="2"/>
  <c r="GI28" i="2"/>
  <c r="GH28" i="2"/>
  <c r="C26" i="24"/>
  <c r="E27" i="24"/>
  <c r="GG27" i="2"/>
  <c r="J27" i="24"/>
  <c r="K27" i="24" s="1"/>
  <c r="BE27" i="1"/>
  <c r="C27" i="1"/>
  <c r="C27" i="2"/>
  <c r="D27" i="1" l="1"/>
  <c r="AK27" i="1"/>
  <c r="BR27" i="1"/>
  <c r="O27" i="1"/>
  <c r="Z27" i="1"/>
  <c r="CC27" i="1"/>
  <c r="AV27" i="1"/>
  <c r="BG27" i="1"/>
  <c r="BF27" i="1"/>
  <c r="D27" i="2"/>
  <c r="DU27" i="2"/>
  <c r="AK27" i="2"/>
  <c r="BG27" i="2"/>
  <c r="O27" i="2"/>
  <c r="DJ27" i="2"/>
  <c r="HP27" i="2"/>
  <c r="IA27" i="2"/>
  <c r="IL27" i="2"/>
  <c r="CC27" i="2"/>
  <c r="IW27" i="2"/>
  <c r="FB27" i="2"/>
  <c r="CY27" i="2"/>
  <c r="BR27" i="2"/>
  <c r="AV27" i="2"/>
  <c r="FM27" i="2"/>
  <c r="GT27" i="2"/>
  <c r="EF27" i="2"/>
  <c r="FX27" i="2"/>
  <c r="CN27" i="2"/>
  <c r="EQ27" i="2"/>
  <c r="Z27" i="2"/>
  <c r="HE27" i="2"/>
  <c r="GH27" i="2"/>
  <c r="GI27" i="2"/>
  <c r="E26" i="24"/>
  <c r="C25" i="24"/>
  <c r="GG26" i="2"/>
  <c r="J26" i="24"/>
  <c r="K26" i="24" s="1"/>
  <c r="BE26" i="1"/>
  <c r="C26" i="2"/>
  <c r="C26" i="1"/>
  <c r="D26" i="1" l="1"/>
  <c r="AK26" i="1"/>
  <c r="BR26" i="1"/>
  <c r="O26" i="1"/>
  <c r="CC26" i="1"/>
  <c r="Z26" i="1"/>
  <c r="AV26" i="1"/>
  <c r="BG26" i="1"/>
  <c r="BF26" i="1"/>
  <c r="GI26" i="2"/>
  <c r="GH26" i="2"/>
  <c r="D26" i="2"/>
  <c r="DU26" i="2"/>
  <c r="CC26" i="2"/>
  <c r="IA26" i="2"/>
  <c r="FB26" i="2"/>
  <c r="CN26" i="2"/>
  <c r="IL26" i="2"/>
  <c r="HP26" i="2"/>
  <c r="CY26" i="2"/>
  <c r="O26" i="2"/>
  <c r="FM26" i="2"/>
  <c r="DJ26" i="2"/>
  <c r="FX26" i="2"/>
  <c r="AV26" i="2"/>
  <c r="EF26" i="2"/>
  <c r="Z26" i="2"/>
  <c r="HE26" i="2"/>
  <c r="GT26" i="2"/>
  <c r="BG26" i="2"/>
  <c r="BR26" i="2"/>
  <c r="EQ26" i="2"/>
  <c r="IW26" i="2"/>
  <c r="AK26" i="2"/>
  <c r="C24" i="24"/>
  <c r="E25" i="24"/>
  <c r="GG25" i="2"/>
  <c r="J25" i="24"/>
  <c r="K25" i="24" s="1"/>
  <c r="BE25" i="1"/>
  <c r="C25" i="1"/>
  <c r="C25" i="2"/>
  <c r="BF25" i="1" l="1"/>
  <c r="BG25" i="1"/>
  <c r="D25" i="1"/>
  <c r="Z25" i="1"/>
  <c r="BR25" i="1"/>
  <c r="O25" i="1"/>
  <c r="CC25" i="1"/>
  <c r="AV25" i="1"/>
  <c r="AK25" i="1"/>
  <c r="E24" i="24"/>
  <c r="C23" i="24"/>
  <c r="GG24" i="2"/>
  <c r="J24" i="24"/>
  <c r="K24" i="24" s="1"/>
  <c r="BE24" i="1"/>
  <c r="C24" i="2"/>
  <c r="C24" i="1"/>
  <c r="D25" i="2"/>
  <c r="DU25" i="2"/>
  <c r="O25" i="2"/>
  <c r="CY25" i="2"/>
  <c r="CC25" i="2"/>
  <c r="HP25" i="2"/>
  <c r="AK25" i="2"/>
  <c r="IL25" i="2"/>
  <c r="IW25" i="2"/>
  <c r="EQ25" i="2"/>
  <c r="CN25" i="2"/>
  <c r="DJ25" i="2"/>
  <c r="FB25" i="2"/>
  <c r="IA25" i="2"/>
  <c r="FM25" i="2"/>
  <c r="EF25" i="2"/>
  <c r="GT25" i="2"/>
  <c r="BG25" i="2"/>
  <c r="HE25" i="2"/>
  <c r="FX25" i="2"/>
  <c r="AV25" i="2"/>
  <c r="Z25" i="2"/>
  <c r="BR25" i="2"/>
  <c r="GI25" i="2"/>
  <c r="GH25" i="2"/>
  <c r="BG24" i="1" l="1"/>
  <c r="BF24" i="1"/>
  <c r="D24" i="1"/>
  <c r="CC24" i="1"/>
  <c r="AV24" i="1"/>
  <c r="AK24" i="1"/>
  <c r="O24" i="1"/>
  <c r="Z24" i="1"/>
  <c r="BR24" i="1"/>
  <c r="E23" i="24"/>
  <c r="C22" i="24"/>
  <c r="GG23" i="2"/>
  <c r="J23" i="24"/>
  <c r="K23" i="24" s="1"/>
  <c r="BE23" i="1"/>
  <c r="C23" i="2"/>
  <c r="C23" i="1"/>
  <c r="D24" i="2"/>
  <c r="CY24" i="2"/>
  <c r="DU24" i="2"/>
  <c r="O24" i="2"/>
  <c r="IL24" i="2"/>
  <c r="BG24" i="2"/>
  <c r="IW24" i="2"/>
  <c r="FM24" i="2"/>
  <c r="FB24" i="2"/>
  <c r="EQ24" i="2"/>
  <c r="DJ24" i="2"/>
  <c r="IA24" i="2"/>
  <c r="Z24" i="2"/>
  <c r="CC24" i="2"/>
  <c r="AV24" i="2"/>
  <c r="EF24" i="2"/>
  <c r="HE24" i="2"/>
  <c r="HP24" i="2"/>
  <c r="GT24" i="2"/>
  <c r="BR24" i="2"/>
  <c r="FX24" i="2"/>
  <c r="AK24" i="2"/>
  <c r="CN24" i="2"/>
  <c r="GH24" i="2"/>
  <c r="GI24" i="2"/>
  <c r="D23" i="2" l="1"/>
  <c r="DU23" i="2"/>
  <c r="IL23" i="2"/>
  <c r="CC23" i="2"/>
  <c r="DJ23" i="2"/>
  <c r="EQ23" i="2"/>
  <c r="IA23" i="2"/>
  <c r="CN23" i="2"/>
  <c r="BG23" i="2"/>
  <c r="AK23" i="2"/>
  <c r="GT23" i="2"/>
  <c r="FB23" i="2"/>
  <c r="CY23" i="2"/>
  <c r="HP23" i="2"/>
  <c r="FM23" i="2"/>
  <c r="AV23" i="2"/>
  <c r="HE23" i="2"/>
  <c r="O23" i="2"/>
  <c r="BR23" i="2"/>
  <c r="IW23" i="2"/>
  <c r="FX23" i="2"/>
  <c r="EF23" i="2"/>
  <c r="Z23" i="2"/>
  <c r="BF23" i="1"/>
  <c r="BG23" i="1"/>
  <c r="D23" i="1"/>
  <c r="Z23" i="1"/>
  <c r="CC23" i="1"/>
  <c r="AK23" i="1"/>
  <c r="AV23" i="1"/>
  <c r="BR23" i="1"/>
  <c r="O23" i="1"/>
  <c r="E22" i="24"/>
  <c r="C21" i="24"/>
  <c r="GG22" i="2"/>
  <c r="J22" i="24"/>
  <c r="K22" i="24" s="1"/>
  <c r="BE22" i="1"/>
  <c r="C22" i="1"/>
  <c r="C22" i="2"/>
  <c r="GI23" i="2"/>
  <c r="GH23" i="2"/>
  <c r="D22" i="1" l="1"/>
  <c r="Z22" i="1"/>
  <c r="O22" i="1"/>
  <c r="BR22" i="1"/>
  <c r="CC22" i="1"/>
  <c r="AV22" i="1"/>
  <c r="AK22" i="1"/>
  <c r="D22" i="2"/>
  <c r="DU22" i="2"/>
  <c r="BG22" i="2"/>
  <c r="HP22" i="2"/>
  <c r="EQ22" i="2"/>
  <c r="IA22" i="2"/>
  <c r="DJ22" i="2"/>
  <c r="CY22" i="2"/>
  <c r="FM22" i="2"/>
  <c r="O22" i="2"/>
  <c r="FB22" i="2"/>
  <c r="IW22" i="2"/>
  <c r="IL22" i="2"/>
  <c r="EF22" i="2"/>
  <c r="GT22" i="2"/>
  <c r="AK22" i="2"/>
  <c r="CN22" i="2"/>
  <c r="FX22" i="2"/>
  <c r="HE22" i="2"/>
  <c r="AV22" i="2"/>
  <c r="BR22" i="2"/>
  <c r="Z22" i="2"/>
  <c r="CC22" i="2"/>
  <c r="GI22" i="2"/>
  <c r="GH22" i="2"/>
  <c r="BG22" i="1"/>
  <c r="BF22" i="1"/>
  <c r="E21" i="24"/>
  <c r="C20" i="24"/>
  <c r="GG21" i="2"/>
  <c r="J21" i="24"/>
  <c r="K21" i="24" s="1"/>
  <c r="BE21" i="1"/>
  <c r="C21" i="1"/>
  <c r="C21" i="2"/>
  <c r="D21" i="1" l="1"/>
  <c r="O21" i="1"/>
  <c r="Z21" i="1"/>
  <c r="CC21" i="1"/>
  <c r="AV21" i="1"/>
  <c r="BR21" i="1"/>
  <c r="AK21" i="1"/>
  <c r="D21" i="2"/>
  <c r="CY21" i="2"/>
  <c r="DU21" i="2"/>
  <c r="CN21" i="2"/>
  <c r="BG21" i="2"/>
  <c r="FB21" i="2"/>
  <c r="IL21" i="2"/>
  <c r="O21" i="2"/>
  <c r="DJ21" i="2"/>
  <c r="IA21" i="2"/>
  <c r="FX21" i="2"/>
  <c r="AV21" i="2"/>
  <c r="CC21" i="2"/>
  <c r="BR21" i="2"/>
  <c r="Z21" i="2"/>
  <c r="HE21" i="2"/>
  <c r="AK21" i="2"/>
  <c r="FM21" i="2"/>
  <c r="GT21" i="2"/>
  <c r="HP21" i="2"/>
  <c r="EF21" i="2"/>
  <c r="EQ21" i="2"/>
  <c r="IW21" i="2"/>
  <c r="E20" i="24"/>
  <c r="C19" i="24"/>
  <c r="GG20" i="2"/>
  <c r="J20" i="24"/>
  <c r="K20" i="24" s="1"/>
  <c r="BE20" i="1"/>
  <c r="C20" i="1"/>
  <c r="C20" i="2"/>
  <c r="GI21" i="2"/>
  <c r="GH21" i="2"/>
  <c r="BF21" i="1"/>
  <c r="BG21" i="1"/>
  <c r="D20" i="2" l="1"/>
  <c r="DU20" i="2"/>
  <c r="FM20" i="2"/>
  <c r="DJ20" i="2"/>
  <c r="AK20" i="2"/>
  <c r="CN20" i="2"/>
  <c r="HP20" i="2"/>
  <c r="BG20" i="2"/>
  <c r="IL20" i="2"/>
  <c r="FB20" i="2"/>
  <c r="CC20" i="2"/>
  <c r="CY20" i="2"/>
  <c r="EQ20" i="2"/>
  <c r="EF20" i="2"/>
  <c r="BR20" i="2"/>
  <c r="HE20" i="2"/>
  <c r="IW20" i="2"/>
  <c r="Z20" i="2"/>
  <c r="AV20" i="2"/>
  <c r="GT20" i="2"/>
  <c r="FX20" i="2"/>
  <c r="IA20" i="2"/>
  <c r="O20" i="2"/>
  <c r="E19" i="24"/>
  <c r="C18" i="24"/>
  <c r="GG19" i="2"/>
  <c r="J19" i="24"/>
  <c r="K19" i="24" s="1"/>
  <c r="BE19" i="1"/>
  <c r="C19" i="1"/>
  <c r="C19" i="2"/>
  <c r="BF20" i="1"/>
  <c r="BG20" i="1"/>
  <c r="D20" i="1"/>
  <c r="Z20" i="1"/>
  <c r="AK20" i="1"/>
  <c r="CC20" i="1"/>
  <c r="AV20" i="1"/>
  <c r="BR20" i="1"/>
  <c r="O20" i="1"/>
  <c r="GI20" i="2"/>
  <c r="GH20" i="2"/>
  <c r="BF19" i="1" l="1"/>
  <c r="BG19" i="1"/>
  <c r="E18" i="24"/>
  <c r="C17" i="24"/>
  <c r="GG18" i="2"/>
  <c r="J18" i="24"/>
  <c r="K18" i="24" s="1"/>
  <c r="BE18" i="1"/>
  <c r="C18" i="1"/>
  <c r="C18" i="2"/>
  <c r="D19" i="1"/>
  <c r="AV19" i="1"/>
  <c r="BR19" i="1"/>
  <c r="CC19" i="1"/>
  <c r="O19" i="1"/>
  <c r="Z19" i="1"/>
  <c r="AK19" i="1"/>
  <c r="GH19" i="2"/>
  <c r="GI19" i="2"/>
  <c r="D19" i="2"/>
  <c r="DU19" i="2"/>
  <c r="CY19" i="2"/>
  <c r="IL19" i="2"/>
  <c r="BG19" i="2"/>
  <c r="AK19" i="2"/>
  <c r="FB19" i="2"/>
  <c r="EQ19" i="2"/>
  <c r="IA19" i="2"/>
  <c r="DJ19" i="2"/>
  <c r="O19" i="2"/>
  <c r="FM19" i="2"/>
  <c r="HP19" i="2"/>
  <c r="EF19" i="2"/>
  <c r="HE19" i="2"/>
  <c r="AV19" i="2"/>
  <c r="CN19" i="2"/>
  <c r="Z19" i="2"/>
  <c r="CC19" i="2"/>
  <c r="FX19" i="2"/>
  <c r="IW19" i="2"/>
  <c r="BR19" i="2"/>
  <c r="GT19" i="2"/>
  <c r="D18" i="2" l="1"/>
  <c r="CY18" i="2"/>
  <c r="DU18" i="2"/>
  <c r="BG18" i="2"/>
  <c r="GT18" i="2"/>
  <c r="EQ18" i="2"/>
  <c r="FB18" i="2"/>
  <c r="DJ18" i="2"/>
  <c r="CN18" i="2"/>
  <c r="IA18" i="2"/>
  <c r="HP18" i="2"/>
  <c r="IL18" i="2"/>
  <c r="BR18" i="2"/>
  <c r="AK18" i="2"/>
  <c r="FM18" i="2"/>
  <c r="CC18" i="2"/>
  <c r="O18" i="2"/>
  <c r="Z18" i="2"/>
  <c r="FX18" i="2"/>
  <c r="AV18" i="2"/>
  <c r="HE18" i="2"/>
  <c r="EF18" i="2"/>
  <c r="IW18" i="2"/>
  <c r="BG18" i="1"/>
  <c r="BF18" i="1"/>
  <c r="D18" i="1"/>
  <c r="AV18" i="1"/>
  <c r="BR18" i="1"/>
  <c r="CC18" i="1"/>
  <c r="AK18" i="1"/>
  <c r="O18" i="1"/>
  <c r="Z18" i="1"/>
  <c r="GI18" i="2"/>
  <c r="GH18" i="2"/>
  <c r="C16" i="24"/>
  <c r="E17" i="24"/>
  <c r="GG17" i="2"/>
  <c r="J17" i="24"/>
  <c r="K17" i="24" s="1"/>
  <c r="BE17" i="1"/>
  <c r="C17" i="2"/>
  <c r="C17" i="1"/>
  <c r="D17" i="2" l="1"/>
  <c r="DU17" i="2"/>
  <c r="HP17" i="2"/>
  <c r="DJ17" i="2"/>
  <c r="CY17" i="2"/>
  <c r="BG17" i="2"/>
  <c r="CN17" i="2"/>
  <c r="IA17" i="2"/>
  <c r="EQ17" i="2"/>
  <c r="AK17" i="2"/>
  <c r="IL17" i="2"/>
  <c r="FM17" i="2"/>
  <c r="CC17" i="2"/>
  <c r="IW17" i="2"/>
  <c r="O17" i="2"/>
  <c r="FB17" i="2"/>
  <c r="Z17" i="2"/>
  <c r="GT17" i="2"/>
  <c r="HE17" i="2"/>
  <c r="FX17" i="2"/>
  <c r="AV17" i="2"/>
  <c r="BR17" i="2"/>
  <c r="EF17" i="2"/>
  <c r="D17" i="1"/>
  <c r="AK17" i="1"/>
  <c r="O17" i="1"/>
  <c r="Z17" i="1"/>
  <c r="CC17" i="1"/>
  <c r="AV17" i="1"/>
  <c r="BR17" i="1"/>
  <c r="GI17" i="2"/>
  <c r="GH17" i="2"/>
  <c r="BF17" i="1"/>
  <c r="BG17" i="1"/>
  <c r="E16" i="24"/>
  <c r="C15" i="24"/>
  <c r="GG16" i="2"/>
  <c r="J16" i="24"/>
  <c r="K16" i="24" s="1"/>
  <c r="BE16" i="1"/>
  <c r="C16" i="1"/>
  <c r="C16" i="2"/>
  <c r="D16" i="2" l="1"/>
  <c r="CY16" i="2"/>
  <c r="DU16" i="2"/>
  <c r="AK16" i="2"/>
  <c r="FB16" i="2"/>
  <c r="CN16" i="2"/>
  <c r="HP16" i="2"/>
  <c r="O16" i="2"/>
  <c r="EQ16" i="2"/>
  <c r="DJ16" i="2"/>
  <c r="IL16" i="2"/>
  <c r="BG16" i="2"/>
  <c r="IW16" i="2"/>
  <c r="IA16" i="2"/>
  <c r="FM16" i="2"/>
  <c r="AV16" i="2"/>
  <c r="FX16" i="2"/>
  <c r="EF16" i="2"/>
  <c r="GT16" i="2"/>
  <c r="BR16" i="2"/>
  <c r="Z16" i="2"/>
  <c r="CC16" i="2"/>
  <c r="HE16" i="2"/>
  <c r="BG16" i="1"/>
  <c r="BF16" i="1"/>
  <c r="GH16" i="2"/>
  <c r="GI16" i="2"/>
  <c r="D16" i="1"/>
  <c r="AK16" i="1"/>
  <c r="O16" i="1"/>
  <c r="BR16" i="1"/>
  <c r="CC16" i="1"/>
  <c r="AV16" i="1"/>
  <c r="Z16" i="1"/>
  <c r="C14" i="24"/>
  <c r="E15" i="24"/>
  <c r="GG15" i="2"/>
  <c r="J15" i="24"/>
  <c r="K15" i="24" s="1"/>
  <c r="BE15" i="1"/>
  <c r="C15" i="2"/>
  <c r="C15" i="1"/>
  <c r="D15" i="2" l="1"/>
  <c r="DU15" i="2"/>
  <c r="CY15" i="2"/>
  <c r="AK15" i="2"/>
  <c r="DJ15" i="2"/>
  <c r="GT15" i="2"/>
  <c r="IA15" i="2"/>
  <c r="BG15" i="2"/>
  <c r="O15" i="2"/>
  <c r="FM15" i="2"/>
  <c r="FB15" i="2"/>
  <c r="HP15" i="2"/>
  <c r="FX15" i="2"/>
  <c r="CN15" i="2"/>
  <c r="BR15" i="2"/>
  <c r="AV15" i="2"/>
  <c r="HE15" i="2"/>
  <c r="Z15" i="2"/>
  <c r="EF15" i="2"/>
  <c r="IL15" i="2"/>
  <c r="IW15" i="2"/>
  <c r="EQ15" i="2"/>
  <c r="CC15" i="2"/>
  <c r="D15" i="1"/>
  <c r="CC15" i="1"/>
  <c r="AV15" i="1"/>
  <c r="AK15" i="1"/>
  <c r="BR15" i="1"/>
  <c r="Z15" i="1"/>
  <c r="O15" i="1"/>
  <c r="GI15" i="2"/>
  <c r="GH15" i="2"/>
  <c r="BG15" i="1"/>
  <c r="BF15" i="1"/>
  <c r="C13" i="24"/>
  <c r="E14" i="24"/>
  <c r="GG14" i="2"/>
  <c r="J14" i="24"/>
  <c r="K14" i="24" s="1"/>
  <c r="BE14" i="1"/>
  <c r="C14" i="1"/>
  <c r="C14" i="2"/>
  <c r="BG14" i="1" l="1"/>
  <c r="BF14" i="1"/>
  <c r="D14" i="1"/>
  <c r="AV14" i="1"/>
  <c r="O14" i="1"/>
  <c r="CC14" i="1"/>
  <c r="AK14" i="1"/>
  <c r="BR14" i="1"/>
  <c r="Z14" i="1"/>
  <c r="E13" i="24"/>
  <c r="C12" i="24"/>
  <c r="GG13" i="2"/>
  <c r="J13" i="24"/>
  <c r="K13" i="24" s="1"/>
  <c r="BE13" i="1"/>
  <c r="C13" i="2"/>
  <c r="C13" i="1"/>
  <c r="GI14" i="2"/>
  <c r="GH14" i="2"/>
  <c r="D14" i="2"/>
  <c r="DU14" i="2"/>
  <c r="EQ14" i="2"/>
  <c r="CN14" i="2"/>
  <c r="DJ14" i="2"/>
  <c r="CC14" i="2"/>
  <c r="IW14" i="2"/>
  <c r="FB14" i="2"/>
  <c r="IL14" i="2"/>
  <c r="HP14" i="2"/>
  <c r="CY14" i="2"/>
  <c r="AK14" i="2"/>
  <c r="O14" i="2"/>
  <c r="IA14" i="2"/>
  <c r="FM14" i="2"/>
  <c r="HE14" i="2"/>
  <c r="AV14" i="2"/>
  <c r="BR14" i="2"/>
  <c r="BG14" i="2"/>
  <c r="GT14" i="2"/>
  <c r="Z14" i="2"/>
  <c r="FX14" i="2"/>
  <c r="EF14" i="2"/>
  <c r="GH13" i="2" l="1"/>
  <c r="GI13" i="2"/>
  <c r="D13" i="2"/>
  <c r="CY13" i="2"/>
  <c r="DU13" i="2"/>
  <c r="CC13" i="2"/>
  <c r="DJ13" i="2"/>
  <c r="AK13" i="2"/>
  <c r="BG13" i="2"/>
  <c r="FB13" i="2"/>
  <c r="IA13" i="2"/>
  <c r="EQ13" i="2"/>
  <c r="HE13" i="2"/>
  <c r="FX13" i="2"/>
  <c r="HP13" i="2"/>
  <c r="IW13" i="2"/>
  <c r="Z13" i="2"/>
  <c r="BR13" i="2"/>
  <c r="CN13" i="2"/>
  <c r="O13" i="2"/>
  <c r="FM13" i="2"/>
  <c r="GT13" i="2"/>
  <c r="IL13" i="2"/>
  <c r="AV13" i="2"/>
  <c r="EF13" i="2"/>
  <c r="BG13" i="1"/>
  <c r="BF13" i="1"/>
  <c r="E12" i="24"/>
  <c r="C11" i="24"/>
  <c r="GG12" i="2"/>
  <c r="J12" i="24"/>
  <c r="K12" i="24" s="1"/>
  <c r="BE12" i="1"/>
  <c r="C12" i="1"/>
  <c r="C12" i="2"/>
  <c r="D13" i="1"/>
  <c r="Z13" i="1"/>
  <c r="CC13" i="1"/>
  <c r="BR13" i="1"/>
  <c r="AK13" i="1"/>
  <c r="O13" i="1"/>
  <c r="AV13" i="1"/>
  <c r="GI12" i="2" l="1"/>
  <c r="GH12" i="2"/>
  <c r="C10" i="24"/>
  <c r="E11" i="24"/>
  <c r="GG11" i="2"/>
  <c r="J11" i="24"/>
  <c r="K11" i="24" s="1"/>
  <c r="BE11" i="1"/>
  <c r="C11" i="1"/>
  <c r="C11" i="2"/>
  <c r="D12" i="2"/>
  <c r="DU12" i="2"/>
  <c r="FM12" i="2"/>
  <c r="BG12" i="2"/>
  <c r="AK12" i="2"/>
  <c r="O12" i="2"/>
  <c r="EQ12" i="2"/>
  <c r="CY12" i="2"/>
  <c r="IL12" i="2"/>
  <c r="IA12" i="2"/>
  <c r="CC12" i="2"/>
  <c r="FB12" i="2"/>
  <c r="DJ12" i="2"/>
  <c r="HP12" i="2"/>
  <c r="HE12" i="2"/>
  <c r="CN12" i="2"/>
  <c r="EF12" i="2"/>
  <c r="Z12" i="2"/>
  <c r="BR12" i="2"/>
  <c r="GT12" i="2"/>
  <c r="IW12" i="2"/>
  <c r="AV12" i="2"/>
  <c r="FX12" i="2"/>
  <c r="D12" i="1"/>
  <c r="AK12" i="1"/>
  <c r="Z12" i="1"/>
  <c r="CC12" i="1"/>
  <c r="BR12" i="1"/>
  <c r="O12" i="1"/>
  <c r="AV12" i="1"/>
  <c r="BF12" i="1"/>
  <c r="BG12" i="1"/>
  <c r="D11" i="1" l="1"/>
  <c r="Z11" i="1"/>
  <c r="CC11" i="1"/>
  <c r="AV11" i="1"/>
  <c r="AK11" i="1"/>
  <c r="BR11" i="1"/>
  <c r="O11" i="1"/>
  <c r="D11" i="2"/>
  <c r="CY11" i="2"/>
  <c r="DU11" i="2"/>
  <c r="AK11" i="2"/>
  <c r="IW11" i="2"/>
  <c r="O11" i="2"/>
  <c r="DJ11" i="2"/>
  <c r="IL11" i="2"/>
  <c r="FB11" i="2"/>
  <c r="IA11" i="2"/>
  <c r="EQ11" i="2"/>
  <c r="FX11" i="2"/>
  <c r="CN11" i="2"/>
  <c r="HP11" i="2"/>
  <c r="HE11" i="2"/>
  <c r="BG11" i="2"/>
  <c r="GT11" i="2"/>
  <c r="FM11" i="2"/>
  <c r="BR11" i="2"/>
  <c r="EF11" i="2"/>
  <c r="AV11" i="2"/>
  <c r="Z11" i="2"/>
  <c r="CC11" i="2"/>
  <c r="GI11" i="2"/>
  <c r="GH11" i="2"/>
  <c r="BG11" i="1"/>
  <c r="BF11" i="1"/>
  <c r="E10" i="24"/>
  <c r="C9" i="24"/>
  <c r="GG10" i="2"/>
  <c r="J10" i="24"/>
  <c r="K10" i="24" s="1"/>
  <c r="BE10" i="1"/>
  <c r="C10" i="1"/>
  <c r="C10" i="2"/>
  <c r="D10" i="1" l="1"/>
  <c r="AK10" i="1"/>
  <c r="CC10" i="1"/>
  <c r="BR10" i="1"/>
  <c r="O10" i="1"/>
  <c r="Z10" i="1"/>
  <c r="AV10" i="1"/>
  <c r="BG10" i="1"/>
  <c r="BF10" i="1"/>
  <c r="D10" i="2"/>
  <c r="DU10" i="2"/>
  <c r="O10" i="2"/>
  <c r="CN10" i="2"/>
  <c r="FM10" i="2"/>
  <c r="CY10" i="2"/>
  <c r="BG10" i="2"/>
  <c r="IA10" i="2"/>
  <c r="FB10" i="2"/>
  <c r="HP10" i="2"/>
  <c r="DJ10" i="2"/>
  <c r="EQ10" i="2"/>
  <c r="CC10" i="2"/>
  <c r="GT10" i="2"/>
  <c r="IW10" i="2"/>
  <c r="HE10" i="2"/>
  <c r="AV10" i="2"/>
  <c r="IL10" i="2"/>
  <c r="Z10" i="2"/>
  <c r="FX10" i="2"/>
  <c r="AK10" i="2"/>
  <c r="BR10" i="2"/>
  <c r="EF10" i="2"/>
  <c r="GI10" i="2"/>
  <c r="GH10" i="2"/>
  <c r="C8" i="24"/>
  <c r="E9" i="24"/>
  <c r="GG9" i="2"/>
  <c r="J9" i="24"/>
  <c r="K9" i="24" s="1"/>
  <c r="BE9" i="1"/>
  <c r="C9" i="2"/>
  <c r="C9" i="1"/>
  <c r="D9" i="1" l="1"/>
  <c r="Z9" i="1"/>
  <c r="BR9" i="1"/>
  <c r="O9" i="1"/>
  <c r="CC9" i="1"/>
  <c r="AV9" i="1"/>
  <c r="AK9" i="1"/>
  <c r="D9" i="2"/>
  <c r="CY9" i="2"/>
  <c r="DU9" i="2"/>
  <c r="AK9" i="2"/>
  <c r="BG9" i="2"/>
  <c r="FM9" i="2"/>
  <c r="IL9" i="2"/>
  <c r="DJ9" i="2"/>
  <c r="O9" i="2"/>
  <c r="HP9" i="2"/>
  <c r="FB9" i="2"/>
  <c r="EF9" i="2"/>
  <c r="IA9" i="2"/>
  <c r="Z9" i="2"/>
  <c r="EQ9" i="2"/>
  <c r="GT9" i="2"/>
  <c r="IW9" i="2"/>
  <c r="HE9" i="2"/>
  <c r="BR9" i="2"/>
  <c r="CN9" i="2"/>
  <c r="FX9" i="2"/>
  <c r="AV9" i="2"/>
  <c r="CC9" i="2"/>
  <c r="E8" i="24"/>
  <c r="C7" i="24"/>
  <c r="GG8" i="2"/>
  <c r="J8" i="24"/>
  <c r="K8" i="24" s="1"/>
  <c r="BE8" i="1"/>
  <c r="C8" i="1"/>
  <c r="C8" i="2"/>
  <c r="BF9" i="1"/>
  <c r="BG9" i="1"/>
  <c r="GI9" i="2"/>
  <c r="GH9" i="2"/>
  <c r="D8" i="1" l="1"/>
  <c r="AV8" i="1"/>
  <c r="BR8" i="1"/>
  <c r="O8" i="1"/>
  <c r="CC8" i="1"/>
  <c r="AK8" i="1"/>
  <c r="Z8" i="1"/>
  <c r="D8" i="2"/>
  <c r="CY8" i="2"/>
  <c r="DU8" i="2"/>
  <c r="AK8" i="2"/>
  <c r="CC8" i="2"/>
  <c r="DJ8" i="2"/>
  <c r="IA8" i="2"/>
  <c r="O8" i="2"/>
  <c r="HP8" i="2"/>
  <c r="GT8" i="2"/>
  <c r="IW8" i="2"/>
  <c r="FB8" i="2"/>
  <c r="IL8" i="2"/>
  <c r="CN8" i="2"/>
  <c r="HE8" i="2"/>
  <c r="EQ8" i="2"/>
  <c r="EF8" i="2"/>
  <c r="AV8" i="2"/>
  <c r="BG8" i="2"/>
  <c r="FM8" i="2"/>
  <c r="BR8" i="2"/>
  <c r="Z8" i="2"/>
  <c r="FX8" i="2"/>
  <c r="E7" i="24"/>
  <c r="C6" i="24"/>
  <c r="GG7" i="2"/>
  <c r="J7" i="24"/>
  <c r="K7" i="24" s="1"/>
  <c r="BE7" i="1"/>
  <c r="C7" i="2"/>
  <c r="C7" i="1"/>
  <c r="BF8" i="1"/>
  <c r="BG8" i="1"/>
  <c r="GI8" i="2"/>
  <c r="GH8" i="2"/>
  <c r="D7" i="2" l="1"/>
  <c r="CY7" i="2"/>
  <c r="DU7" i="2"/>
  <c r="CN7" i="2"/>
  <c r="IL7" i="2"/>
  <c r="AK7" i="2"/>
  <c r="CC7" i="2"/>
  <c r="FB7" i="2"/>
  <c r="O7" i="2"/>
  <c r="DJ7" i="2"/>
  <c r="HP7" i="2"/>
  <c r="EQ7" i="2"/>
  <c r="Z7" i="2"/>
  <c r="FX7" i="2"/>
  <c r="HE7" i="2"/>
  <c r="FM7" i="2"/>
  <c r="BR7" i="2"/>
  <c r="IA7" i="2"/>
  <c r="IW7" i="2"/>
  <c r="BG7" i="2"/>
  <c r="EF7" i="2"/>
  <c r="AV7" i="2"/>
  <c r="GT7" i="2"/>
  <c r="BG7" i="1"/>
  <c r="BF7" i="1"/>
  <c r="D7" i="1"/>
  <c r="BR7" i="1"/>
  <c r="AV7" i="1"/>
  <c r="Z7" i="1"/>
  <c r="CC7" i="1"/>
  <c r="AK7" i="1"/>
  <c r="O7" i="1"/>
  <c r="E6" i="24"/>
  <c r="C5" i="24"/>
  <c r="GG6" i="2"/>
  <c r="J6" i="24"/>
  <c r="K6" i="24" s="1"/>
  <c r="BE6" i="1"/>
  <c r="C6" i="2"/>
  <c r="C6" i="1"/>
  <c r="GH7" i="2"/>
  <c r="GI7" i="2"/>
  <c r="D6" i="2" l="1"/>
  <c r="CY6" i="2"/>
  <c r="DU6" i="2"/>
  <c r="AK6" i="2"/>
  <c r="FM6" i="2"/>
  <c r="BG6" i="2"/>
  <c r="IW6" i="2"/>
  <c r="GT6" i="2"/>
  <c r="FB6" i="2"/>
  <c r="IA6" i="2"/>
  <c r="DJ6" i="2"/>
  <c r="IL6" i="2"/>
  <c r="CN6" i="2"/>
  <c r="EF6" i="2"/>
  <c r="HP6" i="2"/>
  <c r="AV6" i="2"/>
  <c r="HE6" i="2"/>
  <c r="CC6" i="2"/>
  <c r="Z6" i="2"/>
  <c r="EQ6" i="2"/>
  <c r="BR6" i="2"/>
  <c r="O6" i="2"/>
  <c r="FX6" i="2"/>
  <c r="D6" i="1"/>
  <c r="AK6" i="1"/>
  <c r="CC6" i="1"/>
  <c r="BR6" i="1"/>
  <c r="Z6" i="1"/>
  <c r="AV6" i="1"/>
  <c r="O6" i="1"/>
  <c r="GI6" i="2"/>
  <c r="GH6" i="2"/>
  <c r="BF6" i="1"/>
  <c r="BG6" i="1"/>
  <c r="E5" i="24"/>
  <c r="C4" i="24"/>
  <c r="GG5" i="2"/>
  <c r="J5" i="24"/>
  <c r="K5" i="24" s="1"/>
  <c r="BE5" i="1"/>
  <c r="C5" i="1"/>
  <c r="C5" i="2"/>
  <c r="D5" i="2" l="1"/>
  <c r="DU5" i="2"/>
  <c r="CN5" i="2"/>
  <c r="IL5" i="2"/>
  <c r="CC5" i="2"/>
  <c r="IW5" i="2"/>
  <c r="EQ5" i="2"/>
  <c r="O5" i="2"/>
  <c r="FB5" i="2"/>
  <c r="CY5" i="2"/>
  <c r="FM5" i="2"/>
  <c r="DJ5" i="2"/>
  <c r="HP5" i="2"/>
  <c r="AK5" i="2"/>
  <c r="AV5" i="2"/>
  <c r="BG5" i="2"/>
  <c r="IA5" i="2"/>
  <c r="Z5" i="2"/>
  <c r="BR5" i="2"/>
  <c r="GT5" i="2"/>
  <c r="HE5" i="2"/>
  <c r="EF5" i="2"/>
  <c r="FX5" i="2"/>
  <c r="BG5" i="1"/>
  <c r="BF5" i="1"/>
  <c r="E4" i="24"/>
  <c r="C3" i="24"/>
  <c r="GG4" i="2"/>
  <c r="J4" i="24"/>
  <c r="K4" i="24" s="1"/>
  <c r="BE4" i="1"/>
  <c r="C4" i="1"/>
  <c r="C4" i="2"/>
  <c r="D5" i="1"/>
  <c r="O5" i="1"/>
  <c r="CC5" i="1"/>
  <c r="AV5" i="1"/>
  <c r="BR5" i="1"/>
  <c r="Z5" i="1"/>
  <c r="AK5" i="1"/>
  <c r="GI5" i="2"/>
  <c r="GH5" i="2"/>
  <c r="D4" i="1" l="1"/>
  <c r="AK4" i="1"/>
  <c r="Z4" i="1"/>
  <c r="O4" i="1"/>
  <c r="BR4" i="1"/>
  <c r="CC4" i="1"/>
  <c r="AV4" i="1"/>
  <c r="GH4" i="2"/>
  <c r="GI4" i="2"/>
  <c r="D4" i="2"/>
  <c r="CY4" i="2"/>
  <c r="DU4" i="2"/>
  <c r="FM4" i="2"/>
  <c r="DJ4" i="2"/>
  <c r="IL4" i="2"/>
  <c r="CC4" i="2"/>
  <c r="FB4" i="2"/>
  <c r="AK4" i="2"/>
  <c r="IW4" i="2"/>
  <c r="IA4" i="2"/>
  <c r="BG4" i="2"/>
  <c r="O4" i="2"/>
  <c r="EQ4" i="2"/>
  <c r="FX4" i="2"/>
  <c r="GT4" i="2"/>
  <c r="AV4" i="2"/>
  <c r="EF4" i="2"/>
  <c r="HP4" i="2"/>
  <c r="Z4" i="2"/>
  <c r="BR4" i="2"/>
  <c r="CN4" i="2"/>
  <c r="HE4" i="2"/>
  <c r="BF4" i="1"/>
  <c r="BG4" i="1"/>
  <c r="C2" i="24"/>
  <c r="E3" i="24"/>
  <c r="GG3" i="2"/>
  <c r="J3" i="24"/>
  <c r="K3" i="24" s="1"/>
  <c r="BE3" i="1"/>
  <c r="C3" i="2"/>
  <c r="C3" i="1"/>
  <c r="D3" i="1" l="1"/>
  <c r="CC3" i="1"/>
  <c r="AV3" i="1"/>
  <c r="O3" i="1"/>
  <c r="BR3" i="1"/>
  <c r="AK3" i="1"/>
  <c r="Z3" i="1"/>
  <c r="BG3" i="1"/>
  <c r="BF3" i="1"/>
  <c r="D3" i="2"/>
  <c r="DU3" i="2"/>
  <c r="O3" i="2"/>
  <c r="EQ3" i="2"/>
  <c r="IW3" i="2"/>
  <c r="BG3" i="2"/>
  <c r="CY3" i="2"/>
  <c r="FB3" i="2"/>
  <c r="DJ3" i="2"/>
  <c r="HP3" i="2"/>
  <c r="HE3" i="2"/>
  <c r="IL3" i="2"/>
  <c r="EF3" i="2"/>
  <c r="AV3" i="2"/>
  <c r="BR3" i="2"/>
  <c r="CN3" i="2"/>
  <c r="FM3" i="2"/>
  <c r="IA3" i="2"/>
  <c r="GT3" i="2"/>
  <c r="FX3" i="2"/>
  <c r="Z3" i="2"/>
  <c r="CC3" i="2"/>
  <c r="AK3" i="2"/>
  <c r="GI3" i="2"/>
  <c r="GH3" i="2"/>
  <c r="J2" i="24"/>
  <c r="K2" i="24" s="1"/>
  <c r="E2" i="24"/>
  <c r="GG2" i="2"/>
  <c r="BE2" i="1"/>
  <c r="C2" i="2"/>
  <c r="C2" i="1"/>
  <c r="D2" i="1" l="1"/>
  <c r="Z2" i="1"/>
  <c r="AV2" i="1"/>
  <c r="O2" i="1"/>
  <c r="BR2" i="1"/>
  <c r="AK2" i="1"/>
  <c r="CC2" i="1"/>
  <c r="D2" i="2"/>
  <c r="DU2" i="2"/>
  <c r="IA2" i="2"/>
  <c r="FB2" i="2"/>
  <c r="IL2" i="2"/>
  <c r="HP2" i="2"/>
  <c r="CN2" i="2"/>
  <c r="CY2" i="2"/>
  <c r="DJ2" i="2"/>
  <c r="FM2" i="2"/>
  <c r="O2" i="2"/>
  <c r="AV2" i="2"/>
  <c r="CC2" i="2"/>
  <c r="AK2" i="2"/>
  <c r="FX2" i="2"/>
  <c r="EQ2" i="2"/>
  <c r="HE2" i="2"/>
  <c r="BR2" i="2"/>
  <c r="IW2" i="2"/>
  <c r="EF2" i="2"/>
  <c r="GT2" i="2"/>
  <c r="Z2" i="2"/>
  <c r="BG2" i="2"/>
  <c r="GI2" i="2"/>
  <c r="GH2" i="2"/>
  <c r="BG2" i="1"/>
  <c r="BF2" i="1"/>
</calcChain>
</file>

<file path=xl/sharedStrings.xml><?xml version="1.0" encoding="utf-8"?>
<sst xmlns="http://schemas.openxmlformats.org/spreadsheetml/2006/main" count="4077" uniqueCount="149">
  <si>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</si>
  <si>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</si>
  <si>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</si>
  <si>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</si>
  <si>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</si>
  <si>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</si>
  <si>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</si>
  <si>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</si>
  <si>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</si>
  <si>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</si>
  <si>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</si>
  <si>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</si>
  <si>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</si>
  <si>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</si>
  <si>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</si>
  <si>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</si>
  <si>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</si>
  <si>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</si>
  <si>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</si>
  <si>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</si>
  <si>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</si>
  <si>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</si>
  <si>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</si>
  <si>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</si>
  <si>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</si>
  <si>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</si>
  <si>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</si>
  <si>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</si>
  <si>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</si>
  <si>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</si>
  <si>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</si>
  <si>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</si>
  <si>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</si>
  <si>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</si>
  <si>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</si>
  <si>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</si>
  <si>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</si>
  <si>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</si>
  <si>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</si>
  <si>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</si>
  <si>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</si>
  <si>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</si>
  <si>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</si>
  <si>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</si>
  <si>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</si>
  <si>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</si>
  <si>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</si>
  <si>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</si>
  <si>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</si>
  <si>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</si>
  <si>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</si>
  <si>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</si>
  <si>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</si>
  <si>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</si>
  <si>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</si>
  <si>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</si>
  <si>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</si>
  <si>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</si>
  <si>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</si>
  <si>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</si>
  <si>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</si>
  <si>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</si>
  <si>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</si>
  <si>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</si>
  <si>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</si>
  <si>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</si>
  <si>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</si>
  <si>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</si>
  <si>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</si>
  <si>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</si>
  <si>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</si>
  <si>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</si>
  <si>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</si>
  <si>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</si>
  <si>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</si>
  <si>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</si>
  <si>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</si>
  <si>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</si>
  <si>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Sivoso</t>
  </si>
  <si>
    <t>GDP/cap growth</t>
  </si>
  <si>
    <t>GDP/cap override ($)</t>
  </si>
  <si>
    <t>GDP per Capita ($)</t>
  </si>
  <si>
    <t>GDP (nominal, $)</t>
  </si>
  <si>
    <t>GDP growth (total)</t>
  </si>
  <si>
    <t>Notes</t>
  </si>
  <si>
    <t>What it means</t>
  </si>
  <si>
    <t>Rearmament Squeeze - Cold War military budgets crowd out civilian growth.</t>
  </si>
  <si>
    <t>Rearmament Squeeze (1751-53): the Cold War arms race that diverted spending from civilian growth, beginning Estijan's long stagnation.</t>
  </si>
  <si>
    <t>The Great Crash - global stock-market crash &amp; recession.</t>
  </si>
  <si>
    <t>The Great Crash (1740): the global stock-market crash set off by the collapse of the Estijan Huan.</t>
  </si>
  <si>
    <t>Great War of Massir begins - northern-Massir war economy.</t>
  </si>
  <si>
    <t>Great War of Massir (from 1731): a major war across northern Massir that strained the region's economies.</t>
  </si>
  <si>
    <t>The Great Slump - global depression after the Massiran Credit Crisis &amp; Global Austerity.</t>
  </si>
  <si>
    <t>The Great Slump (1729-33): the worldwide depression that followed the 1729 Massiran Credit Crisis and the GTU's Global Austerity doctrine.</t>
  </si>
  <si>
    <t>Massiran Credit Crisis - epicentre: banking sector collapsed, saved only by government bailouts.</t>
  </si>
  <si>
    <t>Massiran Credit Crisis (1729): a credit crunch that began in Dahe's banking sector, spread across Massir, and forced the GTU's 'Global Austerity' response.</t>
  </si>
  <si>
    <t>Oil Crisis - hit by the global oil shortage &amp; price spike (MPU supply cut).</t>
  </si>
  <si>
    <t>Oil Crisis (1725): a worldwide oil shortage after the MPU cartel restricted global supply - felt in every economy.</t>
  </si>
  <si>
    <t>GTU 'Global Austerity' doctrine adopted amid the Massiran Credit Crisis.</t>
  </si>
  <si>
    <t>GTU Global Austerity (1729): the world austerity doctrine adopted during the Massiran Credit Crisis.</t>
  </si>
  <si>
    <t>Arten Fiscal Crisis - trade &amp; financial fallout across the region.</t>
  </si>
  <si>
    <t>Arten Fiscal Crisis (1713-15): capital flight and imperial-debt default triggered by the Arten Revolution and the 1715 Declaration of Rights.</t>
  </si>
  <si>
    <t>Aetintine Civil War begins (to 1734).</t>
  </si>
  <si>
    <t>Aetintine Civil War (1710-34): a decades-long internal conflict.</t>
  </si>
  <si>
    <t>Ahokini Civil War (1703-11).</t>
  </si>
  <si>
    <t>Ahokini Civil War (1703-11): an internal conflict.</t>
  </si>
  <si>
    <t>Mahean Debt Crisis - continent-wide defaults after over-borrowing.</t>
  </si>
  <si>
    <t>Mahean Debt Crisis (1750-52): a chain of sovereign defaults across Mahea's commodity exporters after the borrowing boom reversed.</t>
  </si>
  <si>
    <t>Arten Fiscal Crisis - epicentre: capital flight &amp; imperial-debt default after the Declaration of Rights.</t>
  </si>
  <si>
    <t>Left the Quian Union - loss of the common market.</t>
  </si>
  <si>
    <t>Quian Union exit (1747): Ashain's departure from the Quian common market.</t>
  </si>
  <si>
    <t>Massiran Credit Crisis - regional banking &amp; credit crunch spreading from Dahe.</t>
  </si>
  <si>
    <t>Collapse of the Huan - secession &amp; transition shock.</t>
  </si>
  <si>
    <t>Collapse of the Huan (1740): dissolution of the Estijan Huan, hyperinflating its currency and breaking the empire apart.</t>
  </si>
  <si>
    <t>Zenashan Wars &amp; war with Ukhdari (1743-50).</t>
  </si>
  <si>
    <t>Zenashan Wars (1743-50): Ealdorii's costly interventions in Zenashan and war with Ukhdari.</t>
  </si>
  <si>
    <t>Decolonisation shock - serial loss of colonies (Amcha, North Ayre, Disal Nila).</t>
  </si>
  <si>
    <t>Decolonisation (1700s): loss of colonial revenue as overseas territories broke away.</t>
  </si>
  <si>
    <t>Decolonisation - loss of Candenat &amp; Migoku; the Migoku Crisis.</t>
  </si>
  <si>
    <t>Emaran decolonisation (1715-19): loss of Candenat and Migoku and the Migoku Crisis.</t>
  </si>
  <si>
    <t>Islatan Stabilisation Crisis - 6th Republic falls; the Islatan is reset under the 7th Republic.</t>
  </si>
  <si>
    <t>Islatan Stabilisation Crisis (1711): Emara's currency collapse as the 6th Republic fell, forcing a hard reset of the Islatan under the 7th Republic.</t>
  </si>
  <si>
    <t>Keiratam War with Ztesh &amp; population transfer.</t>
  </si>
  <si>
    <t>Keiratam War (1701-02): Ztesh's war with Erkizil over Keiratam, ending in a forced population transfer.</t>
  </si>
  <si>
    <t>Estijan-Daconia War - invasion &amp; overthrow of Daconia.</t>
  </si>
  <si>
    <t>Estijan-Daconia War (1747): Estijan's invasion and overthrow of the Daconian government.</t>
  </si>
  <si>
    <t>Collapse of the Huan (Jan) &amp; the Great Crash (Mar) - hyperinflation &amp; empire dissolution.</t>
  </si>
  <si>
    <t>Fincen Civil War begins (to 1727).</t>
  </si>
  <si>
    <t>Fincen Civil War (1711-27): a prolonged internal conflict.</t>
  </si>
  <si>
    <t>Ihnerian Civil War begins - 12-year economic collapse (to 1724).</t>
  </si>
  <si>
    <t>Ihnerian Civil War (1712-24): a twelve-year internal war that collapsed Ihner's economy.</t>
  </si>
  <si>
    <t>Ocaun Famine.</t>
  </si>
  <si>
    <t>Ocaun Famine (1738): a mass food shortage.</t>
  </si>
  <si>
    <t>Sokato Spice Bubble bursts - colonial spice-trade mania &amp; crash.</t>
  </si>
  <si>
    <t>Sokato Spice Bubble (1719-21): a speculative mania in colonial spice-trade companies after Oyreain's independence broke Siana's Sokato monopoly - ending in a crash.</t>
  </si>
  <si>
    <t>Won independence amid Siana's collapse &amp; the Minalu bombing.</t>
  </si>
  <si>
    <t>Sinian Collapse (1716-17): the war-finance ruin of Siana during the Sinian Revolution, worsened by the nuclear bombing of Minalu.</t>
  </si>
  <si>
    <t>Massiran Credit Crisis - oil-price collapse -&gt; inflation &amp; deadly food riots.</t>
  </si>
  <si>
    <t>Shadow Oil Scandal - exposed as manipulating oil in neutral states.</t>
  </si>
  <si>
    <t>Shadow Oil Scandal (1728): exposure of covert Raledrian manipulation of oil prices in neutral states.</t>
  </si>
  <si>
    <t>Won independence amid Siana's collapse.</t>
  </si>
  <si>
    <t>Seytinemasi Civil War (1717-19).</t>
  </si>
  <si>
    <t>Seytinemasi Civil War (1717-19): an internal conflict.</t>
  </si>
  <si>
    <t>Sinian Collapse - treasury ruin, loss of colonies, surrender of its nuclear arsenal.</t>
  </si>
  <si>
    <t>War with Ealdorii.</t>
  </si>
  <si>
    <t>Regime collapse - fall of the dictatorship, socialist takeover.</t>
  </si>
  <si>
    <t>Verste regime collapse (1723): fall of the dictatorship and socialist takeover.</t>
  </si>
  <si>
    <t>Massiran Credit Crisis - cargo ships seized by Dahe; trade &amp; relations collapsed.</t>
  </si>
  <si>
    <t>Keiratam War with Erkizil &amp; forced population transfer.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</si>
</sst>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#,###"/>
    <numFmt numFmtId="166" formatCode="0.00&quot;%&quot;"/>
    <numFmt numFmtId="167" formatCode="0.0&quot;%&quot;;[Red]\-0.0&quot;%&quot;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181A1B"/>
      <name val="Arial"/>
      <scheme val="minor"/>
    </font>
    <font>
      <sz val="10"/>
      <color theme="1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BEEDD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2" fillId="3" borderId="1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/>
    <xf numFmtId="166" fontId="1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8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4">
    <tableStyle name="GlobalContinent Population-style" pivot="0" count="4" xr9:uid="{00000000-0011-0000-FFFF-FFFF00000000}">
      <tableStyleElement type="wholeTable" size="0" dxfId="815"/>
      <tableStyleElement type="headerRow" dxfId="814"/>
      <tableStyleElement type="firstRowStripe" dxfId="813"/>
      <tableStyleElement type="secondRowStripe" dxfId="812"/>
    </tableStyle>
    <tableStyle name="GlobalContinent Population-style 2" pivot="0" count="4" xr9:uid="{00000000-0011-0000-FFFF-FFFF01000000}">
      <tableStyleElement type="wholeTable" size="0" dxfId="811"/>
      <tableStyleElement type="headerRow" dxfId="810"/>
      <tableStyleElement type="firstRowStripe" dxfId="809"/>
      <tableStyleElement type="secondRowStripe" dxfId="808"/>
    </tableStyle>
    <tableStyle name="GlobalContinent Population-style 3" pivot="0" count="4" xr9:uid="{00000000-0011-0000-FFFF-FFFF02000000}">
      <tableStyleElement type="wholeTable" size="0" dxfId="807"/>
      <tableStyleElement type="headerRow" dxfId="806"/>
      <tableStyleElement type="firstRowStripe" dxfId="805"/>
      <tableStyleElement type="secondRowStripe" dxfId="804"/>
    </tableStyle>
    <tableStyle name="GlobalContinent Population-style 4" pivot="0" count="4" xr9:uid="{00000000-0011-0000-FFFF-FFFF03000000}">
      <tableStyleElement type="wholeTable" size="0" dxfId="803"/>
      <tableStyleElement type="headerRow" dxfId="802"/>
      <tableStyleElement type="firstRowStripe" dxfId="801"/>
      <tableStyleElement type="secondRowStripe" dxfId="800"/>
    </tableStyle>
    <tableStyle name="GlobalContinent Population-style 5" pivot="0" count="4" xr9:uid="{00000000-0011-0000-FFFF-FFFF04000000}">
      <tableStyleElement type="wholeTable" size="0" dxfId="799"/>
      <tableStyleElement type="headerRow" dxfId="798"/>
      <tableStyleElement type="firstRowStripe" dxfId="797"/>
      <tableStyleElement type="secondRowStripe" dxfId="796"/>
    </tableStyle>
    <tableStyle name="GlobalContinent Population-style 6" pivot="0" count="4" xr9:uid="{00000000-0011-0000-FFFF-FFFF05000000}">
      <tableStyleElement type="wholeTable" size="0" dxfId="795"/>
      <tableStyleElement type="headerRow" dxfId="794"/>
      <tableStyleElement type="firstRowStripe" dxfId="793"/>
      <tableStyleElement type="secondRowStripe" dxfId="792"/>
    </tableStyle>
    <tableStyle name="GlobalContinent Population-style 7" pivot="0" count="4" xr9:uid="{00000000-0011-0000-FFFF-FFFF06000000}">
      <tableStyleElement type="wholeTable" size="0" dxfId="791"/>
      <tableStyleElement type="headerRow" dxfId="790"/>
      <tableStyleElement type="firstRowStripe" dxfId="789"/>
      <tableStyleElement type="secondRowStripe" dxfId="788"/>
    </tableStyle>
    <tableStyle name="GlobalContinent Population-style 8" pivot="0" count="4" xr9:uid="{00000000-0011-0000-FFFF-FFFF07000000}">
      <tableStyleElement type="wholeTable" size="0" dxfId="787"/>
      <tableStyleElement type="headerRow" dxfId="786"/>
      <tableStyleElement type="firstRowStripe" dxfId="785"/>
      <tableStyleElement type="secondRowStripe" dxfId="784"/>
    </tableStyle>
    <tableStyle name="Geoscheme Population-style" pivot="0" count="4" xr9:uid="{00000000-0011-0000-FFFF-FFFF08000000}">
      <tableStyleElement type="wholeTable" size="0" dxfId="783"/>
      <tableStyleElement type="headerRow" dxfId="782"/>
      <tableStyleElement type="firstRowStripe" dxfId="781"/>
      <tableStyleElement type="secondRowStripe" dxfId="780"/>
    </tableStyle>
    <tableStyle name="Geoscheme Population-style 2" pivot="0" count="4" xr9:uid="{00000000-0011-0000-FFFF-FFFF09000000}">
      <tableStyleElement type="wholeTable" size="0" dxfId="779"/>
      <tableStyleElement type="headerRow" dxfId="778"/>
      <tableStyleElement type="firstRowStripe" dxfId="777"/>
      <tableStyleElement type="secondRowStripe" dxfId="776"/>
    </tableStyle>
    <tableStyle name="Geoscheme Population-style 3" pivot="0" count="4" xr9:uid="{00000000-0011-0000-FFFF-FFFF0A000000}">
      <tableStyleElement type="wholeTable" size="0" dxfId="775"/>
      <tableStyleElement type="headerRow" dxfId="774"/>
      <tableStyleElement type="firstRowStripe" dxfId="773"/>
      <tableStyleElement type="secondRowStripe" dxfId="772"/>
    </tableStyle>
    <tableStyle name="Geoscheme Population-style 4" pivot="0" count="4" xr9:uid="{00000000-0011-0000-FFFF-FFFF0B000000}">
      <tableStyleElement type="wholeTable" size="0" dxfId="771"/>
      <tableStyleElement type="headerRow" dxfId="770"/>
      <tableStyleElement type="firstRowStripe" dxfId="769"/>
      <tableStyleElement type="secondRowStripe" dxfId="768"/>
    </tableStyle>
    <tableStyle name="Geoscheme Population-style 5" pivot="0" count="4" xr9:uid="{00000000-0011-0000-FFFF-FFFF0C000000}">
      <tableStyleElement type="wholeTable" size="0" dxfId="767"/>
      <tableStyleElement type="headerRow" dxfId="766"/>
      <tableStyleElement type="firstRowStripe" dxfId="765"/>
      <tableStyleElement type="secondRowStripe" dxfId="764"/>
    </tableStyle>
    <tableStyle name="Geoscheme Population-style 6" pivot="0" count="4" xr9:uid="{00000000-0011-0000-FFFF-FFFF0D000000}">
      <tableStyleElement type="wholeTable" size="0" dxfId="763"/>
      <tableStyleElement type="headerRow" dxfId="762"/>
      <tableStyleElement type="firstRowStripe" dxfId="761"/>
      <tableStyleElement type="secondRowStripe" dxfId="760"/>
    </tableStyle>
    <tableStyle name="Geoscheme Population-style 7" pivot="0" count="4" xr9:uid="{00000000-0011-0000-FFFF-FFFF0E000000}">
      <tableStyleElement type="wholeTable" size="0" dxfId="759"/>
      <tableStyleElement type="headerRow" dxfId="758"/>
      <tableStyleElement type="firstRowStripe" dxfId="757"/>
      <tableStyleElement type="secondRowStripe" dxfId="756"/>
    </tableStyle>
    <tableStyle name="Geoscheme Population-style 8" pivot="0" count="4" xr9:uid="{00000000-0011-0000-FFFF-FFFF0F000000}">
      <tableStyleElement type="wholeTable" size="0" dxfId="755"/>
      <tableStyleElement type="headerRow" dxfId="754"/>
      <tableStyleElement type="firstRowStripe" dxfId="753"/>
      <tableStyleElement type="secondRowStripe" dxfId="752"/>
    </tableStyle>
    <tableStyle name="Geoscheme Population-style 9" pivot="0" count="4" xr9:uid="{00000000-0011-0000-FFFF-FFFF10000000}">
      <tableStyleElement type="wholeTable" size="0" dxfId="751"/>
      <tableStyleElement type="headerRow" dxfId="750"/>
      <tableStyleElement type="firstRowStripe" dxfId="749"/>
      <tableStyleElement type="secondRowStripe" dxfId="748"/>
    </tableStyle>
    <tableStyle name="Geoscheme Population-style 10" pivot="0" count="4" xr9:uid="{00000000-0011-0000-FFFF-FFFF11000000}">
      <tableStyleElement type="wholeTable" size="0" dxfId="747"/>
      <tableStyleElement type="headerRow" dxfId="746"/>
      <tableStyleElement type="firstRowStripe" dxfId="745"/>
      <tableStyleElement type="secondRowStripe" dxfId="744"/>
    </tableStyle>
    <tableStyle name="Geoscheme Population-style 11" pivot="0" count="4" xr9:uid="{00000000-0011-0000-FFFF-FFFF12000000}">
      <tableStyleElement type="wholeTable" size="0" dxfId="743"/>
      <tableStyleElement type="headerRow" dxfId="742"/>
      <tableStyleElement type="firstRowStripe" dxfId="741"/>
      <tableStyleElement type="secondRowStripe" dxfId="740"/>
    </tableStyle>
    <tableStyle name="Geoscheme Population-style 12" pivot="0" count="4" xr9:uid="{00000000-0011-0000-FFFF-FFFF13000000}">
      <tableStyleElement type="wholeTable" size="0" dxfId="739"/>
      <tableStyleElement type="headerRow" dxfId="738"/>
      <tableStyleElement type="firstRowStripe" dxfId="737"/>
      <tableStyleElement type="secondRowStripe" dxfId="736"/>
    </tableStyle>
    <tableStyle name="Geoscheme Population-style 13" pivot="0" count="4" xr9:uid="{00000000-0011-0000-FFFF-FFFF14000000}">
      <tableStyleElement type="wholeTable" size="0" dxfId="735"/>
      <tableStyleElement type="headerRow" dxfId="734"/>
      <tableStyleElement type="firstRowStripe" dxfId="733"/>
      <tableStyleElement type="secondRowStripe" dxfId="732"/>
    </tableStyle>
    <tableStyle name="Geoscheme Population-style 14" pivot="0" count="4" xr9:uid="{00000000-0011-0000-FFFF-FFFF15000000}">
      <tableStyleElement type="wholeTable" size="0" dxfId="731"/>
      <tableStyleElement type="headerRow" dxfId="730"/>
      <tableStyleElement type="firstRowStripe" dxfId="729"/>
      <tableStyleElement type="secondRowStripe" dxfId="728"/>
    </tableStyle>
    <tableStyle name="Geoscheme Population-style 15" pivot="0" count="4" xr9:uid="{00000000-0011-0000-FFFF-FFFF16000000}">
      <tableStyleElement type="wholeTable" size="0" dxfId="727"/>
      <tableStyleElement type="headerRow" dxfId="726"/>
      <tableStyleElement type="firstRowStripe" dxfId="725"/>
      <tableStyleElement type="secondRowStripe" dxfId="724"/>
    </tableStyle>
    <tableStyle name="Geoscheme Population-style 16" pivot="0" count="4" xr9:uid="{00000000-0011-0000-FFFF-FFFF17000000}">
      <tableStyleElement type="wholeTable" size="0" dxfId="723"/>
      <tableStyleElement type="headerRow" dxfId="722"/>
      <tableStyleElement type="firstRowStripe" dxfId="721"/>
      <tableStyleElement type="secondRowStripe" dxfId="720"/>
    </tableStyle>
    <tableStyle name="Geoscheme Population-style 17" pivot="0" count="4" xr9:uid="{00000000-0011-0000-FFFF-FFFF18000000}">
      <tableStyleElement type="wholeTable" size="0" dxfId="719"/>
      <tableStyleElement type="headerRow" dxfId="718"/>
      <tableStyleElement type="firstRowStripe" dxfId="717"/>
      <tableStyleElement type="secondRowStripe" dxfId="716"/>
    </tableStyle>
    <tableStyle name="Geoscheme Population-style 18" pivot="0" count="4" xr9:uid="{00000000-0011-0000-FFFF-FFFF19000000}">
      <tableStyleElement type="wholeTable" size="0" dxfId="715"/>
      <tableStyleElement type="headerRow" dxfId="714"/>
      <tableStyleElement type="firstRowStripe" dxfId="713"/>
      <tableStyleElement type="secondRowStripe" dxfId="712"/>
    </tableStyle>
    <tableStyle name="Geoscheme Population-style 19" pivot="0" count="4" xr9:uid="{00000000-0011-0000-FFFF-FFFF1A000000}">
      <tableStyleElement type="wholeTable" size="0" dxfId="711"/>
      <tableStyleElement type="headerRow" dxfId="710"/>
      <tableStyleElement type="firstRowStripe" dxfId="709"/>
      <tableStyleElement type="secondRowStripe" dxfId="708"/>
    </tableStyle>
    <tableStyle name="Geoscheme Population-style 20" pivot="0" count="4" xr9:uid="{00000000-0011-0000-FFFF-FFFF1B000000}">
      <tableStyleElement type="wholeTable" size="0" dxfId="707"/>
      <tableStyleElement type="headerRow" dxfId="706"/>
      <tableStyleElement type="firstRowStripe" dxfId="705"/>
      <tableStyleElement type="secondRowStripe" dxfId="704"/>
    </tableStyle>
    <tableStyle name="Geoscheme Population-style 21" pivot="0" count="4" xr9:uid="{00000000-0011-0000-FFFF-FFFF1C000000}">
      <tableStyleElement type="wholeTable" size="0" dxfId="703"/>
      <tableStyleElement type="headerRow" dxfId="702"/>
      <tableStyleElement type="firstRowStripe" dxfId="701"/>
      <tableStyleElement type="secondRowStripe" dxfId="700"/>
    </tableStyle>
    <tableStyle name="Geoscheme Population-style 22" pivot="0" count="4" xr9:uid="{00000000-0011-0000-FFFF-FFFF1D000000}">
      <tableStyleElement type="wholeTable" size="0" dxfId="699"/>
      <tableStyleElement type="headerRow" dxfId="698"/>
      <tableStyleElement type="firstRowStripe" dxfId="697"/>
      <tableStyleElement type="secondRowStripe" dxfId="696"/>
    </tableStyle>
    <tableStyle name="Geoscheme Population-style 23" pivot="0" count="4" xr9:uid="{00000000-0011-0000-FFFF-FFFF1E000000}">
      <tableStyleElement type="wholeTable" size="0" dxfId="695"/>
      <tableStyleElement type="headerRow" dxfId="694"/>
      <tableStyleElement type="firstRowStripe" dxfId="693"/>
      <tableStyleElement type="secondRowStripe" dxfId="692"/>
    </tableStyle>
    <tableStyle name="Geoscheme Population-style 24" pivot="0" count="4" xr9:uid="{00000000-0011-0000-FFFF-FFFF1F000000}">
      <tableStyleElement type="wholeTable" size="0" dxfId="691"/>
      <tableStyleElement type="headerRow" dxfId="690"/>
      <tableStyleElement type="firstRowStripe" dxfId="689"/>
      <tableStyleElement type="secondRowStripe" dxfId="688"/>
    </tableStyle>
    <tableStyle name="Acetoa-style" pivot="0" count="4" xr9:uid="{00000000-0011-0000-FFFF-FFFF20000000}">
      <tableStyleElement type="wholeTable" size="0" dxfId="687"/>
      <tableStyleElement type="headerRow" dxfId="686"/>
      <tableStyleElement type="firstRowStripe" dxfId="685"/>
      <tableStyleElement type="secondRowStripe" dxfId="684"/>
    </tableStyle>
    <tableStyle name="Acrana-style" pivot="0" count="4" xr9:uid="{00000000-0011-0000-FFFF-FFFF21000000}">
      <tableStyleElement type="wholeTable" size="0" dxfId="683"/>
      <tableStyleElement type="headerRow" dxfId="682"/>
      <tableStyleElement type="firstRowStripe" dxfId="681"/>
      <tableStyleElement type="secondRowStripe" dxfId="680"/>
    </tableStyle>
    <tableStyle name="Aetintio-style" pivot="0" count="4" xr9:uid="{00000000-0011-0000-FFFF-FFFF22000000}">
      <tableStyleElement type="wholeTable" size="0" dxfId="679"/>
      <tableStyleElement type="headerRow" dxfId="678"/>
      <tableStyleElement type="firstRowStripe" dxfId="677"/>
      <tableStyleElement type="secondRowStripe" dxfId="676"/>
    </tableStyle>
    <tableStyle name="Ahokini-style" pivot="0" count="4" xr9:uid="{00000000-0011-0000-FFFF-FFFF23000000}">
      <tableStyleElement type="wholeTable" size="0" dxfId="675"/>
      <tableStyleElement type="headerRow" dxfId="674"/>
      <tableStyleElement type="firstRowStripe" dxfId="673"/>
      <tableStyleElement type="secondRowStripe" dxfId="672"/>
    </tableStyle>
    <tableStyle name="Amcha-style" pivot="0" count="4" xr9:uid="{00000000-0011-0000-FFFF-FFFF24000000}">
      <tableStyleElement type="wholeTable" size="0" dxfId="671"/>
      <tableStyleElement type="headerRow" dxfId="670"/>
      <tableStyleElement type="firstRowStripe" dxfId="669"/>
      <tableStyleElement type="secondRowStripe" dxfId="668"/>
    </tableStyle>
    <tableStyle name="Andsaudare-style" pivot="0" count="4" xr9:uid="{00000000-0011-0000-FFFF-FFFF25000000}">
      <tableStyleElement type="wholeTable" size="0" dxfId="667"/>
      <tableStyleElement type="headerRow" dxfId="666"/>
      <tableStyleElement type="firstRowStripe" dxfId="665"/>
      <tableStyleElement type="secondRowStripe" dxfId="664"/>
    </tableStyle>
    <tableStyle name="Anymna-style" pivot="0" count="4" xr9:uid="{00000000-0011-0000-FFFF-FFFF26000000}">
      <tableStyleElement type="wholeTable" size="0" dxfId="663"/>
      <tableStyleElement type="headerRow" dxfId="662"/>
      <tableStyleElement type="firstRowStripe" dxfId="661"/>
      <tableStyleElement type="secondRowStripe" dxfId="660"/>
    </tableStyle>
    <tableStyle name="Aplasia-style" pivot="0" count="4" xr9:uid="{00000000-0011-0000-FFFF-FFFF27000000}">
      <tableStyleElement type="wholeTable" size="0" dxfId="659"/>
      <tableStyleElement type="headerRow" dxfId="658"/>
      <tableStyleElement type="firstRowStripe" dxfId="657"/>
      <tableStyleElement type="secondRowStripe" dxfId="656"/>
    </tableStyle>
    <tableStyle name="Arbiya-style" pivot="0" count="4" xr9:uid="{00000000-0011-0000-FFFF-FFFF28000000}">
      <tableStyleElement type="wholeTable" size="0" dxfId="655"/>
      <tableStyleElement type="headerRow" dxfId="654"/>
      <tableStyleElement type="firstRowStripe" dxfId="653"/>
      <tableStyleElement type="secondRowStripe" dxfId="652"/>
    </tableStyle>
    <tableStyle name="Areoix Lie-style" pivot="0" count="4" xr9:uid="{00000000-0011-0000-FFFF-FFFF29000000}">
      <tableStyleElement type="wholeTable" size="0" dxfId="651"/>
      <tableStyleElement type="headerRow" dxfId="650"/>
      <tableStyleElement type="firstRowStripe" dxfId="649"/>
      <tableStyleElement type="secondRowStripe" dxfId="648"/>
    </tableStyle>
    <tableStyle name="Ashain-style" pivot="0" count="4" xr9:uid="{00000000-0011-0000-FFFF-FFFF2A000000}">
      <tableStyleElement type="wholeTable" size="0" dxfId="647"/>
      <tableStyleElement type="headerRow" dxfId="646"/>
      <tableStyleElement type="firstRowStripe" dxfId="645"/>
      <tableStyleElement type="secondRowStripe" dxfId="644"/>
    </tableStyle>
    <tableStyle name="Astye-style" pivot="0" count="4" xr9:uid="{00000000-0011-0000-FFFF-FFFF2B000000}">
      <tableStyleElement type="wholeTable" size="0" dxfId="643"/>
      <tableStyleElement type="headerRow" dxfId="642"/>
      <tableStyleElement type="firstRowStripe" dxfId="641"/>
      <tableStyleElement type="secondRowStripe" dxfId="640"/>
    </tableStyle>
    <tableStyle name="Baluyde-style" pivot="0" count="4" xr9:uid="{00000000-0011-0000-FFFF-FFFF2C000000}">
      <tableStyleElement type="wholeTable" size="0" dxfId="639"/>
      <tableStyleElement type="headerRow" dxfId="638"/>
      <tableStyleElement type="firstRowStripe" dxfId="637"/>
      <tableStyleElement type="secondRowStripe" dxfId="636"/>
    </tableStyle>
    <tableStyle name="Byllu-style" pivot="0" count="4" xr9:uid="{00000000-0011-0000-FFFF-FFFF2D000000}">
      <tableStyleElement type="wholeTable" size="0" dxfId="635"/>
      <tableStyleElement type="headerRow" dxfId="634"/>
      <tableStyleElement type="firstRowStripe" dxfId="633"/>
      <tableStyleElement type="secondRowStripe" dxfId="632"/>
    </tableStyle>
    <tableStyle name="Candenat-style" pivot="0" count="4" xr9:uid="{00000000-0011-0000-FFFF-FFFF2E000000}">
      <tableStyleElement type="wholeTable" size="0" dxfId="631"/>
      <tableStyleElement type="headerRow" dxfId="630"/>
      <tableStyleElement type="firstRowStripe" dxfId="629"/>
      <tableStyleElement type="secondRowStripe" dxfId="628"/>
    </tableStyle>
    <tableStyle name="Canldives-style" pivot="0" count="4" xr9:uid="{00000000-0011-0000-FFFF-FFFF2F000000}">
      <tableStyleElement type="wholeTable" size="0" dxfId="627"/>
      <tableStyleElement type="headerRow" dxfId="626"/>
      <tableStyleElement type="firstRowStripe" dxfId="625"/>
      <tableStyleElement type="secondRowStripe" dxfId="624"/>
    </tableStyle>
    <tableStyle name="Chaenia-style" pivot="0" count="4" xr9:uid="{00000000-0011-0000-FFFF-FFFF30000000}">
      <tableStyleElement type="wholeTable" size="0" dxfId="623"/>
      <tableStyleElement type="headerRow" dxfId="622"/>
      <tableStyleElement type="firstRowStripe" dxfId="621"/>
      <tableStyleElement type="secondRowStripe" dxfId="620"/>
    </tableStyle>
    <tableStyle name="Cloja-style" pivot="0" count="4" xr9:uid="{00000000-0011-0000-FFFF-FFFF31000000}">
      <tableStyleElement type="wholeTable" size="0" dxfId="619"/>
      <tableStyleElement type="headerRow" dxfId="618"/>
      <tableStyleElement type="firstRowStripe" dxfId="617"/>
      <tableStyleElement type="secondRowStripe" dxfId="616"/>
    </tableStyle>
    <tableStyle name="Crila Republic-style" pivot="0" count="4" xr9:uid="{00000000-0011-0000-FFFF-FFFF32000000}">
      <tableStyleElement type="wholeTable" size="0" dxfId="615"/>
      <tableStyleElement type="headerRow" dxfId="614"/>
      <tableStyleElement type="firstRowStripe" dxfId="613"/>
      <tableStyleElement type="secondRowStripe" dxfId="612"/>
    </tableStyle>
    <tableStyle name="Cruthi Anoso-style" pivot="0" count="4" xr9:uid="{00000000-0011-0000-FFFF-FFFF33000000}">
      <tableStyleElement type="wholeTable" size="0" dxfId="611"/>
      <tableStyleElement type="headerRow" dxfId="610"/>
      <tableStyleElement type="firstRowStripe" dxfId="609"/>
      <tableStyleElement type="secondRowStripe" dxfId="608"/>
    </tableStyle>
    <tableStyle name="Curata-style" pivot="0" count="4" xr9:uid="{00000000-0011-0000-FFFF-FFFF34000000}">
      <tableStyleElement type="wholeTable" size="0" dxfId="607"/>
      <tableStyleElement type="headerRow" dxfId="606"/>
      <tableStyleElement type="firstRowStripe" dxfId="605"/>
      <tableStyleElement type="secondRowStripe" dxfId="604"/>
    </tableStyle>
    <tableStyle name="Dahe-style" pivot="0" count="4" xr9:uid="{00000000-0011-0000-FFFF-FFFF35000000}">
      <tableStyleElement type="wholeTable" size="0" dxfId="603"/>
      <tableStyleElement type="headerRow" dxfId="602"/>
      <tableStyleElement type="firstRowStripe" dxfId="601"/>
      <tableStyleElement type="secondRowStripe" dxfId="600"/>
    </tableStyle>
    <tableStyle name="Danocia-style" pivot="0" count="4" xr9:uid="{00000000-0011-0000-FFFF-FFFF36000000}">
      <tableStyleElement type="wholeTable" size="0" dxfId="599"/>
      <tableStyleElement type="headerRow" dxfId="598"/>
      <tableStyleElement type="firstRowStripe" dxfId="597"/>
      <tableStyleElement type="secondRowStripe" dxfId="596"/>
    </tableStyle>
    <tableStyle name="Darewa-style" pivot="0" count="4" xr9:uid="{00000000-0011-0000-FFFF-FFFF37000000}">
      <tableStyleElement type="wholeTable" size="0" dxfId="595"/>
      <tableStyleElement type="headerRow" dxfId="594"/>
      <tableStyleElement type="firstRowStripe" dxfId="593"/>
      <tableStyleElement type="secondRowStripe" dxfId="592"/>
    </tableStyle>
    <tableStyle name="Desaki-style" pivot="0" count="4" xr9:uid="{00000000-0011-0000-FFFF-FFFF38000000}">
      <tableStyleElement type="wholeTable" size="0" dxfId="591"/>
      <tableStyleElement type="headerRow" dxfId="590"/>
      <tableStyleElement type="firstRowStripe" dxfId="589"/>
      <tableStyleElement type="secondRowStripe" dxfId="588"/>
    </tableStyle>
    <tableStyle name="Deschon-style" pivot="0" count="4" xr9:uid="{00000000-0011-0000-FFFF-FFFF39000000}">
      <tableStyleElement type="wholeTable" size="0" dxfId="587"/>
      <tableStyleElement type="headerRow" dxfId="586"/>
      <tableStyleElement type="firstRowStripe" dxfId="585"/>
      <tableStyleElement type="secondRowStripe" dxfId="584"/>
    </tableStyle>
    <tableStyle name="Disal Nila-style" pivot="0" count="4" xr9:uid="{00000000-0011-0000-FFFF-FFFF3A000000}">
      <tableStyleElement type="wholeTable" size="0" dxfId="583"/>
      <tableStyleElement type="headerRow" dxfId="582"/>
      <tableStyleElement type="firstRowStripe" dxfId="581"/>
      <tableStyleElement type="secondRowStripe" dxfId="580"/>
    </tableStyle>
    <tableStyle name="Dual Cenryia-style" pivot="0" count="4" xr9:uid="{00000000-0011-0000-FFFF-FFFF3B000000}">
      <tableStyleElement type="wholeTable" size="0" dxfId="579"/>
      <tableStyleElement type="headerRow" dxfId="578"/>
      <tableStyleElement type="firstRowStripe" dxfId="577"/>
      <tableStyleElement type="secondRowStripe" dxfId="576"/>
    </tableStyle>
    <tableStyle name="Ealdorii-style" pivot="0" count="4" xr9:uid="{00000000-0011-0000-FFFF-FFFF3C000000}">
      <tableStyleElement type="wholeTable" size="0" dxfId="575"/>
      <tableStyleElement type="headerRow" dxfId="574"/>
      <tableStyleElement type="firstRowStripe" dxfId="573"/>
      <tableStyleElement type="secondRowStripe" dxfId="572"/>
    </tableStyle>
    <tableStyle name="Easuhura-style" pivot="0" count="4" xr9:uid="{00000000-0011-0000-FFFF-FFFF3D000000}">
      <tableStyleElement type="wholeTable" size="0" dxfId="571"/>
      <tableStyleElement type="headerRow" dxfId="570"/>
      <tableStyleElement type="firstRowStripe" dxfId="569"/>
      <tableStyleElement type="secondRowStripe" dxfId="568"/>
    </tableStyle>
    <tableStyle name="Eldavpir-style" pivot="0" count="4" xr9:uid="{00000000-0011-0000-FFFF-FFFF3E000000}">
      <tableStyleElement type="wholeTable" size="0" dxfId="567"/>
      <tableStyleElement type="headerRow" dxfId="566"/>
      <tableStyleElement type="firstRowStripe" dxfId="565"/>
      <tableStyleElement type="secondRowStripe" dxfId="564"/>
    </tableStyle>
    <tableStyle name="Eldjo-style" pivot="0" count="4" xr9:uid="{00000000-0011-0000-FFFF-FFFF3F000000}">
      <tableStyleElement type="wholeTable" size="0" dxfId="563"/>
      <tableStyleElement type="headerRow" dxfId="562"/>
      <tableStyleElement type="firstRowStripe" dxfId="561"/>
      <tableStyleElement type="secondRowStripe" dxfId="560"/>
    </tableStyle>
    <tableStyle name="Elja and Munusia-style" pivot="0" count="4" xr9:uid="{00000000-0011-0000-FFFF-FFFF40000000}">
      <tableStyleElement type="wholeTable" size="0" dxfId="559"/>
      <tableStyleElement type="headerRow" dxfId="558"/>
      <tableStyleElement type="firstRowStripe" dxfId="557"/>
      <tableStyleElement type="secondRowStripe" dxfId="556"/>
    </tableStyle>
    <tableStyle name="Emara-style" pivot="0" count="4" xr9:uid="{00000000-0011-0000-FFFF-FFFF41000000}">
      <tableStyleElement type="wholeTable" size="0" dxfId="555"/>
      <tableStyleElement type="headerRow" dxfId="554"/>
      <tableStyleElement type="firstRowStripe" dxfId="553"/>
      <tableStyleElement type="secondRowStripe" dxfId="552"/>
    </tableStyle>
    <tableStyle name="Enina-style" pivot="0" count="4" xr9:uid="{00000000-0011-0000-FFFF-FFFF42000000}">
      <tableStyleElement type="wholeTable" size="0" dxfId="551"/>
      <tableStyleElement type="headerRow" dxfId="550"/>
      <tableStyleElement type="firstRowStripe" dxfId="549"/>
      <tableStyleElement type="secondRowStripe" dxfId="548"/>
    </tableStyle>
    <tableStyle name="Eparia-style" pivot="0" count="4" xr9:uid="{00000000-0011-0000-FFFF-FFFF43000000}">
      <tableStyleElement type="wholeTable" size="0" dxfId="547"/>
      <tableStyleElement type="headerRow" dxfId="546"/>
      <tableStyleElement type="firstRowStripe" dxfId="545"/>
      <tableStyleElement type="secondRowStripe" dxfId="544"/>
    </tableStyle>
    <tableStyle name="Erkizil-style" pivot="0" count="4" xr9:uid="{00000000-0011-0000-FFFF-FFFF44000000}">
      <tableStyleElement type="wholeTable" size="0" dxfId="543"/>
      <tableStyleElement type="headerRow" dxfId="542"/>
      <tableStyleElement type="firstRowStripe" dxfId="541"/>
      <tableStyleElement type="secondRowStripe" dxfId="540"/>
    </tableStyle>
    <tableStyle name="Estijan-style" pivot="0" count="4" xr9:uid="{00000000-0011-0000-FFFF-FFFF45000000}">
      <tableStyleElement type="wholeTable" size="0" dxfId="539"/>
      <tableStyleElement type="headerRow" dxfId="538"/>
      <tableStyleElement type="firstRowStripe" dxfId="537"/>
      <tableStyleElement type="secondRowStripe" dxfId="536"/>
    </tableStyle>
    <tableStyle name="Etirha-style" pivot="0" count="4" xr9:uid="{00000000-0011-0000-FFFF-FFFF46000000}">
      <tableStyleElement type="wholeTable" size="0" dxfId="535"/>
      <tableStyleElement type="headerRow" dxfId="534"/>
      <tableStyleElement type="firstRowStripe" dxfId="533"/>
      <tableStyleElement type="secondRowStripe" dxfId="532"/>
    </tableStyle>
    <tableStyle name="Etretes-style" pivot="0" count="4" xr9:uid="{00000000-0011-0000-FFFF-FFFF47000000}">
      <tableStyleElement type="wholeTable" size="0" dxfId="531"/>
      <tableStyleElement type="headerRow" dxfId="530"/>
      <tableStyleElement type="firstRowStripe" dxfId="529"/>
      <tableStyleElement type="secondRowStripe" dxfId="528"/>
    </tableStyle>
    <tableStyle name="Exilium-style" pivot="0" count="4" xr9:uid="{00000000-0011-0000-FFFF-FFFF48000000}">
      <tableStyleElement type="wholeTable" size="0" dxfId="527"/>
      <tableStyleElement type="headerRow" dxfId="526"/>
      <tableStyleElement type="firstRowStripe" dxfId="525"/>
      <tableStyleElement type="secondRowStripe" dxfId="524"/>
    </tableStyle>
    <tableStyle name="Far Lands-style" pivot="0" count="4" xr9:uid="{00000000-0011-0000-FFFF-FFFF49000000}">
      <tableStyleElement type="wholeTable" size="0" dxfId="523"/>
      <tableStyleElement type="headerRow" dxfId="522"/>
      <tableStyleElement type="firstRowStripe" dxfId="521"/>
      <tableStyleElement type="secondRowStripe" dxfId="520"/>
    </tableStyle>
    <tableStyle name="Feio Lie-style" pivot="0" count="4" xr9:uid="{00000000-0011-0000-FFFF-FFFF4A000000}">
      <tableStyleElement type="wholeTable" size="0" dxfId="519"/>
      <tableStyleElement type="headerRow" dxfId="518"/>
      <tableStyleElement type="firstRowStripe" dxfId="517"/>
      <tableStyleElement type="secondRowStripe" dxfId="516"/>
    </tableStyle>
    <tableStyle name="Fermori-style" pivot="0" count="4" xr9:uid="{00000000-0011-0000-FFFF-FFFF4B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Finae-style" pivot="0" count="4" xr9:uid="{00000000-0011-0000-FFFF-FFFF4C000000}">
      <tableStyleElement type="wholeTable" size="0" dxfId="511"/>
      <tableStyleElement type="headerRow" dxfId="510"/>
      <tableStyleElement type="firstRowStripe" dxfId="509"/>
      <tableStyleElement type="secondRowStripe" dxfId="508"/>
    </tableStyle>
    <tableStyle name="Fincen-style" pivot="0" count="4" xr9:uid="{00000000-0011-0000-FFFF-FFFF4D000000}">
      <tableStyleElement type="wholeTable" size="0" dxfId="507"/>
      <tableStyleElement type="headerRow" dxfId="506"/>
      <tableStyleElement type="firstRowStripe" dxfId="505"/>
      <tableStyleElement type="secondRowStripe" dxfId="504"/>
    </tableStyle>
    <tableStyle name="Fire Coast-style" pivot="0" count="4" xr9:uid="{00000000-0011-0000-FFFF-FFFF4E000000}">
      <tableStyleElement type="wholeTable" size="0" dxfId="503"/>
      <tableStyleElement type="headerRow" dxfId="502"/>
      <tableStyleElement type="firstRowStripe" dxfId="501"/>
      <tableStyleElement type="secondRowStripe" dxfId="500"/>
    </tableStyle>
    <tableStyle name="Gaeiya-style" pivot="0" count="4" xr9:uid="{00000000-0011-0000-FFFF-FFFF4F000000}">
      <tableStyleElement type="wholeTable" size="0" dxfId="499"/>
      <tableStyleElement type="headerRow" dxfId="498"/>
      <tableStyleElement type="firstRowStripe" dxfId="497"/>
      <tableStyleElement type="secondRowStripe" dxfId="496"/>
    </tableStyle>
    <tableStyle name="Galca-style" pivot="0" count="4" xr9:uid="{00000000-0011-0000-FFFF-FFFF50000000}">
      <tableStyleElement type="wholeTable" size="0" dxfId="495"/>
      <tableStyleElement type="headerRow" dxfId="494"/>
      <tableStyleElement type="firstRowStripe" dxfId="493"/>
      <tableStyleElement type="secondRowStripe" dxfId="492"/>
    </tableStyle>
    <tableStyle name="Genaire-style" pivot="0" count="4" xr9:uid="{00000000-0011-0000-FFFF-FFFF51000000}">
      <tableStyleElement type="wholeTable" size="0" dxfId="491"/>
      <tableStyleElement type="headerRow" dxfId="490"/>
      <tableStyleElement type="firstRowStripe" dxfId="489"/>
      <tableStyleElement type="secondRowStripe" dxfId="488"/>
    </tableStyle>
    <tableStyle name="Grazail-style" pivot="0" count="4" xr9:uid="{00000000-0011-0000-FFFF-FFFF52000000}">
      <tableStyleElement type="wholeTable" size="0" dxfId="487"/>
      <tableStyleElement type="headerRow" dxfId="486"/>
      <tableStyleElement type="firstRowStripe" dxfId="485"/>
      <tableStyleElement type="secondRowStripe" dxfId="484"/>
    </tableStyle>
    <tableStyle name="Guise-style" pivot="0" count="4" xr9:uid="{00000000-0011-0000-FFFF-FFFF53000000}">
      <tableStyleElement type="wholeTable" size="0" dxfId="483"/>
      <tableStyleElement type="headerRow" dxfId="482"/>
      <tableStyleElement type="firstRowStripe" dxfId="481"/>
      <tableStyleElement type="secondRowStripe" dxfId="480"/>
    </tableStyle>
    <tableStyle name="Haiza-style" pivot="0" count="4" xr9:uid="{00000000-0011-0000-FFFF-FFFF54000000}">
      <tableStyleElement type="wholeTable" size="0" dxfId="479"/>
      <tableStyleElement type="headerRow" dxfId="478"/>
      <tableStyleElement type="firstRowStripe" dxfId="477"/>
      <tableStyleElement type="secondRowStripe" dxfId="476"/>
    </tableStyle>
    <tableStyle name="Heiso-style" pivot="0" count="4" xr9:uid="{00000000-0011-0000-FFFF-FFFF55000000}">
      <tableStyleElement type="wholeTable" size="0" dxfId="475"/>
      <tableStyleElement type="headerRow" dxfId="474"/>
      <tableStyleElement type="firstRowStripe" dxfId="473"/>
      <tableStyleElement type="secondRowStripe" dxfId="472"/>
    </tableStyle>
    <tableStyle name="Hiwush-style" pivot="0" count="4" xr9:uid="{00000000-0011-0000-FFFF-FFFF56000000}">
      <tableStyleElement type="wholeTable" size="0" dxfId="471"/>
      <tableStyleElement type="headerRow" dxfId="470"/>
      <tableStyleElement type="firstRowStripe" dxfId="469"/>
      <tableStyleElement type="secondRowStripe" dxfId="468"/>
    </tableStyle>
    <tableStyle name="Hkuqo-style" pivot="0" count="4" xr9:uid="{00000000-0011-0000-FFFF-FFFF57000000}">
      <tableStyleElement type="wholeTable" size="0" dxfId="467"/>
      <tableStyleElement type="headerRow" dxfId="466"/>
      <tableStyleElement type="firstRowStripe" dxfId="465"/>
      <tableStyleElement type="secondRowStripe" dxfId="464"/>
    </tableStyle>
    <tableStyle name="Hyelen-style" pivot="0" count="4" xr9:uid="{00000000-0011-0000-FFFF-FFFF58000000}">
      <tableStyleElement type="wholeTable" size="0" dxfId="463"/>
      <tableStyleElement type="headerRow" dxfId="462"/>
      <tableStyleElement type="firstRowStripe" dxfId="461"/>
      <tableStyleElement type="secondRowStripe" dxfId="460"/>
    </tableStyle>
    <tableStyle name="Iainoa-style" pivot="0" count="4" xr9:uid="{00000000-0011-0000-FFFF-FFFF59000000}">
      <tableStyleElement type="wholeTable" size="0" dxfId="459"/>
      <tableStyleElement type="headerRow" dxfId="458"/>
      <tableStyleElement type="firstRowStripe" dxfId="457"/>
      <tableStyleElement type="secondRowStripe" dxfId="456"/>
    </tableStyle>
    <tableStyle name="Iareva-style" pivot="0" count="4" xr9:uid="{00000000-0011-0000-FFFF-FFFF5A000000}">
      <tableStyleElement type="wholeTable" size="0" dxfId="455"/>
      <tableStyleElement type="headerRow" dxfId="454"/>
      <tableStyleElement type="firstRowStripe" dxfId="453"/>
      <tableStyleElement type="secondRowStripe" dxfId="452"/>
    </tableStyle>
    <tableStyle name="Ihner-style" pivot="0" count="4" xr9:uid="{00000000-0011-0000-FFFF-FFFF5B000000}">
      <tableStyleElement type="wholeTable" size="0" dxfId="451"/>
      <tableStyleElement type="headerRow" dxfId="450"/>
      <tableStyleElement type="firstRowStripe" dxfId="449"/>
      <tableStyleElement type="secondRowStripe" dxfId="448"/>
    </tableStyle>
    <tableStyle name="Ikzen-style" pivot="0" count="4" xr9:uid="{00000000-0011-0000-FFFF-FFFF5C000000}">
      <tableStyleElement type="wholeTable" size="0" dxfId="447"/>
      <tableStyleElement type="headerRow" dxfId="446"/>
      <tableStyleElement type="firstRowStripe" dxfId="445"/>
      <tableStyleElement type="secondRowStripe" dxfId="444"/>
    </tableStyle>
    <tableStyle name="Ilicuhe-style" pivot="0" count="4" xr9:uid="{00000000-0011-0000-FFFF-FFFF5D000000}">
      <tableStyleElement type="wholeTable" size="0" dxfId="443"/>
      <tableStyleElement type="headerRow" dxfId="442"/>
      <tableStyleElement type="firstRowStripe" dxfId="441"/>
      <tableStyleElement type="secondRowStripe" dxfId="440"/>
    </tableStyle>
    <tableStyle name="Inania-style" pivot="0" count="4" xr9:uid="{00000000-0011-0000-FFFF-FFFF5E000000}">
      <tableStyleElement type="wholeTable" size="0" dxfId="439"/>
      <tableStyleElement type="headerRow" dxfId="438"/>
      <tableStyleElement type="firstRowStripe" dxfId="437"/>
      <tableStyleElement type="secondRowStripe" dxfId="436"/>
    </tableStyle>
    <tableStyle name="Inrea-style" pivot="0" count="4" xr9:uid="{00000000-0011-0000-FFFF-FFFF5F000000}">
      <tableStyleElement type="wholeTable" size="0" dxfId="435"/>
      <tableStyleElement type="headerRow" dxfId="434"/>
      <tableStyleElement type="firstRowStripe" dxfId="433"/>
      <tableStyleElement type="secondRowStripe" dxfId="432"/>
    </tableStyle>
    <tableStyle name="Iquir-style" pivot="0" count="4" xr9:uid="{00000000-0011-0000-FFFF-FFFF60000000}">
      <tableStyleElement type="wholeTable" size="0" dxfId="431"/>
      <tableStyleElement type="headerRow" dxfId="430"/>
      <tableStyleElement type="firstRowStripe" dxfId="429"/>
      <tableStyleElement type="secondRowStripe" dxfId="428"/>
    </tableStyle>
    <tableStyle name="Isari-style" pivot="0" count="4" xr9:uid="{00000000-0011-0000-FFFF-FFFF61000000}">
      <tableStyleElement type="wholeTable" size="0" dxfId="427"/>
      <tableStyleElement type="headerRow" dxfId="426"/>
      <tableStyleElement type="firstRowStripe" dxfId="425"/>
      <tableStyleElement type="secondRowStripe" dxfId="424"/>
    </tableStyle>
    <tableStyle name="Isnti-style" pivot="0" count="4" xr9:uid="{00000000-0011-0000-FFFF-FFFF62000000}">
      <tableStyleElement type="wholeTable" size="0" dxfId="423"/>
      <tableStyleElement type="headerRow" dxfId="422"/>
      <tableStyleElement type="firstRowStripe" dxfId="421"/>
      <tableStyleElement type="secondRowStripe" dxfId="420"/>
    </tableStyle>
    <tableStyle name="Isuibul-style" pivot="0" count="4" xr9:uid="{00000000-0011-0000-FFFF-FFFF63000000}">
      <tableStyleElement type="wholeTable" size="0" dxfId="419"/>
      <tableStyleElement type="headerRow" dxfId="418"/>
      <tableStyleElement type="firstRowStripe" dxfId="417"/>
      <tableStyleElement type="secondRowStripe" dxfId="416"/>
    </tableStyle>
    <tableStyle name="Jathua-style" pivot="0" count="4" xr9:uid="{00000000-0011-0000-FFFF-FFFF64000000}">
      <tableStyleElement type="wholeTable" size="0" dxfId="415"/>
      <tableStyleElement type="headerRow" dxfId="414"/>
      <tableStyleElement type="firstRowStripe" dxfId="413"/>
      <tableStyleElement type="secondRowStripe" dxfId="412"/>
    </tableStyle>
    <tableStyle name="Jau-style" pivot="0" count="4" xr9:uid="{00000000-0011-0000-FFFF-FFFF65000000}">
      <tableStyleElement type="wholeTable" size="0" dxfId="411"/>
      <tableStyleElement type="headerRow" dxfId="410"/>
      <tableStyleElement type="firstRowStripe" dxfId="409"/>
      <tableStyleElement type="secondRowStripe" dxfId="408"/>
    </tableStyle>
    <tableStyle name="Jshain-style" pivot="0" count="4" xr9:uid="{00000000-0011-0000-FFFF-FFFF66000000}">
      <tableStyleElement type="wholeTable" size="0" dxfId="407"/>
      <tableStyleElement type="headerRow" dxfId="406"/>
      <tableStyleElement type="firstRowStripe" dxfId="405"/>
      <tableStyleElement type="secondRowStripe" dxfId="404"/>
    </tableStyle>
    <tableStyle name="Kaastini-style" pivot="0" count="4" xr9:uid="{00000000-0011-0000-FFFF-FFFF67000000}">
      <tableStyleElement type="wholeTable" size="0" dxfId="403"/>
      <tableStyleElement type="headerRow" dxfId="402"/>
      <tableStyleElement type="firstRowStripe" dxfId="401"/>
      <tableStyleElement type="secondRowStripe" dxfId="400"/>
    </tableStyle>
    <tableStyle name="Koruch-style" pivot="0" count="4" xr9:uid="{00000000-0011-0000-FFFF-FFFF68000000}">
      <tableStyleElement type="wholeTable" size="0" dxfId="399"/>
      <tableStyleElement type="headerRow" dxfId="398"/>
      <tableStyleElement type="firstRowStripe" dxfId="397"/>
      <tableStyleElement type="secondRowStripe" dxfId="396"/>
    </tableStyle>
    <tableStyle name="Kusierna-style" pivot="0" count="4" xr9:uid="{00000000-0011-0000-FFFF-FFFF69000000}">
      <tableStyleElement type="wholeTable" size="0" dxfId="395"/>
      <tableStyleElement type="headerRow" dxfId="394"/>
      <tableStyleElement type="firstRowStripe" dxfId="393"/>
      <tableStyleElement type="secondRowStripe" dxfId="392"/>
    </tableStyle>
    <tableStyle name="Laselteh-style" pivot="0" count="4" xr9:uid="{00000000-0011-0000-FFFF-FFFF6A000000}">
      <tableStyleElement type="wholeTable" size="0" dxfId="391"/>
      <tableStyleElement type="headerRow" dxfId="390"/>
      <tableStyleElement type="firstRowStripe" dxfId="389"/>
      <tableStyleElement type="secondRowStripe" dxfId="388"/>
    </tableStyle>
    <tableStyle name="Lasri-style" pivot="0" count="4" xr9:uid="{00000000-0011-0000-FFFF-FFFF6B000000}">
      <tableStyleElement type="wholeTable" size="0" dxfId="387"/>
      <tableStyleElement type="headerRow" dxfId="386"/>
      <tableStyleElement type="firstRowStripe" dxfId="385"/>
      <tableStyleElement type="secondRowStripe" dxfId="384"/>
    </tableStyle>
    <tableStyle name="Letan-style" pivot="0" count="4" xr9:uid="{00000000-0011-0000-FFFF-FFFF6C000000}">
      <tableStyleElement type="wholeTable" size="0" dxfId="383"/>
      <tableStyleElement type="headerRow" dxfId="382"/>
      <tableStyleElement type="firstRowStripe" dxfId="381"/>
      <tableStyleElement type="secondRowStripe" dxfId="380"/>
    </tableStyle>
    <tableStyle name="Lieri-style" pivot="0" count="4" xr9:uid="{00000000-0011-0000-FFFF-FFFF6D000000}">
      <tableStyleElement type="wholeTable" size="0" dxfId="379"/>
      <tableStyleElement type="headerRow" dxfId="378"/>
      <tableStyleElement type="firstRowStripe" dxfId="377"/>
      <tableStyleElement type="secondRowStripe" dxfId="376"/>
    </tableStyle>
    <tableStyle name="Lycroa-style" pivot="0" count="4" xr9:uid="{00000000-0011-0000-FFFF-FFFF6E000000}">
      <tableStyleElement type="wholeTable" size="0" dxfId="375"/>
      <tableStyleElement type="headerRow" dxfId="374"/>
      <tableStyleElement type="firstRowStripe" dxfId="373"/>
      <tableStyleElement type="secondRowStripe" dxfId="372"/>
    </tableStyle>
    <tableStyle name="Lydroa-style" pivot="0" count="4" xr9:uid="{00000000-0011-0000-FFFF-FFFF6F000000}">
      <tableStyleElement type="wholeTable" size="0" dxfId="371"/>
      <tableStyleElement type="headerRow" dxfId="370"/>
      <tableStyleElement type="firstRowStripe" dxfId="369"/>
      <tableStyleElement type="secondRowStripe" dxfId="368"/>
    </tableStyle>
    <tableStyle name="Maalle-style" pivot="0" count="4" xr9:uid="{00000000-0011-0000-FFFF-FFFF70000000}">
      <tableStyleElement type="wholeTable" size="0" dxfId="367"/>
      <tableStyleElement type="headerRow" dxfId="366"/>
      <tableStyleElement type="firstRowStripe" dxfId="365"/>
      <tableStyleElement type="secondRowStripe" dxfId="364"/>
    </tableStyle>
    <tableStyle name="Mendereide-style" pivot="0" count="4" xr9:uid="{00000000-0011-0000-FFFF-FFFF71000000}">
      <tableStyleElement type="wholeTable" size="0" dxfId="363"/>
      <tableStyleElement type="headerRow" dxfId="362"/>
      <tableStyleElement type="firstRowStripe" dxfId="361"/>
      <tableStyleElement type="secondRowStripe" dxfId="360"/>
    </tableStyle>
    <tableStyle name="Merela Sta-style" pivot="0" count="4" xr9:uid="{00000000-0011-0000-FFFF-FFFF72000000}">
      <tableStyleElement type="wholeTable" size="0" dxfId="359"/>
      <tableStyleElement type="headerRow" dxfId="358"/>
      <tableStyleElement type="firstRowStripe" dxfId="357"/>
      <tableStyleElement type="secondRowStripe" dxfId="356"/>
    </tableStyle>
    <tableStyle name="Mesjan Hyaa-style" pivot="0" count="4" xr9:uid="{00000000-0011-0000-FFFF-FFFF73000000}">
      <tableStyleElement type="wholeTable" size="0" dxfId="355"/>
      <tableStyleElement type="headerRow" dxfId="354"/>
      <tableStyleElement type="firstRowStripe" dxfId="353"/>
      <tableStyleElement type="secondRowStripe" dxfId="352"/>
    </tableStyle>
    <tableStyle name="Metndria-style" pivot="0" count="4" xr9:uid="{00000000-0011-0000-FFFF-FFFF74000000}">
      <tableStyleElement type="wholeTable" size="0" dxfId="351"/>
      <tableStyleElement type="headerRow" dxfId="350"/>
      <tableStyleElement type="firstRowStripe" dxfId="349"/>
      <tableStyleElement type="secondRowStripe" dxfId="348"/>
    </tableStyle>
    <tableStyle name="Migoku-style" pivot="0" count="4" xr9:uid="{00000000-0011-0000-FFFF-FFFF75000000}">
      <tableStyleElement type="wholeTable" size="0" dxfId="347"/>
      <tableStyleElement type="headerRow" dxfId="346"/>
      <tableStyleElement type="firstRowStripe" dxfId="345"/>
      <tableStyleElement type="secondRowStripe" dxfId="344"/>
    </tableStyle>
    <tableStyle name="Myla-style" pivot="0" count="4" xr9:uid="{00000000-0011-0000-FFFF-FFFF76000000}">
      <tableStyleElement type="wholeTable" size="0" dxfId="343"/>
      <tableStyleElement type="headerRow" dxfId="342"/>
      <tableStyleElement type="firstRowStripe" dxfId="341"/>
      <tableStyleElement type="secondRowStripe" dxfId="340"/>
    </tableStyle>
    <tableStyle name="New Kizura-style" pivot="0" count="4" xr9:uid="{00000000-0011-0000-FFFF-FFFF77000000}">
      <tableStyleElement type="wholeTable" size="0" dxfId="339"/>
      <tableStyleElement type="headerRow" dxfId="338"/>
      <tableStyleElement type="firstRowStripe" dxfId="337"/>
      <tableStyleElement type="secondRowStripe" dxfId="336"/>
    </tableStyle>
    <tableStyle name="New Misos-style" pivot="0" count="4" xr9:uid="{00000000-0011-0000-FFFF-FFFF78000000}">
      <tableStyleElement type="wholeTable" size="0" dxfId="335"/>
      <tableStyleElement type="headerRow" dxfId="334"/>
      <tableStyleElement type="firstRowStripe" dxfId="333"/>
      <tableStyleElement type="secondRowStripe" dxfId="332"/>
    </tableStyle>
    <tableStyle name="Nheyes Si-style" pivot="0" count="4" xr9:uid="{00000000-0011-0000-FFFF-FFFF79000000}">
      <tableStyleElement type="wholeTable" size="0" dxfId="331"/>
      <tableStyleElement type="headerRow" dxfId="330"/>
      <tableStyleElement type="firstRowStripe" dxfId="329"/>
      <tableStyleElement type="secondRowStripe" dxfId="328"/>
    </tableStyle>
    <tableStyle name="Nia-style" pivot="0" count="4" xr9:uid="{00000000-0011-0000-FFFF-FFFF7A000000}">
      <tableStyleElement type="wholeTable" size="0" dxfId="327"/>
      <tableStyleElement type="headerRow" dxfId="326"/>
      <tableStyleElement type="firstRowStripe" dxfId="325"/>
      <tableStyleElement type="secondRowStripe" dxfId="324"/>
    </tableStyle>
    <tableStyle name="Niretui and Anulan-style" pivot="0" count="4" xr9:uid="{00000000-0011-0000-FFFF-FFFF7B000000}">
      <tableStyleElement type="wholeTable" size="0" dxfId="323"/>
      <tableStyleElement type="headerRow" dxfId="322"/>
      <tableStyleElement type="firstRowStripe" dxfId="321"/>
      <tableStyleElement type="secondRowStripe" dxfId="320"/>
    </tableStyle>
    <tableStyle name="Niul Spijan-style" pivot="0" count="4" xr9:uid="{00000000-0011-0000-FFFF-FFFF7C000000}">
      <tableStyleElement type="wholeTable" size="0" dxfId="319"/>
      <tableStyleElement type="headerRow" dxfId="318"/>
      <tableStyleElement type="firstRowStripe" dxfId="317"/>
      <tableStyleElement type="secondRowStripe" dxfId="316"/>
    </tableStyle>
    <tableStyle name="North Ayre-style" pivot="0" count="4" xr9:uid="{00000000-0011-0000-FFFF-FFFF7D000000}">
      <tableStyleElement type="wholeTable" size="0" dxfId="315"/>
      <tableStyleElement type="headerRow" dxfId="314"/>
      <tableStyleElement type="firstRowStripe" dxfId="313"/>
      <tableStyleElement type="secondRowStripe" dxfId="312"/>
    </tableStyle>
    <tableStyle name="Ocaun-style" pivot="0" count="4" xr9:uid="{00000000-0011-0000-FFFF-FFFF7E000000}">
      <tableStyleElement type="wholeTable" size="0" dxfId="311"/>
      <tableStyleElement type="headerRow" dxfId="310"/>
      <tableStyleElement type="firstRowStripe" dxfId="309"/>
      <tableStyleElement type="secondRowStripe" dxfId="308"/>
    </tableStyle>
    <tableStyle name="Ohtina-style" pivot="0" count="4" xr9:uid="{00000000-0011-0000-FFFF-FFFF7F000000}">
      <tableStyleElement type="wholeTable" size="0" dxfId="307"/>
      <tableStyleElement type="headerRow" dxfId="306"/>
      <tableStyleElement type="firstRowStripe" dxfId="305"/>
      <tableStyleElement type="secondRowStripe" dxfId="304"/>
    </tableStyle>
    <tableStyle name="Onphello-style" pivot="0" count="4" xr9:uid="{00000000-0011-0000-FFFF-FFFF80000000}">
      <tableStyleElement type="wholeTable" size="0" dxfId="303"/>
      <tableStyleElement type="headerRow" dxfId="302"/>
      <tableStyleElement type="firstRowStripe" dxfId="301"/>
      <tableStyleElement type="secondRowStripe" dxfId="300"/>
    </tableStyle>
    <tableStyle name="Oscairia-style" pivot="0" count="4" xr9:uid="{00000000-0011-0000-FFFF-FFFF81000000}">
      <tableStyleElement type="wholeTable" size="0" dxfId="299"/>
      <tableStyleElement type="headerRow" dxfId="298"/>
      <tableStyleElement type="firstRowStripe" dxfId="297"/>
      <tableStyleElement type="secondRowStripe" dxfId="296"/>
    </tableStyle>
    <tableStyle name="Othya-style" pivot="0" count="4" xr9:uid="{00000000-0011-0000-FFFF-FFFF82000000}">
      <tableStyleElement type="wholeTable" size="0" dxfId="295"/>
      <tableStyleElement type="headerRow" dxfId="294"/>
      <tableStyleElement type="firstRowStripe" dxfId="293"/>
      <tableStyleElement type="secondRowStripe" dxfId="292"/>
    </tableStyle>
    <tableStyle name="Otiiric-style" pivot="0" count="4" xr9:uid="{00000000-0011-0000-FFFF-FFFF83000000}">
      <tableStyleElement type="wholeTable" size="0" dxfId="291"/>
      <tableStyleElement type="headerRow" dxfId="290"/>
      <tableStyleElement type="firstRowStripe" dxfId="289"/>
      <tableStyleElement type="secondRowStripe" dxfId="288"/>
    </tableStyle>
    <tableStyle name="Oyreain-style" pivot="0" count="4" xr9:uid="{00000000-0011-0000-FFFF-FFFF84000000}">
      <tableStyleElement type="wholeTable" size="0" dxfId="287"/>
      <tableStyleElement type="headerRow" dxfId="286"/>
      <tableStyleElement type="firstRowStripe" dxfId="285"/>
      <tableStyleElement type="secondRowStripe" dxfId="284"/>
    </tableStyle>
    <tableStyle name="Ozinia-style" pivot="0" count="4" xr9:uid="{00000000-0011-0000-FFFF-FFFF85000000}">
      <tableStyleElement type="wholeTable" size="0" dxfId="283"/>
      <tableStyleElement type="headerRow" dxfId="282"/>
      <tableStyleElement type="firstRowStripe" dxfId="281"/>
      <tableStyleElement type="secondRowStripe" dxfId="280"/>
    </tableStyle>
    <tableStyle name="Palina-style" pivot="0" count="4" xr9:uid="{00000000-0011-0000-FFFF-FFFF86000000}">
      <tableStyleElement type="wholeTable" size="0" dxfId="279"/>
      <tableStyleElement type="headerRow" dxfId="278"/>
      <tableStyleElement type="firstRowStripe" dxfId="277"/>
      <tableStyleElement type="secondRowStripe" dxfId="276"/>
    </tableStyle>
    <tableStyle name="Peka-style" pivot="0" count="4" xr9:uid="{00000000-0011-0000-FFFF-FFFF87000000}">
      <tableStyleElement type="wholeTable" size="0" dxfId="275"/>
      <tableStyleElement type="headerRow" dxfId="274"/>
      <tableStyleElement type="firstRowStripe" dxfId="273"/>
      <tableStyleElement type="secondRowStripe" dxfId="272"/>
    </tableStyle>
    <tableStyle name="Pelan-style" pivot="0" count="4" xr9:uid="{00000000-0011-0000-FFFF-FFFF88000000}">
      <tableStyleElement type="wholeTable" size="0" dxfId="271"/>
      <tableStyleElement type="headerRow" dxfId="270"/>
      <tableStyleElement type="firstRowStripe" dxfId="269"/>
      <tableStyleElement type="secondRowStripe" dxfId="268"/>
    </tableStyle>
    <tableStyle name="Pelines-style" pivot="0" count="4" xr9:uid="{00000000-0011-0000-FFFF-FFFF89000000}">
      <tableStyleElement type="wholeTable" size="0" dxfId="267"/>
      <tableStyleElement type="headerRow" dxfId="266"/>
      <tableStyleElement type="firstRowStripe" dxfId="265"/>
      <tableStyleElement type="secondRowStripe" dxfId="264"/>
    </tableStyle>
    <tableStyle name="Pelugrotoa-style" pivot="0" count="4" xr9:uid="{00000000-0011-0000-FFFF-FFFF8A000000}">
      <tableStyleElement type="wholeTable" size="0" dxfId="263"/>
      <tableStyleElement type="headerRow" dxfId="262"/>
      <tableStyleElement type="firstRowStripe" dxfId="261"/>
      <tableStyleElement type="secondRowStripe" dxfId="260"/>
    </tableStyle>
    <tableStyle name="Pha Hii-style" pivot="0" count="4" xr9:uid="{00000000-0011-0000-FFFF-FFFF8B000000}">
      <tableStyleElement type="wholeTable" size="0" dxfId="259"/>
      <tableStyleElement type="headerRow" dxfId="258"/>
      <tableStyleElement type="firstRowStripe" dxfId="257"/>
      <tableStyleElement type="secondRowStripe" dxfId="256"/>
    </tableStyle>
    <tableStyle name="Phuris-style" pivot="0" count="4" xr9:uid="{00000000-0011-0000-FFFF-FFFF8C000000}">
      <tableStyleElement type="wholeTable" size="0" dxfId="255"/>
      <tableStyleElement type="headerRow" dxfId="254"/>
      <tableStyleElement type="firstRowStripe" dxfId="253"/>
      <tableStyleElement type="secondRowStripe" dxfId="252"/>
    </tableStyle>
    <tableStyle name="Praesyu-style" pivot="0" count="4" xr9:uid="{00000000-0011-0000-FFFF-FFFF8D000000}">
      <tableStyleElement type="wholeTable" size="0" dxfId="251"/>
      <tableStyleElement type="headerRow" dxfId="250"/>
      <tableStyleElement type="firstRowStripe" dxfId="249"/>
      <tableStyleElement type="secondRowStripe" dxfId="248"/>
    </tableStyle>
    <tableStyle name="Prstreula-style" pivot="0" count="4" xr9:uid="{00000000-0011-0000-FFFF-FFFF8E000000}">
      <tableStyleElement type="wholeTable" size="0" dxfId="247"/>
      <tableStyleElement type="headerRow" dxfId="246"/>
      <tableStyleElement type="firstRowStripe" dxfId="245"/>
      <tableStyleElement type="secondRowStripe" dxfId="244"/>
    </tableStyle>
    <tableStyle name="Pruim Fijan-style" pivot="0" count="4" xr9:uid="{00000000-0011-0000-FFFF-FFFF8F000000}">
      <tableStyleElement type="wholeTable" size="0" dxfId="243"/>
      <tableStyleElement type="headerRow" dxfId="242"/>
      <tableStyleElement type="firstRowStripe" dxfId="241"/>
      <tableStyleElement type="secondRowStripe" dxfId="240"/>
    </tableStyle>
    <tableStyle name="Prystr Hii-style" pivot="0" count="4" xr9:uid="{00000000-0011-0000-FFFF-FFFF90000000}">
      <tableStyleElement type="wholeTable" size="0" dxfId="239"/>
      <tableStyleElement type="headerRow" dxfId="238"/>
      <tableStyleElement type="firstRowStripe" dxfId="237"/>
      <tableStyleElement type="secondRowStripe" dxfId="236"/>
    </tableStyle>
    <tableStyle name="Quidic-style" pivot="0" count="4" xr9:uid="{00000000-0011-0000-FFFF-FFFF91000000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ledria-style" pivot="0" count="4" xr9:uid="{00000000-0011-0000-FFFF-FFFF92000000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eerica-style" pivot="0" count="4" xr9:uid="{00000000-0011-0000-FFFF-FFFF93000000}">
      <tableStyleElement type="wholeTable" size="0" dxfId="227"/>
      <tableStyleElement type="headerRow" dxfId="226"/>
      <tableStyleElement type="firstRowStripe" dxfId="225"/>
      <tableStyleElement type="secondRowStripe" dxfId="224"/>
    </tableStyle>
    <tableStyle name="Rethern-style" pivot="0" count="4" xr9:uid="{00000000-0011-0000-FFFF-FFFF94000000}">
      <tableStyleElement type="wholeTable" size="0" dxfId="223"/>
      <tableStyleElement type="headerRow" dxfId="222"/>
      <tableStyleElement type="firstRowStripe" dxfId="221"/>
      <tableStyleElement type="secondRowStripe" dxfId="220"/>
    </tableStyle>
    <tableStyle name="Rijan bu-style" pivot="0" count="4" xr9:uid="{00000000-0011-0000-FFFF-FFFF95000000}">
      <tableStyleElement type="wholeTable" size="0" dxfId="219"/>
      <tableStyleElement type="headerRow" dxfId="218"/>
      <tableStyleElement type="firstRowStripe" dxfId="217"/>
      <tableStyleElement type="secondRowStripe" dxfId="216"/>
    </tableStyle>
    <tableStyle name="Rinew-style" pivot="0" count="4" xr9:uid="{00000000-0011-0000-FFFF-FFFF96000000}">
      <tableStyleElement type="wholeTable" size="0" dxfId="215"/>
      <tableStyleElement type="headerRow" dxfId="214"/>
      <tableStyleElement type="firstRowStripe" dxfId="213"/>
      <tableStyleElement type="secondRowStripe" dxfId="212"/>
    </tableStyle>
    <tableStyle name="Rkmepuia-style" pivot="0" count="4" xr9:uid="{00000000-0011-0000-FFFF-FFFF97000000}">
      <tableStyleElement type="wholeTable" size="0" dxfId="211"/>
      <tableStyleElement type="headerRow" dxfId="210"/>
      <tableStyleElement type="firstRowStripe" dxfId="209"/>
      <tableStyleElement type="secondRowStripe" dxfId="208"/>
    </tableStyle>
    <tableStyle name="Rtesania-style" pivot="0" count="4" xr9:uid="{00000000-0011-0000-FFFF-FFFF98000000}">
      <tableStyleElement type="wholeTable" size="0" dxfId="207"/>
      <tableStyleElement type="headerRow" dxfId="206"/>
      <tableStyleElement type="firstRowStripe" dxfId="205"/>
      <tableStyleElement type="secondRowStripe" dxfId="204"/>
    </tableStyle>
    <tableStyle name="Ruylku-style" pivot="0" count="4" xr9:uid="{00000000-0011-0000-FFFF-FFFF99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Saa-style" pivot="0" count="4" xr9:uid="{00000000-0011-0000-FFFF-FFFF9A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Sadain-style" pivot="0" count="4" xr9:uid="{00000000-0011-0000-FFFF-FFFF9B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Sanagara-style" pivot="0" count="4" xr9:uid="{00000000-0011-0000-FFFF-FFFF9C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Sattle-style" pivot="0" count="4" xr9:uid="{00000000-0011-0000-FFFF-FFFF9D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Selaja-style" pivot="0" count="4" xr9:uid="{00000000-0011-0000-FFFF-FFFF9E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Seytinemas-style" pivot="0" count="4" xr9:uid="{00000000-0011-0000-FFFF-FFFF9F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Shinam-style" pivot="0" count="4" xr9:uid="{00000000-0011-0000-FFFF-FFFFA0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Shomjind-style" pivot="0" count="4" xr9:uid="{00000000-0011-0000-FFFF-FFFFA1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Siana-style" pivot="0" count="4" xr9:uid="{00000000-0011-0000-FFFF-FFFFA2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Sivoso-style" pivot="0" count="4" xr9:uid="{00000000-0011-0000-FFFF-FFFFA3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Slyiaduun-style" pivot="0" count="4" xr9:uid="{00000000-0011-0000-FFFF-FFFFA4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Stinebar-style" pivot="0" count="4" xr9:uid="{00000000-0011-0000-FFFF-FFFFA5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Suenan-style" pivot="0" count="4" xr9:uid="{00000000-0011-0000-FFFF-FFFFA6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Sunsokua-style" pivot="0" count="4" xr9:uid="{00000000-0011-0000-FFFF-FFFFA7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Taing-style" pivot="0" count="4" xr9:uid="{00000000-0011-0000-FFFF-FFFFA8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Taniduna-style" pivot="0" count="4" xr9:uid="{00000000-0011-0000-FFFF-FFFFA9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Taoisia-style" pivot="0" count="4" xr9:uid="{00000000-0011-0000-FFFF-FFFFAA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Taval-style" pivot="0" count="4" xr9:uid="{00000000-0011-0000-FFFF-FFFFAB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Terressin-style" pivot="0" count="4" xr9:uid="{00000000-0011-0000-FFFF-FFFFAC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Tomscilus-style" pivot="0" count="4" xr9:uid="{00000000-0011-0000-FFFF-FFFFAD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Tonder-style" pivot="0" count="4" xr9:uid="{00000000-0011-0000-FFFF-FFFFAE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Trevilla-style" pivot="0" count="4" xr9:uid="{00000000-0011-0000-FFFF-FFFFAF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Trian-style" pivot="0" count="4" xr9:uid="{00000000-0011-0000-FFFF-FFFFB0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Tvecoca-style" pivot="0" count="4" xr9:uid="{00000000-0011-0000-FFFF-FFFFB1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Ucrua-style" pivot="0" count="4" xr9:uid="{00000000-0011-0000-FFFF-FFFFB2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Ukhdari-style" pivot="0" count="4" xr9:uid="{00000000-0011-0000-FFFF-FFFFB3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Umarcia-style" pivot="0" count="4" xr9:uid="{00000000-0011-0000-FFFF-FFFFB4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Umendel-style" pivot="0" count="4" xr9:uid="{00000000-0011-0000-FFFF-FFFFB5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United Delet-style" pivot="0" count="4" xr9:uid="{00000000-0011-0000-FFFF-FFFFB6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United Mihili-style" pivot="0" count="4" xr9:uid="{00000000-0011-0000-FFFF-FFFFB7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Urbiqu-style" pivot="0" count="4" xr9:uid="{00000000-0011-0000-FFFF-FFFFB8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Uularin-style" pivot="0" count="4" xr9:uid="{00000000-0011-0000-FFFF-FFFFB9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Vayvele-style" pivot="0" count="4" xr9:uid="{00000000-0011-0000-FFFF-FFFFBA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Veelmit-style" pivot="0" count="4" xr9:uid="{00000000-0011-0000-FFFF-FFFFBB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Verste-style" pivot="0" count="4" xr9:uid="{00000000-0011-0000-FFFF-FFFFBC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Verusa-style" pivot="0" count="4" xr9:uid="{00000000-0011-0000-FFFF-FFFFBD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Vesozata-style" pivot="0" count="4" xr9:uid="{00000000-0011-0000-FFFF-FFFFBE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Viussi-style" pivot="0" count="4" xr9:uid="{00000000-0011-0000-FFFF-FFFFBF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Volver-style" pivot="0" count="4" xr9:uid="{00000000-0011-0000-FFFF-FFFFC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Walporein-style" pivot="0" count="4" xr9:uid="{00000000-0011-0000-FFFF-FFFFC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Welenu Fana-style" pivot="0" count="4" xr9:uid="{00000000-0011-0000-FFFF-FFFFC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Western Migoku-style" pivot="0" count="4" xr9:uid="{00000000-0011-0000-FFFF-FFFFC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Wundry-style" pivot="0" count="4" xr9:uid="{00000000-0011-0000-FFFF-FFFFC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Yaxuto-style" pivot="0" count="4" xr9:uid="{00000000-0011-0000-FFFF-FFFFC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Yihnurda-style" pivot="0" count="4" xr9:uid="{00000000-0011-0000-FFFF-FFFFC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Yoprioq-style" pivot="0" count="4" xr9:uid="{00000000-0011-0000-FFFF-FFFFC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Yutnitu-style" pivot="0" count="4" xr9:uid="{00000000-0011-0000-FFFF-FFFFC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Zenashan-style" pivot="0" count="4" xr9:uid="{00000000-0011-0000-FFFF-FFFFC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Zhanshe-style" pivot="0" count="4" xr9:uid="{00000000-0011-0000-FFFF-FFFFC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Ztesh-style" pivot="0" count="4" xr9:uid="{00000000-0011-0000-FFFF-FFFFC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_Population" displayName="Global_Population" ref="A1:D67">
  <tableColumns count="4">
    <tableColumn id="1" xr3:uid="{00000000-0010-0000-0000-000001000000}" name="E"/>
    <tableColumn id="2" xr3:uid="{00000000-0010-0000-0000-000002000000}" name="A"/>
    <tableColumn id="3" xr3:uid="{00000000-0010-0000-0000-000003000000}" name="Global Population"/>
    <tableColumn id="4" xr3:uid="{00000000-0010-0000-0000-000004000000}" name="Global Population Growth "/>
  </tableColumns>
  <tableStyleInfo name="GlobalContinent Pop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rola" displayName="Acrola" ref="K1:O67">
  <tableColumns count="5">
    <tableColumn id="1" xr3:uid="{00000000-0010-0000-0100-000001000000}" name="E"/>
    <tableColumn id="2" xr3:uid="{00000000-0010-0000-0100-000002000000}" name="A"/>
    <tableColumn id="3" xr3:uid="{00000000-0010-0000-0100-000003000000}" name="Acrolan Population"/>
    <tableColumn id="4" xr3:uid="{00000000-0010-0000-0100-000004000000}" name="Acrolan Population Growth "/>
    <tableColumn id="5" xr3:uid="{00000000-0010-0000-0100-000005000000}" name="% of World"/>
  </tableColumns>
  <tableStyleInfo name="GlobalContinent Popul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irha" displayName="Atirha" ref="V1:Z67">
  <tableColumns count="5">
    <tableColumn id="1" xr3:uid="{00000000-0010-0000-0200-000001000000}" name="E"/>
    <tableColumn id="2" xr3:uid="{00000000-0010-0000-0200-000002000000}" name="A"/>
    <tableColumn id="3" xr3:uid="{00000000-0010-0000-0200-000003000000}" name="Atirhan Population "/>
    <tableColumn id="4" xr3:uid="{00000000-0010-0000-0200-000004000000}" name="Atirhan Population Growth "/>
    <tableColumn id="5" xr3:uid="{00000000-0010-0000-0200-000005000000}" name="% of World"/>
  </tableColumns>
  <tableStyleInfo name="GlobalContinent Popul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yuma" displayName="Ayuma" ref="AG1:AK67">
  <tableColumns count="5">
    <tableColumn id="1" xr3:uid="{00000000-0010-0000-0300-000001000000}" name="E"/>
    <tableColumn id="2" xr3:uid="{00000000-0010-0000-0300-000002000000}" name="A"/>
    <tableColumn id="3" xr3:uid="{00000000-0010-0000-0300-000003000000}" name="Ayuman Population"/>
    <tableColumn id="4" xr3:uid="{00000000-0010-0000-0300-000004000000}" name="Ayuma Population Growth "/>
    <tableColumn id="5" xr3:uid="{00000000-0010-0000-0300-000005000000}" name="% of World"/>
  </tableColumns>
  <tableStyleInfo name="GlobalContinent Popul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hea" displayName="Mahea" ref="AR1:AV67">
  <tableColumns count="5">
    <tableColumn id="1" xr3:uid="{00000000-0010-0000-0400-000001000000}" name="E"/>
    <tableColumn id="2" xr3:uid="{00000000-0010-0000-0400-000002000000}" name="A"/>
    <tableColumn id="3" xr3:uid="{00000000-0010-0000-0400-000003000000}" name="Mahean Population"/>
    <tableColumn id="4" xr3:uid="{00000000-0010-0000-0400-000004000000}" name="Mahean Population Growth "/>
    <tableColumn id="5" xr3:uid="{00000000-0010-0000-0400-000005000000}" name="% of World"/>
  </tableColumns>
  <tableStyleInfo name="GlobalContinent Popul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sir" displayName="Massir" ref="BC1:BG67">
  <tableColumns count="5">
    <tableColumn id="1" xr3:uid="{00000000-0010-0000-0500-000001000000}" name="E"/>
    <tableColumn id="2" xr3:uid="{00000000-0010-0000-0500-000002000000}" name="A"/>
    <tableColumn id="3" xr3:uid="{00000000-0010-0000-0500-000003000000}" name="Massiran Population"/>
    <tableColumn id="4" xr3:uid="{00000000-0010-0000-0500-000004000000}" name="Massiran Population Growth "/>
    <tableColumn id="5" xr3:uid="{00000000-0010-0000-0500-000005000000}" name="% of World"/>
  </tableColumns>
  <tableStyleInfo name="GlobalContinent Popul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ew_Ayre" displayName="New_Ayre" ref="BN1:BR67">
  <tableColumns count="5">
    <tableColumn id="1" xr3:uid="{00000000-0010-0000-0600-000001000000}" name="E"/>
    <tableColumn id="2" xr3:uid="{00000000-0010-0000-0600-000002000000}" name="A"/>
    <tableColumn id="3" xr3:uid="{00000000-0010-0000-0600-000003000000}" name="New Ayren Population"/>
    <tableColumn id="4" xr3:uid="{00000000-0010-0000-0600-000004000000}" name="New Ayren Population Growth "/>
    <tableColumn id="5" xr3:uid="{00000000-0010-0000-0600-000005000000}" name="% of World"/>
  </tableColumns>
  <tableStyleInfo name="GlobalContinent Popul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ia" displayName="Quia" ref="BY1:CC67">
  <tableColumns count="5">
    <tableColumn id="1" xr3:uid="{00000000-0010-0000-0700-000001000000}" name="E"/>
    <tableColumn id="2" xr3:uid="{00000000-0010-0000-0700-000002000000}" name="A"/>
    <tableColumn id="3" xr3:uid="{00000000-0010-0000-0700-000003000000}" name="Quian Population"/>
    <tableColumn id="4" xr3:uid="{00000000-0010-0000-0700-000004000000}" name="Quian Population Growth "/>
    <tableColumn id="5" xr3:uid="{00000000-0010-0000-0700-000005000000}" name="% of World"/>
  </tableColumns>
  <tableStyleInfo name="GlobalContinent Popul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lobal_Pop" displayName="Global_Pop" ref="A1:D67">
  <tableColumns count="4">
    <tableColumn id="1" xr3:uid="{00000000-0010-0000-0800-000001000000}" name="E"/>
    <tableColumn id="2" xr3:uid="{00000000-0010-0000-0800-000002000000}" name="A"/>
    <tableColumn id="3" xr3:uid="{00000000-0010-0000-0800-000003000000}" name="Middle Acrolan Population"/>
    <tableColumn id="4" xr3:uid="{00000000-0010-0000-0800-000004000000}" name="Middle Acrola Population Growth "/>
  </tableColumns>
  <tableStyleInfo name="Geoscheme Populatio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iddle_Acrola" displayName="Middle_Acrola" ref="K1:O67">
  <tableColumns count="5">
    <tableColumn id="1" xr3:uid="{00000000-0010-0000-0900-000001000000}" name="E"/>
    <tableColumn id="2" xr3:uid="{00000000-0010-0000-0900-000002000000}" name="A"/>
    <tableColumn id="3" xr3:uid="{00000000-0010-0000-0900-000003000000}" name="Middle Acrolan Population"/>
    <tableColumn id="4" xr3:uid="{00000000-0010-0000-0900-000004000000}" name="Middle Acrolan Population Growth "/>
    <tableColumn id="5" xr3:uid="{00000000-0010-0000-0900-000005000000}" name="% of World"/>
  </tableColumns>
  <tableStyleInfo name="Geoscheme Population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rth_Acrola" displayName="North_Acrola" ref="V1:Z67">
  <tableColumns count="5">
    <tableColumn id="1" xr3:uid="{00000000-0010-0000-0A00-000001000000}" name="E"/>
    <tableColumn id="2" xr3:uid="{00000000-0010-0000-0A00-000002000000}" name="A"/>
    <tableColumn id="3" xr3:uid="{00000000-0010-0000-0A00-000003000000}" name="North Acrolan Population"/>
    <tableColumn id="4" xr3:uid="{00000000-0010-0000-0A00-000004000000}" name="North Acrolan Population Growth "/>
    <tableColumn id="5" xr3:uid="{00000000-0010-0000-0A00-000005000000}" name="% of World"/>
  </tableColumns>
  <tableStyleInfo name="Geoscheme Population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th_Acrola" displayName="South_Acrola" ref="AG1:AK67">
  <tableColumns count="5">
    <tableColumn id="1" xr3:uid="{00000000-0010-0000-0B00-000001000000}" name="E"/>
    <tableColumn id="2" xr3:uid="{00000000-0010-0000-0B00-000002000000}" name="A"/>
    <tableColumn id="3" xr3:uid="{00000000-0010-0000-0B00-000003000000}" name="South Acrolan Population"/>
    <tableColumn id="4" xr3:uid="{00000000-0010-0000-0B00-000004000000}" name="South Acrolan Population Growth "/>
    <tableColumn id="5" xr3:uid="{00000000-0010-0000-0B00-000005000000}" name="% of World"/>
  </tableColumns>
  <tableStyleInfo name="Geoscheme Population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entral_Atirha" displayName="Central_Atirha" ref="AR1:AV67">
  <tableColumns count="5">
    <tableColumn id="1" xr3:uid="{00000000-0010-0000-0C00-000001000000}" name="E"/>
    <tableColumn id="2" xr3:uid="{00000000-0010-0000-0C00-000002000000}" name="A"/>
    <tableColumn id="3" xr3:uid="{00000000-0010-0000-0C00-000003000000}" name="Central Atirhan Population"/>
    <tableColumn id="4" xr3:uid="{00000000-0010-0000-0C00-000004000000}" name="Central Atirhan Population Growth "/>
    <tableColumn id="5" xr3:uid="{00000000-0010-0000-0C00-000005000000}" name="% of World"/>
  </tableColumns>
  <tableStyleInfo name="Geoscheme Population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ast_Atirha" displayName="East_Atirha" ref="BC1:BG67">
  <tableColumns count="5">
    <tableColumn id="1" xr3:uid="{00000000-0010-0000-0D00-000001000000}" name="E"/>
    <tableColumn id="2" xr3:uid="{00000000-0010-0000-0D00-000002000000}" name="A"/>
    <tableColumn id="3" xr3:uid="{00000000-0010-0000-0D00-000003000000}" name="East Atirhan Population"/>
    <tableColumn id="4" xr3:uid="{00000000-0010-0000-0D00-000004000000}" name="East Atirhan Population Growth "/>
    <tableColumn id="5" xr3:uid="{00000000-0010-0000-0D00-000005000000}" name="% of World"/>
  </tableColumns>
  <tableStyleInfo name="Geoscheme Population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est_Atirha" displayName="West_Atirha" ref="BN1:BR67">
  <tableColumns count="5">
    <tableColumn id="1" xr3:uid="{00000000-0010-0000-0E00-000001000000}" name="E"/>
    <tableColumn id="2" xr3:uid="{00000000-0010-0000-0E00-000002000000}" name="A"/>
    <tableColumn id="3" xr3:uid="{00000000-0010-0000-0E00-000003000000}" name="West Atirhan Population"/>
    <tableColumn id="4" xr3:uid="{00000000-0010-0000-0E00-000004000000}" name="West Atirhan Population Growth "/>
    <tableColumn id="5" xr3:uid="{00000000-0010-0000-0E00-000005000000}" name="% of World"/>
  </tableColumns>
  <tableStyleInfo name="Geoscheme Population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entral_Ayuma" displayName="Central_Ayuma" ref="BY1:CC67">
  <tableColumns count="5">
    <tableColumn id="1" xr3:uid="{00000000-0010-0000-0F00-000001000000}" name="E"/>
    <tableColumn id="2" xr3:uid="{00000000-0010-0000-0F00-000002000000}" name="A"/>
    <tableColumn id="3" xr3:uid="{00000000-0010-0000-0F00-000003000000}" name="Central Ayuman Population"/>
    <tableColumn id="4" xr3:uid="{00000000-0010-0000-0F00-000004000000}" name="Central Ayuman "/>
    <tableColumn id="5" xr3:uid="{00000000-0010-0000-0F00-000005000000}" name="% of World"/>
  </tableColumns>
  <tableStyleInfo name="Geoscheme Population-style 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rth_Ayuma" displayName="North_Ayuma" ref="CJ1:CN67">
  <tableColumns count="5">
    <tableColumn id="1" xr3:uid="{00000000-0010-0000-1000-000001000000}" name="E"/>
    <tableColumn id="2" xr3:uid="{00000000-0010-0000-1000-000002000000}" name="A"/>
    <tableColumn id="3" xr3:uid="{00000000-0010-0000-1000-000003000000}" name="North Ayuman Population"/>
    <tableColumn id="4" xr3:uid="{00000000-0010-0000-1000-000004000000}" name="North Ayuman  Population Growth "/>
    <tableColumn id="5" xr3:uid="{00000000-0010-0000-1000-000005000000}" name="% of World"/>
  </tableColumns>
  <tableStyleInfo name="Geoscheme Population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outh_Ayuma" displayName="South_Ayuma" ref="CU1:CY67">
  <tableColumns count="5">
    <tableColumn id="1" xr3:uid="{00000000-0010-0000-1100-000001000000}" name="E"/>
    <tableColumn id="2" xr3:uid="{00000000-0010-0000-1100-000002000000}" name="A"/>
    <tableColumn id="3" xr3:uid="{00000000-0010-0000-1100-000003000000}" name="South Ayuman Population"/>
    <tableColumn id="4" xr3:uid="{00000000-0010-0000-1100-000004000000}" name="South Ayuman Population Growth "/>
    <tableColumn id="5" xr3:uid="{00000000-0010-0000-1100-000005000000}" name="% of World"/>
  </tableColumns>
  <tableStyleInfo name="Geoscheme Population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West_Ayuma" displayName="West_Ayuma" ref="DF1:DJ67">
  <tableColumns count="5">
    <tableColumn id="1" xr3:uid="{00000000-0010-0000-1200-000001000000}" name="E"/>
    <tableColumn id="2" xr3:uid="{00000000-0010-0000-1200-000002000000}" name="A"/>
    <tableColumn id="3" xr3:uid="{00000000-0010-0000-1200-000003000000}" name="West Ayuman Population"/>
    <tableColumn id="4" xr3:uid="{00000000-0010-0000-1200-000004000000}" name="West Ayuman Population Growth "/>
    <tableColumn id="5" xr3:uid="{00000000-0010-0000-1200-000005000000}" name="% of World"/>
  </tableColumns>
  <tableStyleInfo name="Geoscheme Population-style 11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ast_Mahea" displayName="East_Mahea" ref="DQ1:DU67">
  <tableColumns count="5">
    <tableColumn id="1" xr3:uid="{00000000-0010-0000-1300-000001000000}" name="E"/>
    <tableColumn id="2" xr3:uid="{00000000-0010-0000-1300-000002000000}" name="A"/>
    <tableColumn id="3" xr3:uid="{00000000-0010-0000-1300-000003000000}" name="East Mahean Population"/>
    <tableColumn id="4" xr3:uid="{00000000-0010-0000-1300-000004000000}" name="East Mahean Population Growth "/>
    <tableColumn id="5" xr3:uid="{00000000-0010-0000-1300-000005000000}" name="% of World"/>
  </tableColumns>
  <tableStyleInfo name="Geoscheme Population-style 1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North_Mahea" displayName="North_Mahea" ref="EB1:EF67">
  <tableColumns count="5">
    <tableColumn id="1" xr3:uid="{00000000-0010-0000-1400-000001000000}" name="E"/>
    <tableColumn id="2" xr3:uid="{00000000-0010-0000-1400-000002000000}" name="A"/>
    <tableColumn id="3" xr3:uid="{00000000-0010-0000-1400-000003000000}" name="North Mahean Population"/>
    <tableColumn id="4" xr3:uid="{00000000-0010-0000-1400-000004000000}" name="North Mahean Population Growth "/>
    <tableColumn id="5" xr3:uid="{00000000-0010-0000-1400-000005000000}" name="% of World"/>
  </tableColumns>
  <tableStyleInfo name="Geoscheme Population-style 1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th_Mahea" displayName="South_Mahea" ref="EM1:EQ67">
  <tableColumns count="5">
    <tableColumn id="1" xr3:uid="{00000000-0010-0000-1500-000001000000}" name="E"/>
    <tableColumn id="2" xr3:uid="{00000000-0010-0000-1500-000002000000}" name="A"/>
    <tableColumn id="3" xr3:uid="{00000000-0010-0000-1500-000003000000}" name="South Mahean Population"/>
    <tableColumn id="4" xr3:uid="{00000000-0010-0000-1500-000004000000}" name="South Mahean Population Growth "/>
    <tableColumn id="5" xr3:uid="{00000000-0010-0000-1500-000005000000}" name="% of World"/>
  </tableColumns>
  <tableStyleInfo name="Geoscheme Population-style 1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West_Mahea" displayName="West_Mahea" ref="EX1:FB67">
  <tableColumns count="5">
    <tableColumn id="1" xr3:uid="{00000000-0010-0000-1600-000001000000}" name="E"/>
    <tableColumn id="2" xr3:uid="{00000000-0010-0000-1600-000002000000}" name="A"/>
    <tableColumn id="3" xr3:uid="{00000000-0010-0000-1600-000003000000}" name="West Mahean Population"/>
    <tableColumn id="4" xr3:uid="{00000000-0010-0000-1600-000004000000}" name="West Mahean Population Growth "/>
    <tableColumn id="5" xr3:uid="{00000000-0010-0000-1600-000005000000}" name="% of World"/>
  </tableColumns>
  <tableStyleInfo name="Geoscheme Population-style 1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orth_Massir" displayName="North_Massir" ref="FI1:FM67">
  <tableColumns count="5">
    <tableColumn id="1" xr3:uid="{00000000-0010-0000-1700-000001000000}" name="E"/>
    <tableColumn id="2" xr3:uid="{00000000-0010-0000-1700-000002000000}" name="A"/>
    <tableColumn id="3" xr3:uid="{00000000-0010-0000-1700-000003000000}" name="North Massiran Population"/>
    <tableColumn id="4" xr3:uid="{00000000-0010-0000-1700-000004000000}" name="North Massiran Population Growth "/>
    <tableColumn id="5" xr3:uid="{00000000-0010-0000-1700-000005000000}" name="% of World"/>
  </tableColumns>
  <tableStyleInfo name="Geoscheme Population-style 1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outh_Massir" displayName="South_Massir" ref="FT1:FX67">
  <tableColumns count="5">
    <tableColumn id="1" xr3:uid="{00000000-0010-0000-1800-000001000000}" name="E"/>
    <tableColumn id="2" xr3:uid="{00000000-0010-0000-1800-000002000000}" name="A"/>
    <tableColumn id="3" xr3:uid="{00000000-0010-0000-1800-000003000000}" name="South Massiran Population"/>
    <tableColumn id="4" xr3:uid="{00000000-0010-0000-1800-000004000000}" name="South Massiran Population Growth "/>
    <tableColumn id="5" xr3:uid="{00000000-0010-0000-1800-000005000000}" name="% of World"/>
  </tableColumns>
  <tableStyleInfo name="Geoscheme Population-style 1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West_Massir" displayName="West_Massir" ref="GE1:GI67">
  <tableColumns count="5">
    <tableColumn id="1" xr3:uid="{00000000-0010-0000-1900-000001000000}" name="E"/>
    <tableColumn id="2" xr3:uid="{00000000-0010-0000-1900-000002000000}" name="A"/>
    <tableColumn id="3" xr3:uid="{00000000-0010-0000-1900-000003000000}" name="West Massiran Population"/>
    <tableColumn id="4" xr3:uid="{00000000-0010-0000-1900-000004000000}" name="West Massiran  Growth "/>
    <tableColumn id="5" xr3:uid="{00000000-0010-0000-1900-000005000000}" name="% of World"/>
  </tableColumns>
  <tableStyleInfo name="Geoscheme Population-style 1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North_New_Ayre" displayName="North_New_Ayre" ref="GP1:GT67">
  <tableColumns count="5">
    <tableColumn id="1" xr3:uid="{00000000-0010-0000-1A00-000001000000}" name="E"/>
    <tableColumn id="2" xr3:uid="{00000000-0010-0000-1A00-000002000000}" name="A"/>
    <tableColumn id="3" xr3:uid="{00000000-0010-0000-1A00-000003000000}" name="North New Ayren Population"/>
    <tableColumn id="4" xr3:uid="{00000000-0010-0000-1A00-000004000000}" name="North New Ayren Population Growth "/>
    <tableColumn id="5" xr3:uid="{00000000-0010-0000-1A00-000005000000}" name="% of World"/>
  </tableColumns>
  <tableStyleInfo name="Geoscheme Population-style 19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outh_New_Ayre" displayName="South_New_Ayre" ref="HA1:HE67">
  <tableColumns count="5">
    <tableColumn id="1" xr3:uid="{00000000-0010-0000-1B00-000001000000}" name="E"/>
    <tableColumn id="2" xr3:uid="{00000000-0010-0000-1B00-000002000000}" name="A"/>
    <tableColumn id="3" xr3:uid="{00000000-0010-0000-1B00-000003000000}" name="South New Ayren Population"/>
    <tableColumn id="4" xr3:uid="{00000000-0010-0000-1B00-000004000000}" name="South New Ayren Population Growth "/>
    <tableColumn id="5" xr3:uid="{00000000-0010-0000-1B00-000005000000}" name="% of World"/>
  </tableColumns>
  <tableStyleInfo name="Geoscheme Population-style 20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ast_Quia" displayName="East_Quia" ref="HL1:HP67">
  <tableColumns count="5">
    <tableColumn id="1" xr3:uid="{00000000-0010-0000-1C00-000001000000}" name="E"/>
    <tableColumn id="2" xr3:uid="{00000000-0010-0000-1C00-000002000000}" name="A"/>
    <tableColumn id="3" xr3:uid="{00000000-0010-0000-1C00-000003000000}" name="East Quian Population"/>
    <tableColumn id="4" xr3:uid="{00000000-0010-0000-1C00-000004000000}" name="East Quian Population Growth "/>
    <tableColumn id="5" xr3:uid="{00000000-0010-0000-1C00-000005000000}" name="% of World"/>
  </tableColumns>
  <tableStyleInfo name="Geoscheme Population-style 21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North_Quia" displayName="North_Quia" ref="HW1:IA67">
  <tableColumns count="5">
    <tableColumn id="1" xr3:uid="{00000000-0010-0000-1D00-000001000000}" name="E"/>
    <tableColumn id="2" xr3:uid="{00000000-0010-0000-1D00-000002000000}" name="A"/>
    <tableColumn id="3" xr3:uid="{00000000-0010-0000-1D00-000003000000}" name="North Quian Population"/>
    <tableColumn id="4" xr3:uid="{00000000-0010-0000-1D00-000004000000}" name="North Quian Population Growth "/>
    <tableColumn id="5" xr3:uid="{00000000-0010-0000-1D00-000005000000}" name="% of World"/>
  </tableColumns>
  <tableStyleInfo name="Geoscheme Population-style 2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South_Quia" displayName="South_Quia" ref="IH1:IL67">
  <tableColumns count="5">
    <tableColumn id="1" xr3:uid="{00000000-0010-0000-1E00-000001000000}" name="E"/>
    <tableColumn id="2" xr3:uid="{00000000-0010-0000-1E00-000002000000}" name="A"/>
    <tableColumn id="3" xr3:uid="{00000000-0010-0000-1E00-000003000000}" name="South Quian Population"/>
    <tableColumn id="4" xr3:uid="{00000000-0010-0000-1E00-000004000000}" name="South Quian Population Growth "/>
    <tableColumn id="5" xr3:uid="{00000000-0010-0000-1E00-000005000000}" name="% of World"/>
  </tableColumns>
  <tableStyleInfo name="Geoscheme Population-style 2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West_Quia" displayName="West_Quia" ref="IS1:IW67">
  <tableColumns count="5">
    <tableColumn id="1" xr3:uid="{00000000-0010-0000-1F00-000001000000}" name="E"/>
    <tableColumn id="2" xr3:uid="{00000000-0010-0000-1F00-000002000000}" name="A"/>
    <tableColumn id="3" xr3:uid="{00000000-0010-0000-1F00-000003000000}" name="West Quian Population"/>
    <tableColumn id="4" xr3:uid="{00000000-0010-0000-1F00-000004000000}" name="West Quian Population Growth "/>
    <tableColumn id="5" xr3:uid="{00000000-0010-0000-1F00-000005000000}" name="% of World"/>
  </tableColumns>
  <tableStyleInfo name="Geoscheme Population-style 2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Acetoa" displayName="Acetoa" ref="A1:F67">
  <tableColumns count="6">
    <tableColumn id="1" xr3:uid="{00000000-0010-0000-2000-000001000000}" name="Earth Year"/>
    <tableColumn id="2" xr3:uid="{00000000-0010-0000-2000-000002000000}" name="Year"/>
    <tableColumn id="3" xr3:uid="{00000000-0010-0000-2000-000003000000}" name="Population"/>
    <tableColumn id="4" xr3:uid="{00000000-0010-0000-2000-000004000000}" name="Pop growth"/>
    <tableColumn id="5" xr3:uid="{00000000-0010-0000-2000-000005000000}" name="Number Pop growth"/>
    <tableColumn id="6" xr3:uid="{00000000-0010-0000-2000-000006000000}" name="Percent of Global Population"/>
  </tableColumns>
  <tableStyleInfo name="Acetoa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Acrana" displayName="Acrana" ref="A1:F67">
  <tableColumns count="6">
    <tableColumn id="1" xr3:uid="{00000000-0010-0000-2100-000001000000}" name="Earth Year"/>
    <tableColumn id="2" xr3:uid="{00000000-0010-0000-2100-000002000000}" name="Year"/>
    <tableColumn id="3" xr3:uid="{00000000-0010-0000-2100-000003000000}" name="Population"/>
    <tableColumn id="4" xr3:uid="{00000000-0010-0000-2100-000004000000}" name="Pop growth"/>
    <tableColumn id="5" xr3:uid="{00000000-0010-0000-2100-000005000000}" name="Number Pop growth"/>
    <tableColumn id="6" xr3:uid="{00000000-0010-0000-2100-000006000000}" name="Percent of Global Population"/>
  </tableColumns>
  <tableStyleInfo name="Acrana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Aetintio" displayName="Aetintio" ref="A1:F67">
  <tableColumns count="6">
    <tableColumn id="1" xr3:uid="{00000000-0010-0000-2200-000001000000}" name="Earth Year"/>
    <tableColumn id="2" xr3:uid="{00000000-0010-0000-2200-000002000000}" name="Year"/>
    <tableColumn id="3" xr3:uid="{00000000-0010-0000-2200-000003000000}" name="Population"/>
    <tableColumn id="4" xr3:uid="{00000000-0010-0000-2200-000004000000}" name="Pop growth"/>
    <tableColumn id="5" xr3:uid="{00000000-0010-0000-2200-000005000000}" name="Number Pop growth"/>
    <tableColumn id="6" xr3:uid="{00000000-0010-0000-2200-000006000000}" name="Percent of Global Population"/>
  </tableColumns>
  <tableStyleInfo name="Aetintio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Ahokini" displayName="Ahokini" ref="A1:F67">
  <tableColumns count="6">
    <tableColumn id="1" xr3:uid="{00000000-0010-0000-2300-000001000000}" name="Earth Year"/>
    <tableColumn id="2" xr3:uid="{00000000-0010-0000-2300-000002000000}" name="Year"/>
    <tableColumn id="3" xr3:uid="{00000000-0010-0000-2300-000003000000}" name="Population"/>
    <tableColumn id="4" xr3:uid="{00000000-0010-0000-2300-000004000000}" name="Pop growth"/>
    <tableColumn id="5" xr3:uid="{00000000-0010-0000-2300-000005000000}" name="Number Pop growth"/>
    <tableColumn id="6" xr3:uid="{00000000-0010-0000-2300-000006000000}" name="Percent of Global Population"/>
  </tableColumns>
  <tableStyleInfo name="Ahokini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Amcha" displayName="Amcha" ref="A1:F67">
  <tableColumns count="6">
    <tableColumn id="1" xr3:uid="{00000000-0010-0000-2400-000001000000}" name="Earth Year"/>
    <tableColumn id="2" xr3:uid="{00000000-0010-0000-2400-000002000000}" name="Year"/>
    <tableColumn id="3" xr3:uid="{00000000-0010-0000-2400-000003000000}" name="Population"/>
    <tableColumn id="4" xr3:uid="{00000000-0010-0000-2400-000004000000}" name="Pop growth"/>
    <tableColumn id="5" xr3:uid="{00000000-0010-0000-2400-000005000000}" name="Number Pop growth"/>
    <tableColumn id="6" xr3:uid="{00000000-0010-0000-2400-000006000000}" name="Percent of Global Population"/>
  </tableColumns>
  <tableStyleInfo name="Amcha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ndsaudare" displayName="Andsaudare" ref="A1:F67">
  <tableColumns count="6">
    <tableColumn id="1" xr3:uid="{00000000-0010-0000-2500-000001000000}" name="Earth Year"/>
    <tableColumn id="2" xr3:uid="{00000000-0010-0000-2500-000002000000}" name="Year"/>
    <tableColumn id="3" xr3:uid="{00000000-0010-0000-2500-000003000000}" name="Population"/>
    <tableColumn id="4" xr3:uid="{00000000-0010-0000-2500-000004000000}" name="Pop growth"/>
    <tableColumn id="5" xr3:uid="{00000000-0010-0000-2500-000005000000}" name="Number Pop growth"/>
    <tableColumn id="6" xr3:uid="{00000000-0010-0000-2500-000006000000}" name="Percent of Global Population"/>
  </tableColumns>
  <tableStyleInfo name="Andsaudare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ymna" displayName="Anymna" ref="A1:F67">
  <tableColumns count="6">
    <tableColumn id="1" xr3:uid="{00000000-0010-0000-2600-000001000000}" name="Earth Year"/>
    <tableColumn id="2" xr3:uid="{00000000-0010-0000-2600-000002000000}" name="Year"/>
    <tableColumn id="3" xr3:uid="{00000000-0010-0000-2600-000003000000}" name="Population"/>
    <tableColumn id="4" xr3:uid="{00000000-0010-0000-2600-000004000000}" name="Pop growth"/>
    <tableColumn id="5" xr3:uid="{00000000-0010-0000-2600-000005000000}" name="Number Pop growth"/>
    <tableColumn id="6" xr3:uid="{00000000-0010-0000-2600-000006000000}" name="Percent of Global Population"/>
  </tableColumns>
  <tableStyleInfo name="Anymna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plasia" displayName="Aplasia" ref="A1:F67">
  <tableColumns count="6">
    <tableColumn id="1" xr3:uid="{00000000-0010-0000-2700-000001000000}" name="Earth Year"/>
    <tableColumn id="2" xr3:uid="{00000000-0010-0000-2700-000002000000}" name="Year"/>
    <tableColumn id="3" xr3:uid="{00000000-0010-0000-2700-000003000000}" name="Population"/>
    <tableColumn id="4" xr3:uid="{00000000-0010-0000-2700-000004000000}" name="Pop growth"/>
    <tableColumn id="5" xr3:uid="{00000000-0010-0000-2700-000005000000}" name="Number Pop growth"/>
    <tableColumn id="6" xr3:uid="{00000000-0010-0000-2700-000006000000}" name="Percent of Global Population"/>
  </tableColumns>
  <tableStyleInfo name="Aplasia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Arbiya" displayName="Arbiya" ref="A1:F67">
  <tableColumns count="6">
    <tableColumn id="1" xr3:uid="{00000000-0010-0000-2800-000001000000}" name="Earth Year"/>
    <tableColumn id="2" xr3:uid="{00000000-0010-0000-2800-000002000000}" name="Year"/>
    <tableColumn id="3" xr3:uid="{00000000-0010-0000-2800-000003000000}" name="Population"/>
    <tableColumn id="4" xr3:uid="{00000000-0010-0000-2800-000004000000}" name="Pop growth"/>
    <tableColumn id="5" xr3:uid="{00000000-0010-0000-2800-000005000000}" name="Number Pop growth"/>
    <tableColumn id="6" xr3:uid="{00000000-0010-0000-2800-000006000000}" name="Percent of Global Population"/>
  </tableColumns>
  <tableStyleInfo name="Arbiya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Areoix_Lie" displayName="Areoix_Lie" ref="A1:F67">
  <tableColumns count="6">
    <tableColumn id="1" xr3:uid="{00000000-0010-0000-2900-000001000000}" name="Earth Year"/>
    <tableColumn id="2" xr3:uid="{00000000-0010-0000-2900-000002000000}" name="Year"/>
    <tableColumn id="3" xr3:uid="{00000000-0010-0000-2900-000003000000}" name="Population"/>
    <tableColumn id="4" xr3:uid="{00000000-0010-0000-2900-000004000000}" name="Pop growth"/>
    <tableColumn id="5" xr3:uid="{00000000-0010-0000-2900-000005000000}" name="Number Pop growth"/>
    <tableColumn id="6" xr3:uid="{00000000-0010-0000-2900-000006000000}" name="Percent of Global Population"/>
  </tableColumns>
  <tableStyleInfo name="Areoix Lie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shain" displayName="Ashain" ref="A1:F67">
  <tableColumns count="6">
    <tableColumn id="1" xr3:uid="{00000000-0010-0000-2A00-000001000000}" name="Earth Year"/>
    <tableColumn id="2" xr3:uid="{00000000-0010-0000-2A00-000002000000}" name="Year"/>
    <tableColumn id="3" xr3:uid="{00000000-0010-0000-2A00-000003000000}" name="Population"/>
    <tableColumn id="4" xr3:uid="{00000000-0010-0000-2A00-000004000000}" name="Pop growth"/>
    <tableColumn id="5" xr3:uid="{00000000-0010-0000-2A00-000005000000}" name="Number Pop growth"/>
    <tableColumn id="6" xr3:uid="{00000000-0010-0000-2A00-000006000000}" name="Percent of Global Population"/>
  </tableColumns>
  <tableStyleInfo name="Ashain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Astye" displayName="Astye" ref="A1:F67">
  <tableColumns count="6">
    <tableColumn id="1" xr3:uid="{00000000-0010-0000-2B00-000001000000}" name="Earth Year"/>
    <tableColumn id="2" xr3:uid="{00000000-0010-0000-2B00-000002000000}" name="Year"/>
    <tableColumn id="3" xr3:uid="{00000000-0010-0000-2B00-000003000000}" name="Population"/>
    <tableColumn id="4" xr3:uid="{00000000-0010-0000-2B00-000004000000}" name="Pop growth"/>
    <tableColumn id="5" xr3:uid="{00000000-0010-0000-2B00-000005000000}" name="Number Pop growth"/>
    <tableColumn id="6" xr3:uid="{00000000-0010-0000-2B00-000006000000}" name="Percent of Global Population"/>
  </tableColumns>
  <tableStyleInfo name="Astye-style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Baluyde" displayName="Baluyde" ref="A1:F67">
  <tableColumns count="6">
    <tableColumn id="1" xr3:uid="{00000000-0010-0000-2C00-000001000000}" name="Baluyde"/>
    <tableColumn id="2" xr3:uid="{00000000-0010-0000-2C00-000002000000}" name="Year"/>
    <tableColumn id="3" xr3:uid="{00000000-0010-0000-2C00-000003000000}" name="Population"/>
    <tableColumn id="4" xr3:uid="{00000000-0010-0000-2C00-000004000000}" name="Pop growth"/>
    <tableColumn id="5" xr3:uid="{00000000-0010-0000-2C00-000005000000}" name="Number Pop growth"/>
    <tableColumn id="6" xr3:uid="{00000000-0010-0000-2C00-000006000000}" name="Percent of Global Population"/>
  </tableColumns>
  <tableStyleInfo name="Baluyde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yllu" displayName="Byllu" ref="A1:F67">
  <tableColumns count="6">
    <tableColumn id="1" xr3:uid="{00000000-0010-0000-2D00-000001000000}" name="Earth Year"/>
    <tableColumn id="2" xr3:uid="{00000000-0010-0000-2D00-000002000000}" name="Year"/>
    <tableColumn id="3" xr3:uid="{00000000-0010-0000-2D00-000003000000}" name="Population"/>
    <tableColumn id="4" xr3:uid="{00000000-0010-0000-2D00-000004000000}" name="Pop growth"/>
    <tableColumn id="5" xr3:uid="{00000000-0010-0000-2D00-000005000000}" name="Number Pop growth"/>
    <tableColumn id="6" xr3:uid="{00000000-0010-0000-2D00-000006000000}" name="Percent of Global Population"/>
  </tableColumns>
  <tableStyleInfo name="Byllu-style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ndenat" displayName="Candenat" ref="A1:F67">
  <tableColumns count="6">
    <tableColumn id="1" xr3:uid="{00000000-0010-0000-2E00-000001000000}" name="Earth Year"/>
    <tableColumn id="2" xr3:uid="{00000000-0010-0000-2E00-000002000000}" name="Year"/>
    <tableColumn id="3" xr3:uid="{00000000-0010-0000-2E00-000003000000}" name="Population"/>
    <tableColumn id="4" xr3:uid="{00000000-0010-0000-2E00-000004000000}" name="Pop growth"/>
    <tableColumn id="5" xr3:uid="{00000000-0010-0000-2E00-000005000000}" name="Number Pop growth"/>
    <tableColumn id="6" xr3:uid="{00000000-0010-0000-2E00-000006000000}" name="Percent of Global Population"/>
  </tableColumns>
  <tableStyleInfo name="Candenat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Canldives" displayName="Canldives" ref="A1:F67">
  <tableColumns count="6">
    <tableColumn id="1" xr3:uid="{00000000-0010-0000-2F00-000001000000}" name="Earth Year"/>
    <tableColumn id="2" xr3:uid="{00000000-0010-0000-2F00-000002000000}" name="Year"/>
    <tableColumn id="3" xr3:uid="{00000000-0010-0000-2F00-000003000000}" name="Population"/>
    <tableColumn id="4" xr3:uid="{00000000-0010-0000-2F00-000004000000}" name="Pop growth"/>
    <tableColumn id="5" xr3:uid="{00000000-0010-0000-2F00-000005000000}" name="Number Pop growth"/>
    <tableColumn id="6" xr3:uid="{00000000-0010-0000-2F00-000006000000}" name="Percent of Global Population"/>
  </tableColumns>
  <tableStyleInfo name="Canldives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Chaenia" displayName="Chaenia" ref="A1:F67">
  <tableColumns count="6">
    <tableColumn id="1" xr3:uid="{00000000-0010-0000-3000-000001000000}" name="Earth Year"/>
    <tableColumn id="2" xr3:uid="{00000000-0010-0000-3000-000002000000}" name="Year"/>
    <tableColumn id="3" xr3:uid="{00000000-0010-0000-3000-000003000000}" name="Population"/>
    <tableColumn id="4" xr3:uid="{00000000-0010-0000-3000-000004000000}" name="Pop growth"/>
    <tableColumn id="5" xr3:uid="{00000000-0010-0000-3000-000005000000}" name="Number Pop growth"/>
    <tableColumn id="6" xr3:uid="{00000000-0010-0000-3000-000006000000}" name="Percent of Global Population"/>
  </tableColumns>
  <tableStyleInfo name="Chaenia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loja" displayName="Cloja" ref="A1:F67">
  <tableColumns count="6">
    <tableColumn id="1" xr3:uid="{00000000-0010-0000-3100-000001000000}" name="Earth Year"/>
    <tableColumn id="2" xr3:uid="{00000000-0010-0000-3100-000002000000}" name="Year"/>
    <tableColumn id="3" xr3:uid="{00000000-0010-0000-3100-000003000000}" name="Population"/>
    <tableColumn id="4" xr3:uid="{00000000-0010-0000-3100-000004000000}" name="Pop growth"/>
    <tableColumn id="5" xr3:uid="{00000000-0010-0000-3100-000005000000}" name="Number Pop growth"/>
    <tableColumn id="6" xr3:uid="{00000000-0010-0000-3100-000006000000}" name="Percent of Global Population"/>
  </tableColumns>
  <tableStyleInfo name="Cloja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Crila_Republic" displayName="Crila_Republic" ref="A1:F67">
  <tableColumns count="6">
    <tableColumn id="1" xr3:uid="{00000000-0010-0000-3200-000001000000}" name="Earth Year"/>
    <tableColumn id="2" xr3:uid="{00000000-0010-0000-3200-000002000000}" name="Year"/>
    <tableColumn id="3" xr3:uid="{00000000-0010-0000-3200-000003000000}" name="Population"/>
    <tableColumn id="4" xr3:uid="{00000000-0010-0000-3200-000004000000}" name="Pop growth"/>
    <tableColumn id="5" xr3:uid="{00000000-0010-0000-3200-000005000000}" name="Number Pop growth"/>
    <tableColumn id="6" xr3:uid="{00000000-0010-0000-3200-000006000000}" name="Percent of Global Population"/>
  </tableColumns>
  <tableStyleInfo name="Crila Republic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ruthi_Anoso" displayName="Cruthi_Anoso" ref="A1:F67">
  <tableColumns count="6">
    <tableColumn id="1" xr3:uid="{00000000-0010-0000-3300-000001000000}" name="Earth Year"/>
    <tableColumn id="2" xr3:uid="{00000000-0010-0000-3300-000002000000}" name="Year"/>
    <tableColumn id="3" xr3:uid="{00000000-0010-0000-3300-000003000000}" name="Population"/>
    <tableColumn id="4" xr3:uid="{00000000-0010-0000-3300-000004000000}" name="Pop growth"/>
    <tableColumn id="5" xr3:uid="{00000000-0010-0000-3300-000005000000}" name="Number Pop growth"/>
    <tableColumn id="6" xr3:uid="{00000000-0010-0000-3300-000006000000}" name="Percent of Global Population"/>
  </tableColumns>
  <tableStyleInfo name="Cruthi Anoso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Curata" displayName="Curata" ref="A1:F67">
  <tableColumns count="6">
    <tableColumn id="1" xr3:uid="{00000000-0010-0000-3400-000001000000}" name="Earth Year"/>
    <tableColumn id="2" xr3:uid="{00000000-0010-0000-3400-000002000000}" name="Year"/>
    <tableColumn id="3" xr3:uid="{00000000-0010-0000-3400-000003000000}" name="Population"/>
    <tableColumn id="4" xr3:uid="{00000000-0010-0000-3400-000004000000}" name="Pop growth"/>
    <tableColumn id="5" xr3:uid="{00000000-0010-0000-3400-000005000000}" name="Number Pop growth"/>
    <tableColumn id="6" xr3:uid="{00000000-0010-0000-3400-000006000000}" name="Percent of Global Population"/>
  </tableColumns>
  <tableStyleInfo name="Curata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ahe" displayName="Dahe" ref="A1:F67">
  <tableColumns count="6">
    <tableColumn id="1" xr3:uid="{00000000-0010-0000-3500-000001000000}" name="Earth Year"/>
    <tableColumn id="2" xr3:uid="{00000000-0010-0000-3500-000002000000}" name="Year"/>
    <tableColumn id="3" xr3:uid="{00000000-0010-0000-3500-000003000000}" name="Population"/>
    <tableColumn id="4" xr3:uid="{00000000-0010-0000-3500-000004000000}" name="Pop growth"/>
    <tableColumn id="5" xr3:uid="{00000000-0010-0000-3500-000005000000}" name="Number Pop growth"/>
    <tableColumn id="6" xr3:uid="{00000000-0010-0000-3500-000006000000}" name="Percent of Global Population"/>
  </tableColumns>
  <tableStyleInfo name="Dahe-style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Danocia" displayName="Danocia" ref="A1:F67">
  <tableColumns count="6">
    <tableColumn id="1" xr3:uid="{00000000-0010-0000-3600-000001000000}" name="Earth Year"/>
    <tableColumn id="2" xr3:uid="{00000000-0010-0000-3600-000002000000}" name="Year"/>
    <tableColumn id="3" xr3:uid="{00000000-0010-0000-3600-000003000000}" name="Population"/>
    <tableColumn id="4" xr3:uid="{00000000-0010-0000-3600-000004000000}" name="Pop growth"/>
    <tableColumn id="5" xr3:uid="{00000000-0010-0000-3600-000005000000}" name="Number Pop growth"/>
    <tableColumn id="6" xr3:uid="{00000000-0010-0000-3600-000006000000}" name="Percent of Global Population"/>
  </tableColumns>
  <tableStyleInfo name="Danocia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Darewa" displayName="Darewa" ref="A1:F67">
  <tableColumns count="6">
    <tableColumn id="1" xr3:uid="{00000000-0010-0000-3700-000001000000}" name="Earth Year"/>
    <tableColumn id="2" xr3:uid="{00000000-0010-0000-3700-000002000000}" name="Year"/>
    <tableColumn id="3" xr3:uid="{00000000-0010-0000-3700-000003000000}" name="Population"/>
    <tableColumn id="4" xr3:uid="{00000000-0010-0000-3700-000004000000}" name="Pop growth"/>
    <tableColumn id="5" xr3:uid="{00000000-0010-0000-3700-000005000000}" name="Number Pop growth"/>
    <tableColumn id="6" xr3:uid="{00000000-0010-0000-3700-000006000000}" name="Percent of Global Population"/>
  </tableColumns>
  <tableStyleInfo name="Darewa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Desaki" displayName="Desaki" ref="A1:F67">
  <tableColumns count="6">
    <tableColumn id="1" xr3:uid="{00000000-0010-0000-3800-000001000000}" name="Earth Year"/>
    <tableColumn id="2" xr3:uid="{00000000-0010-0000-3800-000002000000}" name="Year"/>
    <tableColumn id="3" xr3:uid="{00000000-0010-0000-3800-000003000000}" name="Population"/>
    <tableColumn id="4" xr3:uid="{00000000-0010-0000-3800-000004000000}" name="Pop growth"/>
    <tableColumn id="5" xr3:uid="{00000000-0010-0000-3800-000005000000}" name="Number Pop growth"/>
    <tableColumn id="6" xr3:uid="{00000000-0010-0000-3800-000006000000}" name="Percent of Global Population"/>
  </tableColumns>
  <tableStyleInfo name="Desaki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Deschon" displayName="Deschon" ref="A1:F67">
  <tableColumns count="6">
    <tableColumn id="1" xr3:uid="{00000000-0010-0000-3900-000001000000}" name="Earth Year"/>
    <tableColumn id="2" xr3:uid="{00000000-0010-0000-3900-000002000000}" name="Year"/>
    <tableColumn id="3" xr3:uid="{00000000-0010-0000-3900-000003000000}" name="Population"/>
    <tableColumn id="4" xr3:uid="{00000000-0010-0000-3900-000004000000}" name="Pop growth"/>
    <tableColumn id="5" xr3:uid="{00000000-0010-0000-3900-000005000000}" name="Number Pop growth"/>
    <tableColumn id="6" xr3:uid="{00000000-0010-0000-3900-000006000000}" name="Percent of Global Population"/>
  </tableColumns>
  <tableStyleInfo name="Deschon-style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Disal_Nila" displayName="Disal_Nila" ref="A1:F67">
  <tableColumns count="6">
    <tableColumn id="1" xr3:uid="{00000000-0010-0000-3A00-000001000000}" name="Earth Year"/>
    <tableColumn id="2" xr3:uid="{00000000-0010-0000-3A00-000002000000}" name="Year"/>
    <tableColumn id="3" xr3:uid="{00000000-0010-0000-3A00-000003000000}" name="Population"/>
    <tableColumn id="4" xr3:uid="{00000000-0010-0000-3A00-000004000000}" name="Pop growth"/>
    <tableColumn id="5" xr3:uid="{00000000-0010-0000-3A00-000005000000}" name="Number Pop growth"/>
    <tableColumn id="6" xr3:uid="{00000000-0010-0000-3A00-000006000000}" name="Percent of Global Population"/>
  </tableColumns>
  <tableStyleInfo name="Disal Nila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Dual_Cenryia" displayName="Dual_Cenryia" ref="A1:F67">
  <tableColumns count="6">
    <tableColumn id="1" xr3:uid="{00000000-0010-0000-3B00-000001000000}" name="Earth Year"/>
    <tableColumn id="2" xr3:uid="{00000000-0010-0000-3B00-000002000000}" name="Year"/>
    <tableColumn id="3" xr3:uid="{00000000-0010-0000-3B00-000003000000}" name="Population"/>
    <tableColumn id="4" xr3:uid="{00000000-0010-0000-3B00-000004000000}" name="Pop growth"/>
    <tableColumn id="5" xr3:uid="{00000000-0010-0000-3B00-000005000000}" name="Number Pop growth"/>
    <tableColumn id="6" xr3:uid="{00000000-0010-0000-3B00-000006000000}" name="Percent of Global Population"/>
  </tableColumns>
  <tableStyleInfo name="Dual Cenryia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Ealdorii" displayName="Ealdorii" ref="A1:F67">
  <tableColumns count="6">
    <tableColumn id="1" xr3:uid="{00000000-0010-0000-3C00-000001000000}" name="Earth Year"/>
    <tableColumn id="2" xr3:uid="{00000000-0010-0000-3C00-000002000000}" name="Year"/>
    <tableColumn id="3" xr3:uid="{00000000-0010-0000-3C00-000003000000}" name="Population"/>
    <tableColumn id="4" xr3:uid="{00000000-0010-0000-3C00-000004000000}" name="Pop growth"/>
    <tableColumn id="5" xr3:uid="{00000000-0010-0000-3C00-000005000000}" name="Number Pop growth"/>
    <tableColumn id="6" xr3:uid="{00000000-0010-0000-3C00-000006000000}" name="Percent of Global Population"/>
  </tableColumns>
  <tableStyleInfo name="Ealdorii-style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Easuhura" displayName="Easuhura" ref="A1:F67">
  <tableColumns count="6">
    <tableColumn id="1" xr3:uid="{00000000-0010-0000-3D00-000001000000}" name="Earth Year"/>
    <tableColumn id="2" xr3:uid="{00000000-0010-0000-3D00-000002000000}" name="Year"/>
    <tableColumn id="3" xr3:uid="{00000000-0010-0000-3D00-000003000000}" name="Population"/>
    <tableColumn id="4" xr3:uid="{00000000-0010-0000-3D00-000004000000}" name="Pop growth"/>
    <tableColumn id="5" xr3:uid="{00000000-0010-0000-3D00-000005000000}" name="Number Pop growth"/>
    <tableColumn id="6" xr3:uid="{00000000-0010-0000-3D00-000006000000}" name="Percent of Global Population"/>
  </tableColumns>
  <tableStyleInfo name="Easuhura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Eldavpir" displayName="Eldavpir" ref="A1:F67">
  <tableColumns count="6">
    <tableColumn id="1" xr3:uid="{00000000-0010-0000-3E00-000001000000}" name="Earth Year"/>
    <tableColumn id="2" xr3:uid="{00000000-0010-0000-3E00-000002000000}" name="Year"/>
    <tableColumn id="3" xr3:uid="{00000000-0010-0000-3E00-000003000000}" name="Population"/>
    <tableColumn id="4" xr3:uid="{00000000-0010-0000-3E00-000004000000}" name="Pop growth"/>
    <tableColumn id="5" xr3:uid="{00000000-0010-0000-3E00-000005000000}" name="Number Pop growth"/>
    <tableColumn id="6" xr3:uid="{00000000-0010-0000-3E00-000006000000}" name="Percent of Global Population"/>
  </tableColumns>
  <tableStyleInfo name="Eldavpir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Eldjo" displayName="Eldjo" ref="A1:F67">
  <tableColumns count="6">
    <tableColumn id="1" xr3:uid="{00000000-0010-0000-3F00-000001000000}" name="Earth Year"/>
    <tableColumn id="2" xr3:uid="{00000000-0010-0000-3F00-000002000000}" name="Year"/>
    <tableColumn id="3" xr3:uid="{00000000-0010-0000-3F00-000003000000}" name="Population"/>
    <tableColumn id="4" xr3:uid="{00000000-0010-0000-3F00-000004000000}" name="Pop growth"/>
    <tableColumn id="5" xr3:uid="{00000000-0010-0000-3F00-000005000000}" name="Number Pop growth"/>
    <tableColumn id="6" xr3:uid="{00000000-0010-0000-3F00-000006000000}" name="Percent of Global Population"/>
  </tableColumns>
  <tableStyleInfo name="Eldjo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Elja_and_Munusia" displayName="Elja_and_Munusia" ref="A1:F67">
  <tableColumns count="6">
    <tableColumn id="1" xr3:uid="{00000000-0010-0000-4000-000001000000}" name="Earth Year"/>
    <tableColumn id="2" xr3:uid="{00000000-0010-0000-4000-000002000000}" name="Year"/>
    <tableColumn id="3" xr3:uid="{00000000-0010-0000-4000-000003000000}" name="Population"/>
    <tableColumn id="4" xr3:uid="{00000000-0010-0000-4000-000004000000}" name="Pop growth"/>
    <tableColumn id="5" xr3:uid="{00000000-0010-0000-4000-000005000000}" name="Number Pop growth"/>
    <tableColumn id="6" xr3:uid="{00000000-0010-0000-4000-000006000000}" name="Percent of Global Population"/>
  </tableColumns>
  <tableStyleInfo name="Elja and Munusia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Emara" displayName="Emara" ref="A1:F67">
  <tableColumns count="6">
    <tableColumn id="1" xr3:uid="{00000000-0010-0000-4100-000001000000}" name="Earth Year"/>
    <tableColumn id="2" xr3:uid="{00000000-0010-0000-4100-000002000000}" name="Year"/>
    <tableColumn id="3" xr3:uid="{00000000-0010-0000-4100-000003000000}" name="Population"/>
    <tableColumn id="4" xr3:uid="{00000000-0010-0000-4100-000004000000}" name="Pop growth"/>
    <tableColumn id="5" xr3:uid="{00000000-0010-0000-4100-000005000000}" name="Number Pop growth"/>
    <tableColumn id="6" xr3:uid="{00000000-0010-0000-4100-000006000000}" name="Percent of Global Population"/>
  </tableColumns>
  <tableStyleInfo name="Emara-style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Enina" displayName="Enina" ref="A1:F67">
  <tableColumns count="6">
    <tableColumn id="1" xr3:uid="{00000000-0010-0000-4200-000001000000}" name="Earth Year"/>
    <tableColumn id="2" xr3:uid="{00000000-0010-0000-4200-000002000000}" name="Year"/>
    <tableColumn id="3" xr3:uid="{00000000-0010-0000-4200-000003000000}" name="Population"/>
    <tableColumn id="4" xr3:uid="{00000000-0010-0000-4200-000004000000}" name="Pop growth"/>
    <tableColumn id="5" xr3:uid="{00000000-0010-0000-4200-000005000000}" name="Number Pop growth"/>
    <tableColumn id="6" xr3:uid="{00000000-0010-0000-4200-000006000000}" name="Percent of Global Population"/>
  </tableColumns>
  <tableStyleInfo name="Enina-style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Eparia" displayName="Eparia" ref="A1:F67">
  <tableColumns count="6">
    <tableColumn id="1" xr3:uid="{00000000-0010-0000-4300-000001000000}" name="Earth Year"/>
    <tableColumn id="2" xr3:uid="{00000000-0010-0000-4300-000002000000}" name="Year"/>
    <tableColumn id="3" xr3:uid="{00000000-0010-0000-4300-000003000000}" name="Population"/>
    <tableColumn id="4" xr3:uid="{00000000-0010-0000-4300-000004000000}" name="Pop growth"/>
    <tableColumn id="5" xr3:uid="{00000000-0010-0000-4300-000005000000}" name="Number Pop growth"/>
    <tableColumn id="6" xr3:uid="{00000000-0010-0000-4300-000006000000}" name="Percent of Global Population"/>
  </tableColumns>
  <tableStyleInfo name="Eparia-style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Erkizil" displayName="Erkizil" ref="A1:F67">
  <tableColumns count="6">
    <tableColumn id="1" xr3:uid="{00000000-0010-0000-4400-000001000000}" name="Earth Year"/>
    <tableColumn id="2" xr3:uid="{00000000-0010-0000-4400-000002000000}" name="Year"/>
    <tableColumn id="3" xr3:uid="{00000000-0010-0000-4400-000003000000}" name="Population"/>
    <tableColumn id="4" xr3:uid="{00000000-0010-0000-4400-000004000000}" name="Pop growth"/>
    <tableColumn id="5" xr3:uid="{00000000-0010-0000-4400-000005000000}" name="Number Pop growth"/>
    <tableColumn id="6" xr3:uid="{00000000-0010-0000-4400-000006000000}" name="Percent of Global Population"/>
  </tableColumns>
  <tableStyleInfo name="Erkizil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Estijan" displayName="Estijan" ref="A1:F67">
  <tableColumns count="6">
    <tableColumn id="1" xr3:uid="{00000000-0010-0000-4500-000001000000}" name="Earth Year"/>
    <tableColumn id="2" xr3:uid="{00000000-0010-0000-4500-000002000000}" name="Year"/>
    <tableColumn id="3" xr3:uid="{00000000-0010-0000-4500-000003000000}" name="Population"/>
    <tableColumn id="4" xr3:uid="{00000000-0010-0000-4500-000004000000}" name="Pop growth"/>
    <tableColumn id="5" xr3:uid="{00000000-0010-0000-4500-000005000000}" name="Number Pop growth"/>
    <tableColumn id="6" xr3:uid="{00000000-0010-0000-4500-000006000000}" name="Percent of Global Population"/>
  </tableColumns>
  <tableStyleInfo name="Estijan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Etirha" displayName="Etirha" ref="A1:F67">
  <tableColumns count="6">
    <tableColumn id="1" xr3:uid="{00000000-0010-0000-4600-000001000000}" name="Earth Year"/>
    <tableColumn id="2" xr3:uid="{00000000-0010-0000-4600-000002000000}" name="Year"/>
    <tableColumn id="3" xr3:uid="{00000000-0010-0000-4600-000003000000}" name="Population"/>
    <tableColumn id="4" xr3:uid="{00000000-0010-0000-4600-000004000000}" name="Pop growth"/>
    <tableColumn id="5" xr3:uid="{00000000-0010-0000-4600-000005000000}" name="Number Pop growth"/>
    <tableColumn id="6" xr3:uid="{00000000-0010-0000-4600-000006000000}" name="Percent of Global Population"/>
  </tableColumns>
  <tableStyleInfo name="Etirha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Etretes" displayName="Etretes" ref="A1:F67">
  <tableColumns count="6">
    <tableColumn id="1" xr3:uid="{00000000-0010-0000-4700-000001000000}" name="Earth Year"/>
    <tableColumn id="2" xr3:uid="{00000000-0010-0000-4700-000002000000}" name="Year"/>
    <tableColumn id="3" xr3:uid="{00000000-0010-0000-4700-000003000000}" name="Population"/>
    <tableColumn id="4" xr3:uid="{00000000-0010-0000-4700-000004000000}" name="Pop growth"/>
    <tableColumn id="5" xr3:uid="{00000000-0010-0000-4700-000005000000}" name="Number Pop growth"/>
    <tableColumn id="6" xr3:uid="{00000000-0010-0000-4700-000006000000}" name="Percent of Global Population"/>
  </tableColumns>
  <tableStyleInfo name="Etretes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Exilium" displayName="Exilium" ref="A1:F67">
  <tableColumns count="6">
    <tableColumn id="1" xr3:uid="{00000000-0010-0000-4800-000001000000}" name="Earth Year"/>
    <tableColumn id="2" xr3:uid="{00000000-0010-0000-4800-000002000000}" name="Year"/>
    <tableColumn id="3" xr3:uid="{00000000-0010-0000-4800-000003000000}" name="Population"/>
    <tableColumn id="4" xr3:uid="{00000000-0010-0000-4800-000004000000}" name="Pop growth"/>
    <tableColumn id="5" xr3:uid="{00000000-0010-0000-4800-000005000000}" name="Number Pop growth"/>
    <tableColumn id="6" xr3:uid="{00000000-0010-0000-4800-000006000000}" name="Percent of Global Population"/>
  </tableColumns>
  <tableStyleInfo name="Exilium-style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ar_Lands" displayName="Far_Lands" ref="A1:F67">
  <tableColumns count="6">
    <tableColumn id="1" xr3:uid="{00000000-0010-0000-4900-000001000000}" name="Earth Year"/>
    <tableColumn id="2" xr3:uid="{00000000-0010-0000-4900-000002000000}" name="Year"/>
    <tableColumn id="3" xr3:uid="{00000000-0010-0000-4900-000003000000}" name="Population"/>
    <tableColumn id="4" xr3:uid="{00000000-0010-0000-4900-000004000000}" name="Pop growth"/>
    <tableColumn id="5" xr3:uid="{00000000-0010-0000-4900-000005000000}" name="Number Pop growth"/>
    <tableColumn id="6" xr3:uid="{00000000-0010-0000-4900-000006000000}" name="Percent of Global Population"/>
  </tableColumns>
  <tableStyleInfo name="Far Lands-style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eio_Lie" displayName="Feio_Lie" ref="A1:F67">
  <tableColumns count="6">
    <tableColumn id="1" xr3:uid="{00000000-0010-0000-4A00-000001000000}" name="Earth Year"/>
    <tableColumn id="2" xr3:uid="{00000000-0010-0000-4A00-000002000000}" name="Year"/>
    <tableColumn id="3" xr3:uid="{00000000-0010-0000-4A00-000003000000}" name="Population"/>
    <tableColumn id="4" xr3:uid="{00000000-0010-0000-4A00-000004000000}" name="Pop growth"/>
    <tableColumn id="5" xr3:uid="{00000000-0010-0000-4A00-000005000000}" name="Number Pop growth"/>
    <tableColumn id="6" xr3:uid="{00000000-0010-0000-4A00-000006000000}" name="Percent of Global Population"/>
  </tableColumns>
  <tableStyleInfo name="Feio Lie-style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ermori" displayName="Fermori" ref="A1:F67">
  <tableColumns count="6">
    <tableColumn id="1" xr3:uid="{00000000-0010-0000-4B00-000001000000}" name="Earth Year"/>
    <tableColumn id="2" xr3:uid="{00000000-0010-0000-4B00-000002000000}" name="Year"/>
    <tableColumn id="3" xr3:uid="{00000000-0010-0000-4B00-000003000000}" name="Population"/>
    <tableColumn id="4" xr3:uid="{00000000-0010-0000-4B00-000004000000}" name="Pop growth"/>
    <tableColumn id="5" xr3:uid="{00000000-0010-0000-4B00-000005000000}" name="Number Pop growth"/>
    <tableColumn id="6" xr3:uid="{00000000-0010-0000-4B00-000006000000}" name="Percent of Global Population"/>
  </tableColumns>
  <tableStyleInfo name="Fermori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inae" displayName="Finae" ref="A1:F67">
  <tableColumns count="6">
    <tableColumn id="1" xr3:uid="{00000000-0010-0000-4C00-000001000000}" name="Earth Year"/>
    <tableColumn id="2" xr3:uid="{00000000-0010-0000-4C00-000002000000}" name="Year"/>
    <tableColumn id="3" xr3:uid="{00000000-0010-0000-4C00-000003000000}" name="Population"/>
    <tableColumn id="4" xr3:uid="{00000000-0010-0000-4C00-000004000000}" name="Pop growth"/>
    <tableColumn id="5" xr3:uid="{00000000-0010-0000-4C00-000005000000}" name="Number Pop growth"/>
    <tableColumn id="6" xr3:uid="{00000000-0010-0000-4C00-000006000000}" name="Percent of Global Population"/>
  </tableColumns>
  <tableStyleInfo name="Finae-style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incen" displayName="Fincen" ref="A1:F67">
  <tableColumns count="6">
    <tableColumn id="1" xr3:uid="{00000000-0010-0000-4D00-000001000000}" name="Earth Year"/>
    <tableColumn id="2" xr3:uid="{00000000-0010-0000-4D00-000002000000}" name="Year"/>
    <tableColumn id="3" xr3:uid="{00000000-0010-0000-4D00-000003000000}" name="Population"/>
    <tableColumn id="4" xr3:uid="{00000000-0010-0000-4D00-000004000000}" name="Pop growth"/>
    <tableColumn id="5" xr3:uid="{00000000-0010-0000-4D00-000005000000}" name="Number Pop growth"/>
    <tableColumn id="6" xr3:uid="{00000000-0010-0000-4D00-000006000000}" name="Percent of Global Population"/>
  </tableColumns>
  <tableStyleInfo name="Fincen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ire_Coast" displayName="Fire_Coast" ref="A1:F67">
  <tableColumns count="6">
    <tableColumn id="1" xr3:uid="{00000000-0010-0000-4E00-000001000000}" name="Earth Year"/>
    <tableColumn id="2" xr3:uid="{00000000-0010-0000-4E00-000002000000}" name="Year"/>
    <tableColumn id="3" xr3:uid="{00000000-0010-0000-4E00-000003000000}" name="Population"/>
    <tableColumn id="4" xr3:uid="{00000000-0010-0000-4E00-000004000000}" name="Pop growth"/>
    <tableColumn id="5" xr3:uid="{00000000-0010-0000-4E00-000005000000}" name="Number Pop growth"/>
    <tableColumn id="6" xr3:uid="{00000000-0010-0000-4E00-000006000000}" name="Percent of Global Population"/>
  </tableColumns>
  <tableStyleInfo name="Fire Coast-style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Gaeiya" displayName="Gaeiya" ref="A1:F67">
  <tableColumns count="6">
    <tableColumn id="1" xr3:uid="{00000000-0010-0000-4F00-000001000000}" name="Earth Year"/>
    <tableColumn id="2" xr3:uid="{00000000-0010-0000-4F00-000002000000}" name="Year"/>
    <tableColumn id="3" xr3:uid="{00000000-0010-0000-4F00-000003000000}" name="Population"/>
    <tableColumn id="4" xr3:uid="{00000000-0010-0000-4F00-000004000000}" name="Pop growth"/>
    <tableColumn id="5" xr3:uid="{00000000-0010-0000-4F00-000005000000}" name="Number Pop growth"/>
    <tableColumn id="6" xr3:uid="{00000000-0010-0000-4F00-000006000000}" name="Percent of Global Population"/>
  </tableColumns>
  <tableStyleInfo name="Gaeiya-style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Galca" displayName="Galca" ref="A1:F67">
  <tableColumns count="6">
    <tableColumn id="1" xr3:uid="{00000000-0010-0000-5000-000001000000}" name="Earth Year"/>
    <tableColumn id="2" xr3:uid="{00000000-0010-0000-5000-000002000000}" name="Year"/>
    <tableColumn id="3" xr3:uid="{00000000-0010-0000-5000-000003000000}" name="Population"/>
    <tableColumn id="4" xr3:uid="{00000000-0010-0000-5000-000004000000}" name="Pop growth"/>
    <tableColumn id="5" xr3:uid="{00000000-0010-0000-5000-000005000000}" name="Number Pop growth"/>
    <tableColumn id="6" xr3:uid="{00000000-0010-0000-5000-000006000000}" name="Percent of Global Population"/>
  </tableColumns>
  <tableStyleInfo name="Galca-style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Genaire" displayName="Genaire" ref="A1:F67">
  <tableColumns count="6">
    <tableColumn id="1" xr3:uid="{00000000-0010-0000-5100-000001000000}" name="Earth Year"/>
    <tableColumn id="2" xr3:uid="{00000000-0010-0000-5100-000002000000}" name="Year"/>
    <tableColumn id="3" xr3:uid="{00000000-0010-0000-5100-000003000000}" name="Population"/>
    <tableColumn id="4" xr3:uid="{00000000-0010-0000-5100-000004000000}" name="Pop growth"/>
    <tableColumn id="5" xr3:uid="{00000000-0010-0000-5100-000005000000}" name="Number Pop growth"/>
    <tableColumn id="6" xr3:uid="{00000000-0010-0000-5100-000006000000}" name="Percent of Global Population"/>
  </tableColumns>
  <tableStyleInfo name="Genaire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Grazail" displayName="Grazail" ref="A1:F67">
  <tableColumns count="6">
    <tableColumn id="1" xr3:uid="{00000000-0010-0000-5200-000001000000}" name="Earth Year"/>
    <tableColumn id="2" xr3:uid="{00000000-0010-0000-5200-000002000000}" name="Year"/>
    <tableColumn id="3" xr3:uid="{00000000-0010-0000-5200-000003000000}" name="Population"/>
    <tableColumn id="4" xr3:uid="{00000000-0010-0000-5200-000004000000}" name="Pop growth"/>
    <tableColumn id="5" xr3:uid="{00000000-0010-0000-5200-000005000000}" name="Number Pop growth"/>
    <tableColumn id="6" xr3:uid="{00000000-0010-0000-5200-000006000000}" name="Percent of Global Population"/>
  </tableColumns>
  <tableStyleInfo name="Grazail-style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Guise" displayName="Guise" ref="A1:F67">
  <tableColumns count="6">
    <tableColumn id="1" xr3:uid="{00000000-0010-0000-5300-000001000000}" name="Earth Year"/>
    <tableColumn id="2" xr3:uid="{00000000-0010-0000-5300-000002000000}" name="Year"/>
    <tableColumn id="3" xr3:uid="{00000000-0010-0000-5300-000003000000}" name="Population"/>
    <tableColumn id="4" xr3:uid="{00000000-0010-0000-5300-000004000000}" name="Pop growth"/>
    <tableColumn id="5" xr3:uid="{00000000-0010-0000-5300-000005000000}" name="Number Pop growth"/>
    <tableColumn id="6" xr3:uid="{00000000-0010-0000-5300-000006000000}" name="Percent of Global Population"/>
  </tableColumns>
  <tableStyleInfo name="Guise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Haiza" displayName="Haiza" ref="A1:F67">
  <tableColumns count="6">
    <tableColumn id="1" xr3:uid="{00000000-0010-0000-5400-000001000000}" name="Earth Year"/>
    <tableColumn id="2" xr3:uid="{00000000-0010-0000-5400-000002000000}" name="Year"/>
    <tableColumn id="3" xr3:uid="{00000000-0010-0000-5400-000003000000}" name="Population"/>
    <tableColumn id="4" xr3:uid="{00000000-0010-0000-5400-000004000000}" name="Pop growth"/>
    <tableColumn id="5" xr3:uid="{00000000-0010-0000-5400-000005000000}" name="Number Pop growth"/>
    <tableColumn id="6" xr3:uid="{00000000-0010-0000-5400-000006000000}" name="Percent of Global Population"/>
  </tableColumns>
  <tableStyleInfo name="Haiza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Heiso" displayName="Heiso" ref="A1:F67">
  <tableColumns count="6">
    <tableColumn id="1" xr3:uid="{00000000-0010-0000-5500-000001000000}" name="Earth Year"/>
    <tableColumn id="2" xr3:uid="{00000000-0010-0000-5500-000002000000}" name="Year"/>
    <tableColumn id="3" xr3:uid="{00000000-0010-0000-5500-000003000000}" name="Population"/>
    <tableColumn id="4" xr3:uid="{00000000-0010-0000-5500-000004000000}" name="Pop growth"/>
    <tableColumn id="5" xr3:uid="{00000000-0010-0000-5500-000005000000}" name="Number Pop growth"/>
    <tableColumn id="6" xr3:uid="{00000000-0010-0000-5500-000006000000}" name="Percent of Global Population"/>
  </tableColumns>
  <tableStyleInfo name="Heiso-style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Hiwush" displayName="Hiwush" ref="A1:F67">
  <tableColumns count="6">
    <tableColumn id="1" xr3:uid="{00000000-0010-0000-5600-000001000000}" name="Earth Year"/>
    <tableColumn id="2" xr3:uid="{00000000-0010-0000-5600-000002000000}" name="Year"/>
    <tableColumn id="3" xr3:uid="{00000000-0010-0000-5600-000003000000}" name="Population"/>
    <tableColumn id="4" xr3:uid="{00000000-0010-0000-5600-000004000000}" name="Pop growth"/>
    <tableColumn id="5" xr3:uid="{00000000-0010-0000-5600-000005000000}" name="Number Pop growth"/>
    <tableColumn id="6" xr3:uid="{00000000-0010-0000-5600-000006000000}" name="Percent of Global Population"/>
  </tableColumns>
  <tableStyleInfo name="Hiwush-style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Hkuqo" displayName="Hkuqo" ref="A1:F67">
  <tableColumns count="6">
    <tableColumn id="1" xr3:uid="{00000000-0010-0000-5700-000001000000}" name="Earth Year"/>
    <tableColumn id="2" xr3:uid="{00000000-0010-0000-5700-000002000000}" name="Year"/>
    <tableColumn id="3" xr3:uid="{00000000-0010-0000-5700-000003000000}" name="Population"/>
    <tableColumn id="4" xr3:uid="{00000000-0010-0000-5700-000004000000}" name="Pop growth"/>
    <tableColumn id="5" xr3:uid="{00000000-0010-0000-5700-000005000000}" name="Number Pop growth"/>
    <tableColumn id="6" xr3:uid="{00000000-0010-0000-5700-000006000000}" name="Percent of Global Population"/>
  </tableColumns>
  <tableStyleInfo name="Hkuqo-style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Hyelen" displayName="Hyelen" ref="A1:F67">
  <tableColumns count="6">
    <tableColumn id="1" xr3:uid="{00000000-0010-0000-5800-000001000000}" name="Earth Year"/>
    <tableColumn id="2" xr3:uid="{00000000-0010-0000-5800-000002000000}" name="Year"/>
    <tableColumn id="3" xr3:uid="{00000000-0010-0000-5800-000003000000}" name="Population"/>
    <tableColumn id="4" xr3:uid="{00000000-0010-0000-5800-000004000000}" name="Pop growth"/>
    <tableColumn id="5" xr3:uid="{00000000-0010-0000-5800-000005000000}" name="1.00%"/>
    <tableColumn id="6" xr3:uid="{00000000-0010-0000-5800-000006000000}" name="Percent of Global Population"/>
  </tableColumns>
  <tableStyleInfo name="Hyelen-style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Iainoa" displayName="Iainoa" ref="A1:F67">
  <tableColumns count="6">
    <tableColumn id="1" xr3:uid="{00000000-0010-0000-5900-000001000000}" name="Earth Year"/>
    <tableColumn id="2" xr3:uid="{00000000-0010-0000-5900-000002000000}" name="Year"/>
    <tableColumn id="3" xr3:uid="{00000000-0010-0000-5900-000003000000}" name="Population"/>
    <tableColumn id="4" xr3:uid="{00000000-0010-0000-5900-000004000000}" name="Pop growth"/>
    <tableColumn id="5" xr3:uid="{00000000-0010-0000-5900-000005000000}" name="Number Pop growth"/>
    <tableColumn id="6" xr3:uid="{00000000-0010-0000-5900-000006000000}" name="Percent of Global Population"/>
  </tableColumns>
  <tableStyleInfo name="Iainoa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Iareva" displayName="Iareva" ref="A1:F67">
  <tableColumns count="6">
    <tableColumn id="1" xr3:uid="{00000000-0010-0000-5A00-000001000000}" name="Earth Year"/>
    <tableColumn id="2" xr3:uid="{00000000-0010-0000-5A00-000002000000}" name="Year"/>
    <tableColumn id="3" xr3:uid="{00000000-0010-0000-5A00-000003000000}" name="Population"/>
    <tableColumn id="4" xr3:uid="{00000000-0010-0000-5A00-000004000000}" name="Pop growth"/>
    <tableColumn id="5" xr3:uid="{00000000-0010-0000-5A00-000005000000}" name="Number Pop growth"/>
    <tableColumn id="6" xr3:uid="{00000000-0010-0000-5A00-000006000000}" name="Percent of Global Population"/>
  </tableColumns>
  <tableStyleInfo name="Iareva-style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Ihner" displayName="Ihner" ref="A1:F67">
  <tableColumns count="6">
    <tableColumn id="1" xr3:uid="{00000000-0010-0000-5B00-000001000000}" name="Earth Year"/>
    <tableColumn id="2" xr3:uid="{00000000-0010-0000-5B00-000002000000}" name="Year"/>
    <tableColumn id="3" xr3:uid="{00000000-0010-0000-5B00-000003000000}" name="Population"/>
    <tableColumn id="4" xr3:uid="{00000000-0010-0000-5B00-000004000000}" name="Pop growth"/>
    <tableColumn id="5" xr3:uid="{00000000-0010-0000-5B00-000005000000}" name="Number Pop growth"/>
    <tableColumn id="6" xr3:uid="{00000000-0010-0000-5B00-000006000000}" name="Percent of Global Population"/>
  </tableColumns>
  <tableStyleInfo name="Ihner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Ikzen" displayName="Ikzen" ref="A1:F67">
  <tableColumns count="6">
    <tableColumn id="1" xr3:uid="{00000000-0010-0000-5C00-000001000000}" name="Earth Year"/>
    <tableColumn id="2" xr3:uid="{00000000-0010-0000-5C00-000002000000}" name="Year"/>
    <tableColumn id="3" xr3:uid="{00000000-0010-0000-5C00-000003000000}" name="Population"/>
    <tableColumn id="4" xr3:uid="{00000000-0010-0000-5C00-000004000000}" name="Pop growth"/>
    <tableColumn id="5" xr3:uid="{00000000-0010-0000-5C00-000005000000}" name="Number Pop growth"/>
    <tableColumn id="6" xr3:uid="{00000000-0010-0000-5C00-000006000000}" name="Percent of Global Population"/>
  </tableColumns>
  <tableStyleInfo name="Ikzen-style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Ilicuhe" displayName="Ilicuhe" ref="A1:F67">
  <tableColumns count="6">
    <tableColumn id="1" xr3:uid="{00000000-0010-0000-5D00-000001000000}" name="Earth Year"/>
    <tableColumn id="2" xr3:uid="{00000000-0010-0000-5D00-000002000000}" name="Year"/>
    <tableColumn id="3" xr3:uid="{00000000-0010-0000-5D00-000003000000}" name="Population"/>
    <tableColumn id="4" xr3:uid="{00000000-0010-0000-5D00-000004000000}" name="Pop growth"/>
    <tableColumn id="5" xr3:uid="{00000000-0010-0000-5D00-000005000000}" name="Number Pop growth"/>
    <tableColumn id="6" xr3:uid="{00000000-0010-0000-5D00-000006000000}" name="Percent of Global Population"/>
  </tableColumns>
  <tableStyleInfo name="Ilicuhe-style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Inania" displayName="Inania" ref="A1:F67">
  <tableColumns count="6">
    <tableColumn id="1" xr3:uid="{00000000-0010-0000-5E00-000001000000}" name="Earth Year"/>
    <tableColumn id="2" xr3:uid="{00000000-0010-0000-5E00-000002000000}" name="Year"/>
    <tableColumn id="3" xr3:uid="{00000000-0010-0000-5E00-000003000000}" name="Population"/>
    <tableColumn id="4" xr3:uid="{00000000-0010-0000-5E00-000004000000}" name="Pop growth"/>
    <tableColumn id="5" xr3:uid="{00000000-0010-0000-5E00-000005000000}" name="Number Pop growth"/>
    <tableColumn id="6" xr3:uid="{00000000-0010-0000-5E00-000006000000}" name="Percent of Global Population"/>
  </tableColumns>
  <tableStyleInfo name="Inania-style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Inrea" displayName="Inrea" ref="A1:F67">
  <tableColumns count="6">
    <tableColumn id="1" xr3:uid="{00000000-0010-0000-5F00-000001000000}" name="Earth Year"/>
    <tableColumn id="2" xr3:uid="{00000000-0010-0000-5F00-000002000000}" name="Year"/>
    <tableColumn id="3" xr3:uid="{00000000-0010-0000-5F00-000003000000}" name="Population"/>
    <tableColumn id="4" xr3:uid="{00000000-0010-0000-5F00-000004000000}" name="Pop growth"/>
    <tableColumn id="5" xr3:uid="{00000000-0010-0000-5F00-000005000000}" name="Number Pop growth"/>
    <tableColumn id="6" xr3:uid="{00000000-0010-0000-5F00-000006000000}" name="Percent of Global Population"/>
  </tableColumns>
  <tableStyleInfo name="Inrea-style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Iquir" displayName="Iquir" ref="A1:F67">
  <tableColumns count="6">
    <tableColumn id="1" xr3:uid="{00000000-0010-0000-6000-000001000000}" name="Earth Year"/>
    <tableColumn id="2" xr3:uid="{00000000-0010-0000-6000-000002000000}" name="Year"/>
    <tableColumn id="3" xr3:uid="{00000000-0010-0000-6000-000003000000}" name="Population"/>
    <tableColumn id="4" xr3:uid="{00000000-0010-0000-6000-000004000000}" name="Pop growth"/>
    <tableColumn id="5" xr3:uid="{00000000-0010-0000-6000-000005000000}" name="Number Pop growth"/>
    <tableColumn id="6" xr3:uid="{00000000-0010-0000-6000-000006000000}" name="Percent of Global Population"/>
  </tableColumns>
  <tableStyleInfo name="Iquir-style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Isari" displayName="Isari" ref="A1:F67">
  <tableColumns count="6">
    <tableColumn id="1" xr3:uid="{00000000-0010-0000-6100-000001000000}" name="Earth Year"/>
    <tableColumn id="2" xr3:uid="{00000000-0010-0000-6100-000002000000}" name="Year"/>
    <tableColumn id="3" xr3:uid="{00000000-0010-0000-6100-000003000000}" name="Population"/>
    <tableColumn id="4" xr3:uid="{00000000-0010-0000-6100-000004000000}" name="Pop growth"/>
    <tableColumn id="5" xr3:uid="{00000000-0010-0000-6100-000005000000}" name="Number Pop growth"/>
    <tableColumn id="6" xr3:uid="{00000000-0010-0000-6100-000006000000}" name="Percent of Global Population"/>
  </tableColumns>
  <tableStyleInfo name="Isari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Isnti" displayName="Isnti" ref="A1:F67">
  <tableColumns count="6">
    <tableColumn id="1" xr3:uid="{00000000-0010-0000-6200-000001000000}" name="Earth Year"/>
    <tableColumn id="2" xr3:uid="{00000000-0010-0000-6200-000002000000}" name="Year"/>
    <tableColumn id="3" xr3:uid="{00000000-0010-0000-6200-000003000000}" name="Population"/>
    <tableColumn id="4" xr3:uid="{00000000-0010-0000-6200-000004000000}" name="Pop growth"/>
    <tableColumn id="5" xr3:uid="{00000000-0010-0000-6200-000005000000}" name="Number Pop growth"/>
    <tableColumn id="6" xr3:uid="{00000000-0010-0000-6200-000006000000}" name="Percent of Global Population"/>
  </tableColumns>
  <tableStyleInfo name="Isnti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Isuibul" displayName="Isuibul" ref="A1:F67">
  <tableColumns count="6">
    <tableColumn id="1" xr3:uid="{00000000-0010-0000-6300-000001000000}" name="Earth Year"/>
    <tableColumn id="2" xr3:uid="{00000000-0010-0000-6300-000002000000}" name="Year"/>
    <tableColumn id="3" xr3:uid="{00000000-0010-0000-6300-000003000000}" name="Population"/>
    <tableColumn id="4" xr3:uid="{00000000-0010-0000-6300-000004000000}" name="Pop growth"/>
    <tableColumn id="5" xr3:uid="{00000000-0010-0000-6300-000005000000}" name="Number Pop growth"/>
    <tableColumn id="6" xr3:uid="{00000000-0010-0000-6300-000006000000}" name="Percent of Global Population"/>
  </tableColumns>
  <tableStyleInfo name="Isuibul-style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Jathua" displayName="Jathua" ref="A1:F67">
  <tableColumns count="6">
    <tableColumn id="1" xr3:uid="{00000000-0010-0000-6400-000001000000}" name="Earth Year"/>
    <tableColumn id="2" xr3:uid="{00000000-0010-0000-6400-000002000000}" name="Year"/>
    <tableColumn id="3" xr3:uid="{00000000-0010-0000-6400-000003000000}" name="Population"/>
    <tableColumn id="4" xr3:uid="{00000000-0010-0000-6400-000004000000}" name="Pop growth"/>
    <tableColumn id="5" xr3:uid="{00000000-0010-0000-6400-000005000000}" name="Number Pop growth"/>
    <tableColumn id="6" xr3:uid="{00000000-0010-0000-6400-000006000000}" name="Percent of Global Population"/>
  </tableColumns>
  <tableStyleInfo name="Jathua-style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Jau" displayName="Jau" ref="A1:F67">
  <tableColumns count="6">
    <tableColumn id="1" xr3:uid="{00000000-0010-0000-6500-000001000000}" name="Earth Year"/>
    <tableColumn id="2" xr3:uid="{00000000-0010-0000-6500-000002000000}" name="Year"/>
    <tableColumn id="3" xr3:uid="{00000000-0010-0000-6500-000003000000}" name="Population"/>
    <tableColumn id="4" xr3:uid="{00000000-0010-0000-6500-000004000000}" name="Pop growth"/>
    <tableColumn id="5" xr3:uid="{00000000-0010-0000-6500-000005000000}" name="Number Pop growth"/>
    <tableColumn id="6" xr3:uid="{00000000-0010-0000-6500-000006000000}" name="Percent of Global Population"/>
  </tableColumns>
  <tableStyleInfo name="Jau-style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Jshain" displayName="Jshain" ref="A1:F67">
  <tableColumns count="6">
    <tableColumn id="1" xr3:uid="{00000000-0010-0000-6600-000001000000}" name="Earth Year"/>
    <tableColumn id="2" xr3:uid="{00000000-0010-0000-6600-000002000000}" name="Year"/>
    <tableColumn id="3" xr3:uid="{00000000-0010-0000-6600-000003000000}" name="Population"/>
    <tableColumn id="4" xr3:uid="{00000000-0010-0000-6600-000004000000}" name="Pop growth"/>
    <tableColumn id="5" xr3:uid="{00000000-0010-0000-6600-000005000000}" name="Number Pop growth"/>
    <tableColumn id="6" xr3:uid="{00000000-0010-0000-6600-000006000000}" name="Percent of Global Population"/>
  </tableColumns>
  <tableStyleInfo name="Jshain-style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Kaastini" displayName="Kaastini" ref="A1:F67">
  <tableColumns count="6">
    <tableColumn id="1" xr3:uid="{00000000-0010-0000-6700-000001000000}" name="Earth Year"/>
    <tableColumn id="2" xr3:uid="{00000000-0010-0000-6700-000002000000}" name="Year"/>
    <tableColumn id="3" xr3:uid="{00000000-0010-0000-6700-000003000000}" name="Population"/>
    <tableColumn id="4" xr3:uid="{00000000-0010-0000-6700-000004000000}" name="Pop growth"/>
    <tableColumn id="5" xr3:uid="{00000000-0010-0000-6700-000005000000}" name="Number Pop growth"/>
    <tableColumn id="6" xr3:uid="{00000000-0010-0000-6700-000006000000}" name="Percent of Global Population"/>
  </tableColumns>
  <tableStyleInfo name="Kaastini-style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Koruch" displayName="Koruch" ref="A1:F67">
  <tableColumns count="6">
    <tableColumn id="1" xr3:uid="{00000000-0010-0000-6800-000001000000}" name="Earth Year"/>
    <tableColumn id="2" xr3:uid="{00000000-0010-0000-6800-000002000000}" name="Year"/>
    <tableColumn id="3" xr3:uid="{00000000-0010-0000-6800-000003000000}" name="Population"/>
    <tableColumn id="4" xr3:uid="{00000000-0010-0000-6800-000004000000}" name="Pop growth"/>
    <tableColumn id="5" xr3:uid="{00000000-0010-0000-6800-000005000000}" name="Number Pop growth"/>
    <tableColumn id="6" xr3:uid="{00000000-0010-0000-6800-000006000000}" name="Percent of Global Population"/>
  </tableColumns>
  <tableStyleInfo name="Koruch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Kusierna" displayName="Kusierna" ref="A1:F67">
  <tableColumns count="6">
    <tableColumn id="1" xr3:uid="{00000000-0010-0000-6900-000001000000}" name="Earth Year"/>
    <tableColumn id="2" xr3:uid="{00000000-0010-0000-6900-000002000000}" name="Year"/>
    <tableColumn id="3" xr3:uid="{00000000-0010-0000-6900-000003000000}" name="Population"/>
    <tableColumn id="4" xr3:uid="{00000000-0010-0000-6900-000004000000}" name="Pop growth"/>
    <tableColumn id="5" xr3:uid="{00000000-0010-0000-6900-000005000000}" name="Number Pop growth"/>
    <tableColumn id="6" xr3:uid="{00000000-0010-0000-6900-000006000000}" name="Percent of Global Population"/>
  </tableColumns>
  <tableStyleInfo name="Kusierna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Laselteh" displayName="Laselteh" ref="A1:F67">
  <tableColumns count="6">
    <tableColumn id="1" xr3:uid="{00000000-0010-0000-6A00-000001000000}" name="Earth Year"/>
    <tableColumn id="2" xr3:uid="{00000000-0010-0000-6A00-000002000000}" name="Year"/>
    <tableColumn id="3" xr3:uid="{00000000-0010-0000-6A00-000003000000}" name="Population"/>
    <tableColumn id="4" xr3:uid="{00000000-0010-0000-6A00-000004000000}" name="Pop growth"/>
    <tableColumn id="5" xr3:uid="{00000000-0010-0000-6A00-000005000000}" name="Number Pop growth"/>
    <tableColumn id="6" xr3:uid="{00000000-0010-0000-6A00-000006000000}" name="Percent of Global Population"/>
  </tableColumns>
  <tableStyleInfo name="Laselteh-style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Lasri" displayName="Lasri" ref="A1:F67">
  <tableColumns count="6">
    <tableColumn id="1" xr3:uid="{00000000-0010-0000-6B00-000001000000}" name="Earth Year"/>
    <tableColumn id="2" xr3:uid="{00000000-0010-0000-6B00-000002000000}" name="Year"/>
    <tableColumn id="3" xr3:uid="{00000000-0010-0000-6B00-000003000000}" name="Population"/>
    <tableColumn id="4" xr3:uid="{00000000-0010-0000-6B00-000004000000}" name="Pop growth"/>
    <tableColumn id="5" xr3:uid="{00000000-0010-0000-6B00-000005000000}" name="Number Pop growth"/>
    <tableColumn id="6" xr3:uid="{00000000-0010-0000-6B00-000006000000}" name="Percent of Global Population"/>
  </tableColumns>
  <tableStyleInfo name="Lasri-style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Letan" displayName="Letan" ref="A1:F67">
  <tableColumns count="6">
    <tableColumn id="1" xr3:uid="{00000000-0010-0000-6C00-000001000000}" name="Earth Year"/>
    <tableColumn id="2" xr3:uid="{00000000-0010-0000-6C00-000002000000}" name="Year"/>
    <tableColumn id="3" xr3:uid="{00000000-0010-0000-6C00-000003000000}" name="Population"/>
    <tableColumn id="4" xr3:uid="{00000000-0010-0000-6C00-000004000000}" name="Pop growth"/>
    <tableColumn id="5" xr3:uid="{00000000-0010-0000-6C00-000005000000}" name="Number Pop growth"/>
    <tableColumn id="6" xr3:uid="{00000000-0010-0000-6C00-000006000000}" name="Percent of Global Population"/>
  </tableColumns>
  <tableStyleInfo name="Letan-style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Lieri" displayName="Lieri" ref="A1:F67">
  <tableColumns count="6">
    <tableColumn id="1" xr3:uid="{00000000-0010-0000-6D00-000001000000}" name="Earth Year"/>
    <tableColumn id="2" xr3:uid="{00000000-0010-0000-6D00-000002000000}" name="Year"/>
    <tableColumn id="3" xr3:uid="{00000000-0010-0000-6D00-000003000000}" name="Population"/>
    <tableColumn id="4" xr3:uid="{00000000-0010-0000-6D00-000004000000}" name="Pop growth"/>
    <tableColumn id="5" xr3:uid="{00000000-0010-0000-6D00-000005000000}" name="Number Pop growth"/>
    <tableColumn id="6" xr3:uid="{00000000-0010-0000-6D00-000006000000}" name="Percent of Global Population"/>
  </tableColumns>
  <tableStyleInfo name="Lieri-style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Lycroa" displayName="Lycroa" ref="A1:F67">
  <tableColumns count="6">
    <tableColumn id="1" xr3:uid="{00000000-0010-0000-6E00-000001000000}" name="Earth Year"/>
    <tableColumn id="2" xr3:uid="{00000000-0010-0000-6E00-000002000000}" name="Year"/>
    <tableColumn id="3" xr3:uid="{00000000-0010-0000-6E00-000003000000}" name="Population"/>
    <tableColumn id="4" xr3:uid="{00000000-0010-0000-6E00-000004000000}" name="Pop growth"/>
    <tableColumn id="5" xr3:uid="{00000000-0010-0000-6E00-000005000000}" name="Number Pop growth"/>
    <tableColumn id="6" xr3:uid="{00000000-0010-0000-6E00-000006000000}" name="Percent of Global Population"/>
  </tableColumns>
  <tableStyleInfo name="Lycroa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Lydroa" displayName="Lydroa" ref="A1:F67">
  <tableColumns count="6">
    <tableColumn id="1" xr3:uid="{00000000-0010-0000-6F00-000001000000}" name="Earth Year"/>
    <tableColumn id="2" xr3:uid="{00000000-0010-0000-6F00-000002000000}" name="Year"/>
    <tableColumn id="3" xr3:uid="{00000000-0010-0000-6F00-000003000000}" name="Population"/>
    <tableColumn id="4" xr3:uid="{00000000-0010-0000-6F00-000004000000}" name="Pop growth"/>
    <tableColumn id="5" xr3:uid="{00000000-0010-0000-6F00-000005000000}" name="Number Pop growth"/>
    <tableColumn id="6" xr3:uid="{00000000-0010-0000-6F00-000006000000}" name="Percent of Global Population"/>
  </tableColumns>
  <tableStyleInfo name="Lydroa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Maalle" displayName="Maalle" ref="A1:F67">
  <tableColumns count="6">
    <tableColumn id="1" xr3:uid="{00000000-0010-0000-7000-000001000000}" name="Earth Year"/>
    <tableColumn id="2" xr3:uid="{00000000-0010-0000-7000-000002000000}" name="Year"/>
    <tableColumn id="3" xr3:uid="{00000000-0010-0000-7000-000003000000}" name="Population"/>
    <tableColumn id="4" xr3:uid="{00000000-0010-0000-7000-000004000000}" name="Pop growth"/>
    <tableColumn id="5" xr3:uid="{00000000-0010-0000-7000-000005000000}" name="Number Pop growth"/>
    <tableColumn id="6" xr3:uid="{00000000-0010-0000-7000-000006000000}" name="Percent of Global Population"/>
  </tableColumns>
  <tableStyleInfo name="Maalle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Mendereide" displayName="Mendereide" ref="A1:F67">
  <tableColumns count="6">
    <tableColumn id="1" xr3:uid="{00000000-0010-0000-7100-000001000000}" name="Earth Year"/>
    <tableColumn id="2" xr3:uid="{00000000-0010-0000-7100-000002000000}" name="Year"/>
    <tableColumn id="3" xr3:uid="{00000000-0010-0000-7100-000003000000}" name="Population"/>
    <tableColumn id="4" xr3:uid="{00000000-0010-0000-7100-000004000000}" name="Pop growth"/>
    <tableColumn id="5" xr3:uid="{00000000-0010-0000-7100-000005000000}" name="Number Pop growth"/>
    <tableColumn id="6" xr3:uid="{00000000-0010-0000-7100-000006000000}" name="Percent of Global Population"/>
  </tableColumns>
  <tableStyleInfo name="Mendereide-style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Merela_Sta" displayName="Merela_Sta" ref="A1:F67">
  <tableColumns count="6">
    <tableColumn id="1" xr3:uid="{00000000-0010-0000-7200-000001000000}" name="Earth Year"/>
    <tableColumn id="2" xr3:uid="{00000000-0010-0000-7200-000002000000}" name="Year"/>
    <tableColumn id="3" xr3:uid="{00000000-0010-0000-7200-000003000000}" name="Population"/>
    <tableColumn id="4" xr3:uid="{00000000-0010-0000-7200-000004000000}" name="Pop growth"/>
    <tableColumn id="5" xr3:uid="{00000000-0010-0000-7200-000005000000}" name="Number Pop growth"/>
    <tableColumn id="6" xr3:uid="{00000000-0010-0000-7200-000006000000}" name="Percent of Global Population"/>
  </tableColumns>
  <tableStyleInfo name="Merela Sta-style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Mesjan_Hyaa" displayName="Mesjan_Hyaa" ref="A1:F67">
  <tableColumns count="6">
    <tableColumn id="1" xr3:uid="{00000000-0010-0000-7300-000001000000}" name="Earth Year"/>
    <tableColumn id="2" xr3:uid="{00000000-0010-0000-7300-000002000000}" name="Year"/>
    <tableColumn id="3" xr3:uid="{00000000-0010-0000-7300-000003000000}" name="Population"/>
    <tableColumn id="4" xr3:uid="{00000000-0010-0000-7300-000004000000}" name="Pop growth"/>
    <tableColumn id="5" xr3:uid="{00000000-0010-0000-7300-000005000000}" name="Number Pop growth"/>
    <tableColumn id="6" xr3:uid="{00000000-0010-0000-7300-000006000000}" name="Percent of Global Population"/>
  </tableColumns>
  <tableStyleInfo name="Mesjan Hyaa-style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Metndria" displayName="Metndria" ref="A1:F67">
  <tableColumns count="6">
    <tableColumn id="1" xr3:uid="{00000000-0010-0000-7400-000001000000}" name="Earth Year"/>
    <tableColumn id="2" xr3:uid="{00000000-0010-0000-7400-000002000000}" name="Year"/>
    <tableColumn id="3" xr3:uid="{00000000-0010-0000-7400-000003000000}" name="Population"/>
    <tableColumn id="4" xr3:uid="{00000000-0010-0000-7400-000004000000}" name="Pop growth"/>
    <tableColumn id="5" xr3:uid="{00000000-0010-0000-7400-000005000000}" name="Number Pop growth"/>
    <tableColumn id="6" xr3:uid="{00000000-0010-0000-7400-000006000000}" name="Percent of Global Population"/>
  </tableColumns>
  <tableStyleInfo name="Metndria-style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Migoku" displayName="Migoku" ref="A1:F67">
  <tableColumns count="6">
    <tableColumn id="1" xr3:uid="{00000000-0010-0000-7500-000001000000}" name="Column 1"/>
    <tableColumn id="2" xr3:uid="{00000000-0010-0000-7500-000002000000}" name="Year"/>
    <tableColumn id="3" xr3:uid="{00000000-0010-0000-7500-000003000000}" name="Population"/>
    <tableColumn id="4" xr3:uid="{00000000-0010-0000-7500-000004000000}" name="Pop growth"/>
    <tableColumn id="5" xr3:uid="{00000000-0010-0000-7500-000005000000}" name="Number Pop growth"/>
    <tableColumn id="6" xr3:uid="{00000000-0010-0000-7500-000006000000}" name="Percent of Global Population"/>
  </tableColumns>
  <tableStyleInfo name="Migoku-style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Myla" displayName="Myla" ref="A1:F67">
  <tableColumns count="6">
    <tableColumn id="1" xr3:uid="{00000000-0010-0000-7600-000001000000}" name="Earth Year"/>
    <tableColumn id="2" xr3:uid="{00000000-0010-0000-7600-000002000000}" name="Year"/>
    <tableColumn id="3" xr3:uid="{00000000-0010-0000-7600-000003000000}" name="Population"/>
    <tableColumn id="4" xr3:uid="{00000000-0010-0000-7600-000004000000}" name="Pop growth"/>
    <tableColumn id="5" xr3:uid="{00000000-0010-0000-7600-000005000000}" name="Number Pop growth"/>
    <tableColumn id="6" xr3:uid="{00000000-0010-0000-7600-000006000000}" name="Percent of Global Population"/>
  </tableColumns>
  <tableStyleInfo name="Myla-style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New_Kizura" displayName="New_Kizura" ref="A1:F67">
  <tableColumns count="6">
    <tableColumn id="1" xr3:uid="{00000000-0010-0000-7700-000001000000}" name="Earth Year"/>
    <tableColumn id="2" xr3:uid="{00000000-0010-0000-7700-000002000000}" name="Year"/>
    <tableColumn id="3" xr3:uid="{00000000-0010-0000-7700-000003000000}" name="Population"/>
    <tableColumn id="4" xr3:uid="{00000000-0010-0000-7700-000004000000}" name="Pop growth"/>
    <tableColumn id="5" xr3:uid="{00000000-0010-0000-7700-000005000000}" name="Number Pop growth"/>
    <tableColumn id="6" xr3:uid="{00000000-0010-0000-7700-000006000000}" name="Percent of Global Population"/>
  </tableColumns>
  <tableStyleInfo name="New Kizura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New_Misos" displayName="New_Misos" ref="A1:F67">
  <tableColumns count="6">
    <tableColumn id="1" xr3:uid="{00000000-0010-0000-7800-000001000000}" name="Earth Year"/>
    <tableColumn id="2" xr3:uid="{00000000-0010-0000-7800-000002000000}" name="Year"/>
    <tableColumn id="3" xr3:uid="{00000000-0010-0000-7800-000003000000}" name="Population"/>
    <tableColumn id="4" xr3:uid="{00000000-0010-0000-7800-000004000000}" name="Pop growth"/>
    <tableColumn id="5" xr3:uid="{00000000-0010-0000-7800-000005000000}" name="Number Pop growth"/>
    <tableColumn id="6" xr3:uid="{00000000-0010-0000-7800-000006000000}" name="Percent of Global Population"/>
  </tableColumns>
  <tableStyleInfo name="New Misos-style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Nheyes_Si" displayName="Nheyes_Si" ref="A1:F67">
  <tableColumns count="6">
    <tableColumn id="1" xr3:uid="{00000000-0010-0000-7900-000001000000}" name="Earth Year"/>
    <tableColumn id="2" xr3:uid="{00000000-0010-0000-7900-000002000000}" name="Year"/>
    <tableColumn id="3" xr3:uid="{00000000-0010-0000-7900-000003000000}" name="Population"/>
    <tableColumn id="4" xr3:uid="{00000000-0010-0000-7900-000004000000}" name="Pop growth"/>
    <tableColumn id="5" xr3:uid="{00000000-0010-0000-7900-000005000000}" name="Number Pop growth"/>
    <tableColumn id="6" xr3:uid="{00000000-0010-0000-7900-000006000000}" name="Percent of Global Population"/>
  </tableColumns>
  <tableStyleInfo name="Nheyes Si-style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Nia" displayName="Nia" ref="A1:F67">
  <tableColumns count="6">
    <tableColumn id="1" xr3:uid="{00000000-0010-0000-7A00-000001000000}" name="Earth Year"/>
    <tableColumn id="2" xr3:uid="{00000000-0010-0000-7A00-000002000000}" name="Year"/>
    <tableColumn id="3" xr3:uid="{00000000-0010-0000-7A00-000003000000}" name="Population"/>
    <tableColumn id="4" xr3:uid="{00000000-0010-0000-7A00-000004000000}" name="Pop growth"/>
    <tableColumn id="5" xr3:uid="{00000000-0010-0000-7A00-000005000000}" name="Number Pop growth"/>
    <tableColumn id="6" xr3:uid="{00000000-0010-0000-7A00-000006000000}" name="Percent of Global Population"/>
  </tableColumns>
  <tableStyleInfo name="Nia-style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Niretui_and_Anulan" displayName="Niretui_and_Anulan" ref="A1:F67">
  <tableColumns count="6">
    <tableColumn id="1" xr3:uid="{00000000-0010-0000-7B00-000001000000}" name="Earth Year"/>
    <tableColumn id="2" xr3:uid="{00000000-0010-0000-7B00-000002000000}" name="Year"/>
    <tableColumn id="3" xr3:uid="{00000000-0010-0000-7B00-000003000000}" name="Population"/>
    <tableColumn id="4" xr3:uid="{00000000-0010-0000-7B00-000004000000}" name="Pop growth"/>
    <tableColumn id="5" xr3:uid="{00000000-0010-0000-7B00-000005000000}" name="Number Pop growth"/>
    <tableColumn id="6" xr3:uid="{00000000-0010-0000-7B00-000006000000}" name="Percent of Global Population"/>
  </tableColumns>
  <tableStyleInfo name="Niretui and Anulan-style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Niul_Spijan" displayName="Niul_Spijan" ref="A1:F67">
  <tableColumns count="6">
    <tableColumn id="1" xr3:uid="{00000000-0010-0000-7C00-000001000000}" name="Earth Year"/>
    <tableColumn id="2" xr3:uid="{00000000-0010-0000-7C00-000002000000}" name="Year"/>
    <tableColumn id="3" xr3:uid="{00000000-0010-0000-7C00-000003000000}" name="Population"/>
    <tableColumn id="4" xr3:uid="{00000000-0010-0000-7C00-000004000000}" name="Pop growth"/>
    <tableColumn id="5" xr3:uid="{00000000-0010-0000-7C00-000005000000}" name="Number Pop growth"/>
    <tableColumn id="6" xr3:uid="{00000000-0010-0000-7C00-000006000000}" name="Percent of Global Population"/>
  </tableColumns>
  <tableStyleInfo name="Niul Spijan-style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North_Ayre" displayName="North_Ayre" ref="A1:F67">
  <tableColumns count="6">
    <tableColumn id="1" xr3:uid="{00000000-0010-0000-7D00-000001000000}" name="Earth Year"/>
    <tableColumn id="2" xr3:uid="{00000000-0010-0000-7D00-000002000000}" name="Year"/>
    <tableColumn id="3" xr3:uid="{00000000-0010-0000-7D00-000003000000}" name="Population"/>
    <tableColumn id="4" xr3:uid="{00000000-0010-0000-7D00-000004000000}" name="Pop growth"/>
    <tableColumn id="5" xr3:uid="{00000000-0010-0000-7D00-000005000000}" name="Number Pop growth"/>
    <tableColumn id="6" xr3:uid="{00000000-0010-0000-7D00-000006000000}" name="Percent of Global Population"/>
  </tableColumns>
  <tableStyleInfo name="North Ayre-style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Ocaun" displayName="Ocaun" ref="A1:F67">
  <tableColumns count="6">
    <tableColumn id="1" xr3:uid="{00000000-0010-0000-7E00-000001000000}" name="Earth Year"/>
    <tableColumn id="2" xr3:uid="{00000000-0010-0000-7E00-000002000000}" name="Year"/>
    <tableColumn id="3" xr3:uid="{00000000-0010-0000-7E00-000003000000}" name="Population"/>
    <tableColumn id="4" xr3:uid="{00000000-0010-0000-7E00-000004000000}" name="Pop growth"/>
    <tableColumn id="5" xr3:uid="{00000000-0010-0000-7E00-000005000000}" name="Number Pop growth"/>
    <tableColumn id="6" xr3:uid="{00000000-0010-0000-7E00-000006000000}" name="Percent of Global Population"/>
  </tableColumns>
  <tableStyleInfo name="Ocaun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Ohtina" displayName="Ohtina" ref="A1:F67">
  <tableColumns count="6">
    <tableColumn id="1" xr3:uid="{00000000-0010-0000-7F00-000001000000}" name="Earth Year"/>
    <tableColumn id="2" xr3:uid="{00000000-0010-0000-7F00-000002000000}" name="Year"/>
    <tableColumn id="3" xr3:uid="{00000000-0010-0000-7F00-000003000000}" name="Population"/>
    <tableColumn id="4" xr3:uid="{00000000-0010-0000-7F00-000004000000}" name="Pop growth"/>
    <tableColumn id="5" xr3:uid="{00000000-0010-0000-7F00-000005000000}" name="Number Pop growth"/>
    <tableColumn id="6" xr3:uid="{00000000-0010-0000-7F00-000006000000}" name="Percent of Global Population"/>
  </tableColumns>
  <tableStyleInfo name="Ohtina-style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Onphello" displayName="Onphello" ref="A1:F67">
  <tableColumns count="6">
    <tableColumn id="1" xr3:uid="{00000000-0010-0000-8000-000001000000}" name="Earth Year"/>
    <tableColumn id="2" xr3:uid="{00000000-0010-0000-8000-000002000000}" name="Year"/>
    <tableColumn id="3" xr3:uid="{00000000-0010-0000-8000-000003000000}" name="Population"/>
    <tableColumn id="4" xr3:uid="{00000000-0010-0000-8000-000004000000}" name="Pop growth"/>
    <tableColumn id="5" xr3:uid="{00000000-0010-0000-8000-000005000000}" name="Number Pop growth"/>
    <tableColumn id="6" xr3:uid="{00000000-0010-0000-8000-000006000000}" name="Percent of Global Population"/>
  </tableColumns>
  <tableStyleInfo name="Onphello-style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Oscairia" displayName="Oscairia" ref="A1:F67">
  <tableColumns count="6">
    <tableColumn id="1" xr3:uid="{00000000-0010-0000-8100-000001000000}" name="Earth Year"/>
    <tableColumn id="2" xr3:uid="{00000000-0010-0000-8100-000002000000}" name="Year"/>
    <tableColumn id="3" xr3:uid="{00000000-0010-0000-8100-000003000000}" name="Population"/>
    <tableColumn id="4" xr3:uid="{00000000-0010-0000-8100-000004000000}" name="Pop growth"/>
    <tableColumn id="5" xr3:uid="{00000000-0010-0000-8100-000005000000}" name="Number Pop growth"/>
    <tableColumn id="6" xr3:uid="{00000000-0010-0000-8100-000006000000}" name="Percent of Global Population"/>
  </tableColumns>
  <tableStyleInfo name="Oscairia-style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Othya" displayName="Othya" ref="A1:F67">
  <tableColumns count="6">
    <tableColumn id="1" xr3:uid="{00000000-0010-0000-8200-000001000000}" name="Earth Year"/>
    <tableColumn id="2" xr3:uid="{00000000-0010-0000-8200-000002000000}" name="Year"/>
    <tableColumn id="3" xr3:uid="{00000000-0010-0000-8200-000003000000}" name="Population"/>
    <tableColumn id="4" xr3:uid="{00000000-0010-0000-8200-000004000000}" name="Pop growth"/>
    <tableColumn id="5" xr3:uid="{00000000-0010-0000-8200-000005000000}" name="Number Pop growth"/>
    <tableColumn id="6" xr3:uid="{00000000-0010-0000-8200-000006000000}" name="Percent of Global Population"/>
  </tableColumns>
  <tableStyleInfo name="Othya-style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Otiiric" displayName="Otiiric" ref="A1:F67">
  <tableColumns count="6">
    <tableColumn id="1" xr3:uid="{00000000-0010-0000-8300-000001000000}" name="Earth Year"/>
    <tableColumn id="2" xr3:uid="{00000000-0010-0000-8300-000002000000}" name="Year"/>
    <tableColumn id="3" xr3:uid="{00000000-0010-0000-8300-000003000000}" name="Population"/>
    <tableColumn id="4" xr3:uid="{00000000-0010-0000-8300-000004000000}" name="Pop growth"/>
    <tableColumn id="5" xr3:uid="{00000000-0010-0000-8300-000005000000}" name="Number Pop growth"/>
    <tableColumn id="6" xr3:uid="{00000000-0010-0000-8300-000006000000}" name="Percent of Global Population"/>
  </tableColumns>
  <tableStyleInfo name="Otiiric-style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Oyreain" displayName="Oyreain" ref="A1:F67">
  <tableColumns count="6">
    <tableColumn id="1" xr3:uid="{00000000-0010-0000-8400-000001000000}" name="Earth Year"/>
    <tableColumn id="2" xr3:uid="{00000000-0010-0000-8400-000002000000}" name="Year"/>
    <tableColumn id="3" xr3:uid="{00000000-0010-0000-8400-000003000000}" name="Population"/>
    <tableColumn id="4" xr3:uid="{00000000-0010-0000-8400-000004000000}" name="Pop growth"/>
    <tableColumn id="5" xr3:uid="{00000000-0010-0000-8400-000005000000}" name="Number Pop growth"/>
    <tableColumn id="6" xr3:uid="{00000000-0010-0000-8400-000006000000}" name="Percent of Global Population"/>
  </tableColumns>
  <tableStyleInfo name="Oyreain-style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Ozinia" displayName="Ozinia" ref="A1:F67">
  <tableColumns count="6">
    <tableColumn id="1" xr3:uid="{00000000-0010-0000-8500-000001000000}" name="Earth Year"/>
    <tableColumn id="2" xr3:uid="{00000000-0010-0000-8500-000002000000}" name="Year"/>
    <tableColumn id="3" xr3:uid="{00000000-0010-0000-8500-000003000000}" name="Population"/>
    <tableColumn id="4" xr3:uid="{00000000-0010-0000-8500-000004000000}" name="Pop growth"/>
    <tableColumn id="5" xr3:uid="{00000000-0010-0000-8500-000005000000}" name="Number Pop growth"/>
    <tableColumn id="6" xr3:uid="{00000000-0010-0000-8500-000006000000}" name="Percent of Global Population"/>
  </tableColumns>
  <tableStyleInfo name="Ozinia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Palina" displayName="Palina" ref="A1:F67">
  <tableColumns count="6">
    <tableColumn id="1" xr3:uid="{00000000-0010-0000-8600-000001000000}" name="Earth Year"/>
    <tableColumn id="2" xr3:uid="{00000000-0010-0000-8600-000002000000}" name="Year"/>
    <tableColumn id="3" xr3:uid="{00000000-0010-0000-8600-000003000000}" name="Population"/>
    <tableColumn id="4" xr3:uid="{00000000-0010-0000-8600-000004000000}" name="Pop growth"/>
    <tableColumn id="5" xr3:uid="{00000000-0010-0000-8600-000005000000}" name="Number Pop growth"/>
    <tableColumn id="6" xr3:uid="{00000000-0010-0000-8600-000006000000}" name="Percent of Global Population"/>
  </tableColumns>
  <tableStyleInfo name="Palina-style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Peka" displayName="Peka" ref="A1:F67">
  <tableColumns count="6">
    <tableColumn id="1" xr3:uid="{00000000-0010-0000-8700-000001000000}" name="Earth Year"/>
    <tableColumn id="2" xr3:uid="{00000000-0010-0000-8700-000002000000}" name="Year"/>
    <tableColumn id="3" xr3:uid="{00000000-0010-0000-8700-000003000000}" name="Population"/>
    <tableColumn id="4" xr3:uid="{00000000-0010-0000-8700-000004000000}" name="Pop growth"/>
    <tableColumn id="5" xr3:uid="{00000000-0010-0000-8700-000005000000}" name="Number Pop growth"/>
    <tableColumn id="6" xr3:uid="{00000000-0010-0000-8700-000006000000}" name="Percent of Global Population"/>
  </tableColumns>
  <tableStyleInfo name="Peka-style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Pelan" displayName="Pelan" ref="A1:F67">
  <tableColumns count="6">
    <tableColumn id="1" xr3:uid="{00000000-0010-0000-8800-000001000000}" name="Earth Year"/>
    <tableColumn id="2" xr3:uid="{00000000-0010-0000-8800-000002000000}" name="Year"/>
    <tableColumn id="3" xr3:uid="{00000000-0010-0000-8800-000003000000}" name="Population"/>
    <tableColumn id="4" xr3:uid="{00000000-0010-0000-8800-000004000000}" name="Pop growth"/>
    <tableColumn id="5" xr3:uid="{00000000-0010-0000-8800-000005000000}" name="Number Pop growth"/>
    <tableColumn id="6" xr3:uid="{00000000-0010-0000-8800-000006000000}" name="Percent of Global Population"/>
  </tableColumns>
  <tableStyleInfo name="Pelan-style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Pelines" displayName="Pelines" ref="A1:F67">
  <tableColumns count="6">
    <tableColumn id="1" xr3:uid="{00000000-0010-0000-8900-000001000000}" name="Earth Year"/>
    <tableColumn id="2" xr3:uid="{00000000-0010-0000-8900-000002000000}" name="Year"/>
    <tableColumn id="3" xr3:uid="{00000000-0010-0000-8900-000003000000}" name="Population"/>
    <tableColumn id="4" xr3:uid="{00000000-0010-0000-8900-000004000000}" name="Pop growth"/>
    <tableColumn id="5" xr3:uid="{00000000-0010-0000-8900-000005000000}" name="Number Pop growth"/>
    <tableColumn id="6" xr3:uid="{00000000-0010-0000-8900-000006000000}" name="Percent of Global Population"/>
  </tableColumns>
  <tableStyleInfo name="Pelines-style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Pelugrotoa" displayName="Pelugrotoa" ref="A1:F67">
  <tableColumns count="6">
    <tableColumn id="1" xr3:uid="{00000000-0010-0000-8A00-000001000000}" name="Earth Year"/>
    <tableColumn id="2" xr3:uid="{00000000-0010-0000-8A00-000002000000}" name="Year"/>
    <tableColumn id="3" xr3:uid="{00000000-0010-0000-8A00-000003000000}" name="Population"/>
    <tableColumn id="4" xr3:uid="{00000000-0010-0000-8A00-000004000000}" name="Pop growth"/>
    <tableColumn id="5" xr3:uid="{00000000-0010-0000-8A00-000005000000}" name="Number Pop growth"/>
    <tableColumn id="6" xr3:uid="{00000000-0010-0000-8A00-000006000000}" name="Percent of Global Population"/>
  </tableColumns>
  <tableStyleInfo name="Pelugrotoa-style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Pha_Hii" displayName="Pha_Hii" ref="A1:F67">
  <tableColumns count="6">
    <tableColumn id="1" xr3:uid="{00000000-0010-0000-8B00-000001000000}" name="Earth Year"/>
    <tableColumn id="2" xr3:uid="{00000000-0010-0000-8B00-000002000000}" name="Year"/>
    <tableColumn id="3" xr3:uid="{00000000-0010-0000-8B00-000003000000}" name="Population"/>
    <tableColumn id="4" xr3:uid="{00000000-0010-0000-8B00-000004000000}" name="Pop growth"/>
    <tableColumn id="5" xr3:uid="{00000000-0010-0000-8B00-000005000000}" name="Number Pop growth"/>
    <tableColumn id="6" xr3:uid="{00000000-0010-0000-8B00-000006000000}" name="Percent of Global Population"/>
  </tableColumns>
  <tableStyleInfo name="Pha Hii-style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Phuris" displayName="Phuris" ref="A1:F67">
  <tableColumns count="6">
    <tableColumn id="1" xr3:uid="{00000000-0010-0000-8C00-000001000000}" name="Earth Year"/>
    <tableColumn id="2" xr3:uid="{00000000-0010-0000-8C00-000002000000}" name="Year"/>
    <tableColumn id="3" xr3:uid="{00000000-0010-0000-8C00-000003000000}" name="Population"/>
    <tableColumn id="4" xr3:uid="{00000000-0010-0000-8C00-000004000000}" name="Pop growth"/>
    <tableColumn id="5" xr3:uid="{00000000-0010-0000-8C00-000005000000}" name="Number Pop growth"/>
    <tableColumn id="6" xr3:uid="{00000000-0010-0000-8C00-000006000000}" name="Percent of Global Population"/>
  </tableColumns>
  <tableStyleInfo name="Phuris-style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Praesyu" displayName="Praesyu" ref="A1:F67">
  <tableColumns count="6">
    <tableColumn id="1" xr3:uid="{00000000-0010-0000-8D00-000001000000}" name="Earth Year"/>
    <tableColumn id="2" xr3:uid="{00000000-0010-0000-8D00-000002000000}" name="Year"/>
    <tableColumn id="3" xr3:uid="{00000000-0010-0000-8D00-000003000000}" name="Population"/>
    <tableColumn id="4" xr3:uid="{00000000-0010-0000-8D00-000004000000}" name="Pop growth"/>
    <tableColumn id="5" xr3:uid="{00000000-0010-0000-8D00-000005000000}" name="Number Pop growth"/>
    <tableColumn id="6" xr3:uid="{00000000-0010-0000-8D00-000006000000}" name="Percent of Global Population"/>
  </tableColumns>
  <tableStyleInfo name="Praesyu-style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emplatge" displayName="templatge" ref="A1:F67">
  <tableColumns count="6">
    <tableColumn id="1" xr3:uid="{00000000-0010-0000-8E00-000001000000}" name="Earth Year"/>
    <tableColumn id="2" xr3:uid="{00000000-0010-0000-8E00-000002000000}" name="Year"/>
    <tableColumn id="3" xr3:uid="{00000000-0010-0000-8E00-000003000000}" name="Population"/>
    <tableColumn id="4" xr3:uid="{00000000-0010-0000-8E00-000004000000}" name="Pop growth"/>
    <tableColumn id="5" xr3:uid="{00000000-0010-0000-8E00-000005000000}" name="Number Pop growth"/>
    <tableColumn id="6" xr3:uid="{00000000-0010-0000-8E00-000006000000}" name="Percent of Global Population"/>
  </tableColumns>
  <tableStyleInfo name="Prstreula-style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Pruim_Fijan" displayName="Pruim_Fijan" ref="A1:F67">
  <tableColumns count="6">
    <tableColumn id="1" xr3:uid="{00000000-0010-0000-8F00-000001000000}" name="Earth Year"/>
    <tableColumn id="2" xr3:uid="{00000000-0010-0000-8F00-000002000000}" name="Year"/>
    <tableColumn id="3" xr3:uid="{00000000-0010-0000-8F00-000003000000}" name="Population"/>
    <tableColumn id="4" xr3:uid="{00000000-0010-0000-8F00-000004000000}" name="Pop growth"/>
    <tableColumn id="5" xr3:uid="{00000000-0010-0000-8F00-000005000000}" name="Number Pop growth"/>
    <tableColumn id="6" xr3:uid="{00000000-0010-0000-8F00-000006000000}" name="Percent of Global Population"/>
  </tableColumns>
  <tableStyleInfo name="Pruim Fijan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Prystr_Hii" displayName="Prystr_Hii" ref="A1:F67">
  <tableColumns count="6">
    <tableColumn id="1" xr3:uid="{00000000-0010-0000-9000-000001000000}" name="Earth Year"/>
    <tableColumn id="2" xr3:uid="{00000000-0010-0000-9000-000002000000}" name="Year"/>
    <tableColumn id="3" xr3:uid="{00000000-0010-0000-9000-000003000000}" name="Population"/>
    <tableColumn id="4" xr3:uid="{00000000-0010-0000-9000-000004000000}" name="Pop growth"/>
    <tableColumn id="5" xr3:uid="{00000000-0010-0000-9000-000005000000}" name="Number Pop growth"/>
    <tableColumn id="6" xr3:uid="{00000000-0010-0000-9000-000006000000}" name="Percent of Global Population"/>
  </tableColumns>
  <tableStyleInfo name="Prystr Hii-style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Quidic" displayName="Quidic" ref="A1:F67">
  <tableColumns count="6">
    <tableColumn id="1" xr3:uid="{00000000-0010-0000-9100-000001000000}" name="Earth Year"/>
    <tableColumn id="2" xr3:uid="{00000000-0010-0000-9100-000002000000}" name="Year"/>
    <tableColumn id="3" xr3:uid="{00000000-0010-0000-9100-000003000000}" name="Population"/>
    <tableColumn id="4" xr3:uid="{00000000-0010-0000-9100-000004000000}" name="Pop growth"/>
    <tableColumn id="5" xr3:uid="{00000000-0010-0000-9100-000005000000}" name="Number Pop growth"/>
    <tableColumn id="6" xr3:uid="{00000000-0010-0000-9100-000006000000}" name="Percent of Global Population"/>
  </tableColumns>
  <tableStyleInfo name="Quidic-style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Raledria" displayName="Raledria" ref="A1:F67">
  <tableColumns count="6">
    <tableColumn id="1" xr3:uid="{00000000-0010-0000-9200-000001000000}" name="Earth Year"/>
    <tableColumn id="2" xr3:uid="{00000000-0010-0000-9200-000002000000}" name="Year"/>
    <tableColumn id="3" xr3:uid="{00000000-0010-0000-9200-000003000000}" name="Population"/>
    <tableColumn id="4" xr3:uid="{00000000-0010-0000-9200-000004000000}" name="Pop growth"/>
    <tableColumn id="5" xr3:uid="{00000000-0010-0000-9200-000005000000}" name="Number Pop growth"/>
    <tableColumn id="6" xr3:uid="{00000000-0010-0000-9200-000006000000}" name="Percent of Global Population"/>
  </tableColumns>
  <tableStyleInfo name="Raledria-style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Reerica" displayName="Reerica" ref="A1:F67">
  <tableColumns count="6">
    <tableColumn id="1" xr3:uid="{00000000-0010-0000-9300-000001000000}" name="Reerica"/>
    <tableColumn id="2" xr3:uid="{00000000-0010-0000-9300-000002000000}" name="Year"/>
    <tableColumn id="3" xr3:uid="{00000000-0010-0000-9300-000003000000}" name="Population"/>
    <tableColumn id="4" xr3:uid="{00000000-0010-0000-9300-000004000000}" name="Pop growth"/>
    <tableColumn id="5" xr3:uid="{00000000-0010-0000-9300-000005000000}" name="Number Pop growth"/>
    <tableColumn id="6" xr3:uid="{00000000-0010-0000-9300-000006000000}" name="Percent of Global Population"/>
  </tableColumns>
  <tableStyleInfo name="Reerica-style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Rethern" displayName="Rethern" ref="A1:F67">
  <tableColumns count="6">
    <tableColumn id="1" xr3:uid="{00000000-0010-0000-9400-000001000000}" name="Earth Year"/>
    <tableColumn id="2" xr3:uid="{00000000-0010-0000-9400-000002000000}" name="Year"/>
    <tableColumn id="3" xr3:uid="{00000000-0010-0000-9400-000003000000}" name="Population"/>
    <tableColumn id="4" xr3:uid="{00000000-0010-0000-9400-000004000000}" name="Pop growth"/>
    <tableColumn id="5" xr3:uid="{00000000-0010-0000-9400-000005000000}" name="Number Pop growth"/>
    <tableColumn id="6" xr3:uid="{00000000-0010-0000-9400-000006000000}" name="Percent of Global Population"/>
  </tableColumns>
  <tableStyleInfo name="Rethern-style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Rijan_bu" displayName="Rijan_bu" ref="A1:F67">
  <tableColumns count="6">
    <tableColumn id="1" xr3:uid="{00000000-0010-0000-9500-000001000000}" name="Earth Year"/>
    <tableColumn id="2" xr3:uid="{00000000-0010-0000-9500-000002000000}" name="Year"/>
    <tableColumn id="3" xr3:uid="{00000000-0010-0000-9500-000003000000}" name="Population"/>
    <tableColumn id="4" xr3:uid="{00000000-0010-0000-9500-000004000000}" name="Pop growth"/>
    <tableColumn id="5" xr3:uid="{00000000-0010-0000-9500-000005000000}" name="Number Pop growth"/>
    <tableColumn id="6" xr3:uid="{00000000-0010-0000-9500-000006000000}" name="Percent of Global Population"/>
  </tableColumns>
  <tableStyleInfo name="Rijan bu-style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Rinew" displayName="Rinew" ref="A1:F67">
  <tableColumns count="6">
    <tableColumn id="1" xr3:uid="{00000000-0010-0000-9600-000001000000}" name="Earth Year"/>
    <tableColumn id="2" xr3:uid="{00000000-0010-0000-9600-000002000000}" name="Year"/>
    <tableColumn id="3" xr3:uid="{00000000-0010-0000-9600-000003000000}" name="Population"/>
    <tableColumn id="4" xr3:uid="{00000000-0010-0000-9600-000004000000}" name="Pop growth"/>
    <tableColumn id="5" xr3:uid="{00000000-0010-0000-9600-000005000000}" name="Number Pop growth"/>
    <tableColumn id="6" xr3:uid="{00000000-0010-0000-9600-000006000000}" name="Percent of Global Population"/>
  </tableColumns>
  <tableStyleInfo name="Rinew-style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Rkmepuia" displayName="Rkmepuia" ref="A1:F67">
  <tableColumns count="6">
    <tableColumn id="1" xr3:uid="{00000000-0010-0000-9700-000001000000}" name="Earth Year"/>
    <tableColumn id="2" xr3:uid="{00000000-0010-0000-9700-000002000000}" name="Year"/>
    <tableColumn id="3" xr3:uid="{00000000-0010-0000-9700-000003000000}" name="Population"/>
    <tableColumn id="4" xr3:uid="{00000000-0010-0000-9700-000004000000}" name="Pop growth"/>
    <tableColumn id="5" xr3:uid="{00000000-0010-0000-9700-000005000000}" name="Number Pop growth"/>
    <tableColumn id="6" xr3:uid="{00000000-0010-0000-9700-000006000000}" name="Percent of Global Population"/>
  </tableColumns>
  <tableStyleInfo name="Rkmepuia-style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Rtesania" displayName="Rtesania" ref="A1:F67">
  <tableColumns count="6">
    <tableColumn id="1" xr3:uid="{00000000-0010-0000-9800-000001000000}" name="Earth Year"/>
    <tableColumn id="2" xr3:uid="{00000000-0010-0000-9800-000002000000}" name="Year"/>
    <tableColumn id="3" xr3:uid="{00000000-0010-0000-9800-000003000000}" name="Population"/>
    <tableColumn id="4" xr3:uid="{00000000-0010-0000-9800-000004000000}" name="Pop growth"/>
    <tableColumn id="5" xr3:uid="{00000000-0010-0000-9800-000005000000}" name="Number Pop growth"/>
    <tableColumn id="6" xr3:uid="{00000000-0010-0000-9800-000006000000}" name="Percent of Global Population"/>
  </tableColumns>
  <tableStyleInfo name="Rtesania-style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Ruylku" displayName="Ruylku" ref="A1:F67">
  <tableColumns count="6">
    <tableColumn id="1" xr3:uid="{00000000-0010-0000-9900-000001000000}" name="Earth Year"/>
    <tableColumn id="2" xr3:uid="{00000000-0010-0000-9900-000002000000}" name="Year"/>
    <tableColumn id="3" xr3:uid="{00000000-0010-0000-9900-000003000000}" name="Population"/>
    <tableColumn id="4" xr3:uid="{00000000-0010-0000-9900-000004000000}" name="Pop growth"/>
    <tableColumn id="5" xr3:uid="{00000000-0010-0000-9900-000005000000}" name="Number Pop growth"/>
    <tableColumn id="6" xr3:uid="{00000000-0010-0000-9900-000006000000}" name="Percent of Global Population"/>
  </tableColumns>
  <tableStyleInfo name="Ruylku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Saa" displayName="Saa" ref="A1:F67">
  <tableColumns count="6">
    <tableColumn id="1" xr3:uid="{00000000-0010-0000-9A00-000001000000}" name="Earth Year"/>
    <tableColumn id="2" xr3:uid="{00000000-0010-0000-9A00-000002000000}" name="Year"/>
    <tableColumn id="3" xr3:uid="{00000000-0010-0000-9A00-000003000000}" name="Population"/>
    <tableColumn id="4" xr3:uid="{00000000-0010-0000-9A00-000004000000}" name="Pop growth"/>
    <tableColumn id="5" xr3:uid="{00000000-0010-0000-9A00-000005000000}" name="Number Pop growth"/>
    <tableColumn id="6" xr3:uid="{00000000-0010-0000-9A00-000006000000}" name="Percent of Global Population"/>
  </tableColumns>
  <tableStyleInfo name="Saa-style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Sadain" displayName="Sadain" ref="A1:F67">
  <tableColumns count="6">
    <tableColumn id="1" xr3:uid="{00000000-0010-0000-9B00-000001000000}" name="Earth Year"/>
    <tableColumn id="2" xr3:uid="{00000000-0010-0000-9B00-000002000000}" name="Year"/>
    <tableColumn id="3" xr3:uid="{00000000-0010-0000-9B00-000003000000}" name="Population"/>
    <tableColumn id="4" xr3:uid="{00000000-0010-0000-9B00-000004000000}" name="Pop growth"/>
    <tableColumn id="5" xr3:uid="{00000000-0010-0000-9B00-000005000000}" name="Number Pop growth"/>
    <tableColumn id="6" xr3:uid="{00000000-0010-0000-9B00-000006000000}" name="Percent of Global Population"/>
  </tableColumns>
  <tableStyleInfo name="Sadain-style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emplate_4" displayName="template_4" ref="A1:F67">
  <tableColumns count="6">
    <tableColumn id="1" xr3:uid="{00000000-0010-0000-9C00-000001000000}" name="Earth Year"/>
    <tableColumn id="2" xr3:uid="{00000000-0010-0000-9C00-000002000000}" name="Year"/>
    <tableColumn id="3" xr3:uid="{00000000-0010-0000-9C00-000003000000}" name="Population"/>
    <tableColumn id="4" xr3:uid="{00000000-0010-0000-9C00-000004000000}" name="Pop growth"/>
    <tableColumn id="5" xr3:uid="{00000000-0010-0000-9C00-000005000000}" name="Number Pop growth"/>
    <tableColumn id="6" xr3:uid="{00000000-0010-0000-9C00-000006000000}" name="Percent of Global Population"/>
  </tableColumns>
  <tableStyleInfo name="Sanagara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Sattle" displayName="Sattle" ref="A1:F67">
  <tableColumns count="6">
    <tableColumn id="1" xr3:uid="{00000000-0010-0000-9D00-000001000000}" name="Earth Year"/>
    <tableColumn id="2" xr3:uid="{00000000-0010-0000-9D00-000002000000}" name="Year"/>
    <tableColumn id="3" xr3:uid="{00000000-0010-0000-9D00-000003000000}" name="Population"/>
    <tableColumn id="4" xr3:uid="{00000000-0010-0000-9D00-000004000000}" name="Pop growth"/>
    <tableColumn id="5" xr3:uid="{00000000-0010-0000-9D00-000005000000}" name="Number Pop growth"/>
    <tableColumn id="6" xr3:uid="{00000000-0010-0000-9D00-000006000000}" name="Percent of Global Population"/>
  </tableColumns>
  <tableStyleInfo name="Sattle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Selaja" displayName="Selaja" ref="A1:F67">
  <tableColumns count="6">
    <tableColumn id="1" xr3:uid="{00000000-0010-0000-9E00-000001000000}" name="Earth Year"/>
    <tableColumn id="2" xr3:uid="{00000000-0010-0000-9E00-000002000000}" name="Year"/>
    <tableColumn id="3" xr3:uid="{00000000-0010-0000-9E00-000003000000}" name="Population"/>
    <tableColumn id="4" xr3:uid="{00000000-0010-0000-9E00-000004000000}" name="Pop growth"/>
    <tableColumn id="5" xr3:uid="{00000000-0010-0000-9E00-000005000000}" name="Number Pop growth"/>
    <tableColumn id="6" xr3:uid="{00000000-0010-0000-9E00-000006000000}" name="Percent of Global Population"/>
  </tableColumns>
  <tableStyleInfo name="Selaja-style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Seytinemas" displayName="Seytinemas" ref="A1:F67">
  <tableColumns count="6">
    <tableColumn id="1" xr3:uid="{00000000-0010-0000-9F00-000001000000}" name="Earth Year"/>
    <tableColumn id="2" xr3:uid="{00000000-0010-0000-9F00-000002000000}" name="Year"/>
    <tableColumn id="3" xr3:uid="{00000000-0010-0000-9F00-000003000000}" name="Population"/>
    <tableColumn id="4" xr3:uid="{00000000-0010-0000-9F00-000004000000}" name="Pop growth"/>
    <tableColumn id="5" xr3:uid="{00000000-0010-0000-9F00-000005000000}" name="Number Pop growth"/>
    <tableColumn id="6" xr3:uid="{00000000-0010-0000-9F00-000006000000}" name="Percent of Global Population"/>
  </tableColumns>
  <tableStyleInfo name="Seytinemas-style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Shinam" displayName="Shinam" ref="A1:F67">
  <tableColumns count="6">
    <tableColumn id="1" xr3:uid="{00000000-0010-0000-A000-000001000000}" name="Earth Year"/>
    <tableColumn id="2" xr3:uid="{00000000-0010-0000-A000-000002000000}" name="Year"/>
    <tableColumn id="3" xr3:uid="{00000000-0010-0000-A000-000003000000}" name="Population"/>
    <tableColumn id="4" xr3:uid="{00000000-0010-0000-A000-000004000000}" name="Pop growth"/>
    <tableColumn id="5" xr3:uid="{00000000-0010-0000-A000-000005000000}" name="Number Pop growth"/>
    <tableColumn id="6" xr3:uid="{00000000-0010-0000-A000-000006000000}" name="Percent of Global Population"/>
  </tableColumns>
  <tableStyleInfo name="Shinam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Shomjind" displayName="Shomjind" ref="A1:F67">
  <tableColumns count="6">
    <tableColumn id="1" xr3:uid="{00000000-0010-0000-A100-000001000000}" name="Earth Year"/>
    <tableColumn id="2" xr3:uid="{00000000-0010-0000-A100-000002000000}" name="Year"/>
    <tableColumn id="3" xr3:uid="{00000000-0010-0000-A100-000003000000}" name="Population"/>
    <tableColumn id="4" xr3:uid="{00000000-0010-0000-A100-000004000000}" name="Pop growth"/>
    <tableColumn id="5" xr3:uid="{00000000-0010-0000-A100-000005000000}" name="Number Pop growth"/>
    <tableColumn id="6" xr3:uid="{00000000-0010-0000-A100-000006000000}" name="Percent of Global Population"/>
  </tableColumns>
  <tableStyleInfo name="Shomjind-style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Siana" displayName="Siana" ref="A1:F67">
  <tableColumns count="6">
    <tableColumn id="1" xr3:uid="{00000000-0010-0000-A200-000001000000}" name="Earth Year"/>
    <tableColumn id="2" xr3:uid="{00000000-0010-0000-A200-000002000000}" name="Year"/>
    <tableColumn id="3" xr3:uid="{00000000-0010-0000-A200-000003000000}" name="Population"/>
    <tableColumn id="4" xr3:uid="{00000000-0010-0000-A200-000004000000}" name="Pop growth"/>
    <tableColumn id="5" xr3:uid="{00000000-0010-0000-A200-000005000000}" name="Number Pop growth"/>
    <tableColumn id="6" xr3:uid="{00000000-0010-0000-A200-000006000000}" name="Percent of Global Population"/>
  </tableColumns>
  <tableStyleInfo name="Siana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Sivoso" displayName="Sivoso" ref="A1:F67">
  <tableColumns count="6">
    <tableColumn id="1" xr3:uid="{00000000-0010-0000-A300-000001000000}" name="Sivoso"/>
    <tableColumn id="2" xr3:uid="{00000000-0010-0000-A300-000002000000}" name="Year"/>
    <tableColumn id="3" xr3:uid="{00000000-0010-0000-A300-000003000000}" name="Population"/>
    <tableColumn id="4" xr3:uid="{00000000-0010-0000-A300-000004000000}" name="Pop growth"/>
    <tableColumn id="5" xr3:uid="{00000000-0010-0000-A300-000005000000}" name="Number Pop growth"/>
    <tableColumn id="6" xr3:uid="{00000000-0010-0000-A300-000006000000}" name="Percent of Global Population"/>
  </tableColumns>
  <tableStyleInfo name="Sivoso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Slyiaduun" displayName="Slyiaduun" ref="A1:F67">
  <tableColumns count="6">
    <tableColumn id="1" xr3:uid="{00000000-0010-0000-A400-000001000000}" name="Earth Year"/>
    <tableColumn id="2" xr3:uid="{00000000-0010-0000-A400-000002000000}" name="Year"/>
    <tableColumn id="3" xr3:uid="{00000000-0010-0000-A400-000003000000}" name="Population"/>
    <tableColumn id="4" xr3:uid="{00000000-0010-0000-A400-000004000000}" name="Pop growth"/>
    <tableColumn id="5" xr3:uid="{00000000-0010-0000-A400-000005000000}" name="Number Pop growth"/>
    <tableColumn id="6" xr3:uid="{00000000-0010-0000-A400-000006000000}" name="Percent of Global Population"/>
  </tableColumns>
  <tableStyleInfo name="Slyiaduun-style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Stinebar" displayName="Stinebar" ref="A1:F67">
  <tableColumns count="6">
    <tableColumn id="1" xr3:uid="{00000000-0010-0000-A500-000001000000}" name="Earth Year"/>
    <tableColumn id="2" xr3:uid="{00000000-0010-0000-A500-000002000000}" name="Year"/>
    <tableColumn id="3" xr3:uid="{00000000-0010-0000-A500-000003000000}" name="Population"/>
    <tableColumn id="4" xr3:uid="{00000000-0010-0000-A500-000004000000}" name="Pop growth"/>
    <tableColumn id="5" xr3:uid="{00000000-0010-0000-A500-000005000000}" name="Number Pop growth"/>
    <tableColumn id="6" xr3:uid="{00000000-0010-0000-A500-000006000000}" name="Percent of Global Population"/>
  </tableColumns>
  <tableStyleInfo name="Stinebar-style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Suenan" displayName="Suenan" ref="A1:F67">
  <tableColumns count="6">
    <tableColumn id="1" xr3:uid="{00000000-0010-0000-A600-000001000000}" name="Earth Year"/>
    <tableColumn id="2" xr3:uid="{00000000-0010-0000-A600-000002000000}" name="Year"/>
    <tableColumn id="3" xr3:uid="{00000000-0010-0000-A600-000003000000}" name="Population"/>
    <tableColumn id="4" xr3:uid="{00000000-0010-0000-A600-000004000000}" name="Pop growth"/>
    <tableColumn id="5" xr3:uid="{00000000-0010-0000-A600-000005000000}" name="Number Pop growth"/>
    <tableColumn id="6" xr3:uid="{00000000-0010-0000-A600-000006000000}" name="Percent of Global Population"/>
  </tableColumns>
  <tableStyleInfo name="Suenan-style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Sunsokua" displayName="Sunsokua" ref="A1:F67">
  <tableColumns count="6">
    <tableColumn id="1" xr3:uid="{00000000-0010-0000-A700-000001000000}" name="Earth Year"/>
    <tableColumn id="2" xr3:uid="{00000000-0010-0000-A700-000002000000}" name="Year"/>
    <tableColumn id="3" xr3:uid="{00000000-0010-0000-A700-000003000000}" name="Population"/>
    <tableColumn id="4" xr3:uid="{00000000-0010-0000-A700-000004000000}" name="Pop growth"/>
    <tableColumn id="5" xr3:uid="{00000000-0010-0000-A700-000005000000}" name="Number Pop growth"/>
    <tableColumn id="6" xr3:uid="{00000000-0010-0000-A700-000006000000}" name="Percent of Global Population"/>
  </tableColumns>
  <tableStyleInfo name="Sunsokua-style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ing" displayName="Taing" ref="A1:F67">
  <tableColumns count="6">
    <tableColumn id="1" xr3:uid="{00000000-0010-0000-A800-000001000000}" name="Earth Year"/>
    <tableColumn id="2" xr3:uid="{00000000-0010-0000-A800-000002000000}" name="Year"/>
    <tableColumn id="3" xr3:uid="{00000000-0010-0000-A800-000003000000}" name="Population"/>
    <tableColumn id="4" xr3:uid="{00000000-0010-0000-A800-000004000000}" name="Pop growth"/>
    <tableColumn id="5" xr3:uid="{00000000-0010-0000-A800-000005000000}" name="Number Pop growth"/>
    <tableColumn id="6" xr3:uid="{00000000-0010-0000-A800-000006000000}" name="Percent of Global Population"/>
  </tableColumns>
  <tableStyleInfo name="Taing-style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niduna" displayName="Taniduna" ref="A1:F67">
  <tableColumns count="6">
    <tableColumn id="1" xr3:uid="{00000000-0010-0000-A900-000001000000}" name="Earth Year"/>
    <tableColumn id="2" xr3:uid="{00000000-0010-0000-A900-000002000000}" name="Year"/>
    <tableColumn id="3" xr3:uid="{00000000-0010-0000-A900-000003000000}" name="Population"/>
    <tableColumn id="4" xr3:uid="{00000000-0010-0000-A900-000004000000}" name="Pop growth"/>
    <tableColumn id="5" xr3:uid="{00000000-0010-0000-A900-000005000000}" name="Number Pop growth"/>
    <tableColumn id="6" xr3:uid="{00000000-0010-0000-A900-000006000000}" name="Percent of Global Population"/>
  </tableColumns>
  <tableStyleInfo name="Taniduna-style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oisia" displayName="Taoisia" ref="A1:F67">
  <tableColumns count="6">
    <tableColumn id="1" xr3:uid="{00000000-0010-0000-AA00-000001000000}" name="Earth Year"/>
    <tableColumn id="2" xr3:uid="{00000000-0010-0000-AA00-000002000000}" name="Year"/>
    <tableColumn id="3" xr3:uid="{00000000-0010-0000-AA00-000003000000}" name="Population"/>
    <tableColumn id="4" xr3:uid="{00000000-0010-0000-AA00-000004000000}" name="Pop growth"/>
    <tableColumn id="5" xr3:uid="{00000000-0010-0000-AA00-000005000000}" name="Number Pop growth"/>
    <tableColumn id="6" xr3:uid="{00000000-0010-0000-AA00-000006000000}" name="Percent of Global Population"/>
  </tableColumns>
  <tableStyleInfo name="Taoisia-style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val" displayName="Taval" ref="A1:F67">
  <tableColumns count="6">
    <tableColumn id="1" xr3:uid="{00000000-0010-0000-AB00-000001000000}" name="Earth Year"/>
    <tableColumn id="2" xr3:uid="{00000000-0010-0000-AB00-000002000000}" name="Year"/>
    <tableColumn id="3" xr3:uid="{00000000-0010-0000-AB00-000003000000}" name="Population"/>
    <tableColumn id="4" xr3:uid="{00000000-0010-0000-AB00-000004000000}" name="Pop growth"/>
    <tableColumn id="5" xr3:uid="{00000000-0010-0000-AB00-000005000000}" name="Number Pop growth"/>
    <tableColumn id="6" xr3:uid="{00000000-0010-0000-AB00-000006000000}" name="Percent of Global Population"/>
  </tableColumns>
  <tableStyleInfo name="Taval-style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erressin" displayName="Terressin" ref="A1:F67">
  <tableColumns count="6">
    <tableColumn id="1" xr3:uid="{00000000-0010-0000-AC00-000001000000}" name="Earth Year"/>
    <tableColumn id="2" xr3:uid="{00000000-0010-0000-AC00-000002000000}" name="Year"/>
    <tableColumn id="3" xr3:uid="{00000000-0010-0000-AC00-000003000000}" name="Population"/>
    <tableColumn id="4" xr3:uid="{00000000-0010-0000-AC00-000004000000}" name="Pop growth"/>
    <tableColumn id="5" xr3:uid="{00000000-0010-0000-AC00-000005000000}" name="Number Pop growth"/>
    <tableColumn id="6" xr3:uid="{00000000-0010-0000-AC00-000006000000}" name="Percent of Global Population"/>
  </tableColumns>
  <tableStyleInfo name="Terressin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omscilus" displayName="Tomscilus" ref="A1:F67">
  <tableColumns count="6">
    <tableColumn id="1" xr3:uid="{00000000-0010-0000-AD00-000001000000}" name="Earth Year"/>
    <tableColumn id="2" xr3:uid="{00000000-0010-0000-AD00-000002000000}" name="Year"/>
    <tableColumn id="3" xr3:uid="{00000000-0010-0000-AD00-000003000000}" name="Population"/>
    <tableColumn id="4" xr3:uid="{00000000-0010-0000-AD00-000004000000}" name="Pop growth"/>
    <tableColumn id="5" xr3:uid="{00000000-0010-0000-AD00-000005000000}" name="Number Pop growth"/>
    <tableColumn id="6" xr3:uid="{00000000-0010-0000-AD00-000006000000}" name="Percent of Global Population"/>
  </tableColumns>
  <tableStyleInfo name="Tomscilus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onder" displayName="Tonder" ref="A1:F67">
  <tableColumns count="6">
    <tableColumn id="1" xr3:uid="{00000000-0010-0000-AE00-000001000000}" name="Earth Year"/>
    <tableColumn id="2" xr3:uid="{00000000-0010-0000-AE00-000002000000}" name="Year"/>
    <tableColumn id="3" xr3:uid="{00000000-0010-0000-AE00-000003000000}" name="Population"/>
    <tableColumn id="4" xr3:uid="{00000000-0010-0000-AE00-000004000000}" name="Pop growth"/>
    <tableColumn id="5" xr3:uid="{00000000-0010-0000-AE00-000005000000}" name="Number Pop growth"/>
    <tableColumn id="6" xr3:uid="{00000000-0010-0000-AE00-000006000000}" name="Percent of Global Population"/>
  </tableColumns>
  <tableStyleInfo name="Tonder-style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revilla" displayName="Trevilla" ref="A1:F67">
  <tableColumns count="6">
    <tableColumn id="1" xr3:uid="{00000000-0010-0000-AF00-000001000000}" name="Earth Year"/>
    <tableColumn id="2" xr3:uid="{00000000-0010-0000-AF00-000002000000}" name="Year"/>
    <tableColumn id="3" xr3:uid="{00000000-0010-0000-AF00-000003000000}" name="Population"/>
    <tableColumn id="4" xr3:uid="{00000000-0010-0000-AF00-000004000000}" name="Pop growth"/>
    <tableColumn id="5" xr3:uid="{00000000-0010-0000-AF00-000005000000}" name="Number Pop growth"/>
    <tableColumn id="6" xr3:uid="{00000000-0010-0000-AF00-000006000000}" name="Percent of Global Population"/>
  </tableColumns>
  <tableStyleInfo name="Trevilla-style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rian" displayName="Trian" ref="A1:F67">
  <tableColumns count="6">
    <tableColumn id="1" xr3:uid="{00000000-0010-0000-B000-000001000000}" name="Earth Year"/>
    <tableColumn id="2" xr3:uid="{00000000-0010-0000-B000-000002000000}" name="Year"/>
    <tableColumn id="3" xr3:uid="{00000000-0010-0000-B000-000003000000}" name="Population"/>
    <tableColumn id="4" xr3:uid="{00000000-0010-0000-B000-000004000000}" name="Pop growth"/>
    <tableColumn id="5" xr3:uid="{00000000-0010-0000-B000-000005000000}" name="Number Pop growth"/>
    <tableColumn id="6" xr3:uid="{00000000-0010-0000-B000-000006000000}" name="Percent of Global Population"/>
  </tableColumns>
  <tableStyleInfo name="Trian-style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vecoca" displayName="Tvecoca" ref="A1:F67">
  <tableColumns count="6">
    <tableColumn id="1" xr3:uid="{00000000-0010-0000-B100-000001000000}" name="Earth Year"/>
    <tableColumn id="2" xr3:uid="{00000000-0010-0000-B100-000002000000}" name="Year"/>
    <tableColumn id="3" xr3:uid="{00000000-0010-0000-B100-000003000000}" name="Population"/>
    <tableColumn id="4" xr3:uid="{00000000-0010-0000-B100-000004000000}" name="Pop growth"/>
    <tableColumn id="5" xr3:uid="{00000000-0010-0000-B100-000005000000}" name="Number Pop growth"/>
    <tableColumn id="6" xr3:uid="{00000000-0010-0000-B100-000006000000}" name="Percent of Global Population"/>
  </tableColumns>
  <tableStyleInfo name="Tvecoca-style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Ucrua" displayName="Ucrua" ref="A1:F67">
  <tableColumns count="6">
    <tableColumn id="1" xr3:uid="{00000000-0010-0000-B200-000001000000}" name="Earth Year"/>
    <tableColumn id="2" xr3:uid="{00000000-0010-0000-B200-000002000000}" name="Year"/>
    <tableColumn id="3" xr3:uid="{00000000-0010-0000-B200-000003000000}" name="Population"/>
    <tableColumn id="4" xr3:uid="{00000000-0010-0000-B200-000004000000}" name="Pop growth"/>
    <tableColumn id="5" xr3:uid="{00000000-0010-0000-B200-000005000000}" name="Number Pop growth"/>
    <tableColumn id="6" xr3:uid="{00000000-0010-0000-B200-000006000000}" name="Percent of Global Population"/>
  </tableColumns>
  <tableStyleInfo name="Ucrua-style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Ukhdari" displayName="Ukhdari" ref="A1:F67">
  <tableColumns count="6">
    <tableColumn id="1" xr3:uid="{00000000-0010-0000-B300-000001000000}" name="Earth Year"/>
    <tableColumn id="2" xr3:uid="{00000000-0010-0000-B300-000002000000}" name="Year"/>
    <tableColumn id="3" xr3:uid="{00000000-0010-0000-B300-000003000000}" name="Population"/>
    <tableColumn id="4" xr3:uid="{00000000-0010-0000-B300-000004000000}" name="Pop growth"/>
    <tableColumn id="5" xr3:uid="{00000000-0010-0000-B300-000005000000}" name="Number Pop growth"/>
    <tableColumn id="6" xr3:uid="{00000000-0010-0000-B300-000006000000}" name="Percent of Global Population"/>
  </tableColumns>
  <tableStyleInfo name="Ukhdari-style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Umarcia" displayName="Umarcia" ref="A1:F67">
  <tableColumns count="6">
    <tableColumn id="1" xr3:uid="{00000000-0010-0000-B400-000001000000}" name="Earth Year"/>
    <tableColumn id="2" xr3:uid="{00000000-0010-0000-B400-000002000000}" name="Year"/>
    <tableColumn id="3" xr3:uid="{00000000-0010-0000-B400-000003000000}" name="Population"/>
    <tableColumn id="4" xr3:uid="{00000000-0010-0000-B400-000004000000}" name="Pop growth"/>
    <tableColumn id="5" xr3:uid="{00000000-0010-0000-B400-000005000000}" name="Number Pop growth"/>
    <tableColumn id="6" xr3:uid="{00000000-0010-0000-B400-000006000000}" name="Percent of Global Population"/>
  </tableColumns>
  <tableStyleInfo name="Umarcia-style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Umendel" displayName="Umendel" ref="A1:F67">
  <tableColumns count="6">
    <tableColumn id="1" xr3:uid="{00000000-0010-0000-B500-000001000000}" name="Earth Year"/>
    <tableColumn id="2" xr3:uid="{00000000-0010-0000-B500-000002000000}" name="Year"/>
    <tableColumn id="3" xr3:uid="{00000000-0010-0000-B500-000003000000}" name="Population"/>
    <tableColumn id="4" xr3:uid="{00000000-0010-0000-B500-000004000000}" name="Pop growth"/>
    <tableColumn id="5" xr3:uid="{00000000-0010-0000-B500-000005000000}" name="Number Pop growth"/>
    <tableColumn id="6" xr3:uid="{00000000-0010-0000-B500-000006000000}" name="Percent of Global Population"/>
  </tableColumns>
  <tableStyleInfo name="Umendel-style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United_Delet" displayName="United_Delet" ref="A1:F67">
  <tableColumns count="6">
    <tableColumn id="1" xr3:uid="{00000000-0010-0000-B600-000001000000}" name="Earth Year"/>
    <tableColumn id="2" xr3:uid="{00000000-0010-0000-B600-000002000000}" name="Year"/>
    <tableColumn id="3" xr3:uid="{00000000-0010-0000-B600-000003000000}" name="Population"/>
    <tableColumn id="4" xr3:uid="{00000000-0010-0000-B600-000004000000}" name="Pop growth"/>
    <tableColumn id="5" xr3:uid="{00000000-0010-0000-B600-000005000000}" name="Number Pop growth"/>
    <tableColumn id="6" xr3:uid="{00000000-0010-0000-B600-000006000000}" name="Percent of Global Population"/>
  </tableColumns>
  <tableStyleInfo name="United Delet-style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United_Mihili" displayName="United_Mihili" ref="A1:F67">
  <tableColumns count="6">
    <tableColumn id="1" xr3:uid="{00000000-0010-0000-B700-000001000000}" name="Earth Year"/>
    <tableColumn id="2" xr3:uid="{00000000-0010-0000-B700-000002000000}" name="Year"/>
    <tableColumn id="3" xr3:uid="{00000000-0010-0000-B700-000003000000}" name="Population"/>
    <tableColumn id="4" xr3:uid="{00000000-0010-0000-B700-000004000000}" name="Pop growth"/>
    <tableColumn id="5" xr3:uid="{00000000-0010-0000-B700-000005000000}" name="Number Pop growth"/>
    <tableColumn id="6" xr3:uid="{00000000-0010-0000-B700-000006000000}" name="Percent of Global Population"/>
  </tableColumns>
  <tableStyleInfo name="United Mihili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Urbiqu" displayName="Urbiqu" ref="A1:F67">
  <tableColumns count="6">
    <tableColumn id="1" xr3:uid="{00000000-0010-0000-B800-000001000000}" name="Earth Year"/>
    <tableColumn id="2" xr3:uid="{00000000-0010-0000-B800-000002000000}" name="Year"/>
    <tableColumn id="3" xr3:uid="{00000000-0010-0000-B800-000003000000}" name="Population"/>
    <tableColumn id="4" xr3:uid="{00000000-0010-0000-B800-000004000000}" name="Pop growth"/>
    <tableColumn id="5" xr3:uid="{00000000-0010-0000-B800-000005000000}" name="Number Pop growth"/>
    <tableColumn id="6" xr3:uid="{00000000-0010-0000-B800-000006000000}" name="Percent of Global Population"/>
  </tableColumns>
  <tableStyleInfo name="Urbiqu-style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Uularin" displayName="Uularin" ref="A1:F67">
  <tableColumns count="6">
    <tableColumn id="1" xr3:uid="{00000000-0010-0000-B900-000001000000}" name="Earth Year"/>
    <tableColumn id="2" xr3:uid="{00000000-0010-0000-B900-000002000000}" name="Year"/>
    <tableColumn id="3" xr3:uid="{00000000-0010-0000-B900-000003000000}" name="Population"/>
    <tableColumn id="4" xr3:uid="{00000000-0010-0000-B900-000004000000}" name="Pop growth"/>
    <tableColumn id="5" xr3:uid="{00000000-0010-0000-B900-000005000000}" name="Number Pop growth"/>
    <tableColumn id="6" xr3:uid="{00000000-0010-0000-B900-000006000000}" name="Percent of Global Population"/>
  </tableColumns>
  <tableStyleInfo name="Uularin-style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Vayvele" displayName="Vayvele" ref="A1:F67">
  <tableColumns count="6">
    <tableColumn id="1" xr3:uid="{00000000-0010-0000-BA00-000001000000}" name="Earth Year"/>
    <tableColumn id="2" xr3:uid="{00000000-0010-0000-BA00-000002000000}" name="Year"/>
    <tableColumn id="3" xr3:uid="{00000000-0010-0000-BA00-000003000000}" name="Population"/>
    <tableColumn id="4" xr3:uid="{00000000-0010-0000-BA00-000004000000}" name="Pop growth"/>
    <tableColumn id="5" xr3:uid="{00000000-0010-0000-BA00-000005000000}" name="Number Pop growth"/>
    <tableColumn id="6" xr3:uid="{00000000-0010-0000-BA00-000006000000}" name="Percent of Global Population"/>
  </tableColumns>
  <tableStyleInfo name="Vayvele-style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Veelmit" displayName="Veelmit" ref="A1:F67">
  <tableColumns count="6">
    <tableColumn id="1" xr3:uid="{00000000-0010-0000-BB00-000001000000}" name="Earth Year"/>
    <tableColumn id="2" xr3:uid="{00000000-0010-0000-BB00-000002000000}" name="Year"/>
    <tableColumn id="3" xr3:uid="{00000000-0010-0000-BB00-000003000000}" name="Population"/>
    <tableColumn id="4" xr3:uid="{00000000-0010-0000-BB00-000004000000}" name="Pop growth"/>
    <tableColumn id="5" xr3:uid="{00000000-0010-0000-BB00-000005000000}" name="Number Pop growth"/>
    <tableColumn id="6" xr3:uid="{00000000-0010-0000-BB00-000006000000}" name="Percent of Global Population"/>
  </tableColumns>
  <tableStyleInfo name="Veelmit-style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Verste" displayName="Verste" ref="A1:F67">
  <tableColumns count="6">
    <tableColumn id="1" xr3:uid="{00000000-0010-0000-BC00-000001000000}" name="Earth Year"/>
    <tableColumn id="2" xr3:uid="{00000000-0010-0000-BC00-000002000000}" name="Year"/>
    <tableColumn id="3" xr3:uid="{00000000-0010-0000-BC00-000003000000}" name="Population"/>
    <tableColumn id="4" xr3:uid="{00000000-0010-0000-BC00-000004000000}" name="Pop growth"/>
    <tableColumn id="5" xr3:uid="{00000000-0010-0000-BC00-000005000000}" name="Number Pop growth"/>
    <tableColumn id="6" xr3:uid="{00000000-0010-0000-BC00-000006000000}" name="Percent of Global Population"/>
  </tableColumns>
  <tableStyleInfo name="Verste-style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Verusa" displayName="Verusa" ref="A1:F67">
  <tableColumns count="6">
    <tableColumn id="1" xr3:uid="{00000000-0010-0000-BD00-000001000000}" name="Earth Year"/>
    <tableColumn id="2" xr3:uid="{00000000-0010-0000-BD00-000002000000}" name="Year"/>
    <tableColumn id="3" xr3:uid="{00000000-0010-0000-BD00-000003000000}" name="Population"/>
    <tableColumn id="4" xr3:uid="{00000000-0010-0000-BD00-000004000000}" name="Pop growth"/>
    <tableColumn id="5" xr3:uid="{00000000-0010-0000-BD00-000005000000}" name="Number Pop growth"/>
    <tableColumn id="6" xr3:uid="{00000000-0010-0000-BD00-000006000000}" name="Percent of Global Population"/>
  </tableColumns>
  <tableStyleInfo name="Verusa-style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Vesozata" displayName="Vesozata" ref="A1:F67">
  <tableColumns count="6">
    <tableColumn id="1" xr3:uid="{00000000-0010-0000-BE00-000001000000}" name="Earth Year"/>
    <tableColumn id="2" xr3:uid="{00000000-0010-0000-BE00-000002000000}" name="Year"/>
    <tableColumn id="3" xr3:uid="{00000000-0010-0000-BE00-000003000000}" name="Population"/>
    <tableColumn id="4" xr3:uid="{00000000-0010-0000-BE00-000004000000}" name="Pop growth"/>
    <tableColumn id="5" xr3:uid="{00000000-0010-0000-BE00-000005000000}" name="Number Pop growth"/>
    <tableColumn id="6" xr3:uid="{00000000-0010-0000-BE00-000006000000}" name="Percent of Global Population"/>
  </tableColumns>
  <tableStyleInfo name="Vesozata-style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Viussi" displayName="Viussi" ref="A1:F67">
  <tableColumns count="6">
    <tableColumn id="1" xr3:uid="{00000000-0010-0000-BF00-000001000000}" name="Earth Year"/>
    <tableColumn id="2" xr3:uid="{00000000-0010-0000-BF00-000002000000}" name="Year"/>
    <tableColumn id="3" xr3:uid="{00000000-0010-0000-BF00-000003000000}" name="Population"/>
    <tableColumn id="4" xr3:uid="{00000000-0010-0000-BF00-000004000000}" name="Pop growth"/>
    <tableColumn id="5" xr3:uid="{00000000-0010-0000-BF00-000005000000}" name="Number Pop growth"/>
    <tableColumn id="6" xr3:uid="{00000000-0010-0000-BF00-000006000000}" name="Percent of Global Population"/>
  </tableColumns>
  <tableStyleInfo name="Viussi-style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Volver" displayName="Volver" ref="A1:F67">
  <tableColumns count="6">
    <tableColumn id="1" xr3:uid="{00000000-0010-0000-C000-000001000000}" name="Earth Year"/>
    <tableColumn id="2" xr3:uid="{00000000-0010-0000-C000-000002000000}" name="Year"/>
    <tableColumn id="3" xr3:uid="{00000000-0010-0000-C000-000003000000}" name="Population"/>
    <tableColumn id="4" xr3:uid="{00000000-0010-0000-C000-000004000000}" name="Pop growth"/>
    <tableColumn id="5" xr3:uid="{00000000-0010-0000-C000-000005000000}" name="Number Pop growth"/>
    <tableColumn id="6" xr3:uid="{00000000-0010-0000-C000-000006000000}" name="Percent of Global Population"/>
  </tableColumns>
  <tableStyleInfo name="Volver-style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Walporein" displayName="Walporein" ref="A1:F67">
  <tableColumns count="6">
    <tableColumn id="1" xr3:uid="{00000000-0010-0000-C100-000001000000}" name="Earth Year"/>
    <tableColumn id="2" xr3:uid="{00000000-0010-0000-C100-000002000000}" name="Year"/>
    <tableColumn id="3" xr3:uid="{00000000-0010-0000-C100-000003000000}" name="Population"/>
    <tableColumn id="4" xr3:uid="{00000000-0010-0000-C100-000004000000}" name="Pop growth"/>
    <tableColumn id="5" xr3:uid="{00000000-0010-0000-C100-000005000000}" name="Number Pop growth"/>
    <tableColumn id="6" xr3:uid="{00000000-0010-0000-C100-000006000000}" name="Percent of Global Population"/>
  </tableColumns>
  <tableStyleInfo name="Walporein-style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Welenu_Fana" displayName="Welenu_Fana" ref="A1:F67">
  <tableColumns count="6">
    <tableColumn id="1" xr3:uid="{00000000-0010-0000-C200-000001000000}" name="Earth Year"/>
    <tableColumn id="2" xr3:uid="{00000000-0010-0000-C200-000002000000}" name="Year"/>
    <tableColumn id="3" xr3:uid="{00000000-0010-0000-C200-000003000000}" name="Population"/>
    <tableColumn id="4" xr3:uid="{00000000-0010-0000-C200-000004000000}" name="Pop growth"/>
    <tableColumn id="5" xr3:uid="{00000000-0010-0000-C200-000005000000}" name="Number Pop growth"/>
    <tableColumn id="6" xr3:uid="{00000000-0010-0000-C200-000006000000}" name="Percent of Global Population"/>
  </tableColumns>
  <tableStyleInfo name="Welenu Fana-style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Western_Migoku" displayName="Western_Migoku" ref="A1:F67">
  <tableColumns count="6">
    <tableColumn id="1" xr3:uid="{00000000-0010-0000-C300-000001000000}" name="Earth Year"/>
    <tableColumn id="2" xr3:uid="{00000000-0010-0000-C300-000002000000}" name="Year"/>
    <tableColumn id="3" xr3:uid="{00000000-0010-0000-C300-000003000000}" name="Population"/>
    <tableColumn id="4" xr3:uid="{00000000-0010-0000-C300-000004000000}" name="Pop growth"/>
    <tableColumn id="5" xr3:uid="{00000000-0010-0000-C300-000005000000}" name="Number Pop growth"/>
    <tableColumn id="6" xr3:uid="{00000000-0010-0000-C300-000006000000}" name="Percent of Global Population"/>
  </tableColumns>
  <tableStyleInfo name="Western Migoku-style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Wundry" displayName="Wundry" ref="A1:F67">
  <tableColumns count="6">
    <tableColumn id="1" xr3:uid="{00000000-0010-0000-C400-000001000000}" name="Earth Year"/>
    <tableColumn id="2" xr3:uid="{00000000-0010-0000-C400-000002000000}" name="Year"/>
    <tableColumn id="3" xr3:uid="{00000000-0010-0000-C400-000003000000}" name="Population"/>
    <tableColumn id="4" xr3:uid="{00000000-0010-0000-C400-000004000000}" name="Pop growth"/>
    <tableColumn id="5" xr3:uid="{00000000-0010-0000-C400-000005000000}" name="Number Pop growth"/>
    <tableColumn id="6" xr3:uid="{00000000-0010-0000-C400-000006000000}" name="Percent of Global Population"/>
  </tableColumns>
  <tableStyleInfo name="Wundry-style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Yaxuto" displayName="Yaxuto" ref="A1:F67">
  <tableColumns count="6">
    <tableColumn id="1" xr3:uid="{00000000-0010-0000-C500-000001000000}" name="Earth Year"/>
    <tableColumn id="2" xr3:uid="{00000000-0010-0000-C500-000002000000}" name="Year"/>
    <tableColumn id="3" xr3:uid="{00000000-0010-0000-C500-000003000000}" name="Population"/>
    <tableColumn id="4" xr3:uid="{00000000-0010-0000-C500-000004000000}" name="Pop growth"/>
    <tableColumn id="5" xr3:uid="{00000000-0010-0000-C500-000005000000}" name="Number Pop growth"/>
    <tableColumn id="6" xr3:uid="{00000000-0010-0000-C500-000006000000}" name="Percent of Global Population"/>
  </tableColumns>
  <tableStyleInfo name="Yaxuto-style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Yihnurda" displayName="Yihnurda" ref="A1:F67">
  <tableColumns count="6">
    <tableColumn id="1" xr3:uid="{00000000-0010-0000-C600-000001000000}" name="Earth Year"/>
    <tableColumn id="2" xr3:uid="{00000000-0010-0000-C600-000002000000}" name="Year"/>
    <tableColumn id="3" xr3:uid="{00000000-0010-0000-C600-000003000000}" name="Population"/>
    <tableColumn id="4" xr3:uid="{00000000-0010-0000-C600-000004000000}" name="Pop growth"/>
    <tableColumn id="5" xr3:uid="{00000000-0010-0000-C600-000005000000}" name="Number Pop growth"/>
    <tableColumn id="6" xr3:uid="{00000000-0010-0000-C600-000006000000}" name="Percent of Global Population"/>
  </tableColumns>
  <tableStyleInfo name="Yihnurda-style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Yoprioq" displayName="Yoprioq" ref="A1:F67">
  <tableColumns count="6">
    <tableColumn id="1" xr3:uid="{00000000-0010-0000-C700-000001000000}" name="Earth Year"/>
    <tableColumn id="2" xr3:uid="{00000000-0010-0000-C700-000002000000}" name="Year"/>
    <tableColumn id="3" xr3:uid="{00000000-0010-0000-C700-000003000000}" name="Population"/>
    <tableColumn id="4" xr3:uid="{00000000-0010-0000-C700-000004000000}" name="Pop growth"/>
    <tableColumn id="5" xr3:uid="{00000000-0010-0000-C700-000005000000}" name="Number Pop growth"/>
    <tableColumn id="6" xr3:uid="{00000000-0010-0000-C700-000006000000}" name="Percent of Global Population"/>
  </tableColumns>
  <tableStyleInfo name="Yoprioq-style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Yutnitu" displayName="Yutnitu" ref="A1:F67">
  <tableColumns count="6">
    <tableColumn id="1" xr3:uid="{00000000-0010-0000-C800-000001000000}" name="Earth Year"/>
    <tableColumn id="2" xr3:uid="{00000000-0010-0000-C800-000002000000}" name="Year"/>
    <tableColumn id="3" xr3:uid="{00000000-0010-0000-C800-000003000000}" name="Population"/>
    <tableColumn id="4" xr3:uid="{00000000-0010-0000-C800-000004000000}" name="Pop growth"/>
    <tableColumn id="5" xr3:uid="{00000000-0010-0000-C800-000005000000}" name="Number Pop growth"/>
    <tableColumn id="6" xr3:uid="{00000000-0010-0000-C800-000006000000}" name="Percent of Global Population"/>
  </tableColumns>
  <tableStyleInfo name="Yutnitu-style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Zenashan" displayName="Zenashan" ref="A1:F67">
  <tableColumns count="6">
    <tableColumn id="1" xr3:uid="{00000000-0010-0000-C900-000001000000}" name="Earth Year"/>
    <tableColumn id="2" xr3:uid="{00000000-0010-0000-C900-000002000000}" name="Year"/>
    <tableColumn id="3" xr3:uid="{00000000-0010-0000-C900-000003000000}" name="Population"/>
    <tableColumn id="4" xr3:uid="{00000000-0010-0000-C900-000004000000}" name="Pop growth"/>
    <tableColumn id="5" xr3:uid="{00000000-0010-0000-C900-000005000000}" name="Number Pop growth"/>
    <tableColumn id="6" xr3:uid="{00000000-0010-0000-C900-000006000000}" name="Percent of Global Population"/>
  </tableColumns>
  <tableStyleInfo name="Zenashan-style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Zhanshe" displayName="Zhanshe" ref="A1:F67">
  <tableColumns count="6">
    <tableColumn id="1" xr3:uid="{00000000-0010-0000-CA00-000001000000}" name="Earth Year"/>
    <tableColumn id="2" xr3:uid="{00000000-0010-0000-CA00-000002000000}" name="Year"/>
    <tableColumn id="3" xr3:uid="{00000000-0010-0000-CA00-000003000000}" name="Population"/>
    <tableColumn id="4" xr3:uid="{00000000-0010-0000-CA00-000004000000}" name="Pop growth"/>
    <tableColumn id="5" xr3:uid="{00000000-0010-0000-CA00-000005000000}" name="Number Pop growth"/>
    <tableColumn id="6" xr3:uid="{00000000-0010-0000-CA00-000006000000}" name="Percent of Global Population"/>
  </tableColumns>
  <tableStyleInfo name="Zhanshe-style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Ztesh" displayName="Ztesh" ref="A1:F67">
  <tableColumns count="6">
    <tableColumn id="1" xr3:uid="{00000000-0010-0000-CB00-000001000000}" name="Earth Year"/>
    <tableColumn id="2" xr3:uid="{00000000-0010-0000-CB00-000002000000}" name="Year"/>
    <tableColumn id="3" xr3:uid="{00000000-0010-0000-CB00-000003000000}" name="Population"/>
    <tableColumn id="4" xr3:uid="{00000000-0010-0000-CB00-000004000000}" name="Pop growth"/>
    <tableColumn id="5" xr3:uid="{00000000-0010-0000-CB00-000005000000}" name="Number Pop growth"/>
    <tableColumn id="6" xr3:uid="{00000000-0010-0000-CB00-000006000000}" name="Percent of Global Population"/>
  </tableColumns>
  <tableStyleInfo name="Zt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3" Type="http://schemas.openxmlformats.org/officeDocument/2006/relationships/table" Target="../tables/table11.xml"/><Relationship Id="rId21" Type="http://schemas.openxmlformats.org/officeDocument/2006/relationships/table" Target="../tables/table29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" Type="http://schemas.openxmlformats.org/officeDocument/2006/relationships/table" Target="../tables/table10.xml"/><Relationship Id="rId16" Type="http://schemas.openxmlformats.org/officeDocument/2006/relationships/table" Target="../tables/table24.xml"/><Relationship Id="rId20" Type="http://schemas.openxmlformats.org/officeDocument/2006/relationships/table" Target="../tables/table28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C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3" max="3" width="19.0898437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</cols>
  <sheetData>
    <row r="1" spans="1:8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spans="1:81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6813753981.0332737</v>
      </c>
      <c r="D2" s="5">
        <f t="shared" ref="D2:D65" si="1">((C2-C3)/C3)</f>
        <v>9.5970216014784337E-3</v>
      </c>
      <c r="K2" s="3">
        <f t="shared" ref="K2:K67" si="2">SUM(L2+250)</f>
        <v>2015</v>
      </c>
      <c r="L2" s="3">
        <v>1765</v>
      </c>
      <c r="M2" s="4">
        <f>'Areoix Lie'!C2 + Pelines!C2 + Terressin!C2 + Taniduna!C2 + Iquir!C2 + Deschon!C2 + Othya!C2 + Eldavpir!C2 + 'Candenat'!C2 + Jau!C2 + Viussi!C2 + Jathua!C2 + Jshain!C2 + Acetoa!C2 + Sattle!C2 + 'Reerica'!C2 + 'Feio Lie'!C2 + Umendel!C2 + 'Fire Coast'!C2 + Yoprioq!C2 + 'Rijan bu'!C2 + Saa!C2 + 'Rinew'!C2 + Enina!C2 + Trevilla!C2</f>
        <v>1039646767.1931727</v>
      </c>
      <c r="N2" s="5">
        <f t="shared" ref="N2:N65" si="3">((M2-M3)/M3)</f>
        <v>1.126224272040326E-2</v>
      </c>
      <c r="O2" s="5">
        <f t="shared" ref="O2:O67" si="4">SUM(M2/C2)</f>
        <v>0.1525806141646921</v>
      </c>
      <c r="V2" s="3">
        <f t="shared" ref="V2:V67" si="5">SUM(W2+250)</f>
        <v>2015</v>
      </c>
      <c r="W2" s="3">
        <v>1765</v>
      </c>
      <c r="X2" s="4">
        <f>Aetintio!C2 + Arbiya!C2 + 'Curata'!C2 + 'Disal Nila'!C2 + Etirha!C2 + Fincen!C2 + Gaeiya!C2 + Genaire!C2 + Grazail!C2 + Guise!C2 + Laselteh!C2 + Lasri!C2 + Metndria!C2 + 'New Misos'!C2 + Peka!C2 + Pelan!C2 + Phuris!C2 + 'Raledria'!C2 + Slyiaduun!C2 + Tomscilus!C2</f>
        <v>537437811.50561249</v>
      </c>
      <c r="Y2" s="5">
        <f t="shared" ref="Y2:Y65" si="6">((X2-X3)/X3)</f>
        <v>1.1148886557676674E-2</v>
      </c>
      <c r="Z2" s="5">
        <f t="shared" ref="Z2:Z67" si="7">SUM(X2/C2)</f>
        <v>7.8875435332948815E-2</v>
      </c>
      <c r="AG2" s="3">
        <f t="shared" ref="AG2:AG67" si="8">SUM(AH2+250)</f>
        <v>2015</v>
      </c>
      <c r="AH2" s="3">
        <v>1765</v>
      </c>
      <c r="AI2" s="4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994654309.58714616</v>
      </c>
      <c r="AJ2" s="5">
        <f t="shared" ref="AJ2:AJ65" si="9">((AI2-AI3)/AI3)</f>
        <v>7.0884428767480807E-3</v>
      </c>
      <c r="AK2" s="5">
        <f t="shared" ref="AK2:AK67" si="10">SUM(AI2/C2)</f>
        <v>0.14597743216967624</v>
      </c>
      <c r="AR2" s="3">
        <f t="shared" ref="AR2:AR67" si="11">SUM(AS2+250)</f>
        <v>2015</v>
      </c>
      <c r="AS2" s="3">
        <v>1765</v>
      </c>
      <c r="AT2" s="4">
        <f>Amcha!C2 + Byllu!C2 + 'Chaenia'!C2 + 'Cruthi Anoso'!C2 + 'Dual Cenryia'!C2 + Exilium!C2 + Galca!C2 + Inania!C2 + Inrea!C2 + Isnti!C2 + Lieri!C2 + Ocaun!C2 + Otiiric!C2 + Ozinia!C2 + Pelugrotoa!C2 + 'Rtesania'!C2 + Sadain!C2 + Selaja!C2 + Seytinemas!C2 + Sivoso!C2 + Sunsokua!C2 + Taing!C2 + Taoisia!C2 + Trian!C2 + Vayvele!C2</f>
        <v>1387328172.9613781</v>
      </c>
      <c r="AU2" s="5">
        <f t="shared" ref="AU2:AU65" si="12">((AT2-AT3)/AT3)</f>
        <v>9.7958060765068085E-3</v>
      </c>
      <c r="AV2" s="5">
        <f t="shared" ref="AV2:AV67" si="13">SUM(AT2/C2)</f>
        <v>0.20360702438378855</v>
      </c>
      <c r="BC2" s="3">
        <f t="shared" ref="BC2:BC67" si="14">SUM(BD2+250)</f>
        <v>2015</v>
      </c>
      <c r="BD2" s="3">
        <v>1765</v>
      </c>
      <c r="BE2" s="4">
        <f>'Canldives'!C2 + 'Cloja'!C2 + Dahe!C2 + Eparia!C2 + Etretes!C2 + Haiza!C2 + Ihner!C2 + Kaastini!C2 + Kusierna!C2 + Migoku!C2 + 'North Ayre'!C2 + Oscairia!C2 + Oyreain!C2 + 'Pha Hii'!C2 + 'Pruim Fijan'!C2 + 'Prystr Hii'!C2 + 'Ruylku'!C2 + Sanagara!C2 + Shinam!C2 + Stinebar!C2 + Suenan!C2 + Taval!C2 + Ucrua!C2 + Vesozata!C2 + 'Welenu Fana'!C2 + 'Western Migoku'!C2</f>
        <v>1389098831.6190045</v>
      </c>
      <c r="BF2" s="5">
        <f t="shared" ref="BF2:BF65" si="15">((BE2-BE3)/BE3)</f>
        <v>7.1160083368190814E-3</v>
      </c>
      <c r="BG2" s="5">
        <f t="shared" ref="BG2:BG67" si="16">SUM(BE2/C2)</f>
        <v>0.20386688974766215</v>
      </c>
      <c r="BN2" s="3">
        <f t="shared" ref="BN2:BN67" si="17">SUM(BO2+250)</f>
        <v>2015</v>
      </c>
      <c r="BO2" s="3">
        <v>1765</v>
      </c>
      <c r="BP2" s="4">
        <f>Andsaudare!C2 + Aplasia!C2 + Astye!C2 + 'Crila Republic'!C2 + 'Elja and Munusia'!C2 + Hiwush!C2 + Iainoa!C2 + Isari!C2 + Isuibul!C2 + Maalle!C2 + Mendereide!C2 + Nia!C2 + 'Niretui and Anulan'!C2 + Ohtina!C2 + Prstreula!C2 + 'Rethern'!C2 + 'Rkmepuia'!C2 + Tvecoca!C2 + Umarcia!C2 + 'United Delet'!C2 + Veelmit!C2 + Walporein!C2 + Yutnitu!C2</f>
        <v>276067197.87794554</v>
      </c>
      <c r="BQ2" s="6">
        <f t="shared" ref="BQ2:BQ65" si="18">((BP2-BP3)/BP3)</f>
        <v>1.1087358854996622E-2</v>
      </c>
      <c r="BR2" s="5">
        <f t="shared" ref="BR2:BR67" si="19">SUM(BP2/C2)</f>
        <v>4.0516167540889297E-2</v>
      </c>
      <c r="BY2" s="3">
        <f t="shared" ref="BY2:BY67" si="20">SUM(BZ2+250)</f>
        <v>2015</v>
      </c>
      <c r="BZ2" s="3">
        <v>1765</v>
      </c>
      <c r="CA2" s="4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1168914262.0637243</v>
      </c>
      <c r="CB2" s="6">
        <f t="shared" ref="CB2:CB65" si="21">((CA2-CA3)/CA3)</f>
        <v>1.1908832527586536E-2</v>
      </c>
      <c r="CC2" s="5">
        <f t="shared" ref="CC2:CC67" si="22">SUM(CA2/C2)</f>
        <v>0.17155216717796201</v>
      </c>
    </row>
    <row r="3" spans="1:81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6748983837.358119</v>
      </c>
      <c r="D3" s="5">
        <f t="shared" si="1"/>
        <v>9.775063187399834E-3</v>
      </c>
      <c r="K3" s="3">
        <f t="shared" si="2"/>
        <v>2014</v>
      </c>
      <c r="L3" s="3">
        <v>1764</v>
      </c>
      <c r="M3" s="4">
        <f>'Areoix Lie'!C3 + Pelines!C3 + Terressin!C3 + Taniduna!C3 + Iquir!C3 + Deschon!C3 + Othya!C3 + Eldavpir!C3 + 'Candenat'!C3 + Jau!C3 + Viussi!C3 + Jathua!C3 + Jshain!C3 + Acetoa!C3 + Sattle!C3 + 'Reerica'!C3 + 'Feio Lie'!C3 + Umendel!C3 + 'Fire Coast'!C3 + Yoprioq!C3 + 'Rijan bu'!C3 + Saa!C3 + 'Rinew'!C3 + Enina!C3 + Trevilla!C3</f>
        <v>1028068411.2129135</v>
      </c>
      <c r="N3" s="5">
        <f t="shared" si="3"/>
        <v>1.150541935697354E-2</v>
      </c>
      <c r="O3" s="5">
        <f t="shared" si="4"/>
        <v>0.15232936335129077</v>
      </c>
      <c r="V3" s="3">
        <f t="shared" si="5"/>
        <v>2014</v>
      </c>
      <c r="W3" s="3">
        <v>1764</v>
      </c>
      <c r="X3" s="4">
        <f>Aetintio!C3 + Arbiya!C3 + 'Curata'!C3 + 'Disal Nila'!C3 + Etirha!C3 + Fincen!C3 + Gaeiya!C3 + Genaire!C3 + Grazail!C3 + Guise!C3 + Laselteh!C3 + Lasri!C3 + Metndria!C3 + 'New Misos'!C3 + Peka!C3 + Pelan!C3 + Phuris!C3 + 'Raledria'!C3 + Slyiaduun!C3 + Tomscilus!C3</f>
        <v>531512044.02276385</v>
      </c>
      <c r="Y3" s="5">
        <f t="shared" si="6"/>
        <v>1.1528271922689591E-2</v>
      </c>
      <c r="Z3" s="5">
        <f t="shared" si="7"/>
        <v>7.8754380930748172E-2</v>
      </c>
      <c r="AG3" s="3">
        <f t="shared" si="8"/>
        <v>2014</v>
      </c>
      <c r="AH3" s="3">
        <v>1764</v>
      </c>
      <c r="AI3" s="4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987653384.98564851</v>
      </c>
      <c r="AJ3" s="5">
        <f t="shared" si="9"/>
        <v>6.9602326834195538E-3</v>
      </c>
      <c r="AK3" s="5">
        <f t="shared" si="10"/>
        <v>0.1463410505621042</v>
      </c>
      <c r="AR3" s="3">
        <f t="shared" si="11"/>
        <v>2014</v>
      </c>
      <c r="AS3" s="3">
        <v>1764</v>
      </c>
      <c r="AT3" s="4">
        <f>Amcha!C3 + Byllu!C3 + 'Chaenia'!C3 + 'Cruthi Anoso'!C3 + 'Dual Cenryia'!C3 + Exilium!C3 + Galca!C3 + Inania!C3 + Inrea!C3 + Isnti!C3 + Lieri!C3 + Ocaun!C3 + Otiiric!C3 + Ozinia!C3 + Pelugrotoa!C3 + 'Rtesania'!C3 + Sadain!C3 + Selaja!C3 + Seytinemas!C3 + Sivoso!C3 + Sunsokua!C3 + Taing!C3 + Taoisia!C3 + Trian!C3 + Vayvele!C3</f>
        <v>1373870008.7810304</v>
      </c>
      <c r="AU3" s="5">
        <f t="shared" si="12"/>
        <v>9.9515274137428524E-3</v>
      </c>
      <c r="AV3" s="5">
        <f t="shared" si="13"/>
        <v>0.2035669430968485</v>
      </c>
      <c r="BC3" s="3">
        <f t="shared" si="14"/>
        <v>2014</v>
      </c>
      <c r="BD3" s="3">
        <v>1764</v>
      </c>
      <c r="BE3" s="4">
        <f>'Canldives'!C3 + 'Cloja'!C3 + Dahe!C3 + Eparia!C3 + Etretes!C3 + Haiza!C3 + Ihner!C3 + Kaastini!C3 + Kusierna!C3 + Migoku!C3 + 'North Ayre'!C3 + Oscairia!C3 + Oyreain!C3 + 'Pha Hii'!C3 + 'Pruim Fijan'!C3 + 'Prystr Hii'!C3 + 'Ruylku'!C3 + Sanagara!C3 + Shinam!C3 + Stinebar!C3 + Suenan!C3 + Taval!C3 + Ucrua!C3 + Vesozata!C3 + 'Welenu Fana'!C3 + 'Western Migoku'!C3</f>
        <v>1379283836.3407638</v>
      </c>
      <c r="BF3" s="5">
        <f t="shared" si="15"/>
        <v>7.0008829939126058E-3</v>
      </c>
      <c r="BG3" s="5">
        <f t="shared" si="16"/>
        <v>0.20436911238487759</v>
      </c>
      <c r="BN3" s="3">
        <f t="shared" si="17"/>
        <v>2014</v>
      </c>
      <c r="BO3" s="3">
        <v>1764</v>
      </c>
      <c r="BP3" s="4">
        <f>Andsaudare!C3 + Aplasia!C3 + Astye!C3 + 'Crila Republic'!C3 + 'Elja and Munusia'!C3 + Hiwush!C3 + Iainoa!C3 + Isari!C3 + Isuibul!C3 + Maalle!C3 + Mendereide!C3 + Nia!C3 + 'Niretui and Anulan'!C3 + Ohtina!C3 + Prstreula!C3 + 'Rethern'!C3 + 'Rkmepuia'!C3 + Tvecoca!C3 + Umarcia!C3 + 'United Delet'!C3 + Veelmit!C3 + Walporein!C3 + Yutnitu!C3</f>
        <v>273039906.45336241</v>
      </c>
      <c r="BQ3" s="7">
        <f t="shared" si="18"/>
        <v>1.154971296478053E-2</v>
      </c>
      <c r="BR3" s="5">
        <f t="shared" si="19"/>
        <v>4.0456446930867675E-2</v>
      </c>
      <c r="BY3" s="3">
        <f t="shared" si="20"/>
        <v>2014</v>
      </c>
      <c r="BZ3" s="3">
        <v>1764</v>
      </c>
      <c r="CA3" s="4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1155157682.6777599</v>
      </c>
      <c r="CB3" s="7">
        <f t="shared" si="21"/>
        <v>1.2526438045712495E-2</v>
      </c>
      <c r="CC3" s="5">
        <f t="shared" si="22"/>
        <v>0.17116023841745409</v>
      </c>
    </row>
    <row r="4" spans="1:81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6683650729.1580877</v>
      </c>
      <c r="D4" s="5">
        <f t="shared" si="1"/>
        <v>9.767101234825026E-3</v>
      </c>
      <c r="K4" s="3">
        <f t="shared" si="2"/>
        <v>2013</v>
      </c>
      <c r="L4" s="3">
        <v>1763</v>
      </c>
      <c r="M4" s="4">
        <f>'Areoix Lie'!C4 + Pelines!C4 + Terressin!C4 + Taniduna!C4 + Iquir!C4 + Deschon!C4 + Othya!C4 + Eldavpir!C4 + 'Candenat'!C4 + Jau!C4 + Viussi!C4 + Jathua!C4 + Jshain!C4 + Acetoa!C4 + Sattle!C4 + 'Reerica'!C4 + 'Feio Lie'!C4 + Umendel!C4 + 'Fire Coast'!C4 + Yoprioq!C4 + 'Rijan bu'!C4 + Saa!C4 + 'Rinew'!C4 + Enina!C4 + Trevilla!C4</f>
        <v>1016374595.2705516</v>
      </c>
      <c r="N4" s="5">
        <f t="shared" si="3"/>
        <v>1.0900739951253484E-2</v>
      </c>
      <c r="O4" s="5">
        <f t="shared" si="4"/>
        <v>0.15206877744770786</v>
      </c>
      <c r="V4" s="3">
        <f t="shared" si="5"/>
        <v>2013</v>
      </c>
      <c r="W4" s="3">
        <v>1763</v>
      </c>
      <c r="X4" s="4">
        <f>Aetintio!C4 + Arbiya!C4 + 'Curata'!C4 + 'Disal Nila'!C4 + Etirha!C4 + Fincen!C4 + Gaeiya!C4 + Genaire!C4 + Grazail!C4 + Guise!C4 + Laselteh!C4 + Lasri!C4 + Metndria!C4 + 'New Misos'!C4 + Peka!C4 + Pelan!C4 + Phuris!C4 + 'Raledria'!C4 + Slyiaduun!C4 + Tomscilus!C4</f>
        <v>525454462.10067666</v>
      </c>
      <c r="Y4" s="5">
        <f t="shared" si="6"/>
        <v>1.2712502105628395E-2</v>
      </c>
      <c r="Z4" s="5">
        <f t="shared" si="7"/>
        <v>7.8617881662835787E-2</v>
      </c>
      <c r="AG4" s="3">
        <f t="shared" si="8"/>
        <v>2013</v>
      </c>
      <c r="AH4" s="3">
        <v>1763</v>
      </c>
      <c r="AI4" s="4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980826603.60248709</v>
      </c>
      <c r="AJ4" s="5">
        <f t="shared" si="9"/>
        <v>6.6115451206148583E-3</v>
      </c>
      <c r="AK4" s="5">
        <f t="shared" si="10"/>
        <v>0.14675012853731778</v>
      </c>
      <c r="AR4" s="3">
        <f t="shared" si="11"/>
        <v>2013</v>
      </c>
      <c r="AS4" s="3">
        <v>1763</v>
      </c>
      <c r="AT4" s="4">
        <f>Amcha!C4 + Byllu!C4 + 'Chaenia'!C4 + 'Cruthi Anoso'!C4 + 'Dual Cenryia'!C4 + Exilium!C4 + Galca!C4 + Inania!C4 + Inrea!C4 + Isnti!C4 + Lieri!C4 + Ocaun!C4 + Otiiric!C4 + Ozinia!C4 + Pelugrotoa!C4 + 'Rtesania'!C4 + Sadain!C4 + Selaja!C4 + Seytinemas!C4 + Sivoso!C4 + Sunsokua!C4 + Taing!C4 + Taoisia!C4 + Trian!C4 + Vayvele!C4</f>
        <v>1360332621.4072871</v>
      </c>
      <c r="AU4" s="5">
        <f t="shared" si="12"/>
        <v>9.913122089437747E-3</v>
      </c>
      <c r="AV4" s="5">
        <f t="shared" si="13"/>
        <v>0.20353137477287697</v>
      </c>
      <c r="BC4" s="3">
        <f t="shared" si="14"/>
        <v>2013</v>
      </c>
      <c r="BD4" s="3">
        <v>1763</v>
      </c>
      <c r="BE4" s="4">
        <f>'Canldives'!C4 + 'Cloja'!C4 + Dahe!C4 + Eparia!C4 + Etretes!C4 + Haiza!C4 + Ihner!C4 + Kaastini!C4 + Kusierna!C4 + Migoku!C4 + 'North Ayre'!C4 + Oscairia!C4 + Oyreain!C4 + 'Pha Hii'!C4 + 'Pruim Fijan'!C4 + 'Prystr Hii'!C4 + 'Ruylku'!C4 + Sanagara!C4 + Shinam!C4 + Stinebar!C4 + Suenan!C4 + Taval!C4 + Ucrua!C4 + Vesozata!C4 + 'Welenu Fana'!C4 + 'Western Migoku'!C4</f>
        <v>1369694763.5636797</v>
      </c>
      <c r="BF4" s="5">
        <f t="shared" si="15"/>
        <v>6.7701804913564085E-3</v>
      </c>
      <c r="BG4" s="5">
        <f t="shared" si="16"/>
        <v>0.20493212752549303</v>
      </c>
      <c r="BN4" s="3">
        <f t="shared" si="17"/>
        <v>2013</v>
      </c>
      <c r="BO4" s="3">
        <v>1763</v>
      </c>
      <c r="BP4" s="4">
        <f>Andsaudare!C4 + Aplasia!C4 + Astye!C4 + 'Crila Republic'!C4 + 'Elja and Munusia'!C4 + Hiwush!C4 + Iainoa!C4 + Isari!C4 + Isuibul!C4 + Maalle!C4 + Mendereide!C4 + Nia!C4 + 'Niretui and Anulan'!C4 + Ohtina!C4 + Prstreula!C4 + 'Rethern'!C4 + 'Rkmepuia'!C4 + Tvecoca!C4 + Umarcia!C4 + 'United Delet'!C4 + Veelmit!C4 + Walporein!C4 + Yutnitu!C4</f>
        <v>269922380.43654996</v>
      </c>
      <c r="BQ4" s="6">
        <f t="shared" si="18"/>
        <v>1.1830939737937406E-2</v>
      </c>
      <c r="BR4" s="5">
        <f t="shared" si="19"/>
        <v>4.0385470661862516E-2</v>
      </c>
      <c r="BY4" s="3">
        <f t="shared" si="20"/>
        <v>2013</v>
      </c>
      <c r="BZ4" s="3">
        <v>1763</v>
      </c>
      <c r="CA4" s="4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1140866686.807054</v>
      </c>
      <c r="CB4" s="6">
        <f t="shared" si="21"/>
        <v>1.3054491611582323E-2</v>
      </c>
      <c r="CC4" s="5">
        <f t="shared" si="22"/>
        <v>0.17069513848620338</v>
      </c>
    </row>
    <row r="5" spans="1:81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6619002263.9723339</v>
      </c>
      <c r="D5" s="5">
        <f t="shared" si="1"/>
        <v>9.9807088805101418E-3</v>
      </c>
      <c r="K5" s="3">
        <f t="shared" si="2"/>
        <v>2012</v>
      </c>
      <c r="L5" s="3">
        <v>1762</v>
      </c>
      <c r="M5" s="4">
        <f>'Areoix Lie'!C5 + Pelines!C5 + Terressin!C5 + Taniduna!C5 + Iquir!C5 + Deschon!C5 + Othya!C5 + Eldavpir!C5 + 'Candenat'!C5 + Jau!C5 + Viussi!C5 + Jathua!C5 + Jshain!C5 + Acetoa!C5 + Sattle!C5 + 'Reerica'!C5 + 'Feio Lie'!C5 + Umendel!C5 + 'Fire Coast'!C5 + Yoprioq!C5 + 'Rijan bu'!C5 + Saa!C5 + 'Rinew'!C5 + Enina!C5 + Trevilla!C5</f>
        <v>1005414829.6691939</v>
      </c>
      <c r="N5" s="5">
        <f t="shared" si="3"/>
        <v>1.0325600171785111E-2</v>
      </c>
      <c r="O5" s="5">
        <f t="shared" si="4"/>
        <v>0.15189824532040624</v>
      </c>
      <c r="V5" s="3">
        <f t="shared" si="5"/>
        <v>2012</v>
      </c>
      <c r="W5" s="3">
        <v>1762</v>
      </c>
      <c r="X5" s="4">
        <f>Aetintio!C5 + Arbiya!C5 + 'Curata'!C5 + 'Disal Nila'!C5 + Etirha!C5 + Fincen!C5 + Gaeiya!C5 + Genaire!C5 + Grazail!C5 + Guise!C5 + Laselteh!C5 + Lasri!C5 + Metndria!C5 + 'New Misos'!C5 + Peka!C5 + Pelan!C5 + Phuris!C5 + 'Raledria'!C5 + Slyiaduun!C5 + Tomscilus!C5</f>
        <v>518858472.67428172</v>
      </c>
      <c r="Y5" s="5">
        <f t="shared" si="6"/>
        <v>1.3080512606326675E-2</v>
      </c>
      <c r="Z5" s="5">
        <f t="shared" si="7"/>
        <v>7.8389227255361821E-2</v>
      </c>
      <c r="AG5" s="3">
        <f t="shared" si="8"/>
        <v>2012</v>
      </c>
      <c r="AH5" s="3">
        <v>1762</v>
      </c>
      <c r="AI5" s="4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974384417.06424284</v>
      </c>
      <c r="AJ5" s="5">
        <f t="shared" si="9"/>
        <v>6.8610863455420964E-3</v>
      </c>
      <c r="AK5" s="5">
        <f t="shared" si="10"/>
        <v>0.14721016524920705</v>
      </c>
      <c r="AR5" s="3">
        <f t="shared" si="11"/>
        <v>2012</v>
      </c>
      <c r="AS5" s="3">
        <v>1762</v>
      </c>
      <c r="AT5" s="4">
        <f>Amcha!C5 + Byllu!C5 + 'Chaenia'!C5 + 'Cruthi Anoso'!C5 + 'Dual Cenryia'!C5 + Exilium!C5 + Galca!C5 + Inania!C5 + Inrea!C5 + Isnti!C5 + Lieri!C5 + Ocaun!C5 + Otiiric!C5 + Ozinia!C5 + Pelugrotoa!C5 + 'Rtesania'!C5 + Sadain!C5 + Selaja!C5 + Seytinemas!C5 + Sivoso!C5 + Sunsokua!C5 + Taing!C5 + Taoisia!C5 + Trian!C5 + Vayvele!C5</f>
        <v>1346979845.7444108</v>
      </c>
      <c r="AU5" s="5">
        <f t="shared" si="12"/>
        <v>1.0133467564329153E-2</v>
      </c>
      <c r="AV5" s="5">
        <f t="shared" si="13"/>
        <v>0.20350194667194949</v>
      </c>
      <c r="BC5" s="3">
        <f t="shared" si="14"/>
        <v>2012</v>
      </c>
      <c r="BD5" s="3">
        <v>1762</v>
      </c>
      <c r="BE5" s="4">
        <f>'Canldives'!C5 + 'Cloja'!C5 + Dahe!C5 + Eparia!C5 + Etretes!C5 + Haiza!C5 + Ihner!C5 + Kaastini!C5 + Kusierna!C5 + Migoku!C5 + 'North Ayre'!C5 + Oscairia!C5 + Oyreain!C5 + 'Pha Hii'!C5 + 'Pruim Fijan'!C5 + 'Prystr Hii'!C5 + 'Ruylku'!C5 + Sanagara!C5 + Shinam!C5 + Stinebar!C5 + Suenan!C5 + Taval!C5 + Ucrua!C5 + Vesozata!C5 + 'Welenu Fana'!C5 + 'Western Migoku'!C5</f>
        <v>1360484041.0501602</v>
      </c>
      <c r="BF5" s="5">
        <f t="shared" si="15"/>
        <v>7.131315084468297E-3</v>
      </c>
      <c r="BG5" s="5">
        <f t="shared" si="16"/>
        <v>0.20554216282042456</v>
      </c>
      <c r="BN5" s="3">
        <f t="shared" si="17"/>
        <v>2012</v>
      </c>
      <c r="BO5" s="3">
        <v>1762</v>
      </c>
      <c r="BP5" s="4">
        <f>Andsaudare!C5 + Aplasia!C5 + Astye!C5 + 'Crila Republic'!C5 + 'Elja and Munusia'!C5 + Hiwush!C5 + Iainoa!C5 + Isari!C5 + Isuibul!C5 + Maalle!C5 + Mendereide!C5 + Nia!C5 + 'Niretui and Anulan'!C5 + Ohtina!C5 + Prstreula!C5 + 'Rethern'!C5 + 'Rkmepuia'!C5 + Tvecoca!C5 + Umarcia!C5 + 'United Delet'!C5 + Veelmit!C5 + Walporein!C5 + Yutnitu!C5</f>
        <v>266766284.59934169</v>
      </c>
      <c r="BQ5" s="7">
        <f t="shared" si="18"/>
        <v>1.2526868299505747E-2</v>
      </c>
      <c r="BR5" s="5">
        <f t="shared" si="19"/>
        <v>4.0303096140541936E-2</v>
      </c>
      <c r="BY5" s="3">
        <f t="shared" si="20"/>
        <v>2012</v>
      </c>
      <c r="BZ5" s="3">
        <v>1762</v>
      </c>
      <c r="CA5" s="4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1126165173.0028324</v>
      </c>
      <c r="CB5" s="7">
        <f t="shared" si="21"/>
        <v>1.359623720511772E-2</v>
      </c>
      <c r="CC5" s="5">
        <f t="shared" si="22"/>
        <v>0.17014122795101971</v>
      </c>
    </row>
    <row r="6" spans="1:81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6553592762.4885178</v>
      </c>
      <c r="D6" s="5">
        <f t="shared" si="1"/>
        <v>1.0017077690113077E-2</v>
      </c>
      <c r="K6" s="3">
        <f t="shared" si="2"/>
        <v>2011</v>
      </c>
      <c r="L6" s="3">
        <v>1761</v>
      </c>
      <c r="M6" s="4">
        <f>'Areoix Lie'!C6 + Pelines!C6 + Terressin!C6 + Taniduna!C6 + Iquir!C6 + Deschon!C6 + Othya!C6 + Eldavpir!C6 + 'Candenat'!C6 + Jau!C6 + Viussi!C6 + Jathua!C6 + Jshain!C6 + Acetoa!C6 + Sattle!C6 + 'Reerica'!C6 + 'Feio Lie'!C6 + Umendel!C6 + 'Fire Coast'!C6 + Yoprioq!C6 + 'Rijan bu'!C6 + Saa!C6 + 'Rinew'!C6 + Enina!C6 + Trevilla!C6</f>
        <v>995139417.92452228</v>
      </c>
      <c r="N6" s="5">
        <f t="shared" si="3"/>
        <v>1.1230748420836005E-2</v>
      </c>
      <c r="O6" s="5">
        <f t="shared" si="4"/>
        <v>0.15184639235146033</v>
      </c>
      <c r="V6" s="3">
        <f t="shared" si="5"/>
        <v>2011</v>
      </c>
      <c r="W6" s="3">
        <v>1761</v>
      </c>
      <c r="X6" s="4">
        <f>Aetintio!C6 + Arbiya!C6 + 'Curata'!C6 + 'Disal Nila'!C6 + Etirha!C6 + Fincen!C6 + Gaeiya!C6 + Genaire!C6 + Grazail!C6 + Guise!C6 + Laselteh!C6 + Lasri!C6 + Metndria!C6 + 'New Misos'!C6 + Peka!C6 + Pelan!C6 + Phuris!C6 + 'Raledria'!C6 + Slyiaduun!C6 + Tomscilus!C6</f>
        <v>512159168.21796089</v>
      </c>
      <c r="Y6" s="5">
        <f t="shared" si="6"/>
        <v>1.1055655545922131E-2</v>
      </c>
      <c r="Z6" s="5">
        <f t="shared" si="7"/>
        <v>7.8149373447410367E-2</v>
      </c>
      <c r="AG6" s="3">
        <f t="shared" si="8"/>
        <v>2011</v>
      </c>
      <c r="AH6" s="3">
        <v>1761</v>
      </c>
      <c r="AI6" s="4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967744637.54560709</v>
      </c>
      <c r="AJ6" s="5">
        <f t="shared" si="9"/>
        <v>7.0135307447044227E-3</v>
      </c>
      <c r="AK6" s="5">
        <f t="shared" si="10"/>
        <v>0.14766627598296739</v>
      </c>
      <c r="AR6" s="3">
        <f t="shared" si="11"/>
        <v>2011</v>
      </c>
      <c r="AS6" s="3">
        <v>1761</v>
      </c>
      <c r="AT6" s="4">
        <f>Amcha!C6 + Byllu!C6 + 'Chaenia'!C6 + 'Cruthi Anoso'!C6 + 'Dual Cenryia'!C6 + Exilium!C6 + Galca!C6 + Inania!C6 + Inrea!C6 + Isnti!C6 + Lieri!C6 + Ocaun!C6 + Otiiric!C6 + Ozinia!C6 + Pelugrotoa!C6 + 'Rtesania'!C6 + Sadain!C6 + Selaja!C6 + Seytinemas!C6 + Sivoso!C6 + Sunsokua!C6 + Taing!C6 + Taoisia!C6 + Trian!C6 + Vayvele!C6</f>
        <v>1333467199.1338906</v>
      </c>
      <c r="AU6" s="5">
        <f t="shared" si="12"/>
        <v>9.8042194650487767E-3</v>
      </c>
      <c r="AV6" s="5">
        <f t="shared" si="13"/>
        <v>0.20347117183820085</v>
      </c>
      <c r="BC6" s="3">
        <f t="shared" si="14"/>
        <v>2011</v>
      </c>
      <c r="BD6" s="3">
        <v>1761</v>
      </c>
      <c r="BE6" s="4">
        <f>'Canldives'!C6 + 'Cloja'!C6 + Dahe!C6 + Eparia!C6 + Etretes!C6 + Haiza!C6 + Ihner!C6 + Kaastini!C6 + Kusierna!C6 + Migoku!C6 + 'North Ayre'!C6 + Oscairia!C6 + Oyreain!C6 + 'Pha Hii'!C6 + 'Pruim Fijan'!C6 + 'Prystr Hii'!C6 + 'Ruylku'!C6 + Sanagara!C6 + Shinam!C6 + Stinebar!C6 + Suenan!C6 + Taval!C6 + Ucrua!C6 + Vesozata!C6 + 'Welenu Fana'!C6 + 'Western Migoku'!C6</f>
        <v>1350850699.0829256</v>
      </c>
      <c r="BF6" s="5">
        <f t="shared" si="15"/>
        <v>7.0703532259642227E-3</v>
      </c>
      <c r="BG6" s="5">
        <f t="shared" si="16"/>
        <v>0.20612368635642583</v>
      </c>
      <c r="BN6" s="3">
        <f t="shared" si="17"/>
        <v>2011</v>
      </c>
      <c r="BO6" s="3">
        <v>1761</v>
      </c>
      <c r="BP6" s="4">
        <f>Andsaudare!C6 + Aplasia!C6 + Astye!C6 + 'Crila Republic'!C6 + 'Elja and Munusia'!C6 + Hiwush!C6 + Iainoa!C6 + Isari!C6 + Isuibul!C6 + Maalle!C6 + Mendereide!C6 + Nia!C6 + 'Niretui and Anulan'!C6 + Ohtina!C6 + Prstreula!C6 + 'Rethern'!C6 + 'Rkmepuia'!C6 + Tvecoca!C6 + Umarcia!C6 + 'United Delet'!C6 + Veelmit!C6 + Walporein!C6 + Yutnitu!C6</f>
        <v>263465882.19171301</v>
      </c>
      <c r="BQ6" s="6">
        <f t="shared" si="18"/>
        <v>1.3633237380305006E-2</v>
      </c>
      <c r="BR6" s="5">
        <f t="shared" si="19"/>
        <v>4.0201747612353969E-2</v>
      </c>
      <c r="BY6" s="3">
        <f t="shared" si="20"/>
        <v>2011</v>
      </c>
      <c r="BZ6" s="3">
        <v>1761</v>
      </c>
      <c r="CA6" s="4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1111058951.9433413</v>
      </c>
      <c r="CB6" s="6">
        <f t="shared" si="21"/>
        <v>1.400426353742769E-2</v>
      </c>
      <c r="CC6" s="5">
        <f t="shared" si="22"/>
        <v>0.16953432906341467</v>
      </c>
    </row>
    <row r="7" spans="1:81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6488595992.3335562</v>
      </c>
      <c r="D7" s="5">
        <f t="shared" si="1"/>
        <v>1.03548475285569E-2</v>
      </c>
      <c r="K7" s="3">
        <f t="shared" si="2"/>
        <v>2010</v>
      </c>
      <c r="L7" s="3">
        <v>1760</v>
      </c>
      <c r="M7" s="4">
        <f>'Areoix Lie'!C7 + Pelines!C7 + Terressin!C7 + Taniduna!C7 + Iquir!C7 + Deschon!C7 + Othya!C7 + Eldavpir!C7 + 'Candenat'!C7 + Jau!C7 + Viussi!C7 + Jathua!C7 + Jshain!C7 + Acetoa!C7 + Sattle!C7 + 'Reerica'!C7 + 'Feio Lie'!C7 + Umendel!C7 + 'Fire Coast'!C7 + Yoprioq!C7 + 'Rijan bu'!C7 + Saa!C7 + 'Rinew'!C7 + Enina!C7 + Trevilla!C7</f>
        <v>984087380.13411641</v>
      </c>
      <c r="N7" s="5">
        <f t="shared" si="3"/>
        <v>1.1963867540491707E-2</v>
      </c>
      <c r="O7" s="5">
        <f t="shared" si="4"/>
        <v>0.1516641475747359</v>
      </c>
      <c r="V7" s="3">
        <f t="shared" si="5"/>
        <v>2010</v>
      </c>
      <c r="W7" s="3">
        <v>1760</v>
      </c>
      <c r="X7" s="4">
        <f>Aetintio!C7 + Arbiya!C7 + 'Curata'!C7 + 'Disal Nila'!C7 + Etirha!C7 + Fincen!C7 + Gaeiya!C7 + Genaire!C7 + Grazail!C7 + Guise!C7 + Laselteh!C7 + Lasri!C7 + Metndria!C7 + 'New Misos'!C7 + Peka!C7 + Pelan!C7 + Phuris!C7 + 'Raledria'!C7 + Slyiaduun!C7 + Tomscilus!C7</f>
        <v>506558828.29854625</v>
      </c>
      <c r="Y7" s="5">
        <f t="shared" si="6"/>
        <v>1.2333085936216801E-2</v>
      </c>
      <c r="Z7" s="5">
        <f t="shared" si="7"/>
        <v>7.8069096750215089E-2</v>
      </c>
      <c r="AG7" s="3">
        <f t="shared" si="8"/>
        <v>2010</v>
      </c>
      <c r="AH7" s="3">
        <v>1760</v>
      </c>
      <c r="AI7" s="4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961004602.22211981</v>
      </c>
      <c r="AJ7" s="5">
        <f t="shared" si="9"/>
        <v>7.0667796322351649E-3</v>
      </c>
      <c r="AK7" s="5">
        <f t="shared" si="10"/>
        <v>0.14810670958055819</v>
      </c>
      <c r="AR7" s="3">
        <f t="shared" si="11"/>
        <v>2010</v>
      </c>
      <c r="AS7" s="3">
        <v>1760</v>
      </c>
      <c r="AT7" s="4">
        <f>Amcha!C7 + Byllu!C7 + 'Chaenia'!C7 + 'Cruthi Anoso'!C7 + 'Dual Cenryia'!C7 + Exilium!C7 + Galca!C7 + Inania!C7 + Inrea!C7 + Isnti!C7 + Lieri!C7 + Ocaun!C7 + Otiiric!C7 + Ozinia!C7 + Pelugrotoa!C7 + 'Rtesania'!C7 + Sadain!C7 + Selaja!C7 + Seytinemas!C7 + Sivoso!C7 + Sunsokua!C7 + Taing!C7 + Taoisia!C7 + Trian!C7 + Vayvele!C7</f>
        <v>1320520526.088022</v>
      </c>
      <c r="AU7" s="5">
        <f t="shared" si="12"/>
        <v>9.5812558326823314E-3</v>
      </c>
      <c r="AV7" s="5">
        <f t="shared" si="13"/>
        <v>0.20351406184762483</v>
      </c>
      <c r="BC7" s="3">
        <f t="shared" si="14"/>
        <v>2010</v>
      </c>
      <c r="BD7" s="3">
        <v>1760</v>
      </c>
      <c r="BE7" s="4">
        <f>'Canldives'!C7 + 'Cloja'!C7 + Dahe!C7 + Eparia!C7 + Etretes!C7 + Haiza!C7 + Ihner!C7 + Kaastini!C7 + Kusierna!C7 + Migoku!C7 + 'North Ayre'!C7 + Oscairia!C7 + Oyreain!C7 + 'Pha Hii'!C7 + 'Pruim Fijan'!C7 + 'Prystr Hii'!C7 + 'Ruylku'!C7 + Sanagara!C7 + Shinam!C7 + Stinebar!C7 + Suenan!C7 + Taval!C7 + Ucrua!C7 + Vesozata!C7 + 'Welenu Fana'!C7 + 'Western Migoku'!C7</f>
        <v>1341366762.268122</v>
      </c>
      <c r="BF7" s="5">
        <f t="shared" si="15"/>
        <v>7.203445603138881E-3</v>
      </c>
      <c r="BG7" s="5">
        <f t="shared" si="16"/>
        <v>0.20672681175603805</v>
      </c>
      <c r="BN7" s="3">
        <f t="shared" si="17"/>
        <v>2010</v>
      </c>
      <c r="BO7" s="3">
        <v>1760</v>
      </c>
      <c r="BP7" s="4">
        <f>Andsaudare!C7 + Aplasia!C7 + Astye!C7 + 'Crila Republic'!C7 + 'Elja and Munusia'!C7 + Hiwush!C7 + Iainoa!C7 + Isari!C7 + Isuibul!C7 + Maalle!C7 + Mendereide!C7 + Nia!C7 + 'Niretui and Anulan'!C7 + Ohtina!C7 + Prstreula!C7 + 'Rethern'!C7 + 'Rkmepuia'!C7 + Tvecoca!C7 + Umarcia!C7 + 'United Delet'!C7 + Veelmit!C7 + Walporein!C7 + Yutnitu!C7</f>
        <v>259922299.77839929</v>
      </c>
      <c r="BQ7" s="7">
        <f t="shared" si="18"/>
        <v>1.4983888902829647E-2</v>
      </c>
      <c r="BR7" s="5">
        <f t="shared" si="19"/>
        <v>4.0058326960948749E-2</v>
      </c>
      <c r="BY7" s="3">
        <f t="shared" si="20"/>
        <v>2010</v>
      </c>
      <c r="BZ7" s="3">
        <v>1760</v>
      </c>
      <c r="CA7" s="4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1095714280.398912</v>
      </c>
      <c r="CB7" s="7">
        <f t="shared" si="21"/>
        <v>1.4481258167580812E-2</v>
      </c>
      <c r="CC7" s="5">
        <f t="shared" si="22"/>
        <v>0.16886769983730326</v>
      </c>
    </row>
    <row r="8" spans="1:81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6422096165.7237568</v>
      </c>
      <c r="D8" s="5">
        <f t="shared" si="1"/>
        <v>1.0842017656342316E-2</v>
      </c>
      <c r="K8" s="3">
        <f t="shared" si="2"/>
        <v>2009</v>
      </c>
      <c r="L8" s="3">
        <v>1759</v>
      </c>
      <c r="M8" s="4">
        <f>'Areoix Lie'!C8 + Pelines!C8 + Terressin!C8 + Taniduna!C8 + Iquir!C8 + Deschon!C8 + Othya!C8 + Eldavpir!C8 + 'Candenat'!C8 + Jau!C8 + Viussi!C8 + Jathua!C8 + Jshain!C8 + Acetoa!C8 + Sattle!C8 + 'Reerica'!C8 + 'Feio Lie'!C8 + Umendel!C8 + 'Fire Coast'!C8 + Yoprioq!C8 + 'Rijan bu'!C8 + Saa!C8 + 'Rinew'!C8 + Enina!C8 + Trevilla!C8</f>
        <v>972453080.29215789</v>
      </c>
      <c r="N8" s="5">
        <f t="shared" si="3"/>
        <v>1.191561679132413E-2</v>
      </c>
      <c r="O8" s="5">
        <f t="shared" si="4"/>
        <v>0.15142300196038319</v>
      </c>
      <c r="V8" s="3">
        <f t="shared" si="5"/>
        <v>2009</v>
      </c>
      <c r="W8" s="3">
        <v>1759</v>
      </c>
      <c r="X8" s="4">
        <f>Aetintio!C8 + Arbiya!C8 + 'Curata'!C8 + 'Disal Nila'!C8 + Etirha!C8 + Fincen!C8 + Gaeiya!C8 + Genaire!C8 + Grazail!C8 + Guise!C8 + Laselteh!C8 + Lasri!C8 + Metndria!C8 + 'New Misos'!C8 + Peka!C8 + Pelan!C8 + Phuris!C8 + 'Raledria'!C8 + Slyiaduun!C8 + Tomscilus!C8</f>
        <v>500387506.18337744</v>
      </c>
      <c r="Y8" s="5">
        <f t="shared" si="6"/>
        <v>1.4921103749713843E-2</v>
      </c>
      <c r="Z8" s="5">
        <f t="shared" si="7"/>
        <v>7.7916538972752178E-2</v>
      </c>
      <c r="AG8" s="3">
        <f t="shared" si="8"/>
        <v>2009</v>
      </c>
      <c r="AH8" s="3">
        <v>1759</v>
      </c>
      <c r="AI8" s="4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954261049.67245913</v>
      </c>
      <c r="AJ8" s="5">
        <f t="shared" si="9"/>
        <v>7.126234211509961E-3</v>
      </c>
      <c r="AK8" s="5">
        <f t="shared" si="10"/>
        <v>0.14859027723153315</v>
      </c>
      <c r="AR8" s="3">
        <f t="shared" si="11"/>
        <v>2009</v>
      </c>
      <c r="AS8" s="3">
        <v>1759</v>
      </c>
      <c r="AT8" s="4">
        <f>Amcha!C8 + Byllu!C8 + 'Chaenia'!C8 + 'Cruthi Anoso'!C8 + 'Dual Cenryia'!C8 + Exilium!C8 + Galca!C8 + Inania!C8 + Inrea!C8 + Isnti!C8 + Lieri!C8 + Ocaun!C8 + Otiiric!C8 + Ozinia!C8 + Pelugrotoa!C8 + 'Rtesania'!C8 + Sadain!C8 + Selaja!C8 + Seytinemas!C8 + Sivoso!C8 + Sunsokua!C8 + Taing!C8 + Taoisia!C8 + Trian!C8 + Vayvele!C8</f>
        <v>1307988355.0322883</v>
      </c>
      <c r="AU8" s="5">
        <f t="shared" si="12"/>
        <v>1.0107633296400291E-2</v>
      </c>
      <c r="AV8" s="5">
        <f t="shared" si="13"/>
        <v>0.20367000450932687</v>
      </c>
      <c r="BC8" s="3">
        <f t="shared" si="14"/>
        <v>2009</v>
      </c>
      <c r="BD8" s="3">
        <v>1759</v>
      </c>
      <c r="BE8" s="4">
        <f>'Canldives'!C8 + 'Cloja'!C8 + Dahe!C8 + Eparia!C8 + Etretes!C8 + Haiza!C8 + Ihner!C8 + Kaastini!C8 + Kusierna!C8 + Migoku!C8 + 'North Ayre'!C8 + Oscairia!C8 + Oyreain!C8 + 'Pha Hii'!C8 + 'Pruim Fijan'!C8 + 'Prystr Hii'!C8 + 'Ruylku'!C8 + Sanagara!C8 + Shinam!C8 + Stinebar!C8 + Suenan!C8 + Taval!C8 + Ucrua!C8 + Vesozata!C8 + 'Welenu Fana'!C8 + 'Western Migoku'!C8</f>
        <v>1331773404.9895725</v>
      </c>
      <c r="BF8" s="5">
        <f t="shared" si="15"/>
        <v>7.4987698094684989E-3</v>
      </c>
      <c r="BG8" s="5">
        <f t="shared" si="16"/>
        <v>0.20737363169638623</v>
      </c>
      <c r="BN8" s="3">
        <f t="shared" si="17"/>
        <v>2009</v>
      </c>
      <c r="BO8" s="3">
        <v>1759</v>
      </c>
      <c r="BP8" s="4">
        <f>Andsaudare!C8 + Aplasia!C8 + Astye!C8 + 'Crila Republic'!C8 + 'Elja and Munusia'!C8 + Hiwush!C8 + Iainoa!C8 + Isari!C8 + Isuibul!C8 + Maalle!C8 + Mendereide!C8 + Nia!C8 + 'Niretui and Anulan'!C8 + Ohtina!C8 + Prstreula!C8 + 'Rethern'!C8 + 'Rkmepuia'!C8 + Tvecoca!C8 + Umarcia!C8 + 'United Delet'!C8 + Veelmit!C8 + Walporein!C8 + Yutnitu!C8</f>
        <v>256085148.36562413</v>
      </c>
      <c r="BQ8" s="6">
        <f t="shared" si="18"/>
        <v>1.5525570674323891E-2</v>
      </c>
      <c r="BR8" s="5">
        <f t="shared" si="19"/>
        <v>3.9875632777411685E-2</v>
      </c>
      <c r="BY8" s="3">
        <f t="shared" si="20"/>
        <v>2009</v>
      </c>
      <c r="BZ8" s="3">
        <v>1759</v>
      </c>
      <c r="CA8" s="4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1080073457.8163221</v>
      </c>
      <c r="CB8" s="6">
        <f t="shared" si="21"/>
        <v>1.5097056839383031E-2</v>
      </c>
      <c r="CC8" s="5">
        <f t="shared" si="22"/>
        <v>0.16818082911634508</v>
      </c>
    </row>
    <row r="9" spans="1:81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6353214501.9194164</v>
      </c>
      <c r="D9" s="5">
        <f t="shared" si="1"/>
        <v>1.1492962111562182E-2</v>
      </c>
      <c r="K9" s="3">
        <f t="shared" si="2"/>
        <v>2008</v>
      </c>
      <c r="L9" s="3">
        <v>1758</v>
      </c>
      <c r="M9" s="4">
        <f>'Areoix Lie'!C9 + Pelines!C9 + Terressin!C9 + Taniduna!C9 + Iquir!C9 + Deschon!C9 + Othya!C9 + Eldavpir!C9 + 'Candenat'!C9 + Jau!C9 + Viussi!C9 + Jathua!C9 + Jshain!C9 + Acetoa!C9 + Sattle!C9 + 'Reerica'!C9 + 'Feio Lie'!C9 + Umendel!C9 + 'Fire Coast'!C9 + Yoprioq!C9 + 'Rijan bu'!C9 + Saa!C9 + 'Rinew'!C9 + Enina!C9 + Trevilla!C9</f>
        <v>961002146.97318566</v>
      </c>
      <c r="N9" s="5">
        <f t="shared" si="3"/>
        <v>1.5459808320127701E-2</v>
      </c>
      <c r="O9" s="5">
        <f t="shared" si="4"/>
        <v>0.15126234863986573</v>
      </c>
      <c r="V9" s="3">
        <f t="shared" si="5"/>
        <v>2008</v>
      </c>
      <c r="W9" s="3">
        <v>1758</v>
      </c>
      <c r="X9" s="4">
        <f>Aetintio!C9 + Arbiya!C9 + 'Curata'!C9 + 'Disal Nila'!C9 + Etirha!C9 + Fincen!C9 + Gaeiya!C9 + Genaire!C9 + Grazail!C9 + Guise!C9 + Laselteh!C9 + Lasri!C9 + Metndria!C9 + 'New Misos'!C9 + Peka!C9 + Pelan!C9 + Phuris!C9 + 'Raledria'!C9 + Slyiaduun!C9 + Tomscilus!C9</f>
        <v>493030940.37029332</v>
      </c>
      <c r="Y9" s="5">
        <f t="shared" si="6"/>
        <v>1.4651216595115469E-2</v>
      </c>
      <c r="Z9" s="5">
        <f t="shared" si="7"/>
        <v>7.7603383330019801E-2</v>
      </c>
      <c r="AG9" s="3">
        <f t="shared" si="8"/>
        <v>2008</v>
      </c>
      <c r="AH9" s="3">
        <v>1758</v>
      </c>
      <c r="AI9" s="4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947508879.4798007</v>
      </c>
      <c r="AJ9" s="5">
        <f t="shared" si="9"/>
        <v>7.2460861402748114E-3</v>
      </c>
      <c r="AK9" s="5">
        <f t="shared" si="10"/>
        <v>0.14913849976158397</v>
      </c>
      <c r="AR9" s="3">
        <f t="shared" si="11"/>
        <v>2008</v>
      </c>
      <c r="AS9" s="3">
        <v>1758</v>
      </c>
      <c r="AT9" s="4">
        <f>Amcha!C9 + Byllu!C9 + 'Chaenia'!C9 + 'Cruthi Anoso'!C9 + 'Dual Cenryia'!C9 + Exilium!C9 + Galca!C9 + Inania!C9 + Inrea!C9 + Isnti!C9 + Lieri!C9 + Ocaun!C9 + Otiiric!C9 + Ozinia!C9 + Pelugrotoa!C9 + 'Rtesania'!C9 + Sadain!C9 + Selaja!C9 + Seytinemas!C9 + Sivoso!C9 + Sunsokua!C9 + Taing!C9 + Taoisia!C9 + Trian!C9 + Vayvele!C9</f>
        <v>1294899980.8701372</v>
      </c>
      <c r="AU9" s="5">
        <f t="shared" si="12"/>
        <v>1.0108016743037284E-2</v>
      </c>
      <c r="AV9" s="5">
        <f t="shared" si="13"/>
        <v>0.203818079883644</v>
      </c>
      <c r="BC9" s="3">
        <f t="shared" si="14"/>
        <v>2008</v>
      </c>
      <c r="BD9" s="3">
        <v>1758</v>
      </c>
      <c r="BE9" s="4">
        <f>'Canldives'!C9 + 'Cloja'!C9 + Dahe!C9 + Eparia!C9 + Etretes!C9 + Haiza!C9 + Ihner!C9 + Kaastini!C9 + Kusierna!C9 + Migoku!C9 + 'North Ayre'!C9 + Oscairia!C9 + Oyreain!C9 + 'Pha Hii'!C9 + 'Pruim Fijan'!C9 + 'Prystr Hii'!C9 + 'Ruylku'!C9 + Sanagara!C9 + Shinam!C9 + Stinebar!C9 + Suenan!C9 + Taval!C9 + Ucrua!C9 + Vesozata!C9 + 'Welenu Fana'!C9 + 'Western Migoku'!C9</f>
        <v>1321861073.0824304</v>
      </c>
      <c r="BF9" s="5">
        <f t="shared" si="15"/>
        <v>7.7894278411137817E-3</v>
      </c>
      <c r="BG9" s="5">
        <f t="shared" si="16"/>
        <v>0.20806177293133629</v>
      </c>
      <c r="BN9" s="3">
        <f t="shared" si="17"/>
        <v>2008</v>
      </c>
      <c r="BO9" s="3">
        <v>1758</v>
      </c>
      <c r="BP9" s="4">
        <f>Andsaudare!C9 + Aplasia!C9 + Astye!C9 + 'Crila Republic'!C9 + 'Elja and Munusia'!C9 + Hiwush!C9 + Iainoa!C9 + Isari!C9 + Isuibul!C9 + Maalle!C9 + Mendereide!C9 + Nia!C9 + 'Niretui and Anulan'!C9 + Ohtina!C9 + Prstreula!C9 + 'Rethern'!C9 + 'Rkmepuia'!C9 + Tvecoca!C9 + Umarcia!C9 + 'United Delet'!C9 + Veelmit!C9 + Walporein!C9 + Yutnitu!C9</f>
        <v>252170064.21175572</v>
      </c>
      <c r="BQ9" s="7">
        <f t="shared" si="18"/>
        <v>1.5220551573205954E-2</v>
      </c>
      <c r="BR9" s="5">
        <f t="shared" si="19"/>
        <v>3.9691728358230434E-2</v>
      </c>
      <c r="BY9" s="3">
        <f t="shared" si="20"/>
        <v>2008</v>
      </c>
      <c r="BZ9" s="3">
        <v>1758</v>
      </c>
      <c r="CA9" s="4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1064010037.7980114</v>
      </c>
      <c r="CB9" s="7">
        <f t="shared" si="21"/>
        <v>1.5587842481736124E-2</v>
      </c>
      <c r="CC9" s="5">
        <f t="shared" si="22"/>
        <v>0.16747585611607407</v>
      </c>
    </row>
    <row r="10" spans="1:81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6281026897.7617378</v>
      </c>
      <c r="D10" s="5">
        <f t="shared" si="1"/>
        <v>1.1118298934828193E-2</v>
      </c>
      <c r="K10" s="3">
        <f t="shared" si="2"/>
        <v>2007</v>
      </c>
      <c r="L10" s="3">
        <v>1757</v>
      </c>
      <c r="M10" s="4">
        <f>'Areoix Lie'!C10 + Pelines!C10 + Terressin!C10 + Taniduna!C10 + Iquir!C10 + Deschon!C10 + Othya!C10 + Eldavpir!C10 + 'Candenat'!C10 + Jau!C10 + Viussi!C10 + Jathua!C10 + Jshain!C10 + Acetoa!C10 + Sattle!C10 + 'Reerica'!C10 + 'Feio Lie'!C10 + Umendel!C10 + 'Fire Coast'!C10 + Yoprioq!C10 + 'Rijan bu'!C10 + Saa!C10 + 'Rinew'!C10 + Enina!C10 + Trevilla!C10</f>
        <v>946371426.12563741</v>
      </c>
      <c r="N10" s="5">
        <f t="shared" si="3"/>
        <v>1.2877017815734247E-2</v>
      </c>
      <c r="O10" s="5">
        <f t="shared" si="4"/>
        <v>0.15067144935534021</v>
      </c>
      <c r="V10" s="3">
        <f t="shared" si="5"/>
        <v>2007</v>
      </c>
      <c r="W10" s="3">
        <v>1757</v>
      </c>
      <c r="X10" s="4">
        <f>Aetintio!C10 + Arbiya!C10 + 'Curata'!C10 + 'Disal Nila'!C10 + Etirha!C10 + Fincen!C10 + Gaeiya!C10 + Genaire!C10 + Grazail!C10 + Guise!C10 + Laselteh!C10 + Lasri!C10 + Metndria!C10 + 'New Misos'!C10 + Peka!C10 + Pelan!C10 + Phuris!C10 + 'Raledria'!C10 + Slyiaduun!C10 + Tomscilus!C10</f>
        <v>485911742.189367</v>
      </c>
      <c r="Y10" s="5">
        <f t="shared" si="6"/>
        <v>1.3756285972842286E-2</v>
      </c>
      <c r="Z10" s="5">
        <f t="shared" si="7"/>
        <v>7.7361831130276337E-2</v>
      </c>
      <c r="AG10" s="3">
        <f t="shared" si="8"/>
        <v>2007</v>
      </c>
      <c r="AH10" s="3">
        <v>1757</v>
      </c>
      <c r="AI10" s="4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940692540.30126381</v>
      </c>
      <c r="AJ10" s="5">
        <f t="shared" si="9"/>
        <v>6.8056317794814806E-3</v>
      </c>
      <c r="AK10" s="5">
        <f t="shared" si="10"/>
        <v>0.14976731601587032</v>
      </c>
      <c r="AR10" s="3">
        <f t="shared" si="11"/>
        <v>2007</v>
      </c>
      <c r="AS10" s="3">
        <v>1757</v>
      </c>
      <c r="AT10" s="4">
        <f>Amcha!C10 + Byllu!C10 + 'Chaenia'!C10 + 'Cruthi Anoso'!C10 + 'Dual Cenryia'!C10 + Exilium!C10 + Galca!C10 + Inania!C10 + Inrea!C10 + Isnti!C10 + Lieri!C10 + Ocaun!C10 + Otiiric!C10 + Ozinia!C10 + Pelugrotoa!C10 + 'Rtesania'!C10 + Sadain!C10 + Selaja!C10 + Seytinemas!C10 + Sivoso!C10 + Sunsokua!C10 + Taing!C10 + Taoisia!C10 + Trian!C10 + Vayvele!C10</f>
        <v>1281942088.7732134</v>
      </c>
      <c r="AU10" s="5">
        <f t="shared" si="12"/>
        <v>1.0144304436500204E-2</v>
      </c>
      <c r="AV10" s="5">
        <f t="shared" si="13"/>
        <v>0.20409753208190162</v>
      </c>
      <c r="BC10" s="3">
        <f t="shared" si="14"/>
        <v>2007</v>
      </c>
      <c r="BD10" s="3">
        <v>1757</v>
      </c>
      <c r="BE10" s="4">
        <f>'Canldives'!C10 + 'Cloja'!C10 + Dahe!C10 + Eparia!C10 + Etretes!C10 + Haiza!C10 + Ihner!C10 + Kaastini!C10 + Kusierna!C10 + Migoku!C10 + 'North Ayre'!C10 + Oscairia!C10 + Oyreain!C10 + 'Pha Hii'!C10 + 'Pruim Fijan'!C10 + 'Prystr Hii'!C10 + 'Ruylku'!C10 + Sanagara!C10 + Shinam!C10 + Stinebar!C10 + Suenan!C10 + Taval!C10 + Ucrua!C10 + Vesozata!C10 + 'Welenu Fana'!C10 + 'Western Migoku'!C10</f>
        <v>1311644115.8884954</v>
      </c>
      <c r="BF10" s="5">
        <f t="shared" si="15"/>
        <v>8.1378017728774617E-3</v>
      </c>
      <c r="BG10" s="5">
        <f t="shared" si="16"/>
        <v>0.20882638097854725</v>
      </c>
      <c r="BN10" s="3">
        <f t="shared" si="17"/>
        <v>2007</v>
      </c>
      <c r="BO10" s="3">
        <v>1757</v>
      </c>
      <c r="BP10" s="4">
        <f>Andsaudare!C10 + Aplasia!C10 + Astye!C10 + 'Crila Republic'!C10 + 'Elja and Munusia'!C10 + Hiwush!C10 + Iainoa!C10 + Isari!C10 + Isuibul!C10 + Maalle!C10 + Mendereide!C10 + Nia!C10 + 'Niretui and Anulan'!C10 + Ohtina!C10 + Prstreula!C10 + 'Rethern'!C10 + 'Rkmepuia'!C10 + Tvecoca!C10 + Umarcia!C10 + 'United Delet'!C10 + Veelmit!C10 + Walporein!C10 + Yutnitu!C10</f>
        <v>248389439.9310455</v>
      </c>
      <c r="BQ10" s="6">
        <f t="shared" si="18"/>
        <v>1.5184270793419496E-2</v>
      </c>
      <c r="BR10" s="5">
        <f t="shared" si="19"/>
        <v>3.9545992076480331E-2</v>
      </c>
      <c r="BY10" s="3">
        <f t="shared" si="20"/>
        <v>2007</v>
      </c>
      <c r="BZ10" s="3">
        <v>1757</v>
      </c>
      <c r="CA10" s="4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1047678982.8420441</v>
      </c>
      <c r="CB10" s="6">
        <f t="shared" si="21"/>
        <v>1.6082188650537413E-2</v>
      </c>
      <c r="CC10" s="5">
        <f t="shared" si="22"/>
        <v>0.1668005884858394</v>
      </c>
    </row>
    <row r="11" spans="1:81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6211960464.347785</v>
      </c>
      <c r="D11" s="5">
        <f t="shared" si="1"/>
        <v>1.1275767828846019E-2</v>
      </c>
      <c r="K11" s="3">
        <f t="shared" si="2"/>
        <v>2006</v>
      </c>
      <c r="L11" s="3">
        <v>1756</v>
      </c>
      <c r="M11" s="4">
        <f>'Areoix Lie'!C11 + Pelines!C11 + Terressin!C11 + Taniduna!C11 + Iquir!C11 + Deschon!C11 + Othya!C11 + Eldavpir!C11 + 'Candenat'!C11 + Jau!C11 + Viussi!C11 + Jathua!C11 + Jshain!C11 + Acetoa!C11 + Sattle!C11 + 'Reerica'!C11 + 'Feio Lie'!C11 + Umendel!C11 + 'Fire Coast'!C11 + Yoprioq!C11 + 'Rijan bu'!C11 + Saa!C11 + 'Rinew'!C11 + Enina!C11 + Trevilla!C11</f>
        <v>934339914.40193212</v>
      </c>
      <c r="N11" s="5">
        <f t="shared" si="3"/>
        <v>1.3679742737287464E-2</v>
      </c>
      <c r="O11" s="5">
        <f t="shared" si="4"/>
        <v>0.1504098295158792</v>
      </c>
      <c r="V11" s="3">
        <f t="shared" si="5"/>
        <v>2006</v>
      </c>
      <c r="W11" s="3">
        <v>1756</v>
      </c>
      <c r="X11" s="4">
        <f>Aetintio!C11 + Arbiya!C11 + 'Curata'!C11 + 'Disal Nila'!C11 + Etirha!C11 + Fincen!C11 + Gaeiya!C11 + Genaire!C11 + Grazail!C11 + Guise!C11 + Laselteh!C11 + Lasri!C11 + Metndria!C11 + 'New Misos'!C11 + Peka!C11 + Pelan!C11 + Phuris!C11 + 'Raledria'!C11 + Slyiaduun!C11 + Tomscilus!C11</f>
        <v>479318105.26142985</v>
      </c>
      <c r="Y11" s="5">
        <f t="shared" si="6"/>
        <v>1.1184980574392038E-2</v>
      </c>
      <c r="Z11" s="5">
        <f t="shared" si="7"/>
        <v>7.7160520903565524E-2</v>
      </c>
      <c r="AG11" s="3">
        <f t="shared" si="8"/>
        <v>2006</v>
      </c>
      <c r="AH11" s="3">
        <v>1756</v>
      </c>
      <c r="AI11" s="4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934333808.44188774</v>
      </c>
      <c r="AJ11" s="5">
        <f t="shared" si="9"/>
        <v>7.0998378790422369E-3</v>
      </c>
      <c r="AK11" s="5">
        <f t="shared" si="10"/>
        <v>0.150408846579803</v>
      </c>
      <c r="AR11" s="3">
        <f t="shared" si="11"/>
        <v>2006</v>
      </c>
      <c r="AS11" s="3">
        <v>1756</v>
      </c>
      <c r="AT11" s="4">
        <f>Amcha!C11 + Byllu!C11 + 'Chaenia'!C11 + 'Cruthi Anoso'!C11 + 'Dual Cenryia'!C11 + Exilium!C11 + Galca!C11 + Inania!C11 + Inrea!C11 + Isnti!C11 + Lieri!C11 + Ocaun!C11 + Otiiric!C11 + Ozinia!C11 + Pelugrotoa!C11 + 'Rtesania'!C11 + Sadain!C11 + Selaja!C11 + Seytinemas!C11 + Sivoso!C11 + Sunsokua!C11 + Taing!C11 + Taoisia!C11 + Trian!C11 + Vayvele!C11</f>
        <v>1269068273.8525493</v>
      </c>
      <c r="AU11" s="5">
        <f t="shared" si="12"/>
        <v>1.0942698657010511E-2</v>
      </c>
      <c r="AV11" s="5">
        <f t="shared" si="13"/>
        <v>0.20429432562169295</v>
      </c>
      <c r="BC11" s="3">
        <f t="shared" si="14"/>
        <v>2006</v>
      </c>
      <c r="BD11" s="3">
        <v>1756</v>
      </c>
      <c r="BE11" s="4">
        <f>'Canldives'!C11 + 'Cloja'!C11 + Dahe!C11 + Eparia!C11 + Etretes!C11 + Haiza!C11 + Ihner!C11 + Kaastini!C11 + Kusierna!C11 + Migoku!C11 + 'North Ayre'!C11 + Oscairia!C11 + Oyreain!C11 + 'Pha Hii'!C11 + 'Pruim Fijan'!C11 + 'Prystr Hii'!C11 + 'Ruylku'!C11 + Sanagara!C11 + Shinam!C11 + Stinebar!C11 + Suenan!C11 + Taval!C11 + Ucrua!C11 + Vesozata!C11 + 'Welenu Fana'!C11 + 'Western Migoku'!C11</f>
        <v>1301056376.9971545</v>
      </c>
      <c r="BF11" s="5">
        <f t="shared" si="15"/>
        <v>8.2471155098861517E-3</v>
      </c>
      <c r="BG11" s="5">
        <f t="shared" si="16"/>
        <v>0.20944376327961012</v>
      </c>
      <c r="BN11" s="3">
        <f t="shared" si="17"/>
        <v>2006</v>
      </c>
      <c r="BO11" s="3">
        <v>1756</v>
      </c>
      <c r="BP11" s="4">
        <f>Andsaudare!C11 + Aplasia!C11 + Astye!C11 + 'Crila Republic'!C11 + 'Elja and Munusia'!C11 + Hiwush!C11 + Iainoa!C11 + Isari!C11 + Isuibul!C11 + Maalle!C11 + Mendereide!C11 + Nia!C11 + 'Niretui and Anulan'!C11 + Ohtina!C11 + Prstreula!C11 + 'Rethern'!C11 + 'Rkmepuia'!C11 + Tvecoca!C11 + Umarcia!C11 + 'United Delet'!C11 + Veelmit!C11 + Walporein!C11 + Yutnitu!C11</f>
        <v>244674240.01449135</v>
      </c>
      <c r="BQ11" s="7">
        <f t="shared" si="18"/>
        <v>1.5075399478391829E-2</v>
      </c>
      <c r="BR11" s="5">
        <f t="shared" si="19"/>
        <v>3.9387604190133964E-2</v>
      </c>
      <c r="BY11" s="3">
        <f t="shared" si="20"/>
        <v>2006</v>
      </c>
      <c r="BZ11" s="3">
        <v>1756</v>
      </c>
      <c r="CA11" s="4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1031096691.3350489</v>
      </c>
      <c r="CB11" s="7">
        <f t="shared" si="21"/>
        <v>1.6204865168968938E-2</v>
      </c>
      <c r="CC11" s="5">
        <f t="shared" si="22"/>
        <v>0.16598571372963611</v>
      </c>
    </row>
    <row r="12" spans="1:81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6142696840.9265118</v>
      </c>
      <c r="D12" s="5">
        <f t="shared" si="1"/>
        <v>1.1238076933805519E-2</v>
      </c>
      <c r="K12" s="3">
        <f t="shared" si="2"/>
        <v>2005</v>
      </c>
      <c r="L12" s="3">
        <v>1755</v>
      </c>
      <c r="M12" s="4">
        <f>'Areoix Lie'!C12 + Pelines!C12 + Terressin!C12 + Taniduna!C12 + Iquir!C12 + Deschon!C12 + Othya!C12 + Eldavpir!C12 + 'Candenat'!C12 + Jau!C12 + Viussi!C12 + Jathua!C12 + Jshain!C12 + Acetoa!C12 + Sattle!C12 + 'Reerica'!C12 + 'Feio Lie'!C12 + Umendel!C12 + 'Fire Coast'!C12 + Yoprioq!C12 + 'Rijan bu'!C12 + Saa!C12 + 'Rinew'!C12 + Enina!C12 + Trevilla!C12</f>
        <v>921730873.18376291</v>
      </c>
      <c r="N12" s="5">
        <f t="shared" si="3"/>
        <v>1.3582159361626387E-2</v>
      </c>
      <c r="O12" s="5">
        <f t="shared" si="4"/>
        <v>0.15005312764950596</v>
      </c>
      <c r="V12" s="3">
        <f t="shared" si="5"/>
        <v>2005</v>
      </c>
      <c r="W12" s="3">
        <v>1755</v>
      </c>
      <c r="X12" s="4">
        <f>Aetintio!C12 + Arbiya!C12 + 'Curata'!C12 + 'Disal Nila'!C12 + Etirha!C12 + Fincen!C12 + Gaeiya!C12 + Genaire!C12 + Grazail!C12 + Guise!C12 + Laselteh!C12 + Lasri!C12 + Metndria!C12 + 'New Misos'!C12 + Peka!C12 + Pelan!C12 + Phuris!C12 + 'Raledria'!C12 + Slyiaduun!C12 + Tomscilus!C12</f>
        <v>474016242.79383451</v>
      </c>
      <c r="Y12" s="5">
        <f t="shared" si="6"/>
        <v>1.0851902678771539E-2</v>
      </c>
      <c r="Z12" s="5">
        <f t="shared" si="7"/>
        <v>7.7167448609158112E-2</v>
      </c>
      <c r="AG12" s="3">
        <f t="shared" si="8"/>
        <v>2005</v>
      </c>
      <c r="AH12" s="3">
        <v>1755</v>
      </c>
      <c r="AI12" s="4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927746955.46530902</v>
      </c>
      <c r="AJ12" s="5">
        <f t="shared" si="9"/>
        <v>7.0617542025387106E-3</v>
      </c>
      <c r="AK12" s="5">
        <f t="shared" si="10"/>
        <v>0.15103251543915938</v>
      </c>
      <c r="AR12" s="3">
        <f t="shared" si="11"/>
        <v>2005</v>
      </c>
      <c r="AS12" s="3">
        <v>1755</v>
      </c>
      <c r="AT12" s="4">
        <f>Amcha!C12 + Byllu!C12 + 'Chaenia'!C12 + 'Cruthi Anoso'!C12 + 'Dual Cenryia'!C12 + Exilium!C12 + Galca!C12 + Inania!C12 + Inrea!C12 + Isnti!C12 + Lieri!C12 + Ocaun!C12 + Otiiric!C12 + Ozinia!C12 + Pelugrotoa!C12 + 'Rtesania'!C12 + Sadain!C12 + Selaja!C12 + Seytinemas!C12 + Sivoso!C12 + Sunsokua!C12 + Taing!C12 + Taoisia!C12 + Trian!C12 + Vayvele!C12</f>
        <v>1255331558.8889918</v>
      </c>
      <c r="AU12" s="5">
        <f t="shared" si="12"/>
        <v>1.0774153272406344E-2</v>
      </c>
      <c r="AV12" s="5">
        <f t="shared" si="13"/>
        <v>0.20436163323659132</v>
      </c>
      <c r="BC12" s="3">
        <f t="shared" si="14"/>
        <v>2005</v>
      </c>
      <c r="BD12" s="3">
        <v>1755</v>
      </c>
      <c r="BE12" s="4">
        <f>'Canldives'!C12 + 'Cloja'!C12 + Dahe!C12 + Eparia!C12 + Etretes!C12 + Haiza!C12 + Ihner!C12 + Kaastini!C12 + Kusierna!C12 + Migoku!C12 + 'North Ayre'!C12 + Oscairia!C12 + Oyreain!C12 + 'Pha Hii'!C12 + 'Pruim Fijan'!C12 + 'Prystr Hii'!C12 + 'Ruylku'!C12 + Sanagara!C12 + Shinam!C12 + Stinebar!C12 + Suenan!C12 + Taval!C12 + Ucrua!C12 + Vesozata!C12 + 'Welenu Fana'!C12 + 'Western Migoku'!C12</f>
        <v>1290414182.1811116</v>
      </c>
      <c r="BF12" s="5">
        <f t="shared" si="15"/>
        <v>8.3821365531644015E-3</v>
      </c>
      <c r="BG12" s="5">
        <f t="shared" si="16"/>
        <v>0.21007290699804038</v>
      </c>
      <c r="BN12" s="3">
        <f t="shared" si="17"/>
        <v>2005</v>
      </c>
      <c r="BO12" s="3">
        <v>1755</v>
      </c>
      <c r="BP12" s="4">
        <f>Andsaudare!C12 + Aplasia!C12 + Astye!C12 + 'Crila Republic'!C12 + 'Elja and Munusia'!C12 + Hiwush!C12 + Iainoa!C12 + Isari!C12 + Isuibul!C12 + Maalle!C12 + Mendereide!C12 + Nia!C12 + 'Niretui and Anulan'!C12 + Ohtina!C12 + Prstreula!C12 + 'Rethern'!C12 + 'Rkmepuia'!C12 + Tvecoca!C12 + Umarcia!C12 + 'United Delet'!C12 + Veelmit!C12 + Walporein!C12 + Yutnitu!C12</f>
        <v>241040458.80751324</v>
      </c>
      <c r="BQ12" s="6">
        <f t="shared" si="18"/>
        <v>1.5183430869677444E-2</v>
      </c>
      <c r="BR12" s="5">
        <f t="shared" si="19"/>
        <v>3.9240168455254056E-2</v>
      </c>
      <c r="BY12" s="3">
        <f t="shared" si="20"/>
        <v>2005</v>
      </c>
      <c r="BZ12" s="3">
        <v>1755</v>
      </c>
      <c r="CA12" s="4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1014654354.3300236</v>
      </c>
      <c r="CB12" s="6">
        <f t="shared" si="21"/>
        <v>1.635082508108688E-2</v>
      </c>
      <c r="CC12" s="5">
        <f t="shared" si="22"/>
        <v>0.16518060073708307</v>
      </c>
    </row>
    <row r="13" spans="1:81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6074431907.8172979</v>
      </c>
      <c r="D13" s="5">
        <f t="shared" si="1"/>
        <v>1.1334229231707431E-2</v>
      </c>
      <c r="K13" s="3">
        <f t="shared" si="2"/>
        <v>2004</v>
      </c>
      <c r="L13" s="3">
        <v>1754</v>
      </c>
      <c r="M13" s="4">
        <f>'Areoix Lie'!C13 + Pelines!C13 + Terressin!C13 + Taniduna!C13 + Iquir!C13 + Deschon!C13 + Othya!C13 + Eldavpir!C13 + 'Candenat'!C13 + Jau!C13 + Viussi!C13 + Jathua!C13 + Jshain!C13 + Acetoa!C13 + Sattle!C13 + 'Reerica'!C13 + 'Feio Lie'!C13 + Umendel!C13 + 'Fire Coast'!C13 + Yoprioq!C13 + 'Rijan bu'!C13 + Saa!C13 + 'Rinew'!C13 + Enina!C13 + Trevilla!C13</f>
        <v>909379535.41357398</v>
      </c>
      <c r="N13" s="5">
        <f t="shared" si="3"/>
        <v>1.3715449995704281E-2</v>
      </c>
      <c r="O13" s="5">
        <f t="shared" si="4"/>
        <v>0.14970610407917764</v>
      </c>
      <c r="V13" s="3">
        <f t="shared" si="5"/>
        <v>2004</v>
      </c>
      <c r="W13" s="3">
        <v>1754</v>
      </c>
      <c r="X13" s="4">
        <f>Aetintio!C13 + Arbiya!C13 + 'Curata'!C13 + 'Disal Nila'!C13 + Etirha!C13 + Fincen!C13 + Gaeiya!C13 + Genaire!C13 + Grazail!C13 + Guise!C13 + Laselteh!C13 + Lasri!C13 + Metndria!C13 + 'New Misos'!C13 + Peka!C13 + Pelan!C13 + Phuris!C13 + 'Raledria'!C13 + Slyiaduun!C13 + Tomscilus!C13</f>
        <v>468927487.33784336</v>
      </c>
      <c r="Y13" s="5">
        <f t="shared" si="6"/>
        <v>1.0314544165295099E-2</v>
      </c>
      <c r="Z13" s="5">
        <f t="shared" si="7"/>
        <v>7.7196928775244311E-2</v>
      </c>
      <c r="AG13" s="3">
        <f t="shared" si="8"/>
        <v>2004</v>
      </c>
      <c r="AH13" s="3">
        <v>1754</v>
      </c>
      <c r="AI13" s="4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921241375.31164944</v>
      </c>
      <c r="AJ13" s="5">
        <f t="shared" si="9"/>
        <v>7.182799952980547E-3</v>
      </c>
      <c r="AK13" s="5">
        <f t="shared" si="10"/>
        <v>0.15165885292517428</v>
      </c>
      <c r="AR13" s="3">
        <f t="shared" si="11"/>
        <v>2004</v>
      </c>
      <c r="AS13" s="3">
        <v>1754</v>
      </c>
      <c r="AT13" s="4">
        <f>Amcha!C13 + Byllu!C13 + 'Chaenia'!C13 + 'Cruthi Anoso'!C13 + 'Dual Cenryia'!C13 + Exilium!C13 + Galca!C13 + Inania!C13 + Inrea!C13 + Isnti!C13 + Lieri!C13 + Ocaun!C13 + Otiiric!C13 + Ozinia!C13 + Pelugrotoa!C13 + 'Rtesania'!C13 + Sadain!C13 + Selaja!C13 + Seytinemas!C13 + Sivoso!C13 + Sunsokua!C13 + Taing!C13 + Taoisia!C13 + Trian!C13 + Vayvele!C13</f>
        <v>1241950592.8449247</v>
      </c>
      <c r="AU13" s="5">
        <f t="shared" si="12"/>
        <v>1.0821903061608875E-2</v>
      </c>
      <c r="AV13" s="5">
        <f t="shared" si="13"/>
        <v>0.20445543084393383</v>
      </c>
      <c r="BC13" s="3">
        <f t="shared" si="14"/>
        <v>2004</v>
      </c>
      <c r="BD13" s="3">
        <v>1754</v>
      </c>
      <c r="BE13" s="4">
        <f>'Canldives'!C13 + 'Cloja'!C13 + Dahe!C13 + Eparia!C13 + Etretes!C13 + Haiza!C13 + Ihner!C13 + Kaastini!C13 + Kusierna!C13 + Migoku!C13 + 'North Ayre'!C13 + Oscairia!C13 + Oyreain!C13 + 'Pha Hii'!C13 + 'Pruim Fijan'!C13 + 'Prystr Hii'!C13 + 'Ruylku'!C13 + Sanagara!C13 + Shinam!C13 + Stinebar!C13 + Suenan!C13 + Taval!C13 + Ucrua!C13 + Vesozata!C13 + 'Welenu Fana'!C13 + 'Western Migoku'!C13</f>
        <v>1279687665.4241264</v>
      </c>
      <c r="BF13" s="5">
        <f t="shared" si="15"/>
        <v>8.5662980547887846E-3</v>
      </c>
      <c r="BG13" s="5">
        <f t="shared" si="16"/>
        <v>0.21066787558804848</v>
      </c>
      <c r="BN13" s="3">
        <f t="shared" si="17"/>
        <v>2004</v>
      </c>
      <c r="BO13" s="3">
        <v>1754</v>
      </c>
      <c r="BP13" s="4">
        <f>Andsaudare!C13 + Aplasia!C13 + Astye!C13 + 'Crila Republic'!C13 + 'Elja and Munusia'!C13 + Hiwush!C13 + Iainoa!C13 + Isari!C13 + Isuibul!C13 + Maalle!C13 + Mendereide!C13 + Nia!C13 + 'Niretui and Anulan'!C13 + Ohtina!C13 + Prstreula!C13 + 'Rethern'!C13 + 'Rkmepuia'!C13 + Tvecoca!C13 + Umarcia!C13 + 'United Delet'!C13 + Veelmit!C13 + Walporein!C13 + Yutnitu!C13</f>
        <v>237435375.20211598</v>
      </c>
      <c r="BQ13" s="7">
        <f t="shared" si="18"/>
        <v>1.5600214395934054E-2</v>
      </c>
      <c r="BR13" s="5">
        <f t="shared" si="19"/>
        <v>3.9087667588561831E-2</v>
      </c>
      <c r="BY13" s="3">
        <f t="shared" si="20"/>
        <v>2004</v>
      </c>
      <c r="BZ13" s="3">
        <v>1754</v>
      </c>
      <c r="CA13" s="4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998330821.69148839</v>
      </c>
      <c r="CB13" s="7">
        <f t="shared" si="21"/>
        <v>1.6647006783937015E-2</v>
      </c>
      <c r="CC13" s="5">
        <f t="shared" si="22"/>
        <v>0.16434966048540575</v>
      </c>
    </row>
    <row r="14" spans="1:81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6006354508.9657803</v>
      </c>
      <c r="D14" s="5">
        <f t="shared" si="1"/>
        <v>1.1445243835614268E-2</v>
      </c>
      <c r="K14" s="3">
        <f t="shared" si="2"/>
        <v>2003</v>
      </c>
      <c r="L14" s="3">
        <v>1753</v>
      </c>
      <c r="M14" s="4">
        <f>'Areoix Lie'!C14 + Pelines!C14 + Terressin!C14 + Taniduna!C14 + Iquir!C14 + Deschon!C14 + Othya!C14 + Eldavpir!C14 + 'Candenat'!C14 + Jau!C14 + Viussi!C14 + Jathua!C14 + Jshain!C14 + Acetoa!C14 + Sattle!C14 + 'Reerica'!C14 + 'Feio Lie'!C14 + Umendel!C14 + 'Fire Coast'!C14 + Yoprioq!C14 + 'Rijan bu'!C14 + Saa!C14 + 'Rinew'!C14 + Enina!C14 + Trevilla!C14</f>
        <v>897075737.98685575</v>
      </c>
      <c r="N14" s="5">
        <f t="shared" si="3"/>
        <v>1.3861931068732916E-2</v>
      </c>
      <c r="O14" s="5">
        <f t="shared" si="4"/>
        <v>0.14935444397225914</v>
      </c>
      <c r="V14" s="3">
        <f t="shared" si="5"/>
        <v>2003</v>
      </c>
      <c r="W14" s="3">
        <v>1753</v>
      </c>
      <c r="X14" s="4">
        <f>Aetintio!C14 + Arbiya!C14 + 'Curata'!C14 + 'Disal Nila'!C14 + Etirha!C14 + Fincen!C14 + Gaeiya!C14 + Genaire!C14 + Grazail!C14 + Guise!C14 + Laselteh!C14 + Lasri!C14 + Metndria!C14 + 'New Misos'!C14 + Peka!C14 + Pelan!C14 + Phuris!C14 + 'Raledria'!C14 + Slyiaduun!C14 + Tomscilus!C14</f>
        <v>464140093.84103578</v>
      </c>
      <c r="Y14" s="5">
        <f t="shared" si="6"/>
        <v>1.0823182432309576E-2</v>
      </c>
      <c r="Z14" s="5">
        <f t="shared" si="7"/>
        <v>7.7274841694443194E-2</v>
      </c>
      <c r="AG14" s="3">
        <f t="shared" si="8"/>
        <v>2003</v>
      </c>
      <c r="AH14" s="3">
        <v>1753</v>
      </c>
      <c r="AI14" s="4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914671473.0976907</v>
      </c>
      <c r="AJ14" s="5">
        <f t="shared" si="9"/>
        <v>7.184281166159965E-3</v>
      </c>
      <c r="AK14" s="5">
        <f t="shared" si="10"/>
        <v>0.15228396388064444</v>
      </c>
      <c r="AR14" s="3">
        <f t="shared" si="11"/>
        <v>2003</v>
      </c>
      <c r="AS14" s="3">
        <v>1753</v>
      </c>
      <c r="AT14" s="4">
        <f>Amcha!C14 + Byllu!C14 + 'Chaenia'!C14 + 'Cruthi Anoso'!C14 + 'Dual Cenryia'!C14 + Exilium!C14 + Galca!C14 + Inania!C14 + Inrea!C14 + Isnti!C14 + Lieri!C14 + Ocaun!C14 + Otiiric!C14 + Ozinia!C14 + Pelugrotoa!C14 + 'Rtesania'!C14 + Sadain!C14 + Selaja!C14 + Seytinemas!C14 + Sivoso!C14 + Sunsokua!C14 + Taing!C14 + Taoisia!C14 + Trian!C14 + Vayvele!C14</f>
        <v>1228654216.0228879</v>
      </c>
      <c r="AU14" s="5">
        <f t="shared" si="12"/>
        <v>1.0828989122313448E-2</v>
      </c>
      <c r="AV14" s="5">
        <f t="shared" si="13"/>
        <v>0.2045590572765654</v>
      </c>
      <c r="BC14" s="3">
        <f t="shared" si="14"/>
        <v>2003</v>
      </c>
      <c r="BD14" s="3">
        <v>1753</v>
      </c>
      <c r="BE14" s="4">
        <f>'Canldives'!C14 + 'Cloja'!C14 + Dahe!C14 + Eparia!C14 + Etretes!C14 + Haiza!C14 + Ihner!C14 + Kaastini!C14 + Kusierna!C14 + Migoku!C14 + 'North Ayre'!C14 + Oscairia!C14 + Oyreain!C14 + 'Pha Hii'!C14 + 'Pruim Fijan'!C14 + 'Prystr Hii'!C14 + 'Ruylku'!C14 + Sanagara!C14 + Shinam!C14 + Stinebar!C14 + Suenan!C14 + Taval!C14 + Ucrua!C14 + Vesozata!C14 + 'Welenu Fana'!C14 + 'Western Migoku'!C14</f>
        <v>1268818587.2284713</v>
      </c>
      <c r="BF14" s="5">
        <f t="shared" si="15"/>
        <v>8.5738208002168192E-3</v>
      </c>
      <c r="BG14" s="5">
        <f t="shared" si="16"/>
        <v>0.21124603706532569</v>
      </c>
      <c r="BN14" s="3">
        <f t="shared" si="17"/>
        <v>2003</v>
      </c>
      <c r="BO14" s="3">
        <v>1753</v>
      </c>
      <c r="BP14" s="4">
        <f>Andsaudare!C14 + Aplasia!C14 + Astye!C14 + 'Crila Republic'!C14 + 'Elja and Munusia'!C14 + Hiwush!C14 + Iainoa!C14 + Isari!C14 + Isuibul!C14 + Maalle!C14 + Mendereide!C14 + Nia!C14 + 'Niretui and Anulan'!C14 + Ohtina!C14 + Prstreula!C14 + 'Rethern'!C14 + 'Rkmepuia'!C14 + Tvecoca!C14 + Umarcia!C14 + 'United Delet'!C14 + Veelmit!C14 + Walporein!C14 + Yutnitu!C14</f>
        <v>233788228.71097904</v>
      </c>
      <c r="BQ14" s="6">
        <f t="shared" si="18"/>
        <v>1.5666733754883647E-2</v>
      </c>
      <c r="BR14" s="5">
        <f t="shared" si="19"/>
        <v>3.8923481516450566E-2</v>
      </c>
      <c r="BY14" s="3">
        <f t="shared" si="20"/>
        <v>2003</v>
      </c>
      <c r="BZ14" s="3">
        <v>1753</v>
      </c>
      <c r="CA14" s="4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981983731.84573662</v>
      </c>
      <c r="CB14" s="6">
        <f t="shared" si="21"/>
        <v>1.6997918360696824E-2</v>
      </c>
      <c r="CC14" s="5">
        <f t="shared" si="22"/>
        <v>0.16349080467693242</v>
      </c>
    </row>
    <row r="15" spans="1:81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5938388207.9354229</v>
      </c>
      <c r="D15" s="5">
        <f t="shared" si="1"/>
        <v>1.1659760981753366E-2</v>
      </c>
      <c r="K15" s="3">
        <f t="shared" si="2"/>
        <v>2002</v>
      </c>
      <c r="L15" s="3">
        <v>1752</v>
      </c>
      <c r="M15" s="4">
        <f>'Areoix Lie'!C15 + Pelines!C15 + Terressin!C15 + Taniduna!C15 + Iquir!C15 + Deschon!C15 + Othya!C15 + Eldavpir!C15 + 'Candenat'!C15 + Jau!C15 + Viussi!C15 + Jathua!C15 + Jshain!C15 + Acetoa!C15 + Sattle!C15 + 'Reerica'!C15 + 'Feio Lie'!C15 + Umendel!C15 + 'Fire Coast'!C15 + Yoprioq!C15 + 'Rijan bu'!C15 + Saa!C15 + 'Rinew'!C15 + Enina!C15 + Trevilla!C15</f>
        <v>884810555.06367576</v>
      </c>
      <c r="N15" s="5">
        <f t="shared" si="3"/>
        <v>1.4100212407840797E-2</v>
      </c>
      <c r="O15" s="5">
        <f t="shared" si="4"/>
        <v>0.14899843595292578</v>
      </c>
      <c r="V15" s="3">
        <f t="shared" si="5"/>
        <v>2002</v>
      </c>
      <c r="W15" s="3">
        <v>1752</v>
      </c>
      <c r="X15" s="4">
        <f>Aetintio!C15 + Arbiya!C15 + 'Curata'!C15 + 'Disal Nila'!C15 + Etirha!C15 + Fincen!C15 + Gaeiya!C15 + Genaire!C15 + Grazail!C15 + Guise!C15 + Laselteh!C15 + Lasri!C15 + Metndria!C15 + 'New Misos'!C15 + Peka!C15 + Pelan!C15 + Phuris!C15 + 'Raledria'!C15 + Slyiaduun!C15 + Tomscilus!C15</f>
        <v>459170408.73972756</v>
      </c>
      <c r="Y15" s="5">
        <f t="shared" si="6"/>
        <v>1.0670808167089301E-2</v>
      </c>
      <c r="Z15" s="5">
        <f t="shared" si="7"/>
        <v>7.7322396694466972E-2</v>
      </c>
      <c r="AG15" s="3">
        <f t="shared" si="8"/>
        <v>2002</v>
      </c>
      <c r="AH15" s="3">
        <v>1752</v>
      </c>
      <c r="AI15" s="4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908147089.06958508</v>
      </c>
      <c r="AJ15" s="5">
        <f t="shared" si="9"/>
        <v>7.0408948607135402E-3</v>
      </c>
      <c r="AK15" s="5">
        <f t="shared" si="10"/>
        <v>0.15292821170836138</v>
      </c>
      <c r="AR15" s="3">
        <f t="shared" si="11"/>
        <v>2002</v>
      </c>
      <c r="AS15" s="3">
        <v>1752</v>
      </c>
      <c r="AT15" s="4">
        <f>Amcha!C15 + Byllu!C15 + 'Chaenia'!C15 + 'Cruthi Anoso'!C15 + 'Dual Cenryia'!C15 + Exilium!C15 + Galca!C15 + Inania!C15 + Inrea!C15 + Isnti!C15 + Lieri!C15 + Ocaun!C15 + Otiiric!C15 + Ozinia!C15 + Pelugrotoa!C15 + 'Rtesania'!C15 + Sadain!C15 + Selaja!C15 + Seytinemas!C15 + Sivoso!C15 + Sunsokua!C15 + Taing!C15 + Taoisia!C15 + Trian!C15 + Vayvele!C15</f>
        <v>1215491669.9507289</v>
      </c>
      <c r="AU15" s="5">
        <f t="shared" si="12"/>
        <v>1.1461153569728965E-2</v>
      </c>
      <c r="AV15" s="5">
        <f t="shared" si="13"/>
        <v>0.20468376727652743</v>
      </c>
      <c r="BC15" s="3">
        <f t="shared" si="14"/>
        <v>2002</v>
      </c>
      <c r="BD15" s="3">
        <v>1752</v>
      </c>
      <c r="BE15" s="4">
        <f>'Canldives'!C15 + 'Cloja'!C15 + Dahe!C15 + Eparia!C15 + Etretes!C15 + Haiza!C15 + Ihner!C15 + Kaastini!C15 + Kusierna!C15 + Migoku!C15 + 'North Ayre'!C15 + Oscairia!C15 + Oyreain!C15 + 'Pha Hii'!C15 + 'Pruim Fijan'!C15 + 'Prystr Hii'!C15 + 'Ruylku'!C15 + Sanagara!C15 + Shinam!C15 + Stinebar!C15 + Suenan!C15 + Taval!C15 + Ucrua!C15 + Vesozata!C15 + 'Welenu Fana'!C15 + 'Western Migoku'!C15</f>
        <v>1258032442.5055695</v>
      </c>
      <c r="BF15" s="5">
        <f t="shared" si="15"/>
        <v>8.6780457220147766E-3</v>
      </c>
      <c r="BG15" s="5">
        <f t="shared" si="16"/>
        <v>0.21184745733269345</v>
      </c>
      <c r="BN15" s="3">
        <f t="shared" si="17"/>
        <v>2002</v>
      </c>
      <c r="BO15" s="3">
        <v>1752</v>
      </c>
      <c r="BP15" s="4">
        <f>Andsaudare!C15 + Aplasia!C15 + Astye!C15 + 'Crila Republic'!C15 + 'Elja and Munusia'!C15 + Hiwush!C15 + Iainoa!C15 + Isari!C15 + Isuibul!C15 + Maalle!C15 + Mendereide!C15 + Nia!C15 + 'Niretui and Anulan'!C15 + Ohtina!C15 + Prstreula!C15 + 'Rethern'!C15 + 'Rkmepuia'!C15 + Tvecoca!C15 + Umarcia!C15 + 'United Delet'!C15 + Veelmit!C15 + Walporein!C15 + Yutnitu!C15</f>
        <v>230182028.16062737</v>
      </c>
      <c r="BQ15" s="7">
        <f t="shared" si="18"/>
        <v>1.5718103421893472E-2</v>
      </c>
      <c r="BR15" s="5">
        <f t="shared" si="19"/>
        <v>3.8761701003824048E-2</v>
      </c>
      <c r="BY15" s="3">
        <f t="shared" si="20"/>
        <v>2002</v>
      </c>
      <c r="BZ15" s="3">
        <v>1752</v>
      </c>
      <c r="CA15" s="4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965571034.23436725</v>
      </c>
      <c r="CB15" s="7">
        <f t="shared" si="21"/>
        <v>1.7445289797113562E-2</v>
      </c>
      <c r="CC15" s="5">
        <f t="shared" si="22"/>
        <v>0.16259816644255121</v>
      </c>
    </row>
    <row r="16" spans="1:81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5869946040.1316977</v>
      </c>
      <c r="D16" s="5">
        <f t="shared" si="1"/>
        <v>1.1927712979379225E-2</v>
      </c>
      <c r="K16" s="3">
        <f t="shared" si="2"/>
        <v>2001</v>
      </c>
      <c r="L16" s="3">
        <v>1751</v>
      </c>
      <c r="M16" s="4">
        <f>'Areoix Lie'!C16 + Pelines!C16 + Terressin!C16 + Taniduna!C16 + Iquir!C16 + Deschon!C16 + Othya!C16 + Eldavpir!C16 + 'Candenat'!C16 + Jau!C16 + Viussi!C16 + Jathua!C16 + Jshain!C16 + Acetoa!C16 + Sattle!C16 + 'Reerica'!C16 + 'Feio Lie'!C16 + Umendel!C16 + 'Fire Coast'!C16 + Yoprioq!C16 + 'Rijan bu'!C16 + Saa!C16 + 'Rinew'!C16 + Enina!C16 + Trevilla!C16</f>
        <v>872508006.83969426</v>
      </c>
      <c r="N16" s="5">
        <f t="shared" si="3"/>
        <v>1.450432110120178E-2</v>
      </c>
      <c r="O16" s="5">
        <f t="shared" si="4"/>
        <v>0.14863986838627205</v>
      </c>
      <c r="V16" s="3">
        <f t="shared" si="5"/>
        <v>2001</v>
      </c>
      <c r="W16" s="3">
        <v>1751</v>
      </c>
      <c r="X16" s="4">
        <f>Aetintio!C16 + Arbiya!C16 + 'Curata'!C16 + 'Disal Nila'!C16 + Etirha!C16 + Fincen!C16 + Gaeiya!C16 + Genaire!C16 + Grazail!C16 + Guise!C16 + Laselteh!C16 + Lasri!C16 + Metndria!C16 + 'New Misos'!C16 + Peka!C16 + Pelan!C16 + Phuris!C16 + 'Raledria'!C16 + Slyiaduun!C16 + Tomscilus!C16</f>
        <v>454322421.33564734</v>
      </c>
      <c r="Y16" s="5">
        <f t="shared" si="6"/>
        <v>1.154700268635651E-2</v>
      </c>
      <c r="Z16" s="5">
        <f t="shared" si="7"/>
        <v>7.7398057534010009E-2</v>
      </c>
      <c r="AG16" s="3">
        <f t="shared" si="8"/>
        <v>2001</v>
      </c>
      <c r="AH16" s="3">
        <v>1751</v>
      </c>
      <c r="AI16" s="4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901797626.79368973</v>
      </c>
      <c r="AJ16" s="5">
        <f t="shared" si="9"/>
        <v>7.1857449340684736E-3</v>
      </c>
      <c r="AK16" s="5">
        <f t="shared" si="10"/>
        <v>0.15362962804568764</v>
      </c>
      <c r="AR16" s="3">
        <f t="shared" si="11"/>
        <v>2001</v>
      </c>
      <c r="AS16" s="3">
        <v>1751</v>
      </c>
      <c r="AT16" s="4">
        <f>Amcha!C16 + Byllu!C16 + 'Chaenia'!C16 + 'Cruthi Anoso'!C16 + 'Dual Cenryia'!C16 + Exilium!C16 + Galca!C16 + Inania!C16 + Inrea!C16 + Isnti!C16 + Lieri!C16 + Ocaun!C16 + Otiiric!C16 + Ozinia!C16 + Pelugrotoa!C16 + 'Rtesania'!C16 + Sadain!C16 + Selaja!C16 + Seytinemas!C16 + Sivoso!C16 + Sunsokua!C16 + Taing!C16 + Taoisia!C16 + Trian!C16 + Vayvele!C16</f>
        <v>1201718588.6585157</v>
      </c>
      <c r="AU16" s="5">
        <f t="shared" si="12"/>
        <v>1.1605427313635334E-2</v>
      </c>
      <c r="AV16" s="5">
        <f t="shared" si="13"/>
        <v>0.20472395835372176</v>
      </c>
      <c r="BC16" s="3">
        <f t="shared" si="14"/>
        <v>2001</v>
      </c>
      <c r="BD16" s="3">
        <v>1751</v>
      </c>
      <c r="BE16" s="4">
        <f>'Canldives'!C16 + 'Cloja'!C16 + Dahe!C16 + Eparia!C16 + Etretes!C16 + Haiza!C16 + Ihner!C16 + Kaastini!C16 + Kusierna!C16 + Migoku!C16 + 'North Ayre'!C16 + Oscairia!C16 + Oyreain!C16 + 'Pha Hii'!C16 + 'Pruim Fijan'!C16 + 'Prystr Hii'!C16 + 'Ruylku'!C16 + Sanagara!C16 + Shinam!C16 + Stinebar!C16 + Suenan!C16 + Taval!C16 + Ucrua!C16 + Vesozata!C16 + 'Welenu Fana'!C16 + 'Western Migoku'!C16</f>
        <v>1247209104.8686066</v>
      </c>
      <c r="BF16" s="5">
        <f t="shared" si="15"/>
        <v>8.8536075136621765E-3</v>
      </c>
      <c r="BG16" s="5">
        <f t="shared" si="16"/>
        <v>0.21247369163901619</v>
      </c>
      <c r="BN16" s="3">
        <f t="shared" si="17"/>
        <v>2001</v>
      </c>
      <c r="BO16" s="3">
        <v>1751</v>
      </c>
      <c r="BP16" s="4">
        <f>Andsaudare!C16 + Aplasia!C16 + Astye!C16 + 'Crila Republic'!C16 + 'Elja and Munusia'!C16 + Hiwush!C16 + Iainoa!C16 + Isari!C16 + Isuibul!C16 + Maalle!C16 + Mendereide!C16 + Nia!C16 + 'Niretui and Anulan'!C16 + Ohtina!C16 + Prstreula!C16 + 'Rethern'!C16 + 'Rkmepuia'!C16 + Tvecoca!C16 + Umarcia!C16 + 'United Delet'!C16 + Veelmit!C16 + Walporein!C16 + Yutnitu!C16</f>
        <v>226619991.69371688</v>
      </c>
      <c r="BQ16" s="6">
        <f t="shared" si="18"/>
        <v>1.5724662982419688E-2</v>
      </c>
      <c r="BR16" s="5">
        <f t="shared" si="19"/>
        <v>3.8606827072064955E-2</v>
      </c>
      <c r="BY16" s="3">
        <f t="shared" si="20"/>
        <v>2001</v>
      </c>
      <c r="BZ16" s="3">
        <v>1751</v>
      </c>
      <c r="CA16" s="4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949015189.23627782</v>
      </c>
      <c r="CB16" s="6">
        <f t="shared" si="21"/>
        <v>1.7820508708103575E-2</v>
      </c>
      <c r="CC16" s="5">
        <f t="shared" si="22"/>
        <v>0.16167357974810034</v>
      </c>
    </row>
    <row r="17" spans="1:81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5800756284.1114855</v>
      </c>
      <c r="D17" s="5">
        <f t="shared" si="1"/>
        <v>1.1879836063783468E-2</v>
      </c>
      <c r="K17" s="3">
        <f t="shared" si="2"/>
        <v>2000</v>
      </c>
      <c r="L17" s="3">
        <v>1750</v>
      </c>
      <c r="M17" s="4">
        <f>'Areoix Lie'!C17 + Pelines!C17 + Terressin!C17 + Taniduna!C17 + Iquir!C17 + Deschon!C17 + Othya!C17 + Eldavpir!C17 + 'Candenat'!C17 + Jau!C17 + Viussi!C17 + Jathua!C17 + Jshain!C17 + Acetoa!C17 + Sattle!C17 + 'Reerica'!C17 + 'Feio Lie'!C17 + Umendel!C17 + 'Fire Coast'!C17 + Yoprioq!C17 + 'Rijan bu'!C17 + Saa!C17 + 'Rinew'!C17 + Enina!C17 + Trevilla!C17</f>
        <v>860033800.44022238</v>
      </c>
      <c r="N17" s="5">
        <f t="shared" si="3"/>
        <v>1.4845310813488612E-2</v>
      </c>
      <c r="O17" s="5">
        <f t="shared" si="4"/>
        <v>0.14826235723708839</v>
      </c>
      <c r="V17" s="3">
        <f t="shared" si="5"/>
        <v>2000</v>
      </c>
      <c r="W17" s="3">
        <v>1750</v>
      </c>
      <c r="X17" s="4">
        <f>Aetintio!C17 + Arbiya!C17 + 'Curata'!C17 + 'Disal Nila'!C17 + Etirha!C17 + Fincen!C17 + Gaeiya!C17 + Genaire!C17 + Grazail!C17 + Guise!C17 + Laselteh!C17 + Lasri!C17 + Metndria!C17 + 'New Misos'!C17 + Peka!C17 + Pelan!C17 + Phuris!C17 + 'Raledria'!C17 + Slyiaduun!C17 + Tomscilus!C17</f>
        <v>449136243.9205566</v>
      </c>
      <c r="Y17" s="5">
        <f t="shared" si="6"/>
        <v>1.1222430616944988E-2</v>
      </c>
      <c r="Z17" s="5">
        <f t="shared" si="7"/>
        <v>7.7427187408434933E-2</v>
      </c>
      <c r="AG17" s="3">
        <f t="shared" si="8"/>
        <v>2000</v>
      </c>
      <c r="AH17" s="3">
        <v>1750</v>
      </c>
      <c r="AI17" s="4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895363771.11127841</v>
      </c>
      <c r="AJ17" s="5">
        <f t="shared" si="9"/>
        <v>5.9465325987060752E-3</v>
      </c>
      <c r="AK17" s="5">
        <f t="shared" si="10"/>
        <v>0.15435293731676286</v>
      </c>
      <c r="AR17" s="3">
        <f t="shared" si="11"/>
        <v>2000</v>
      </c>
      <c r="AS17" s="3">
        <v>1750</v>
      </c>
      <c r="AT17" s="4">
        <f>Amcha!C17 + Byllu!C17 + 'Chaenia'!C17 + 'Cruthi Anoso'!C17 + 'Dual Cenryia'!C17 + Exilium!C17 + Galca!C17 + Inania!C17 + Inrea!C17 + Isnti!C17 + Lieri!C17 + Ocaun!C17 + Otiiric!C17 + Ozinia!C17 + Pelugrotoa!C17 + 'Rtesania'!C17 + Sadain!C17 + Selaja!C17 + Seytinemas!C17 + Sivoso!C17 + Sunsokua!C17 + Taing!C17 + Taoisia!C17 + Trian!C17 + Vayvele!C17</f>
        <v>1187932128.6855237</v>
      </c>
      <c r="AU17" s="5">
        <f t="shared" si="12"/>
        <v>1.1581925640131325E-2</v>
      </c>
      <c r="AV17" s="5">
        <f t="shared" si="13"/>
        <v>0.20478918101408944</v>
      </c>
      <c r="BC17" s="3">
        <f t="shared" si="14"/>
        <v>2000</v>
      </c>
      <c r="BD17" s="3">
        <v>1750</v>
      </c>
      <c r="BE17" s="4">
        <f>'Canldives'!C17 + 'Cloja'!C17 + Dahe!C17 + Eparia!C17 + Etretes!C17 + Haiza!C17 + Ihner!C17 + Kaastini!C17 + Kusierna!C17 + Migoku!C17 + 'North Ayre'!C17 + Oscairia!C17 + Oyreain!C17 + 'Pha Hii'!C17 + 'Pruim Fijan'!C17 + 'Prystr Hii'!C17 + 'Ruylku'!C17 + Sanagara!C17 + Shinam!C17 + Stinebar!C17 + Suenan!C17 + Taval!C17 + Ucrua!C17 + Vesozata!C17 + 'Welenu Fana'!C17 + 'Western Migoku'!C17</f>
        <v>1236263711.186379</v>
      </c>
      <c r="BF17" s="5">
        <f t="shared" si="15"/>
        <v>8.8532329186105929E-3</v>
      </c>
      <c r="BG17" s="5">
        <f t="shared" si="16"/>
        <v>0.21312112604567737</v>
      </c>
      <c r="BN17" s="3">
        <f t="shared" si="17"/>
        <v>2000</v>
      </c>
      <c r="BO17" s="3">
        <v>1750</v>
      </c>
      <c r="BP17" s="4">
        <f>Andsaudare!C17 + Aplasia!C17 + Astye!C17 + 'Crila Republic'!C17 + 'Elja and Munusia'!C17 + Hiwush!C17 + Iainoa!C17 + Isari!C17 + Isuibul!C17 + Maalle!C17 + Mendereide!C17 + Nia!C17 + 'Niretui and Anulan'!C17 + Ohtina!C17 + Prstreula!C17 + 'Rethern'!C17 + 'Rkmepuia'!C17 + Tvecoca!C17 + Umarcia!C17 + 'United Delet'!C17 + Veelmit!C17 + Walporein!C17 + Yutnitu!C17</f>
        <v>223111636.4038108</v>
      </c>
      <c r="BQ17" s="7">
        <f t="shared" si="18"/>
        <v>1.5973876728965882E-2</v>
      </c>
      <c r="BR17" s="5">
        <f t="shared" si="19"/>
        <v>3.8462508244816784E-2</v>
      </c>
      <c r="BY17" s="3">
        <f t="shared" si="20"/>
        <v>2000</v>
      </c>
      <c r="BZ17" s="3">
        <v>1750</v>
      </c>
      <c r="CA17" s="4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932399358.35134745</v>
      </c>
      <c r="CB17" s="7">
        <f t="shared" si="21"/>
        <v>1.8610156119002699E-2</v>
      </c>
      <c r="CC17" s="5">
        <f t="shared" si="22"/>
        <v>0.16073755087853431</v>
      </c>
    </row>
    <row r="18" spans="1:81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5732653302.6653147</v>
      </c>
      <c r="D18" s="5">
        <f t="shared" si="1"/>
        <v>1.1971402545189469E-2</v>
      </c>
      <c r="K18" s="3">
        <f t="shared" si="2"/>
        <v>1999</v>
      </c>
      <c r="L18" s="3">
        <v>1749</v>
      </c>
      <c r="M18" s="4">
        <f>'Areoix Lie'!C18 + Pelines!C18 + Terressin!C18 + Taniduna!C18 + Iquir!C18 + Deschon!C18 + Othya!C18 + Eldavpir!C18 + 'Candenat'!C18 + Jau!C18 + Viussi!C18 + Jathua!C18 + Jshain!C18 + Acetoa!C18 + Sattle!C18 + 'Reerica'!C18 + 'Feio Lie'!C18 + Umendel!C18 + 'Fire Coast'!C18 + Yoprioq!C18 + 'Rijan bu'!C18 + Saa!C18 + 'Rinew'!C18 + Enina!C18 + Trevilla!C18</f>
        <v>847453095.83273232</v>
      </c>
      <c r="N18" s="5">
        <f t="shared" si="3"/>
        <v>1.4959041906895775E-2</v>
      </c>
      <c r="O18" s="5">
        <f t="shared" si="4"/>
        <v>0.14782912049447003</v>
      </c>
      <c r="V18" s="3">
        <f t="shared" si="5"/>
        <v>1999</v>
      </c>
      <c r="W18" s="3">
        <v>1749</v>
      </c>
      <c r="X18" s="4">
        <f>Aetintio!C18 + Arbiya!C18 + 'Curata'!C18 + 'Disal Nila'!C18 + Etirha!C18 + Fincen!C18 + Gaeiya!C18 + Genaire!C18 + Grazail!C18 + Guise!C18 + Laselteh!C18 + Lasri!C18 + Metndria!C18 + 'New Misos'!C18 + Peka!C18 + Pelan!C18 + Phuris!C18 + 'Raledria'!C18 + Slyiaduun!C18 + Tomscilus!C18</f>
        <v>444151781.37073106</v>
      </c>
      <c r="Y18" s="5">
        <f t="shared" si="6"/>
        <v>1.1468330449234137E-2</v>
      </c>
      <c r="Z18" s="5">
        <f t="shared" si="7"/>
        <v>7.7477523569100037E-2</v>
      </c>
      <c r="AG18" s="3">
        <f t="shared" si="8"/>
        <v>1999</v>
      </c>
      <c r="AH18" s="3">
        <v>1749</v>
      </c>
      <c r="AI18" s="4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890070935.27947819</v>
      </c>
      <c r="AJ18" s="5">
        <f t="shared" si="9"/>
        <v>4.6494650609446792E-3</v>
      </c>
      <c r="AK18" s="5">
        <f t="shared" si="10"/>
        <v>0.1552633463575501</v>
      </c>
      <c r="AR18" s="3">
        <f t="shared" si="11"/>
        <v>1999</v>
      </c>
      <c r="AS18" s="3">
        <v>1749</v>
      </c>
      <c r="AT18" s="4">
        <f>Amcha!C18 + Byllu!C18 + 'Chaenia'!C18 + 'Cruthi Anoso'!C18 + 'Dual Cenryia'!C18 + Exilium!C18 + Galca!C18 + Inania!C18 + Inrea!C18 + Isnti!C18 + Lieri!C18 + Ocaun!C18 + Otiiric!C18 + Ozinia!C18 + Pelugrotoa!C18 + 'Rtesania'!C18 + Sadain!C18 + Selaja!C18 + Seytinemas!C18 + Sivoso!C18 + Sunsokua!C18 + Taing!C18 + Taoisia!C18 + Trian!C18 + Vayvele!C18</f>
        <v>1174331113.0572026</v>
      </c>
      <c r="AU18" s="5">
        <f t="shared" si="12"/>
        <v>1.2637035982366431E-2</v>
      </c>
      <c r="AV18" s="5">
        <f t="shared" si="13"/>
        <v>0.20484949133609986</v>
      </c>
      <c r="BC18" s="3">
        <f t="shared" si="14"/>
        <v>1999</v>
      </c>
      <c r="BD18" s="3">
        <v>1749</v>
      </c>
      <c r="BE18" s="4">
        <f>'Canldives'!C18 + 'Cloja'!C18 + Dahe!C18 + Eparia!C18 + Etretes!C18 + Haiza!C18 + Ihner!C18 + Kaastini!C18 + Kusierna!C18 + Migoku!C18 + 'North Ayre'!C18 + Oscairia!C18 + Oyreain!C18 + 'Pha Hii'!C18 + 'Pruim Fijan'!C18 + 'Prystr Hii'!C18 + 'Ruylku'!C18 + Sanagara!C18 + Shinam!C18 + Stinebar!C18 + Suenan!C18 + Taval!C18 + Ucrua!C18 + Vesozata!C18 + 'Welenu Fana'!C18 + 'Western Migoku'!C18</f>
        <v>1225414828.2896118</v>
      </c>
      <c r="BF18" s="5">
        <f t="shared" si="15"/>
        <v>8.6959404932917782E-3</v>
      </c>
      <c r="BG18" s="5">
        <f t="shared" si="16"/>
        <v>0.21376049860190793</v>
      </c>
      <c r="BN18" s="3">
        <f t="shared" si="17"/>
        <v>1999</v>
      </c>
      <c r="BO18" s="3">
        <v>1749</v>
      </c>
      <c r="BP18" s="4">
        <f>Andsaudare!C18 + Aplasia!C18 + Astye!C18 + 'Crila Republic'!C18 + 'Elja and Munusia'!C18 + Hiwush!C18 + Iainoa!C18 + Isari!C18 + Isuibul!C18 + Maalle!C18 + Mendereide!C18 + Nia!C18 + 'Niretui and Anulan'!C18 + Ohtina!C18 + Prstreula!C18 + 'Rethern'!C18 + 'Rkmepuia'!C18 + Tvecoca!C18 + Umarcia!C18 + 'United Delet'!C18 + Veelmit!C18 + Walporein!C18 + Yutnitu!C18</f>
        <v>219603713.75112718</v>
      </c>
      <c r="BQ18" s="6">
        <f t="shared" si="18"/>
        <v>1.6524817766570169E-2</v>
      </c>
      <c r="BR18" s="5">
        <f t="shared" si="19"/>
        <v>3.8307516983283392E-2</v>
      </c>
      <c r="BY18" s="3">
        <f t="shared" si="20"/>
        <v>1999</v>
      </c>
      <c r="BZ18" s="3">
        <v>1749</v>
      </c>
      <c r="CA18" s="4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915364286.08160925</v>
      </c>
      <c r="CB18" s="6">
        <f t="shared" si="21"/>
        <v>1.906385446724532E-2</v>
      </c>
      <c r="CC18" s="5">
        <f t="shared" si="22"/>
        <v>0.15967550063703029</v>
      </c>
    </row>
    <row r="19" spans="1:81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5664837255.5264215</v>
      </c>
      <c r="D19" s="5">
        <f t="shared" si="1"/>
        <v>1.2046776098881027E-2</v>
      </c>
      <c r="K19" s="3">
        <f t="shared" si="2"/>
        <v>1998</v>
      </c>
      <c r="L19" s="3">
        <v>1748</v>
      </c>
      <c r="M19" s="4">
        <f>'Areoix Lie'!C19 + Pelines!C19 + Terressin!C19 + Taniduna!C19 + Iquir!C19 + Deschon!C19 + Othya!C19 + Eldavpir!C19 + 'Candenat'!C19 + Jau!C19 + Viussi!C19 + Jathua!C19 + Jshain!C19 + Acetoa!C19 + Sattle!C19 + 'Reerica'!C19 + 'Feio Lie'!C19 + Umendel!C19 + 'Fire Coast'!C19 + Yoprioq!C19 + 'Rijan bu'!C19 + Saa!C19 + 'Rinew'!C19 + Enina!C19 + Trevilla!C19</f>
        <v>834962851.54575813</v>
      </c>
      <c r="N19" s="5">
        <f t="shared" si="3"/>
        <v>1.4953279972028109E-2</v>
      </c>
      <c r="O19" s="5">
        <f t="shared" si="4"/>
        <v>0.14739396983226605</v>
      </c>
      <c r="V19" s="3">
        <f t="shared" si="5"/>
        <v>1998</v>
      </c>
      <c r="W19" s="3">
        <v>1748</v>
      </c>
      <c r="X19" s="4">
        <f>Aetintio!C19 + Arbiya!C19 + 'Curata'!C19 + 'Disal Nila'!C19 + Etirha!C19 + Fincen!C19 + Gaeiya!C19 + Genaire!C19 + Grazail!C19 + Guise!C19 + Laselteh!C19 + Lasri!C19 + Metndria!C19 + 'New Misos'!C19 + Peka!C19 + Pelan!C19 + Phuris!C19 + 'Raledria'!C19 + Slyiaduun!C19 + Tomscilus!C19</f>
        <v>439115855.63283551</v>
      </c>
      <c r="Y19" s="5">
        <f t="shared" si="6"/>
        <v>1.0706583820878917E-2</v>
      </c>
      <c r="Z19" s="5">
        <f t="shared" si="7"/>
        <v>7.7516058418880276E-2</v>
      </c>
      <c r="AG19" s="3">
        <f t="shared" si="8"/>
        <v>1998</v>
      </c>
      <c r="AH19" s="3">
        <v>1748</v>
      </c>
      <c r="AI19" s="4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885951733.64819753</v>
      </c>
      <c r="AJ19" s="5">
        <f t="shared" si="9"/>
        <v>4.5604372738858971E-3</v>
      </c>
      <c r="AK19" s="5">
        <f t="shared" si="10"/>
        <v>0.15639491369039654</v>
      </c>
      <c r="AR19" s="3">
        <f t="shared" si="11"/>
        <v>1998</v>
      </c>
      <c r="AS19" s="3">
        <v>1748</v>
      </c>
      <c r="AT19" s="4">
        <f>Amcha!C19 + Byllu!C19 + 'Chaenia'!C19 + 'Cruthi Anoso'!C19 + 'Dual Cenryia'!C19 + Exilium!C19 + Galca!C19 + Inania!C19 + Inrea!C19 + Isnti!C19 + Lieri!C19 + Ocaun!C19 + Otiiric!C19 + Ozinia!C19 + Pelugrotoa!C19 + 'Rtesania'!C19 + Sadain!C19 + Selaja!C19 + Seytinemas!C19 + Sivoso!C19 + Sunsokua!C19 + Taing!C19 + Taoisia!C19 + Trian!C19 + Vayvele!C19</f>
        <v>1159676242.6509273</v>
      </c>
      <c r="AU19" s="5">
        <f t="shared" si="12"/>
        <v>1.2903598325862782E-2</v>
      </c>
      <c r="AV19" s="5">
        <f t="shared" si="13"/>
        <v>0.20471483828058551</v>
      </c>
      <c r="BC19" s="3">
        <f t="shared" si="14"/>
        <v>1998</v>
      </c>
      <c r="BD19" s="3">
        <v>1748</v>
      </c>
      <c r="BE19" s="4">
        <f>'Canldives'!C19 + 'Cloja'!C19 + Dahe!C19 + Eparia!C19 + Etretes!C19 + Haiza!C19 + Ihner!C19 + Kaastini!C19 + Kusierna!C19 + Migoku!C19 + 'North Ayre'!C19 + Oscairia!C19 + Oyreain!C19 + 'Pha Hii'!C19 + 'Pruim Fijan'!C19 + 'Prystr Hii'!C19 + 'Ruylku'!C19 + Sanagara!C19 + Shinam!C19 + Stinebar!C19 + Suenan!C19 + Taval!C19 + Ucrua!C19 + Vesozata!C19 + 'Welenu Fana'!C19 + 'Western Migoku'!C19</f>
        <v>1214850560.1106474</v>
      </c>
      <c r="BF19" s="5">
        <f t="shared" si="15"/>
        <v>8.8090579992024728E-3</v>
      </c>
      <c r="BG19" s="5">
        <f t="shared" si="16"/>
        <v>0.21445462690485606</v>
      </c>
      <c r="BN19" s="3">
        <f t="shared" si="17"/>
        <v>1998</v>
      </c>
      <c r="BO19" s="3">
        <v>1748</v>
      </c>
      <c r="BP19" s="4">
        <f>Andsaudare!C19 + Aplasia!C19 + Astye!C19 + 'Crila Republic'!C19 + 'Elja and Munusia'!C19 + Hiwush!C19 + Iainoa!C19 + Isari!C19 + Isuibul!C19 + Maalle!C19 + Mendereide!C19 + Nia!C19 + 'Niretui and Anulan'!C19 + Ohtina!C19 + Prstreula!C19 + 'Rethern'!C19 + 'Rkmepuia'!C19 + Tvecoca!C19 + Umarcia!C19 + 'United Delet'!C19 + Veelmit!C19 + Walporein!C19 + Yutnitu!C19</f>
        <v>216033794.66290209</v>
      </c>
      <c r="BQ19" s="7">
        <f t="shared" si="18"/>
        <v>1.6937336591623831E-2</v>
      </c>
      <c r="BR19" s="5">
        <f t="shared" si="19"/>
        <v>3.8135922519600525E-2</v>
      </c>
      <c r="BY19" s="3">
        <f t="shared" si="20"/>
        <v>1998</v>
      </c>
      <c r="BZ19" s="3">
        <v>1748</v>
      </c>
      <c r="CA19" s="4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898240362.53366184</v>
      </c>
      <c r="CB19" s="7">
        <f t="shared" si="21"/>
        <v>1.9521300429666568E-2</v>
      </c>
      <c r="CC19" s="5">
        <f t="shared" si="22"/>
        <v>0.15856419558344226</v>
      </c>
    </row>
    <row r="20" spans="1:81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5597406552.0593529</v>
      </c>
      <c r="D20" s="5">
        <f t="shared" si="1"/>
        <v>1.2335749880559587E-2</v>
      </c>
      <c r="K20" s="3">
        <f t="shared" si="2"/>
        <v>1997</v>
      </c>
      <c r="L20" s="3">
        <v>1747</v>
      </c>
      <c r="M20" s="4">
        <f>'Areoix Lie'!C20 + Pelines!C20 + Terressin!C20 + Taniduna!C20 + Iquir!C20 + Deschon!C20 + Othya!C20 + Eldavpir!C20 + 'Candenat'!C20 + Jau!C20 + Viussi!C20 + Jathua!C20 + Jshain!C20 + Acetoa!C20 + Sattle!C20 + 'Reerica'!C20 + 'Feio Lie'!C20 + Umendel!C20 + 'Fire Coast'!C20 + Yoprioq!C20 + 'Rijan bu'!C20 + Saa!C20 + 'Rinew'!C20 + Enina!C20 + Trevilla!C20</f>
        <v>822661365.82047355</v>
      </c>
      <c r="N20" s="5">
        <f t="shared" si="3"/>
        <v>1.4790118797666705E-2</v>
      </c>
      <c r="O20" s="5">
        <f t="shared" si="4"/>
        <v>0.14697188031085692</v>
      </c>
      <c r="V20" s="3">
        <f t="shared" si="5"/>
        <v>1997</v>
      </c>
      <c r="W20" s="3">
        <v>1747</v>
      </c>
      <c r="X20" s="4">
        <f>Aetintio!C20 + Arbiya!C20 + 'Curata'!C20 + 'Disal Nila'!C20 + Etirha!C20 + Fincen!C20 + Gaeiya!C20 + Genaire!C20 + Grazail!C20 + Guise!C20 + Laselteh!C20 + Lasri!C20 + Metndria!C20 + 'New Misos'!C20 + Peka!C20 + Pelan!C20 + Phuris!C20 + 'Raledria'!C20 + Slyiaduun!C20 + Tomscilus!C20</f>
        <v>434464227.95901883</v>
      </c>
      <c r="Y20" s="5">
        <f t="shared" si="6"/>
        <v>1.1479528863773647E-2</v>
      </c>
      <c r="Z20" s="5">
        <f t="shared" si="7"/>
        <v>7.7618844355547875E-2</v>
      </c>
      <c r="AG20" s="3">
        <f t="shared" si="8"/>
        <v>1997</v>
      </c>
      <c r="AH20" s="3">
        <v>1747</v>
      </c>
      <c r="AI20" s="4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881929748.35086942</v>
      </c>
      <c r="AJ20" s="5">
        <f t="shared" si="9"/>
        <v>4.6172833487782994E-3</v>
      </c>
      <c r="AK20" s="5">
        <f t="shared" si="10"/>
        <v>0.15756042376918233</v>
      </c>
      <c r="AR20" s="3">
        <f t="shared" si="11"/>
        <v>1997</v>
      </c>
      <c r="AS20" s="3">
        <v>1747</v>
      </c>
      <c r="AT20" s="4">
        <f>Amcha!C20 + Byllu!C20 + 'Chaenia'!C20 + 'Cruthi Anoso'!C20 + 'Dual Cenryia'!C20 + Exilium!C20 + Galca!C20 + Inania!C20 + Inrea!C20 + Isnti!C20 + Lieri!C20 + Ocaun!C20 + Otiiric!C20 + Ozinia!C20 + Pelugrotoa!C20 + 'Rtesania'!C20 + Sadain!C20 + Selaja!C20 + Seytinemas!C20 + Sivoso!C20 + Sunsokua!C20 + Taing!C20 + Taoisia!C20 + Trian!C20 + Vayvele!C20</f>
        <v>1144902875.8192308</v>
      </c>
      <c r="AU20" s="5">
        <f t="shared" si="12"/>
        <v>1.3607608464763311E-2</v>
      </c>
      <c r="AV20" s="5">
        <f t="shared" si="13"/>
        <v>0.20454166856934974</v>
      </c>
      <c r="BC20" s="3">
        <f t="shared" si="14"/>
        <v>1997</v>
      </c>
      <c r="BD20" s="3">
        <v>1747</v>
      </c>
      <c r="BE20" s="4">
        <f>'Canldives'!C20 + 'Cloja'!C20 + Dahe!C20 + Eparia!C20 + Etretes!C20 + Haiza!C20 + Ihner!C20 + Kaastini!C20 + Kusierna!C20 + Migoku!C20 + 'North Ayre'!C20 + Oscairia!C20 + Oyreain!C20 + 'Pha Hii'!C20 + 'Pruim Fijan'!C20 + 'Prystr Hii'!C20 + 'Ruylku'!C20 + Sanagara!C20 + Shinam!C20 + Stinebar!C20 + Suenan!C20 + Taval!C20 + Ucrua!C20 + Vesozata!C20 + 'Welenu Fana'!C20 + 'Western Migoku'!C20</f>
        <v>1204242319.6715665</v>
      </c>
      <c r="BF20" s="5">
        <f t="shared" si="15"/>
        <v>9.0275971168151826E-3</v>
      </c>
      <c r="BG20" s="5">
        <f t="shared" si="16"/>
        <v>0.21514290742888978</v>
      </c>
      <c r="BN20" s="3">
        <f t="shared" si="17"/>
        <v>1997</v>
      </c>
      <c r="BO20" s="3">
        <v>1747</v>
      </c>
      <c r="BP20" s="4">
        <f>Andsaudare!C20 + Aplasia!C20 + Astye!C20 + 'Crila Republic'!C20 + 'Elja and Munusia'!C20 + Hiwush!C20 + Iainoa!C20 + Isari!C20 + Isuibul!C20 + Maalle!C20 + Mendereide!C20 + Nia!C20 + 'Niretui and Anulan'!C20 + Ohtina!C20 + Prstreula!C20 + 'Rethern'!C20 + 'Rkmepuia'!C20 + Tvecoca!C20 + Umarcia!C20 + 'United Delet'!C20 + Veelmit!C20 + Walporein!C20 + Yutnitu!C20</f>
        <v>212435699.71278945</v>
      </c>
      <c r="BQ20" s="6">
        <f t="shared" si="18"/>
        <v>1.7326358739380498E-2</v>
      </c>
      <c r="BR20" s="5">
        <f t="shared" si="19"/>
        <v>3.7952522786580831E-2</v>
      </c>
      <c r="BY20" s="3">
        <f t="shared" si="20"/>
        <v>1997</v>
      </c>
      <c r="BZ20" s="3">
        <v>1747</v>
      </c>
      <c r="CA20" s="4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881041290.80491781</v>
      </c>
      <c r="CB20" s="6">
        <f t="shared" si="21"/>
        <v>1.9882047503954454E-2</v>
      </c>
      <c r="CC20" s="5">
        <f t="shared" si="22"/>
        <v>0.15740169712717619</v>
      </c>
    </row>
    <row r="21" spans="1:81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5529199727.1851387</v>
      </c>
      <c r="D21" s="5">
        <f t="shared" si="1"/>
        <v>1.2755837456237479E-2</v>
      </c>
      <c r="K21" s="3">
        <f t="shared" si="2"/>
        <v>1996</v>
      </c>
      <c r="L21" s="3">
        <v>1746</v>
      </c>
      <c r="M21" s="4">
        <f>'Areoix Lie'!C21 + Pelines!C21 + Terressin!C21 + Taniduna!C21 + Iquir!C21 + Deschon!C21 + Othya!C21 + Eldavpir!C21 + 'Candenat'!C21 + Jau!C21 + Viussi!C21 + Jathua!C21 + Jshain!C21 + Acetoa!C21 + Sattle!C21 + 'Reerica'!C21 + 'Feio Lie'!C21 + Umendel!C21 + 'Fire Coast'!C21 + Yoprioq!C21 + 'Rijan bu'!C21 + Saa!C21 + 'Rinew'!C21 + Enina!C21 + Trevilla!C21</f>
        <v>810671438.93278229</v>
      </c>
      <c r="N21" s="5">
        <f t="shared" si="3"/>
        <v>1.4587429675202856E-2</v>
      </c>
      <c r="O21" s="5">
        <f t="shared" si="4"/>
        <v>0.1466164144780292</v>
      </c>
      <c r="V21" s="3">
        <f t="shared" si="5"/>
        <v>1996</v>
      </c>
      <c r="W21" s="3">
        <v>1746</v>
      </c>
      <c r="X21" s="4">
        <f>Aetintio!C21 + Arbiya!C21 + 'Curata'!C21 + 'Disal Nila'!C21 + Etirha!C21 + Fincen!C21 + Gaeiya!C21 + Genaire!C21 + Grazail!C21 + Guise!C21 + Laselteh!C21 + Lasri!C21 + Metndria!C21 + 'New Misos'!C21 + Peka!C21 + Pelan!C21 + Phuris!C21 + 'Raledria'!C21 + Slyiaduun!C21 + Tomscilus!C21</f>
        <v>429533387.04448718</v>
      </c>
      <c r="Y21" s="5">
        <f t="shared" si="6"/>
        <v>1.1619979650855041E-2</v>
      </c>
      <c r="Z21" s="5">
        <f t="shared" si="7"/>
        <v>7.7684548983213961E-2</v>
      </c>
      <c r="AG21" s="3">
        <f t="shared" si="8"/>
        <v>1996</v>
      </c>
      <c r="AH21" s="3">
        <v>1746</v>
      </c>
      <c r="AI21" s="4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877876344.52301693</v>
      </c>
      <c r="AJ21" s="5">
        <f t="shared" si="9"/>
        <v>5.7756114579553559E-3</v>
      </c>
      <c r="AK21" s="5">
        <f t="shared" si="10"/>
        <v>0.15877095924149862</v>
      </c>
      <c r="AR21" s="3">
        <f t="shared" si="11"/>
        <v>1996</v>
      </c>
      <c r="AS21" s="3">
        <v>1746</v>
      </c>
      <c r="AT21" s="4">
        <f>Amcha!C21 + Byllu!C21 + 'Chaenia'!C21 + 'Cruthi Anoso'!C21 + 'Dual Cenryia'!C21 + Exilium!C21 + Galca!C21 + Inania!C21 + Inrea!C21 + Isnti!C21 + Lieri!C21 + Ocaun!C21 + Otiiric!C21 + Ozinia!C21 + Pelugrotoa!C21 + 'Rtesania'!C21 + Sadain!C21 + Selaja!C21 + Seytinemas!C21 + Sivoso!C21 + Sunsokua!C21 + Taing!C21 + Taoisia!C21 + Trian!C21 + Vayvele!C21</f>
        <v>1129532637.9340529</v>
      </c>
      <c r="AU21" s="5">
        <f t="shared" si="12"/>
        <v>1.4115039647925168E-2</v>
      </c>
      <c r="AV21" s="5">
        <f t="shared" si="13"/>
        <v>0.20428501296137605</v>
      </c>
      <c r="BC21" s="3">
        <f t="shared" si="14"/>
        <v>1996</v>
      </c>
      <c r="BD21" s="3">
        <v>1746</v>
      </c>
      <c r="BE21" s="4">
        <f>'Canldives'!C21 + 'Cloja'!C21 + Dahe!C21 + Eparia!C21 + Etretes!C21 + Haiza!C21 + Ihner!C21 + Kaastini!C21 + Kusierna!C21 + Migoku!C21 + 'North Ayre'!C21 + Oscairia!C21 + Oyreain!C21 + 'Pha Hii'!C21 + 'Pruim Fijan'!C21 + 'Prystr Hii'!C21 + 'Ruylku'!C21 + Sanagara!C21 + Shinam!C21 + Stinebar!C21 + Suenan!C21 + Taval!C21 + Ucrua!C21 + Vesozata!C21 + 'Welenu Fana'!C21 + 'Western Migoku'!C21</f>
        <v>1193468169.8623068</v>
      </c>
      <c r="BF21" s="5">
        <f t="shared" si="15"/>
        <v>9.3873992380003133E-3</v>
      </c>
      <c r="BG21" s="5">
        <f t="shared" si="16"/>
        <v>0.21584826534560542</v>
      </c>
      <c r="BN21" s="3">
        <f t="shared" si="17"/>
        <v>1996</v>
      </c>
      <c r="BO21" s="3">
        <v>1746</v>
      </c>
      <c r="BP21" s="4">
        <f>Andsaudare!C21 + Aplasia!C21 + Astye!C21 + 'Crila Republic'!C21 + 'Elja and Munusia'!C21 + Hiwush!C21 + Iainoa!C21 + Isari!C21 + Isuibul!C21 + Maalle!C21 + Mendereide!C21 + Nia!C21 + 'Niretui and Anulan'!C21 + Ohtina!C21 + Prstreula!C21 + 'Rethern'!C21 + 'Rkmepuia'!C21 + Tvecoca!C21 + Umarcia!C21 + 'United Delet'!C21 + Veelmit!C21 + Walporein!C21 + Yutnitu!C21</f>
        <v>208817650.19440669</v>
      </c>
      <c r="BQ21" s="7">
        <f t="shared" si="18"/>
        <v>1.809942412733748E-2</v>
      </c>
      <c r="BR21" s="5">
        <f t="shared" si="19"/>
        <v>3.7766342418003716E-2</v>
      </c>
      <c r="BY21" s="3">
        <f t="shared" si="20"/>
        <v>1996</v>
      </c>
      <c r="BZ21" s="3">
        <v>1746</v>
      </c>
      <c r="CA21" s="4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863865868.56898439</v>
      </c>
      <c r="CB21" s="7">
        <f t="shared" si="21"/>
        <v>2.027398996998582E-2</v>
      </c>
      <c r="CC21" s="5">
        <f t="shared" si="22"/>
        <v>0.15623705259219675</v>
      </c>
    </row>
    <row r="22" spans="1:81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5459558486.5479116</v>
      </c>
      <c r="D22" s="5">
        <f t="shared" si="1"/>
        <v>1.307628882847053E-2</v>
      </c>
      <c r="K22" s="3">
        <f t="shared" si="2"/>
        <v>1995</v>
      </c>
      <c r="L22" s="3">
        <v>1745</v>
      </c>
      <c r="M22" s="4">
        <f>'Areoix Lie'!C22 + Pelines!C22 + Terressin!C22 + Taniduna!C22 + Iquir!C22 + Deschon!C22 + Othya!C22 + Eldavpir!C22 + 'Candenat'!C22 + Jau!C22 + Viussi!C22 + Jathua!C22 + Jshain!C22 + Acetoa!C22 + Sattle!C22 + 'Reerica'!C22 + 'Feio Lie'!C22 + Umendel!C22 + 'Fire Coast'!C22 + Yoprioq!C22 + 'Rijan bu'!C22 + Saa!C22 + 'Rinew'!C22 + Enina!C22 + Trevilla!C22</f>
        <v>799015851.39124024</v>
      </c>
      <c r="N22" s="5">
        <f t="shared" si="3"/>
        <v>1.4367789037885291E-2</v>
      </c>
      <c r="O22" s="5">
        <f t="shared" si="4"/>
        <v>0.14635173400193013</v>
      </c>
      <c r="V22" s="3">
        <f t="shared" si="5"/>
        <v>1995</v>
      </c>
      <c r="W22" s="3">
        <v>1745</v>
      </c>
      <c r="X22" s="4">
        <f>Aetintio!C22 + Arbiya!C22 + 'Curata'!C22 + 'Disal Nila'!C22 + Etirha!C22 + Fincen!C22 + Gaeiya!C22 + Genaire!C22 + Grazail!C22 + Guise!C22 + Laselteh!C22 + Lasri!C22 + Metndria!C22 + 'New Misos'!C22 + Peka!C22 + Pelan!C22 + Phuris!C22 + 'Raledria'!C22 + Slyiaduun!C22 + Tomscilus!C22</f>
        <v>424599548.92620248</v>
      </c>
      <c r="Y22" s="5">
        <f t="shared" si="6"/>
        <v>1.0857819465584057E-2</v>
      </c>
      <c r="Z22" s="5">
        <f t="shared" si="7"/>
        <v>7.777177403125092E-2</v>
      </c>
      <c r="AG22" s="3">
        <f t="shared" si="8"/>
        <v>1995</v>
      </c>
      <c r="AH22" s="3">
        <v>1745</v>
      </c>
      <c r="AI22" s="4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872835187.61253536</v>
      </c>
      <c r="AJ22" s="5">
        <f t="shared" si="9"/>
        <v>5.6500813472379601E-3</v>
      </c>
      <c r="AK22" s="5">
        <f t="shared" si="10"/>
        <v>0.15987285231272072</v>
      </c>
      <c r="AR22" s="3">
        <f t="shared" si="11"/>
        <v>1995</v>
      </c>
      <c r="AS22" s="3">
        <v>1745</v>
      </c>
      <c r="AT22" s="4">
        <f>Amcha!C22 + Byllu!C22 + 'Chaenia'!C22 + 'Cruthi Anoso'!C22 + 'Dual Cenryia'!C22 + Exilium!C22 + Galca!C22 + Inania!C22 + Inrea!C22 + Isnti!C22 + Lieri!C22 + Ocaun!C22 + Otiiric!C22 + Ozinia!C22 + Pelugrotoa!C22 + 'Rtesania'!C22 + Sadain!C22 + Selaja!C22 + Seytinemas!C22 + Sivoso!C22 + Sunsokua!C22 + Taing!C22 + Taoisia!C22 + Trian!C22 + Vayvele!C22</f>
        <v>1113811149.3999712</v>
      </c>
      <c r="AU22" s="5">
        <f t="shared" si="12"/>
        <v>1.5851272373682921E-2</v>
      </c>
      <c r="AV22" s="5">
        <f t="shared" si="13"/>
        <v>0.20401121302104339</v>
      </c>
      <c r="BC22" s="3">
        <f t="shared" si="14"/>
        <v>1995</v>
      </c>
      <c r="BD22" s="3">
        <v>1745</v>
      </c>
      <c r="BE22" s="4">
        <f>'Canldives'!C22 + 'Cloja'!C22 + Dahe!C22 + Eparia!C22 + Etretes!C22 + Haiza!C22 + Ihner!C22 + Kaastini!C22 + Kusierna!C22 + Migoku!C22 + 'North Ayre'!C22 + Oscairia!C22 + Oyreain!C22 + 'Pha Hii'!C22 + 'Pruim Fijan'!C22 + 'Prystr Hii'!C22 + 'Ruylku'!C22 + Sanagara!C22 + Shinam!C22 + Stinebar!C22 + Suenan!C22 + Taval!C22 + Ucrua!C22 + Vesozata!C22 + 'Welenu Fana'!C22 + 'Western Migoku'!C22</f>
        <v>1182368801.8725729</v>
      </c>
      <c r="BF22" s="5">
        <f t="shared" si="15"/>
        <v>9.7121152300298531E-3</v>
      </c>
      <c r="BG22" s="5">
        <f t="shared" si="16"/>
        <v>0.21656857505709895</v>
      </c>
      <c r="BN22" s="3">
        <f t="shared" si="17"/>
        <v>1995</v>
      </c>
      <c r="BO22" s="3">
        <v>1745</v>
      </c>
      <c r="BP22" s="4">
        <f>Andsaudare!C22 + Aplasia!C22 + Astye!C22 + 'Crila Republic'!C22 + 'Elja and Munusia'!C22 + Hiwush!C22 + Iainoa!C22 + Isari!C22 + Isuibul!C22 + Maalle!C22 + Mendereide!C22 + Nia!C22 + 'Niretui and Anulan'!C22 + Ohtina!C22 + Prstreula!C22 + 'Rethern'!C22 + 'Rkmepuia'!C22 + Tvecoca!C22 + Umarcia!C22 + 'United Delet'!C22 + Veelmit!C22 + Walporein!C22 + Yutnitu!C22</f>
        <v>205105361.26999035</v>
      </c>
      <c r="BQ22" s="6">
        <f t="shared" si="18"/>
        <v>1.6822047382159529E-2</v>
      </c>
      <c r="BR22" s="5">
        <f t="shared" si="19"/>
        <v>3.7568122362890706E-2</v>
      </c>
      <c r="BY22" s="3">
        <f t="shared" si="20"/>
        <v>1995</v>
      </c>
      <c r="BZ22" s="3">
        <v>1745</v>
      </c>
      <c r="CA22" s="4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846699883.62086678</v>
      </c>
      <c r="CB22" s="6">
        <f t="shared" si="21"/>
        <v>2.0753030403070024E-2</v>
      </c>
      <c r="CC22" s="5">
        <f t="shared" si="22"/>
        <v>0.15508577950160152</v>
      </c>
    </row>
    <row r="23" spans="1:81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5389089199.6508856</v>
      </c>
      <c r="D23" s="5">
        <f t="shared" si="1"/>
        <v>1.3151345482118149E-2</v>
      </c>
      <c r="K23" s="3">
        <f t="shared" si="2"/>
        <v>1994</v>
      </c>
      <c r="L23" s="3">
        <v>1744</v>
      </c>
      <c r="M23" s="4">
        <f>'Areoix Lie'!C23 + Pelines!C23 + Terressin!C23 + Taniduna!C23 + Iquir!C23 + Deschon!C23 + Othya!C23 + Eldavpir!C23 + 'Candenat'!C23 + Jau!C23 + Viussi!C23 + Jathua!C23 + Jshain!C23 + Acetoa!C23 + Sattle!C23 + 'Reerica'!C23 + 'Feio Lie'!C23 + Umendel!C23 + 'Fire Coast'!C23 + Yoprioq!C23 + 'Rijan bu'!C23 + Saa!C23 + 'Rinew'!C23 + Enina!C23 + Trevilla!C23</f>
        <v>787698367.4226253</v>
      </c>
      <c r="N23" s="5">
        <f t="shared" si="3"/>
        <v>1.3525783574635278E-2</v>
      </c>
      <c r="O23" s="5">
        <f t="shared" si="4"/>
        <v>0.14616539794398908</v>
      </c>
      <c r="V23" s="3">
        <f t="shared" si="5"/>
        <v>1994</v>
      </c>
      <c r="W23" s="3">
        <v>1744</v>
      </c>
      <c r="X23" s="4">
        <f>Aetintio!C23 + Arbiya!C23 + 'Curata'!C23 + 'Disal Nila'!C23 + Etirha!C23 + Fincen!C23 + Gaeiya!C23 + Genaire!C23 + Grazail!C23 + Guise!C23 + Laselteh!C23 + Lasri!C23 + Metndria!C23 + 'New Misos'!C23 + Peka!C23 + Pelan!C23 + Phuris!C23 + 'Raledria'!C23 + Slyiaduun!C23 + Tomscilus!C23</f>
        <v>420038843.00037163</v>
      </c>
      <c r="Y23" s="5">
        <f t="shared" si="6"/>
        <v>1.1010524665063685E-2</v>
      </c>
      <c r="Z23" s="5">
        <f t="shared" si="7"/>
        <v>7.7942455104952138E-2</v>
      </c>
      <c r="AG23" s="3">
        <f t="shared" si="8"/>
        <v>1994</v>
      </c>
      <c r="AH23" s="3">
        <v>1744</v>
      </c>
      <c r="AI23" s="4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867931305.13470984</v>
      </c>
      <c r="AJ23" s="5">
        <f t="shared" si="9"/>
        <v>4.8427225459478293E-3</v>
      </c>
      <c r="AK23" s="5">
        <f t="shared" si="10"/>
        <v>0.16105343091944663</v>
      </c>
      <c r="AR23" s="3">
        <f t="shared" si="11"/>
        <v>1994</v>
      </c>
      <c r="AS23" s="3">
        <v>1744</v>
      </c>
      <c r="AT23" s="4">
        <f>Amcha!C23 + Byllu!C23 + 'Chaenia'!C23 + 'Cruthi Anoso'!C23 + 'Dual Cenryia'!C23 + Exilium!C23 + Galca!C23 + Inania!C23 + Inrea!C23 + Isnti!C23 + Lieri!C23 + Ocaun!C23 + Otiiric!C23 + Ozinia!C23 + Pelugrotoa!C23 + 'Rtesania'!C23 + Sadain!C23 + Selaja!C23 + Seytinemas!C23 + Sivoso!C23 + Sunsokua!C23 + Taing!C23 + Taoisia!C23 + Trian!C23 + Vayvele!C23</f>
        <v>1096431317.940264</v>
      </c>
      <c r="AU23" s="5">
        <f t="shared" si="12"/>
        <v>1.6771428104508029E-2</v>
      </c>
      <c r="AV23" s="5">
        <f t="shared" si="13"/>
        <v>0.20345391907992405</v>
      </c>
      <c r="BC23" s="3">
        <f t="shared" si="14"/>
        <v>1994</v>
      </c>
      <c r="BD23" s="3">
        <v>1744</v>
      </c>
      <c r="BE23" s="4">
        <f>'Canldives'!C23 + 'Cloja'!C23 + Dahe!C23 + Eparia!C23 + Etretes!C23 + Haiza!C23 + Ihner!C23 + Kaastini!C23 + Kusierna!C23 + Migoku!C23 + 'North Ayre'!C23 + Oscairia!C23 + Oyreain!C23 + 'Pha Hii'!C23 + 'Pruim Fijan'!C23 + 'Prystr Hii'!C23 + 'Ruylku'!C23 + Sanagara!C23 + Shinam!C23 + Stinebar!C23 + Suenan!C23 + Taval!C23 + Ucrua!C23 + Vesozata!C23 + 'Welenu Fana'!C23 + 'Western Migoku'!C23</f>
        <v>1170995954.2311809</v>
      </c>
      <c r="BF23" s="5">
        <f t="shared" si="15"/>
        <v>9.973882320674813E-3</v>
      </c>
      <c r="BG23" s="5">
        <f t="shared" si="16"/>
        <v>0.21729014140405026</v>
      </c>
      <c r="BN23" s="3">
        <f t="shared" si="17"/>
        <v>1994</v>
      </c>
      <c r="BO23" s="3">
        <v>1744</v>
      </c>
      <c r="BP23" s="4">
        <f>Andsaudare!C23 + Aplasia!C23 + Astye!C23 + 'Crila Republic'!C23 + 'Elja and Munusia'!C23 + Hiwush!C23 + Iainoa!C23 + Isari!C23 + Isuibul!C23 + Maalle!C23 + Mendereide!C23 + Nia!C23 + 'Niretui and Anulan'!C23 + Ohtina!C23 + Prstreula!C23 + 'Rethern'!C23 + 'Rkmepuia'!C23 + Tvecoca!C23 + Umarcia!C23 + 'United Delet'!C23 + Veelmit!C23 + Walporein!C23 + Yutnitu!C23</f>
        <v>201712149.92637166</v>
      </c>
      <c r="BQ23" s="7">
        <f t="shared" si="18"/>
        <v>1.8057435402070821E-2</v>
      </c>
      <c r="BR23" s="5">
        <f t="shared" si="19"/>
        <v>3.742972930183433E-2</v>
      </c>
      <c r="BY23" s="3">
        <f t="shared" si="20"/>
        <v>1994</v>
      </c>
      <c r="BZ23" s="3">
        <v>1744</v>
      </c>
      <c r="CA23" s="4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829485544.88888073</v>
      </c>
      <c r="CB23" s="7">
        <f t="shared" si="21"/>
        <v>2.1081654555103586E-2</v>
      </c>
      <c r="CC23" s="5">
        <f t="shared" si="22"/>
        <v>0.15391943130995422</v>
      </c>
    </row>
    <row r="24" spans="1:81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5319135412.1791487</v>
      </c>
      <c r="D24" s="5">
        <f t="shared" si="1"/>
        <v>1.2968056891963235E-2</v>
      </c>
      <c r="K24" s="3">
        <f t="shared" si="2"/>
        <v>1993</v>
      </c>
      <c r="L24" s="3">
        <v>1743</v>
      </c>
      <c r="M24" s="4">
        <f>'Areoix Lie'!C24 + Pelines!C24 + Terressin!C24 + Taniduna!C24 + Iquir!C24 + Deschon!C24 + Othya!C24 + Eldavpir!C24 + 'Candenat'!C24 + Jau!C24 + Viussi!C24 + Jathua!C24 + Jshain!C24 + Acetoa!C24 + Sattle!C24 + 'Reerica'!C24 + 'Feio Lie'!C24 + Umendel!C24 + 'Fire Coast'!C24 + Yoprioq!C24 + 'Rijan bu'!C24 + Saa!C24 + 'Rinew'!C24 + Enina!C24 + Trevilla!C24</f>
        <v>777186313.548401</v>
      </c>
      <c r="N24" s="5">
        <f t="shared" si="3"/>
        <v>1.3682018501768367E-2</v>
      </c>
      <c r="O24" s="5">
        <f t="shared" si="4"/>
        <v>0.14611139843683779</v>
      </c>
      <c r="V24" s="3">
        <f t="shared" si="5"/>
        <v>1993</v>
      </c>
      <c r="W24" s="3">
        <v>1743</v>
      </c>
      <c r="X24" s="4">
        <f>Aetintio!C24 + Arbiya!C24 + 'Curata'!C24 + 'Disal Nila'!C24 + Etirha!C24 + Fincen!C24 + Gaeiya!C24 + Genaire!C24 + Grazail!C24 + Guise!C24 + Laselteh!C24 + Lasri!C24 + Metndria!C24 + 'New Misos'!C24 + Peka!C24 + Pelan!C24 + Phuris!C24 + 'Raledria'!C24 + Slyiaduun!C24 + Tomscilus!C24</f>
        <v>415464362.39081264</v>
      </c>
      <c r="Y24" s="5">
        <f t="shared" si="6"/>
        <v>1.0443639427278073E-2</v>
      </c>
      <c r="Z24" s="5">
        <f t="shared" si="7"/>
        <v>7.8107498718594334E-2</v>
      </c>
      <c r="AG24" s="3">
        <f t="shared" si="8"/>
        <v>1993</v>
      </c>
      <c r="AH24" s="3">
        <v>1743</v>
      </c>
      <c r="AI24" s="4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863748411.22962153</v>
      </c>
      <c r="AJ24" s="5">
        <f t="shared" si="9"/>
        <v>3.73143424842185E-3</v>
      </c>
      <c r="AK24" s="5">
        <f t="shared" si="10"/>
        <v>0.16238511417699747</v>
      </c>
      <c r="AR24" s="3">
        <f t="shared" si="11"/>
        <v>1993</v>
      </c>
      <c r="AS24" s="3">
        <v>1743</v>
      </c>
      <c r="AT24" s="4">
        <f>Amcha!C24 + Byllu!C24 + 'Chaenia'!C24 + 'Cruthi Anoso'!C24 + 'Dual Cenryia'!C24 + Exilium!C24 + Galca!C24 + Inania!C24 + Inrea!C24 + Isnti!C24 + Lieri!C24 + Ocaun!C24 + Otiiric!C24 + Ozinia!C24 + Pelugrotoa!C24 + 'Rtesania'!C24 + Sadain!C24 + Selaja!C24 + Seytinemas!C24 + Sivoso!C24 + Sunsokua!C24 + Taing!C24 + Taoisia!C24 + Trian!C24 + Vayvele!C24</f>
        <v>1078345916.9228034</v>
      </c>
      <c r="AU24" s="5">
        <f t="shared" si="12"/>
        <v>1.6186477826773033E-2</v>
      </c>
      <c r="AV24" s="5">
        <f t="shared" si="13"/>
        <v>0.20272954782345456</v>
      </c>
      <c r="BC24" s="3">
        <f t="shared" si="14"/>
        <v>1993</v>
      </c>
      <c r="BD24" s="3">
        <v>1743</v>
      </c>
      <c r="BE24" s="4">
        <f>'Canldives'!C24 + 'Cloja'!C24 + Dahe!C24 + Eparia!C24 + Etretes!C24 + Haiza!C24 + Ihner!C24 + Kaastini!C24 + Kusierna!C24 + Migoku!C24 + 'North Ayre'!C24 + Oscairia!C24 + Oyreain!C24 + 'Pha Hii'!C24 + 'Pruim Fijan'!C24 + 'Prystr Hii'!C24 + 'Ruylku'!C24 + Sanagara!C24 + Shinam!C24 + Stinebar!C24 + Suenan!C24 + Taval!C24 + Ucrua!C24 + Vesozata!C24 + 'Welenu Fana'!C24 + 'Western Migoku'!C24</f>
        <v>1159431916.7348332</v>
      </c>
      <c r="BF24" s="5">
        <f t="shared" si="15"/>
        <v>1.016629444453542E-2</v>
      </c>
      <c r="BG24" s="5">
        <f t="shared" si="16"/>
        <v>0.21797375454666909</v>
      </c>
      <c r="BN24" s="3">
        <f t="shared" si="17"/>
        <v>1993</v>
      </c>
      <c r="BO24" s="3">
        <v>1743</v>
      </c>
      <c r="BP24" s="4">
        <f>Andsaudare!C24 + Aplasia!C24 + Astye!C24 + 'Crila Republic'!C24 + 'Elja and Munusia'!C24 + Hiwush!C24 + Iainoa!C24 + Isari!C24 + Isuibul!C24 + Maalle!C24 + Mendereide!C24 + Nia!C24 + 'Niretui and Anulan'!C24 + Ohtina!C24 + Prstreula!C24 + 'Rethern'!C24 + 'Rkmepuia'!C24 + Tvecoca!C24 + Umarcia!C24 + 'United Delet'!C24 + Veelmit!C24 + Walporein!C24 + Yutnitu!C24</f>
        <v>198134351.67015663</v>
      </c>
      <c r="BQ24" s="6">
        <f t="shared" si="18"/>
        <v>1.9620964329533253E-2</v>
      </c>
      <c r="BR24" s="5">
        <f t="shared" si="19"/>
        <v>3.7249352820853406E-2</v>
      </c>
      <c r="BY24" s="3">
        <f t="shared" si="20"/>
        <v>1993</v>
      </c>
      <c r="BZ24" s="3">
        <v>1743</v>
      </c>
      <c r="CA24" s="4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812359659.17955565</v>
      </c>
      <c r="CB24" s="6">
        <f t="shared" si="21"/>
        <v>2.1526793841337589E-2</v>
      </c>
      <c r="CC24" s="5">
        <f t="shared" si="22"/>
        <v>0.15272400422811333</v>
      </c>
    </row>
    <row r="25" spans="1:81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5251039631.4959555</v>
      </c>
      <c r="D25" s="5">
        <f t="shared" si="1"/>
        <v>1.3484154449169311E-2</v>
      </c>
      <c r="K25" s="3">
        <f t="shared" si="2"/>
        <v>1992</v>
      </c>
      <c r="L25" s="3">
        <v>1742</v>
      </c>
      <c r="M25" s="4">
        <f>'Areoix Lie'!C25 + Pelines!C25 + Terressin!C25 + Taniduna!C25 + Iquir!C25 + Deschon!C25 + Othya!C25 + Eldavpir!C25 + 'Candenat'!C25 + Jau!C25 + Viussi!C25 + Jathua!C25 + Jshain!C25 + Acetoa!C25 + Sattle!C25 + 'Reerica'!C25 + 'Feio Lie'!C25 + Umendel!C25 + 'Fire Coast'!C25 + Yoprioq!C25 + 'Rijan bu'!C25 + Saa!C25 + 'Rinew'!C25 + Enina!C25 + Trevilla!C25</f>
        <v>766696359.76880574</v>
      </c>
      <c r="N25" s="5">
        <f t="shared" si="3"/>
        <v>1.4412547112482747E-2</v>
      </c>
      <c r="O25" s="5">
        <f t="shared" si="4"/>
        <v>0.14600848852294485</v>
      </c>
      <c r="V25" s="3">
        <f t="shared" si="5"/>
        <v>1992</v>
      </c>
      <c r="W25" s="3">
        <v>1742</v>
      </c>
      <c r="X25" s="4">
        <f>Aetintio!C25 + Arbiya!C25 + 'Curata'!C25 + 'Disal Nila'!C25 + Etirha!C25 + Fincen!C25 + Gaeiya!C25 + Genaire!C25 + Grazail!C25 + Guise!C25 + Laselteh!C25 + Lasri!C25 + Metndria!C25 + 'New Misos'!C25 + Peka!C25 + Pelan!C25 + Phuris!C25 + 'Raledria'!C25 + Slyiaduun!C25 + Tomscilus!C25</f>
        <v>411170248.57150751</v>
      </c>
      <c r="Y25" s="5">
        <f t="shared" si="6"/>
        <v>1.1891486894103062E-2</v>
      </c>
      <c r="Z25" s="5">
        <f t="shared" si="7"/>
        <v>7.8302636701747808E-2</v>
      </c>
      <c r="AG25" s="3">
        <f t="shared" si="8"/>
        <v>1992</v>
      </c>
      <c r="AH25" s="3">
        <v>1742</v>
      </c>
      <c r="AI25" s="4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860537372.60543466</v>
      </c>
      <c r="AJ25" s="5">
        <f t="shared" si="9"/>
        <v>5.0650631021636706E-3</v>
      </c>
      <c r="AK25" s="5">
        <f t="shared" si="10"/>
        <v>0.16387942826481361</v>
      </c>
      <c r="AR25" s="3">
        <f t="shared" si="11"/>
        <v>1992</v>
      </c>
      <c r="AS25" s="3">
        <v>1742</v>
      </c>
      <c r="AT25" s="4">
        <f>Amcha!C25 + Byllu!C25 + 'Chaenia'!C25 + 'Cruthi Anoso'!C25 + 'Dual Cenryia'!C25 + Exilium!C25 + Galca!C25 + Inania!C25 + Inrea!C25 + Isnti!C25 + Lieri!C25 + Ocaun!C25 + Otiiric!C25 + Ozinia!C25 + Pelugrotoa!C25 + 'Rtesania'!C25 + Sadain!C25 + Selaja!C25 + Seytinemas!C25 + Sivoso!C25 + Sunsokua!C25 + Taing!C25 + Taoisia!C25 + Trian!C25 + Vayvele!C25</f>
        <v>1061169323.202337</v>
      </c>
      <c r="AU25" s="5">
        <f t="shared" si="12"/>
        <v>1.6647012357089555E-2</v>
      </c>
      <c r="AV25" s="5">
        <f t="shared" si="13"/>
        <v>0.20208747175271713</v>
      </c>
      <c r="BC25" s="3">
        <f t="shared" si="14"/>
        <v>1992</v>
      </c>
      <c r="BD25" s="3">
        <v>1742</v>
      </c>
      <c r="BE25" s="4">
        <f>'Canldives'!C25 + 'Cloja'!C25 + Dahe!C25 + Eparia!C25 + Etretes!C25 + Haiza!C25 + Ihner!C25 + Kaastini!C25 + Kusierna!C25 + Migoku!C25 + 'North Ayre'!C25 + Oscairia!C25 + Oyreain!C25 + 'Pha Hii'!C25 + 'Pruim Fijan'!C25 + 'Prystr Hii'!C25 + 'Ruylku'!C25 + Sanagara!C25 + Shinam!C25 + Stinebar!C25 + Suenan!C25 + Taval!C25 + Ucrua!C25 + Vesozata!C25 + 'Welenu Fana'!C25 + 'Western Migoku'!C25</f>
        <v>1147763415.896167</v>
      </c>
      <c r="BF25" s="5">
        <f t="shared" si="15"/>
        <v>1.020535250417832E-2</v>
      </c>
      <c r="BG25" s="5">
        <f t="shared" si="16"/>
        <v>0.21857831904597216</v>
      </c>
      <c r="BN25" s="3">
        <f t="shared" si="17"/>
        <v>1992</v>
      </c>
      <c r="BO25" s="3">
        <v>1742</v>
      </c>
      <c r="BP25" s="4">
        <f>Andsaudare!C25 + Aplasia!C25 + Astye!C25 + 'Crila Republic'!C25 + 'Elja and Munusia'!C25 + Hiwush!C25 + Iainoa!C25 + Isari!C25 + Isuibul!C25 + Maalle!C25 + Mendereide!C25 + Nia!C25 + 'Niretui and Anulan'!C25 + Ohtina!C25 + Prstreula!C25 + 'Rethern'!C25 + 'Rkmepuia'!C25 + Tvecoca!C25 + Umarcia!C25 + 'United Delet'!C25 + Veelmit!C25 + Walporein!C25 + Yutnitu!C25</f>
        <v>194321574.97903427</v>
      </c>
      <c r="BQ25" s="7">
        <f t="shared" si="18"/>
        <v>1.8780797228635678E-2</v>
      </c>
      <c r="BR25" s="5">
        <f t="shared" si="19"/>
        <v>3.7006305154028037E-2</v>
      </c>
      <c r="BY25" s="3">
        <f t="shared" si="20"/>
        <v>1992</v>
      </c>
      <c r="BZ25" s="3">
        <v>1742</v>
      </c>
      <c r="CA25" s="4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795240677.07002354</v>
      </c>
      <c r="CB25" s="7">
        <f t="shared" si="21"/>
        <v>2.1776443740172173E-2</v>
      </c>
      <c r="CC25" s="5">
        <f t="shared" si="22"/>
        <v>0.15144442489067053</v>
      </c>
    </row>
    <row r="26" spans="1:81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5181175856.0250072</v>
      </c>
      <c r="D26" s="5">
        <f t="shared" si="1"/>
        <v>1.4085256761843133E-2</v>
      </c>
      <c r="K26" s="3">
        <f t="shared" si="2"/>
        <v>1991</v>
      </c>
      <c r="L26" s="3">
        <v>1741</v>
      </c>
      <c r="M26" s="4">
        <f>'Areoix Lie'!C26 + Pelines!C26 + Terressin!C26 + Taniduna!C26 + Iquir!C26 + Deschon!C26 + Othya!C26 + Eldavpir!C26 + 'Candenat'!C26 + Jau!C26 + Viussi!C26 + Jathua!C26 + Jshain!C26 + Acetoa!C26 + Sattle!C26 + 'Reerica'!C26 + 'Feio Lie'!C26 + Umendel!C26 + 'Fire Coast'!C26 + Yoprioq!C26 + 'Rijan bu'!C26 + Saa!C26 + 'Rinew'!C26 + Enina!C26 + Trevilla!C26</f>
        <v>755803308.97049809</v>
      </c>
      <c r="N26" s="5">
        <f t="shared" si="3"/>
        <v>1.458677159786005E-2</v>
      </c>
      <c r="O26" s="5">
        <f t="shared" si="4"/>
        <v>0.14587486122317214</v>
      </c>
      <c r="V26" s="3">
        <f t="shared" si="5"/>
        <v>1991</v>
      </c>
      <c r="W26" s="3">
        <v>1741</v>
      </c>
      <c r="X26" s="4">
        <f>Aetintio!C26 + Arbiya!C26 + 'Curata'!C26 + 'Disal Nila'!C26 + Etirha!C26 + Fincen!C26 + Gaeiya!C26 + Genaire!C26 + Grazail!C26 + Guise!C26 + Laselteh!C26 + Lasri!C26 + Metndria!C26 + 'New Misos'!C26 + Peka!C26 + Pelan!C26 + Phuris!C26 + 'Raledria'!C26 + Slyiaduun!C26 + Tomscilus!C26</f>
        <v>406338282.21398753</v>
      </c>
      <c r="Y26" s="5">
        <f t="shared" si="6"/>
        <v>1.241703323046256E-2</v>
      </c>
      <c r="Z26" s="5">
        <f t="shared" si="7"/>
        <v>7.8425881210241299E-2</v>
      </c>
      <c r="AG26" s="3">
        <f t="shared" si="8"/>
        <v>1991</v>
      </c>
      <c r="AH26" s="3">
        <v>1741</v>
      </c>
      <c r="AI26" s="4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856200662.22316003</v>
      </c>
      <c r="AJ26" s="5">
        <f t="shared" si="9"/>
        <v>6.5094151917075406E-3</v>
      </c>
      <c r="AK26" s="5">
        <f t="shared" si="10"/>
        <v>0.1652521910113347</v>
      </c>
      <c r="AR26" s="3">
        <f t="shared" si="11"/>
        <v>1991</v>
      </c>
      <c r="AS26" s="3">
        <v>1741</v>
      </c>
      <c r="AT26" s="4">
        <f>Amcha!C26 + Byllu!C26 + 'Chaenia'!C26 + 'Cruthi Anoso'!C26 + 'Dual Cenryia'!C26 + Exilium!C26 + Galca!C26 + Inania!C26 + Inrea!C26 + Isnti!C26 + Lieri!C26 + Ocaun!C26 + Otiiric!C26 + Ozinia!C26 + Pelugrotoa!C26 + 'Rtesania'!C26 + Sadain!C26 + Selaja!C26 + Seytinemas!C26 + Sivoso!C26 + Sunsokua!C26 + Taing!C26 + Taoisia!C26 + Trian!C26 + Vayvele!C26</f>
        <v>1043793283.5134417</v>
      </c>
      <c r="AU26" s="5">
        <f t="shared" si="12"/>
        <v>1.7052682015766079E-2</v>
      </c>
      <c r="AV26" s="5">
        <f t="shared" si="13"/>
        <v>0.20145876390195311</v>
      </c>
      <c r="BC26" s="3">
        <f t="shared" si="14"/>
        <v>1991</v>
      </c>
      <c r="BD26" s="3">
        <v>1741</v>
      </c>
      <c r="BE26" s="4">
        <f>'Canldives'!C26 + 'Cloja'!C26 + Dahe!C26 + Eparia!C26 + Etretes!C26 + Haiza!C26 + Ihner!C26 + Kaastini!C26 + Kusierna!C26 + Migoku!C26 + 'North Ayre'!C26 + Oscairia!C26 + Oyreain!C26 + 'Pha Hii'!C26 + 'Pruim Fijan'!C26 + 'Prystr Hii'!C26 + 'Ruylku'!C26 + Sanagara!C26 + Shinam!C26 + Stinebar!C26 + Suenan!C26 + Taval!C26 + Ucrua!C26 + Vesozata!C26 + 'Welenu Fana'!C26 + 'Western Migoku'!C26</f>
        <v>1136168416.6996331</v>
      </c>
      <c r="BF26" s="5">
        <f t="shared" si="15"/>
        <v>1.0886189035768318E-2</v>
      </c>
      <c r="BG26" s="5">
        <f t="shared" si="16"/>
        <v>0.21928775402950718</v>
      </c>
      <c r="BN26" s="3">
        <f t="shared" si="17"/>
        <v>1991</v>
      </c>
      <c r="BO26" s="3">
        <v>1741</v>
      </c>
      <c r="BP26" s="4">
        <f>Andsaudare!C26 + Aplasia!C26 + Astye!C26 + 'Crila Republic'!C26 + 'Elja and Munusia'!C26 + Hiwush!C26 + Iainoa!C26 + Isari!C26 + Isuibul!C26 + Maalle!C26 + Mendereide!C26 + Nia!C26 + 'Niretui and Anulan'!C26 + Ohtina!C26 + Prstreula!C26 + 'Rethern'!C26 + 'Rkmepuia'!C26 + Tvecoca!C26 + Umarcia!C26 + 'United Delet'!C26 + Veelmit!C26 + Walporein!C26 + Yutnitu!C26</f>
        <v>190739338.14579394</v>
      </c>
      <c r="BQ26" s="6">
        <f t="shared" si="18"/>
        <v>2.1160420650121716E-2</v>
      </c>
      <c r="BR26" s="5">
        <f t="shared" si="19"/>
        <v>3.6813909322145448E-2</v>
      </c>
      <c r="BY26" s="3">
        <f t="shared" si="20"/>
        <v>1991</v>
      </c>
      <c r="BZ26" s="3">
        <v>1741</v>
      </c>
      <c r="CA26" s="4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778292239.89454734</v>
      </c>
      <c r="CB26" s="6">
        <f t="shared" si="21"/>
        <v>2.1807627793444508E-2</v>
      </c>
      <c r="CC26" s="5">
        <f t="shared" si="22"/>
        <v>0.15021536838775673</v>
      </c>
    </row>
    <row r="27" spans="1:81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5109211302.9721336</v>
      </c>
      <c r="D27" s="5">
        <f t="shared" si="1"/>
        <v>1.4217724359724543E-2</v>
      </c>
      <c r="K27" s="3">
        <f t="shared" si="2"/>
        <v>1990</v>
      </c>
      <c r="L27" s="3">
        <v>1740</v>
      </c>
      <c r="M27" s="4">
        <f>'Areoix Lie'!C27 + Pelines!C27 + Terressin!C27 + Taniduna!C27 + Iquir!C27 + Deschon!C27 + Othya!C27 + Eldavpir!C27 + 'Candenat'!C27 + Jau!C27 + Viussi!C27 + Jathua!C27 + Jshain!C27 + Acetoa!C27 + Sattle!C27 + 'Reerica'!C27 + 'Feio Lie'!C27 + Umendel!C27 + 'Fire Coast'!C27 + Yoprioq!C27 + 'Rijan bu'!C27 + Saa!C27 + 'Rinew'!C27 + Enina!C27 + Trevilla!C27</f>
        <v>744937081.902017</v>
      </c>
      <c r="N27" s="5">
        <f t="shared" si="3"/>
        <v>1.5143059131790365E-2</v>
      </c>
      <c r="O27" s="5">
        <f t="shared" si="4"/>
        <v>0.14580275461863787</v>
      </c>
      <c r="V27" s="3">
        <f t="shared" si="5"/>
        <v>1990</v>
      </c>
      <c r="W27" s="3">
        <v>1740</v>
      </c>
      <c r="X27" s="4">
        <f>Aetintio!C27 + Arbiya!C27 + 'Curata'!C27 + 'Disal Nila'!C27 + Etirha!C27 + Fincen!C27 + Gaeiya!C27 + Genaire!C27 + Grazail!C27 + Guise!C27 + Laselteh!C27 + Lasri!C27 + Metndria!C27 + 'New Misos'!C27 + Peka!C27 + Pelan!C27 + Phuris!C27 + 'Raledria'!C27 + Slyiaduun!C27 + Tomscilus!C27</f>
        <v>401354648.2099638</v>
      </c>
      <c r="Y27" s="5">
        <f t="shared" si="6"/>
        <v>1.3007113527057305E-2</v>
      </c>
      <c r="Z27" s="5">
        <f t="shared" si="7"/>
        <v>7.8555108491302275E-2</v>
      </c>
      <c r="AG27" s="3">
        <f t="shared" si="8"/>
        <v>1990</v>
      </c>
      <c r="AH27" s="3">
        <v>1740</v>
      </c>
      <c r="AI27" s="4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850663341.34597385</v>
      </c>
      <c r="AJ27" s="5">
        <f t="shared" si="9"/>
        <v>6.5601600690795431E-3</v>
      </c>
      <c r="AK27" s="5">
        <f t="shared" si="10"/>
        <v>0.16649601883780485</v>
      </c>
      <c r="AR27" s="3">
        <f t="shared" si="11"/>
        <v>1990</v>
      </c>
      <c r="AS27" s="3">
        <v>1740</v>
      </c>
      <c r="AT27" s="4">
        <f>Amcha!C27 + Byllu!C27 + 'Chaenia'!C27 + 'Cruthi Anoso'!C27 + 'Dual Cenryia'!C27 + Exilium!C27 + Galca!C27 + Inania!C27 + Inrea!C27 + Isnti!C27 + Lieri!C27 + Ocaun!C27 + Otiiric!C27 + Ozinia!C27 + Pelugrotoa!C27 + 'Rtesania'!C27 + Sadain!C27 + Selaja!C27 + Seytinemas!C27 + Sivoso!C27 + Sunsokua!C27 + Taing!C27 + Taoisia!C27 + Trian!C27 + Vayvele!C27</f>
        <v>1026292248.1504858</v>
      </c>
      <c r="AU27" s="5">
        <f t="shared" si="12"/>
        <v>1.7037929191113632E-2</v>
      </c>
      <c r="AV27" s="5">
        <f t="shared" si="13"/>
        <v>0.20087097348145894</v>
      </c>
      <c r="BC27" s="3">
        <f t="shared" si="14"/>
        <v>1990</v>
      </c>
      <c r="BD27" s="3">
        <v>1740</v>
      </c>
      <c r="BE27" s="4">
        <f>'Canldives'!C27 + 'Cloja'!C27 + Dahe!C27 + Eparia!C27 + Etretes!C27 + Haiza!C27 + Ihner!C27 + Kaastini!C27 + Kusierna!C27 + Migoku!C27 + 'North Ayre'!C27 + Oscairia!C27 + Oyreain!C27 + 'Pha Hii'!C27 + 'Pruim Fijan'!C27 + 'Prystr Hii'!C27 + 'Ruylku'!C27 + Sanagara!C27 + Shinam!C27 + Stinebar!C27 + Suenan!C27 + Taval!C27 + Ucrua!C27 + Vesozata!C27 + 'Welenu Fana'!C27 + 'Western Migoku'!C27</f>
        <v>1123933068.8485961</v>
      </c>
      <c r="BF27" s="5">
        <f t="shared" si="15"/>
        <v>1.1131624054834971E-2</v>
      </c>
      <c r="BG27" s="5">
        <f t="shared" si="16"/>
        <v>0.21998171580705245</v>
      </c>
      <c r="BN27" s="3">
        <f t="shared" si="17"/>
        <v>1990</v>
      </c>
      <c r="BO27" s="3">
        <v>1740</v>
      </c>
      <c r="BP27" s="4">
        <f>Andsaudare!C27 + Aplasia!C27 + Astye!C27 + 'Crila Republic'!C27 + 'Elja and Munusia'!C27 + Hiwush!C27 + Iainoa!C27 + Isari!C27 + Isuibul!C27 + Maalle!C27 + Mendereide!C27 + Nia!C27 + 'Niretui and Anulan'!C27 + Ohtina!C27 + Prstreula!C27 + 'Rethern'!C27 + 'Rkmepuia'!C27 + Tvecoca!C27 + Umarcia!C27 + 'United Delet'!C27 + Veelmit!C27 + Walporein!C27 + Yutnitu!C27</f>
        <v>186786849.83144936</v>
      </c>
      <c r="BQ27" s="7">
        <f t="shared" si="18"/>
        <v>2.2780047192727308E-2</v>
      </c>
      <c r="BR27" s="5">
        <f t="shared" si="19"/>
        <v>3.6558842207757507E-2</v>
      </c>
      <c r="BY27" s="3">
        <f t="shared" si="20"/>
        <v>1990</v>
      </c>
      <c r="BZ27" s="3">
        <v>1740</v>
      </c>
      <c r="CA27" s="4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761681767.41373563</v>
      </c>
      <c r="CB27" s="7">
        <f t="shared" si="21"/>
        <v>2.1203971039085407E-2</v>
      </c>
      <c r="CC27" s="5">
        <f t="shared" si="22"/>
        <v>0.14908010693757168</v>
      </c>
    </row>
    <row r="28" spans="1:81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5037588261.6304874</v>
      </c>
      <c r="D28" s="5">
        <f t="shared" si="1"/>
        <v>1.4780844277549917E-2</v>
      </c>
      <c r="K28" s="3">
        <f t="shared" si="2"/>
        <v>1989</v>
      </c>
      <c r="L28" s="3">
        <v>1739</v>
      </c>
      <c r="M28" s="4">
        <f>'Areoix Lie'!C28 + Pelines!C28 + Terressin!C28 + Taniduna!C28 + Iquir!C28 + Deschon!C28 + Othya!C28 + Eldavpir!C28 + 'Candenat'!C28 + Jau!C28 + Viussi!C28 + Jathua!C28 + Jshain!C28 + Acetoa!C28 + Sattle!C28 + 'Reerica'!C28 + 'Feio Lie'!C28 + Umendel!C28 + 'Fire Coast'!C28 + Yoprioq!C28 + 'Rijan bu'!C28 + Saa!C28 + 'Rinew'!C28 + Enina!C28 + Trevilla!C28</f>
        <v>733824730.61395967</v>
      </c>
      <c r="N28" s="5">
        <f t="shared" si="3"/>
        <v>1.5367427945537275E-2</v>
      </c>
      <c r="O28" s="5">
        <f t="shared" si="4"/>
        <v>0.14566985082985856</v>
      </c>
      <c r="V28" s="3">
        <f t="shared" si="5"/>
        <v>1989</v>
      </c>
      <c r="W28" s="3">
        <v>1739</v>
      </c>
      <c r="X28" s="4">
        <f>Aetintio!C28 + Arbiya!C28 + 'Curata'!C28 + 'Disal Nila'!C28 + Etirha!C28 + Fincen!C28 + Gaeiya!C28 + Genaire!C28 + Grazail!C28 + Guise!C28 + Laselteh!C28 + Lasri!C28 + Metndria!C28 + 'New Misos'!C28 + Peka!C28 + Pelan!C28 + Phuris!C28 + 'Raledria'!C28 + Slyiaduun!C28 + Tomscilus!C28</f>
        <v>396201214.03939545</v>
      </c>
      <c r="Y28" s="5">
        <f t="shared" si="6"/>
        <v>1.4216338090961031E-2</v>
      </c>
      <c r="Z28" s="5">
        <f t="shared" si="7"/>
        <v>7.864898706730733E-2</v>
      </c>
      <c r="AG28" s="3">
        <f t="shared" si="8"/>
        <v>1989</v>
      </c>
      <c r="AH28" s="3">
        <v>1739</v>
      </c>
      <c r="AI28" s="4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845119223.95934427</v>
      </c>
      <c r="AJ28" s="5">
        <f t="shared" si="9"/>
        <v>8.3306617129837932E-3</v>
      </c>
      <c r="AK28" s="5">
        <f t="shared" si="10"/>
        <v>0.16776266341501467</v>
      </c>
      <c r="AR28" s="3">
        <f t="shared" si="11"/>
        <v>1989</v>
      </c>
      <c r="AS28" s="3">
        <v>1739</v>
      </c>
      <c r="AT28" s="4">
        <f>Amcha!C28 + Byllu!C28 + 'Chaenia'!C28 + 'Cruthi Anoso'!C28 + 'Dual Cenryia'!C28 + Exilium!C28 + Galca!C28 + Inania!C28 + Inrea!C28 + Isnti!C28 + Lieri!C28 + Ocaun!C28 + Otiiric!C28 + Ozinia!C28 + Pelugrotoa!C28 + 'Rtesania'!C28 + Sadain!C28 + Selaja!C28 + Seytinemas!C28 + Sivoso!C28 + Sunsokua!C28 + Taing!C28 + Taoisia!C28 + Trian!C28 + Vayvele!C28</f>
        <v>1009099285.9693369</v>
      </c>
      <c r="AU28" s="5">
        <f t="shared" si="12"/>
        <v>1.7561553361175857E-2</v>
      </c>
      <c r="AV28" s="5">
        <f t="shared" si="13"/>
        <v>0.20031396643812399</v>
      </c>
      <c r="BC28" s="3">
        <f t="shared" si="14"/>
        <v>1989</v>
      </c>
      <c r="BD28" s="3">
        <v>1739</v>
      </c>
      <c r="BE28" s="4">
        <f>'Canldives'!C28 + 'Cloja'!C28 + Dahe!C28 + Eparia!C28 + Etretes!C28 + Haiza!C28 + Ihner!C28 + Kaastini!C28 + Kusierna!C28 + Migoku!C28 + 'North Ayre'!C28 + Oscairia!C28 + Oyreain!C28 + 'Pha Hii'!C28 + 'Pruim Fijan'!C28 + 'Prystr Hii'!C28 + 'Ruylku'!C28 + Sanagara!C28 + Shinam!C28 + Stinebar!C28 + Suenan!C28 + Taval!C28 + Ucrua!C28 + Vesozata!C28 + 'Welenu Fana'!C28 + 'Western Migoku'!C28</f>
        <v>1111559605.2088702</v>
      </c>
      <c r="BF28" s="5">
        <f t="shared" si="15"/>
        <v>1.1271163332039404E-2</v>
      </c>
      <c r="BG28" s="5">
        <f t="shared" si="16"/>
        <v>0.22065312754423047</v>
      </c>
      <c r="BN28" s="3">
        <f t="shared" si="17"/>
        <v>1989</v>
      </c>
      <c r="BO28" s="3">
        <v>1739</v>
      </c>
      <c r="BP28" s="4">
        <f>Andsaudare!C28 + Aplasia!C28 + Astye!C28 + 'Crila Republic'!C28 + 'Elja and Munusia'!C28 + Hiwush!C28 + Iainoa!C28 + Isari!C28 + Isuibul!C28 + Maalle!C28 + Mendereide!C28 + Nia!C28 + 'Niretui and Anulan'!C28 + Ohtina!C28 + Prstreula!C28 + 'Rethern'!C28 + 'Rkmepuia'!C28 + Tvecoca!C28 + Umarcia!C28 + 'United Delet'!C28 + Veelmit!C28 + Walporein!C28 + Yutnitu!C28</f>
        <v>182626607.10299546</v>
      </c>
      <c r="BQ28" s="6">
        <f t="shared" si="18"/>
        <v>2.322415291560475E-2</v>
      </c>
      <c r="BR28" s="5">
        <f t="shared" si="19"/>
        <v>3.6252785582735529E-2</v>
      </c>
      <c r="BY28" s="3">
        <f t="shared" si="20"/>
        <v>1989</v>
      </c>
      <c r="BZ28" s="3">
        <v>1739</v>
      </c>
      <c r="CA28" s="4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745866437.08280599</v>
      </c>
      <c r="CB28" s="6">
        <f t="shared" si="21"/>
        <v>2.1249011021259076E-2</v>
      </c>
      <c r="CC28" s="5">
        <f t="shared" si="22"/>
        <v>0.14806022214316414</v>
      </c>
    </row>
    <row r="29" spans="1:81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4964213002.2831516</v>
      </c>
      <c r="D29" s="5">
        <f t="shared" si="1"/>
        <v>1.5159035170536477E-2</v>
      </c>
      <c r="K29" s="3">
        <f t="shared" si="2"/>
        <v>1988</v>
      </c>
      <c r="L29" s="3">
        <v>1738</v>
      </c>
      <c r="M29" s="4">
        <f>'Areoix Lie'!C29 + Pelines!C29 + Terressin!C29 + Taniduna!C29 + Iquir!C29 + Deschon!C29 + Othya!C29 + Eldavpir!C29 + 'Candenat'!C29 + Jau!C29 + Viussi!C29 + Jathua!C29 + Jshain!C29 + Acetoa!C29 + Sattle!C29 + 'Reerica'!C29 + 'Feio Lie'!C29 + Umendel!C29 + 'Fire Coast'!C29 + Yoprioq!C29 + 'Rijan bu'!C29 + Saa!C29 + 'Rinew'!C29 + Enina!C29 + Trevilla!C29</f>
        <v>722718407.56085479</v>
      </c>
      <c r="N29" s="5">
        <f t="shared" si="3"/>
        <v>1.5781707170567979E-2</v>
      </c>
      <c r="O29" s="5">
        <f t="shared" si="4"/>
        <v>0.145585696509892</v>
      </c>
      <c r="V29" s="3">
        <f t="shared" si="5"/>
        <v>1988</v>
      </c>
      <c r="W29" s="3">
        <v>1738</v>
      </c>
      <c r="X29" s="4">
        <f>Aetintio!C29 + Arbiya!C29 + 'Curata'!C29 + 'Disal Nila'!C29 + Etirha!C29 + Fincen!C29 + Gaeiya!C29 + Genaire!C29 + Grazail!C29 + Guise!C29 + Laselteh!C29 + Lasri!C29 + Metndria!C29 + 'New Misos'!C29 + Peka!C29 + Pelan!C29 + Phuris!C29 + 'Raledria'!C29 + Slyiaduun!C29 + Tomscilus!C29</f>
        <v>390647635.18319672</v>
      </c>
      <c r="Y29" s="5">
        <f t="shared" si="6"/>
        <v>1.3941248592036671E-2</v>
      </c>
      <c r="Z29" s="5">
        <f t="shared" si="7"/>
        <v>7.8692762579593026E-2</v>
      </c>
      <c r="AG29" s="3">
        <f t="shared" si="8"/>
        <v>1988</v>
      </c>
      <c r="AH29" s="3">
        <v>1738</v>
      </c>
      <c r="AI29" s="4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838136988.24116802</v>
      </c>
      <c r="AJ29" s="5">
        <f t="shared" si="9"/>
        <v>8.2874095270981628E-3</v>
      </c>
      <c r="AK29" s="5">
        <f t="shared" si="10"/>
        <v>0.16883582309133194</v>
      </c>
      <c r="AR29" s="3">
        <f t="shared" si="11"/>
        <v>1988</v>
      </c>
      <c r="AS29" s="3">
        <v>1738</v>
      </c>
      <c r="AT29" s="4">
        <f>Amcha!C29 + Byllu!C29 + 'Chaenia'!C29 + 'Cruthi Anoso'!C29 + 'Dual Cenryia'!C29 + Exilium!C29 + Galca!C29 + Inania!C29 + Inrea!C29 + Isnti!C29 + Lieri!C29 + Ocaun!C29 + Otiiric!C29 + Ozinia!C29 + Pelugrotoa!C29 + 'Rtesania'!C29 + Sadain!C29 + Selaja!C29 + Seytinemas!C29 + Sivoso!C29 + Sunsokua!C29 + Taing!C29 + Taoisia!C29 + Trian!C29 + Vayvele!C29</f>
        <v>991683778.37794018</v>
      </c>
      <c r="AU29" s="5">
        <f t="shared" si="12"/>
        <v>1.8806104687683352E-2</v>
      </c>
      <c r="AV29" s="5">
        <f t="shared" si="13"/>
        <v>0.19976656479523397</v>
      </c>
      <c r="BC29" s="3">
        <f t="shared" si="14"/>
        <v>1988</v>
      </c>
      <c r="BD29" s="3">
        <v>1738</v>
      </c>
      <c r="BE29" s="4">
        <f>'Canldives'!C29 + 'Cloja'!C29 + Dahe!C29 + Eparia!C29 + Etretes!C29 + Haiza!C29 + Ihner!C29 + Kaastini!C29 + Kusierna!C29 + Migoku!C29 + 'North Ayre'!C29 + Oscairia!C29 + Oyreain!C29 + 'Pha Hii'!C29 + 'Pruim Fijan'!C29 + 'Prystr Hii'!C29 + 'Ruylku'!C29 + Sanagara!C29 + Shinam!C29 + Stinebar!C29 + Suenan!C29 + Taval!C29 + Ucrua!C29 + Vesozata!C29 + 'Welenu Fana'!C29 + 'Western Migoku'!C29</f>
        <v>1099170673.0234354</v>
      </c>
      <c r="BF29" s="5">
        <f t="shared" si="15"/>
        <v>1.1679420231198497E-2</v>
      </c>
      <c r="BG29" s="5">
        <f t="shared" si="16"/>
        <v>0.22141891826920046</v>
      </c>
      <c r="BN29" s="3">
        <f t="shared" si="17"/>
        <v>1988</v>
      </c>
      <c r="BO29" s="3">
        <v>1738</v>
      </c>
      <c r="BP29" s="4">
        <f>Andsaudare!C29 + Aplasia!C29 + Astye!C29 + 'Crila Republic'!C29 + 'Elja and Munusia'!C29 + Hiwush!C29 + Iainoa!C29 + Isari!C29 + Isuibul!C29 + Maalle!C29 + Mendereide!C29 + Nia!C29 + 'Niretui and Anulan'!C29 + Ohtina!C29 + Prstreula!C29 + 'Rethern'!C29 + 'Rkmepuia'!C29 + Tvecoca!C29 + Umarcia!C29 + 'United Delet'!C29 + Veelmit!C29 + Walporein!C29 + Yutnitu!C29</f>
        <v>178481524.87664983</v>
      </c>
      <c r="BQ29" s="7">
        <f t="shared" si="18"/>
        <v>2.3291919426655674E-2</v>
      </c>
      <c r="BR29" s="5">
        <f t="shared" si="19"/>
        <v>3.5953639538545627E-2</v>
      </c>
      <c r="BY29" s="3">
        <f t="shared" si="20"/>
        <v>1988</v>
      </c>
      <c r="BZ29" s="3">
        <v>1738</v>
      </c>
      <c r="CA29" s="4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730347279.68738222</v>
      </c>
      <c r="CB29" s="7">
        <f t="shared" si="21"/>
        <v>2.1430962642541893E-2</v>
      </c>
      <c r="CC29" s="5">
        <f t="shared" si="22"/>
        <v>0.14712247023878292</v>
      </c>
    </row>
    <row r="30" spans="1:81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4890084046.2393303</v>
      </c>
      <c r="D30" s="5">
        <f t="shared" si="1"/>
        <v>1.5236054786111923E-2</v>
      </c>
      <c r="K30" s="3">
        <f t="shared" si="2"/>
        <v>1987</v>
      </c>
      <c r="L30" s="3">
        <v>1737</v>
      </c>
      <c r="M30" s="4">
        <f>'Areoix Lie'!C30 + Pelines!C30 + Terressin!C30 + Taniduna!C30 + Iquir!C30 + Deschon!C30 + Othya!C30 + Eldavpir!C30 + 'Candenat'!C30 + Jau!C30 + Viussi!C30 + Jathua!C30 + Jshain!C30 + Acetoa!C30 + Sattle!C30 + 'Reerica'!C30 + 'Feio Lie'!C30 + Umendel!C30 + 'Fire Coast'!C30 + Yoprioq!C30 + 'Rijan bu'!C30 + Saa!C30 + 'Rinew'!C30 + Enina!C30 + Trevilla!C30</f>
        <v>711489882.57916856</v>
      </c>
      <c r="N30" s="5">
        <f t="shared" si="3"/>
        <v>1.6094945111510876E-2</v>
      </c>
      <c r="O30" s="5">
        <f t="shared" si="4"/>
        <v>0.1454964527913038</v>
      </c>
      <c r="V30" s="3">
        <f t="shared" si="5"/>
        <v>1987</v>
      </c>
      <c r="W30" s="3">
        <v>1737</v>
      </c>
      <c r="X30" s="4">
        <f>Aetintio!C30 + Arbiya!C30 + 'Curata'!C30 + 'Disal Nila'!C30 + Etirha!C30 + Fincen!C30 + Gaeiya!C30 + Genaire!C30 + Grazail!C30 + Guise!C30 + Laselteh!C30 + Lasri!C30 + Metndria!C30 + 'New Misos'!C30 + Peka!C30 + Pelan!C30 + Phuris!C30 + 'Raledria'!C30 + Slyiaduun!C30 + Tomscilus!C30</f>
        <v>385276401.09883267</v>
      </c>
      <c r="Y30" s="5">
        <f t="shared" si="6"/>
        <v>1.3558860510370583E-2</v>
      </c>
      <c r="Z30" s="5">
        <f t="shared" si="7"/>
        <v>7.8787275935497586E-2</v>
      </c>
      <c r="AG30" s="3">
        <f t="shared" si="8"/>
        <v>1987</v>
      </c>
      <c r="AH30" s="3">
        <v>1737</v>
      </c>
      <c r="AI30" s="4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831248094.86043942</v>
      </c>
      <c r="AJ30" s="5">
        <f t="shared" si="9"/>
        <v>7.9445718229663714E-3</v>
      </c>
      <c r="AK30" s="5">
        <f t="shared" si="10"/>
        <v>0.16998646383178267</v>
      </c>
      <c r="AR30" s="3">
        <f t="shared" si="11"/>
        <v>1987</v>
      </c>
      <c r="AS30" s="3">
        <v>1737</v>
      </c>
      <c r="AT30" s="4">
        <f>Amcha!C30 + Byllu!C30 + 'Chaenia'!C30 + 'Cruthi Anoso'!C30 + 'Dual Cenryia'!C30 + Exilium!C30 + Galca!C30 + Inania!C30 + Inrea!C30 + Isnti!C30 + Lieri!C30 + Ocaun!C30 + Otiiric!C30 + Ozinia!C30 + Pelugrotoa!C30 + 'Rtesania'!C30 + Sadain!C30 + Selaja!C30 + Seytinemas!C30 + Sivoso!C30 + Sunsokua!C30 + Taing!C30 + Taoisia!C30 + Trian!C30 + Vayvele!C30</f>
        <v>973378323.72131538</v>
      </c>
      <c r="AU30" s="5">
        <f t="shared" si="12"/>
        <v>1.8802607928667614E-2</v>
      </c>
      <c r="AV30" s="5">
        <f t="shared" si="13"/>
        <v>0.19905145075571495</v>
      </c>
      <c r="BC30" s="3">
        <f t="shared" si="14"/>
        <v>1987</v>
      </c>
      <c r="BD30" s="3">
        <v>1737</v>
      </c>
      <c r="BE30" s="4">
        <f>'Canldives'!C30 + 'Cloja'!C30 + Dahe!C30 + Eparia!C30 + Etretes!C30 + Haiza!C30 + Ihner!C30 + Kaastini!C30 + Kusierna!C30 + Migoku!C30 + 'North Ayre'!C30 + Oscairia!C30 + Oyreain!C30 + 'Pha Hii'!C30 + 'Pruim Fijan'!C30 + 'Prystr Hii'!C30 + 'Ruylku'!C30 + Sanagara!C30 + Shinam!C30 + Stinebar!C30 + Suenan!C30 + Taval!C30 + Ucrua!C30 + Vesozata!C30 + 'Welenu Fana'!C30 + 'Western Migoku'!C30</f>
        <v>1086481202.4863</v>
      </c>
      <c r="BF30" s="5">
        <f t="shared" si="15"/>
        <v>1.216074159936296E-2</v>
      </c>
      <c r="BG30" s="5">
        <f t="shared" si="16"/>
        <v>0.22218047628891929</v>
      </c>
      <c r="BN30" s="3">
        <f t="shared" si="17"/>
        <v>1987</v>
      </c>
      <c r="BO30" s="3">
        <v>1737</v>
      </c>
      <c r="BP30" s="4">
        <f>Andsaudare!C30 + Aplasia!C30 + Astye!C30 + 'Crila Republic'!C30 + 'Elja and Munusia'!C30 + Hiwush!C30 + Iainoa!C30 + Isari!C30 + Isuibul!C30 + Maalle!C30 + Mendereide!C30 + Nia!C30 + 'Niretui and Anulan'!C30 + Ohtina!C30 + Prstreula!C30 + 'Rethern'!C30 + 'Rkmepuia'!C30 + Tvecoca!C30 + Umarcia!C30 + 'United Delet'!C30 + Veelmit!C30 + Walporein!C30 + Yutnitu!C30</f>
        <v>174418972.2290116</v>
      </c>
      <c r="BQ30" s="6">
        <f t="shared" si="18"/>
        <v>2.332722693543194E-2</v>
      </c>
      <c r="BR30" s="5">
        <f t="shared" si="19"/>
        <v>3.5667888441129503E-2</v>
      </c>
      <c r="BY30" s="3">
        <f t="shared" si="20"/>
        <v>1987</v>
      </c>
      <c r="BZ30" s="3">
        <v>1737</v>
      </c>
      <c r="CA30" s="4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715023634.87974</v>
      </c>
      <c r="CB30" s="6">
        <f t="shared" si="21"/>
        <v>2.1663082130395448E-2</v>
      </c>
      <c r="CC30" s="5">
        <f t="shared" si="22"/>
        <v>0.14621908910330933</v>
      </c>
    </row>
    <row r="31" spans="1:81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4816696593.0593987</v>
      </c>
      <c r="D31" s="5">
        <f t="shared" si="1"/>
        <v>1.5547970986555373E-2</v>
      </c>
      <c r="K31" s="3">
        <f t="shared" si="2"/>
        <v>1986</v>
      </c>
      <c r="L31" s="3">
        <v>1736</v>
      </c>
      <c r="M31" s="4">
        <f>'Areoix Lie'!C31 + Pelines!C31 + Terressin!C31 + Taniduna!C31 + Iquir!C31 + Deschon!C31 + Othya!C31 + Eldavpir!C31 + 'Candenat'!C31 + Jau!C31 + Viussi!C31 + Jathua!C31 + Jshain!C31 + Acetoa!C31 + Sattle!C31 + 'Reerica'!C31 + 'Feio Lie'!C31 + Umendel!C31 + 'Fire Coast'!C31 + Yoprioq!C31 + 'Rijan bu'!C31 + Saa!C31 + 'Rinew'!C31 + Enina!C31 + Trevilla!C31</f>
        <v>700219882.01219368</v>
      </c>
      <c r="N31" s="5">
        <f t="shared" si="3"/>
        <v>1.6269393268035701E-2</v>
      </c>
      <c r="O31" s="5">
        <f t="shared" si="4"/>
        <v>0.14537346674921833</v>
      </c>
      <c r="V31" s="3">
        <f t="shared" si="5"/>
        <v>1986</v>
      </c>
      <c r="W31" s="3">
        <v>1736</v>
      </c>
      <c r="X31" s="4">
        <f>Aetintio!C31 + Arbiya!C31 + 'Curata'!C31 + 'Disal Nila'!C31 + Etirha!C31 + Fincen!C31 + Gaeiya!C31 + Genaire!C31 + Grazail!C31 + Guise!C31 + Laselteh!C31 + Lasri!C31 + Metndria!C31 + 'New Misos'!C31 + Peka!C31 + Pelan!C31 + Phuris!C31 + 'Raledria'!C31 + Slyiaduun!C31 + Tomscilus!C31</f>
        <v>380122374.84148616</v>
      </c>
      <c r="Y31" s="5">
        <f t="shared" si="6"/>
        <v>1.318211467227225E-2</v>
      </c>
      <c r="Z31" s="5">
        <f t="shared" si="7"/>
        <v>7.8917649782886901E-2</v>
      </c>
      <c r="AG31" s="3">
        <f t="shared" si="8"/>
        <v>1986</v>
      </c>
      <c r="AH31" s="3">
        <v>1736</v>
      </c>
      <c r="AI31" s="4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824696236.37840116</v>
      </c>
      <c r="AJ31" s="5">
        <f t="shared" si="9"/>
        <v>7.3050249890809224E-3</v>
      </c>
      <c r="AK31" s="5">
        <f t="shared" si="10"/>
        <v>0.1712161479231937</v>
      </c>
      <c r="AR31" s="3">
        <f t="shared" si="11"/>
        <v>1986</v>
      </c>
      <c r="AS31" s="3">
        <v>1736</v>
      </c>
      <c r="AT31" s="4">
        <f>Amcha!C31 + Byllu!C31 + 'Chaenia'!C31 + 'Cruthi Anoso'!C31 + 'Dual Cenryia'!C31 + Exilium!C31 + Galca!C31 + Inania!C31 + Inrea!C31 + Isnti!C31 + Lieri!C31 + Ocaun!C31 + Otiiric!C31 + Ozinia!C31 + Pelugrotoa!C31 + 'Rtesania'!C31 + Sadain!C31 + Selaja!C31 + Seytinemas!C31 + Sivoso!C31 + Sunsokua!C31 + Taing!C31 + Taoisia!C31 + Trian!C31 + Vayvele!C31</f>
        <v>955414047.96783495</v>
      </c>
      <c r="AU31" s="5">
        <f t="shared" si="12"/>
        <v>2.0194862071229145E-2</v>
      </c>
      <c r="AV31" s="5">
        <f t="shared" si="13"/>
        <v>0.19835462531406595</v>
      </c>
      <c r="BC31" s="3">
        <f t="shared" si="14"/>
        <v>1986</v>
      </c>
      <c r="BD31" s="3">
        <v>1736</v>
      </c>
      <c r="BE31" s="4">
        <f>'Canldives'!C31 + 'Cloja'!C31 + Dahe!C31 + Eparia!C31 + Etretes!C31 + Haiza!C31 + Ihner!C31 + Kaastini!C31 + Kusierna!C31 + Migoku!C31 + 'North Ayre'!C31 + Oscairia!C31 + Oyreain!C31 + 'Pha Hii'!C31 + 'Pruim Fijan'!C31 + 'Prystr Hii'!C31 + 'Ruylku'!C31 + Sanagara!C31 + Shinam!C31 + Stinebar!C31 + Suenan!C31 + Taval!C31 + Ucrua!C31 + Vesozata!C31 + 'Welenu Fana'!C31 + 'Western Migoku'!C31</f>
        <v>1073427527.6963418</v>
      </c>
      <c r="BF31" s="5">
        <f t="shared" si="15"/>
        <v>1.2679867051070033E-2</v>
      </c>
      <c r="BG31" s="5">
        <f t="shared" si="16"/>
        <v>0.22285554154336673</v>
      </c>
      <c r="BN31" s="3">
        <f t="shared" si="17"/>
        <v>1986</v>
      </c>
      <c r="BO31" s="3">
        <v>1736</v>
      </c>
      <c r="BP31" s="4">
        <f>Andsaudare!C31 + Aplasia!C31 + Astye!C31 + 'Crila Republic'!C31 + 'Elja and Munusia'!C31 + Hiwush!C31 + Iainoa!C31 + Isari!C31 + Isuibul!C31 + Maalle!C31 + Mendereide!C31 + Nia!C31 + 'Niretui and Anulan'!C31 + Ohtina!C31 + Prstreula!C31 + 'Rethern'!C31 + 'Rkmepuia'!C31 + Tvecoca!C31 + Umarcia!C31 + 'United Delet'!C31 + Veelmit!C31 + Walporein!C31 + Yutnitu!C31</f>
        <v>170443009.46760285</v>
      </c>
      <c r="BQ31" s="7">
        <f t="shared" si="18"/>
        <v>2.3383940266679525E-2</v>
      </c>
      <c r="BR31" s="5">
        <f t="shared" si="19"/>
        <v>3.5385872075314455E-2</v>
      </c>
      <c r="BY31" s="3">
        <f t="shared" si="20"/>
        <v>1986</v>
      </c>
      <c r="BZ31" s="3">
        <v>1736</v>
      </c>
      <c r="CA31" s="4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699862456.99390078</v>
      </c>
      <c r="CB31" s="7">
        <f t="shared" si="21"/>
        <v>2.2058402874503485E-2</v>
      </c>
      <c r="CC31" s="5">
        <f t="shared" si="22"/>
        <v>0.14529926132411267</v>
      </c>
    </row>
    <row r="32" spans="1:81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4742953292.8712492</v>
      </c>
      <c r="D32" s="5">
        <f t="shared" si="1"/>
        <v>1.5839009997982274E-2</v>
      </c>
      <c r="K32" s="3">
        <f t="shared" si="2"/>
        <v>1985</v>
      </c>
      <c r="L32" s="3">
        <v>1735</v>
      </c>
      <c r="M32" s="4">
        <f>'Areoix Lie'!C32 + Pelines!C32 + Terressin!C32 + Taniduna!C32 + Iquir!C32 + Deschon!C32 + Othya!C32 + Eldavpir!C32 + 'Candenat'!C32 + Jau!C32 + Viussi!C32 + Jathua!C32 + Jshain!C32 + Acetoa!C32 + Sattle!C32 + 'Reerica'!C32 + 'Feio Lie'!C32 + Umendel!C32 + 'Fire Coast'!C32 + Yoprioq!C32 + 'Rijan bu'!C32 + Saa!C32 + 'Rinew'!C32 + Enina!C32 + Trevilla!C32</f>
        <v>689010105.63791955</v>
      </c>
      <c r="N32" s="5">
        <f t="shared" si="3"/>
        <v>1.6832018035996685E-2</v>
      </c>
      <c r="O32" s="5">
        <f t="shared" si="4"/>
        <v>0.1452702700390314</v>
      </c>
      <c r="V32" s="3">
        <f t="shared" si="5"/>
        <v>1985</v>
      </c>
      <c r="W32" s="3">
        <v>1735</v>
      </c>
      <c r="X32" s="4">
        <f>Aetintio!C32 + Arbiya!C32 + 'Curata'!C32 + 'Disal Nila'!C32 + Etirha!C32 + Fincen!C32 + Gaeiya!C32 + Genaire!C32 + Grazail!C32 + Guise!C32 + Laselteh!C32 + Lasri!C32 + Metndria!C32 + 'New Misos'!C32 + Peka!C32 + Pelan!C32 + Phuris!C32 + 'Raledria'!C32 + Slyiaduun!C32 + Tomscilus!C32</f>
        <v>375176751.87588757</v>
      </c>
      <c r="Y32" s="5">
        <f t="shared" si="6"/>
        <v>1.3062585890885726E-2</v>
      </c>
      <c r="Z32" s="5">
        <f t="shared" si="7"/>
        <v>7.9101928420797551E-2</v>
      </c>
      <c r="AG32" s="3">
        <f t="shared" si="8"/>
        <v>1985</v>
      </c>
      <c r="AH32" s="3">
        <v>1735</v>
      </c>
      <c r="AI32" s="4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818715499.19781327</v>
      </c>
      <c r="AJ32" s="5">
        <f t="shared" si="9"/>
        <v>7.0556718434919685E-3</v>
      </c>
      <c r="AK32" s="5">
        <f t="shared" si="10"/>
        <v>0.172617238383595</v>
      </c>
      <c r="AR32" s="3">
        <f t="shared" si="11"/>
        <v>1985</v>
      </c>
      <c r="AS32" s="3">
        <v>1735</v>
      </c>
      <c r="AT32" s="4">
        <f>Amcha!C32 + Byllu!C32 + 'Chaenia'!C32 + 'Cruthi Anoso'!C32 + 'Dual Cenryia'!C32 + Exilium!C32 + Galca!C32 + Inania!C32 + Inrea!C32 + Isnti!C32 + Lieri!C32 + Ocaun!C32 + Otiiric!C32 + Ozinia!C32 + Pelugrotoa!C32 + 'Rtesania'!C32 + Sadain!C32 + Selaja!C32 + Seytinemas!C32 + Sivoso!C32 + Sunsokua!C32 + Taing!C32 + Taoisia!C32 + Trian!C32 + Vayvele!C32</f>
        <v>936501528.76493192</v>
      </c>
      <c r="AU32" s="5">
        <f t="shared" si="12"/>
        <v>2.0618671151992313E-2</v>
      </c>
      <c r="AV32" s="5">
        <f t="shared" si="13"/>
        <v>0.19745113876042419</v>
      </c>
      <c r="BC32" s="3">
        <f t="shared" si="14"/>
        <v>1985</v>
      </c>
      <c r="BD32" s="3">
        <v>1735</v>
      </c>
      <c r="BE32" s="4">
        <f>'Canldives'!C32 + 'Cloja'!C32 + Dahe!C32 + Eparia!C32 + Etretes!C32 + Haiza!C32 + Ihner!C32 + Kaastini!C32 + Kusierna!C32 + Migoku!C32 + 'North Ayre'!C32 + Oscairia!C32 + Oyreain!C32 + 'Pha Hii'!C32 + 'Pruim Fijan'!C32 + 'Prystr Hii'!C32 + 'Ruylku'!C32 + Sanagara!C32 + Shinam!C32 + Stinebar!C32 + Suenan!C32 + Taval!C32 + Ucrua!C32 + Vesozata!C32 + 'Welenu Fana'!C32 + 'Western Migoku'!C32</f>
        <v>1059987033.0415171</v>
      </c>
      <c r="BF32" s="5">
        <f t="shared" si="15"/>
        <v>1.3210356329696969E-2</v>
      </c>
      <c r="BG32" s="5">
        <f t="shared" si="16"/>
        <v>0.22348671125113084</v>
      </c>
      <c r="BN32" s="3">
        <f t="shared" si="17"/>
        <v>1985</v>
      </c>
      <c r="BO32" s="3">
        <v>1735</v>
      </c>
      <c r="BP32" s="4">
        <f>Andsaudare!C32 + Aplasia!C32 + Astye!C32 + 'Crila Republic'!C32 + 'Elja and Munusia'!C32 + Hiwush!C32 + Iainoa!C32 + Isari!C32 + Isuibul!C32 + Maalle!C32 + Mendereide!C32 + Nia!C32 + 'Niretui and Anulan'!C32 + Ohtina!C32 + Prstreula!C32 + 'Rethern'!C32 + 'Rkmepuia'!C32 + Tvecoca!C32 + Umarcia!C32 + 'United Delet'!C32 + Veelmit!C32 + Walporein!C32 + Yutnitu!C32</f>
        <v>166548450.45075437</v>
      </c>
      <c r="BQ32" s="6">
        <f t="shared" si="18"/>
        <v>2.3200868064762716E-2</v>
      </c>
      <c r="BR32" s="5">
        <f t="shared" si="19"/>
        <v>3.5114925272631277E-2</v>
      </c>
      <c r="BY32" s="3">
        <f t="shared" si="20"/>
        <v>1985</v>
      </c>
      <c r="BZ32" s="3">
        <v>1735</v>
      </c>
      <c r="CA32" s="4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684757793.70881557</v>
      </c>
      <c r="CB32" s="6">
        <f t="shared" si="21"/>
        <v>2.2707540816652824E-2</v>
      </c>
      <c r="CC32" s="5">
        <f t="shared" si="22"/>
        <v>0.14437371642221733</v>
      </c>
    </row>
    <row r="33" spans="1:81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4669000940.2972918</v>
      </c>
      <c r="D33" s="5">
        <f t="shared" si="1"/>
        <v>1.6010655521446523E-2</v>
      </c>
      <c r="K33" s="3">
        <f t="shared" si="2"/>
        <v>1984</v>
      </c>
      <c r="L33" s="3">
        <v>1734</v>
      </c>
      <c r="M33" s="4">
        <f>'Areoix Lie'!C33 + Pelines!C33 + Terressin!C33 + Taniduna!C33 + Iquir!C33 + Deschon!C33 + Othya!C33 + Eldavpir!C33 + 'Candenat'!C33 + Jau!C33 + Viussi!C33 + Jathua!C33 + Jshain!C33 + Acetoa!C33 + Sattle!C33 + 'Reerica'!C33 + 'Feio Lie'!C33 + Umendel!C33 + 'Fire Coast'!C33 + Yoprioq!C33 + 'Rijan bu'!C33 + Saa!C33 + 'Rinew'!C33 + Enina!C33 + Trevilla!C33</f>
        <v>677604651.9156009</v>
      </c>
      <c r="N33" s="5">
        <f t="shared" si="3"/>
        <v>1.7005170408681054E-2</v>
      </c>
      <c r="O33" s="5">
        <f t="shared" si="4"/>
        <v>0.14512840339510735</v>
      </c>
      <c r="V33" s="3">
        <f t="shared" si="5"/>
        <v>1984</v>
      </c>
      <c r="W33" s="3">
        <v>1734</v>
      </c>
      <c r="X33" s="4">
        <f>Aetintio!C33 + Arbiya!C33 + 'Curata'!C33 + 'Disal Nila'!C33 + Etirha!C33 + Fincen!C33 + Gaeiya!C33 + Genaire!C33 + Grazail!C33 + Guise!C33 + Laselteh!C33 + Lasri!C33 + Metndria!C33 + 'New Misos'!C33 + Peka!C33 + Pelan!C33 + Phuris!C33 + 'Raledria'!C33 + Slyiaduun!C33 + Tomscilus!C33</f>
        <v>370339164.72787088</v>
      </c>
      <c r="Y33" s="5">
        <f t="shared" si="6"/>
        <v>1.284607793820205E-2</v>
      </c>
      <c r="Z33" s="5">
        <f t="shared" si="7"/>
        <v>7.9318717101027197E-2</v>
      </c>
      <c r="AG33" s="3">
        <f t="shared" si="8"/>
        <v>1984</v>
      </c>
      <c r="AH33" s="3">
        <v>1734</v>
      </c>
      <c r="AI33" s="4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812979383.45264697</v>
      </c>
      <c r="AJ33" s="5">
        <f t="shared" si="9"/>
        <v>6.9149121086459079E-3</v>
      </c>
      <c r="AK33" s="5">
        <f t="shared" si="10"/>
        <v>0.17412277141261009</v>
      </c>
      <c r="AR33" s="3">
        <f t="shared" si="11"/>
        <v>1984</v>
      </c>
      <c r="AS33" s="3">
        <v>1734</v>
      </c>
      <c r="AT33" s="4">
        <f>Amcha!C33 + Byllu!C33 + 'Chaenia'!C33 + 'Cruthi Anoso'!C33 + 'Dual Cenryia'!C33 + Exilium!C33 + Galca!C33 + Inania!C33 + Inrea!C33 + Isnti!C33 + Lieri!C33 + Ocaun!C33 + Otiiric!C33 + Ozinia!C33 + Pelugrotoa!C33 + 'Rtesania'!C33 + Sadain!C33 + Selaja!C33 + Seytinemas!C33 + Sivoso!C33 + Sunsokua!C33 + Taing!C33 + Taoisia!C33 + Trian!C33 + Vayvele!C33</f>
        <v>917582203.06501377</v>
      </c>
      <c r="AU33" s="5">
        <f t="shared" si="12"/>
        <v>2.1067504219464565E-2</v>
      </c>
      <c r="AV33" s="5">
        <f t="shared" si="13"/>
        <v>0.19652645497359614</v>
      </c>
      <c r="BC33" s="3">
        <f t="shared" si="14"/>
        <v>1984</v>
      </c>
      <c r="BD33" s="3">
        <v>1734</v>
      </c>
      <c r="BE33" s="4">
        <f>'Canldives'!C33 + 'Cloja'!C33 + Dahe!C33 + Eparia!C33 + Etretes!C33 + Haiza!C33 + Ihner!C33 + Kaastini!C33 + Kusierna!C33 + Migoku!C33 + 'North Ayre'!C33 + Oscairia!C33 + Oyreain!C33 + 'Pha Hii'!C33 + 'Pruim Fijan'!C33 + 'Prystr Hii'!C33 + 'Ruylku'!C33 + Sanagara!C33 + Shinam!C33 + Stinebar!C33 + Suenan!C33 + Taval!C33 + Ucrua!C33 + Vesozata!C33 + 'Welenu Fana'!C33 + 'Western Migoku'!C33</f>
        <v>1046166796.8745072</v>
      </c>
      <c r="BF33" s="5">
        <f t="shared" si="15"/>
        <v>1.3532807033965977E-2</v>
      </c>
      <c r="BG33" s="5">
        <f t="shared" si="16"/>
        <v>0.22406652092211701</v>
      </c>
      <c r="BN33" s="3">
        <f t="shared" si="17"/>
        <v>1984</v>
      </c>
      <c r="BO33" s="3">
        <v>1734</v>
      </c>
      <c r="BP33" s="4">
        <f>Andsaudare!C33 + Aplasia!C33 + Astye!C33 + 'Crila Republic'!C33 + 'Elja and Munusia'!C33 + Hiwush!C33 + Iainoa!C33 + Isari!C33 + Isuibul!C33 + Maalle!C33 + Mendereide!C33 + Nia!C33 + 'Niretui and Anulan'!C33 + Ohtina!C33 + Prstreula!C33 + 'Rethern'!C33 + 'Rkmepuia'!C33 + Tvecoca!C33 + Umarcia!C33 + 'United Delet'!C33 + Veelmit!C33 + Walporein!C33 + Yutnitu!C33</f>
        <v>162771998.78236696</v>
      </c>
      <c r="BQ33" s="7">
        <f t="shared" si="18"/>
        <v>2.3145109634420111E-2</v>
      </c>
      <c r="BR33" s="5">
        <f t="shared" si="19"/>
        <v>3.4862275862382393E-2</v>
      </c>
      <c r="BY33" s="3">
        <f t="shared" si="20"/>
        <v>1984</v>
      </c>
      <c r="BZ33" s="3">
        <v>1734</v>
      </c>
      <c r="CA33" s="4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669553871.83517051</v>
      </c>
      <c r="CB33" s="7">
        <f t="shared" si="21"/>
        <v>2.3121188768062913E-2</v>
      </c>
      <c r="CC33" s="5">
        <f t="shared" si="22"/>
        <v>0.14340409873477936</v>
      </c>
    </row>
    <row r="34" spans="1:81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4595425170.9112473</v>
      </c>
      <c r="D34" s="5">
        <f t="shared" si="1"/>
        <v>1.6370005623381999E-2</v>
      </c>
      <c r="K34" s="3">
        <f t="shared" si="2"/>
        <v>1983</v>
      </c>
      <c r="L34" s="3">
        <v>1733</v>
      </c>
      <c r="M34" s="4">
        <f>'Areoix Lie'!C34 + Pelines!C34 + Terressin!C34 + Taniduna!C34 + Iquir!C34 + Deschon!C34 + Othya!C34 + Eldavpir!C34 + 'Candenat'!C34 + Jau!C34 + Viussi!C34 + Jathua!C34 + Jshain!C34 + Acetoa!C34 + Sattle!C34 + 'Reerica'!C34 + 'Feio Lie'!C34 + Umendel!C34 + 'Fire Coast'!C34 + Yoprioq!C34 + 'Rijan bu'!C34 + Saa!C34 + 'Rinew'!C34 + Enina!C34 + Trevilla!C34</f>
        <v>666274539.82687926</v>
      </c>
      <c r="N34" s="5">
        <f t="shared" si="3"/>
        <v>1.7499398272969532E-2</v>
      </c>
      <c r="O34" s="5">
        <f t="shared" si="4"/>
        <v>0.14498648439416559</v>
      </c>
      <c r="V34" s="3">
        <f t="shared" si="5"/>
        <v>1983</v>
      </c>
      <c r="W34" s="3">
        <v>1733</v>
      </c>
      <c r="X34" s="4">
        <f>Aetintio!C34 + Arbiya!C34 + 'Curata'!C34 + 'Disal Nila'!C34 + Etirha!C34 + Fincen!C34 + Gaeiya!C34 + Genaire!C34 + Grazail!C34 + Guise!C34 + Laselteh!C34 + Lasri!C34 + Metndria!C34 + 'New Misos'!C34 + Peka!C34 + Pelan!C34 + Phuris!C34 + 'Raledria'!C34 + Slyiaduun!C34 + Tomscilus!C34</f>
        <v>365642097.84151113</v>
      </c>
      <c r="Y34" s="5">
        <f t="shared" si="6"/>
        <v>1.3694252686065445E-2</v>
      </c>
      <c r="Z34" s="5">
        <f t="shared" si="7"/>
        <v>7.9566543734843648E-2</v>
      </c>
      <c r="AG34" s="3">
        <f t="shared" si="8"/>
        <v>1983</v>
      </c>
      <c r="AH34" s="3">
        <v>1733</v>
      </c>
      <c r="AI34" s="4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807396308.93948531</v>
      </c>
      <c r="AJ34" s="5">
        <f t="shared" si="9"/>
        <v>6.973097182106763E-3</v>
      </c>
      <c r="AK34" s="5">
        <f t="shared" si="10"/>
        <v>0.17569567100129346</v>
      </c>
      <c r="AR34" s="3">
        <f t="shared" si="11"/>
        <v>1983</v>
      </c>
      <c r="AS34" s="3">
        <v>1733</v>
      </c>
      <c r="AT34" s="4">
        <f>Amcha!C34 + Byllu!C34 + 'Chaenia'!C34 + 'Cruthi Anoso'!C34 + 'Dual Cenryia'!C34 + Exilium!C34 + Galca!C34 + Inania!C34 + Inrea!C34 + Isnti!C34 + Lieri!C34 + Ocaun!C34 + Otiiric!C34 + Ozinia!C34 + Pelugrotoa!C34 + 'Rtesania'!C34 + Sadain!C34 + Selaja!C34 + Seytinemas!C34 + Sivoso!C34 + Sunsokua!C34 + Taing!C34 + Taoisia!C34 + Trian!C34 + Vayvele!C34</f>
        <v>898649892.65958655</v>
      </c>
      <c r="AU34" s="5">
        <f t="shared" si="12"/>
        <v>2.1756654911050288E-2</v>
      </c>
      <c r="AV34" s="5">
        <f t="shared" si="13"/>
        <v>0.19555315541812843</v>
      </c>
      <c r="BC34" s="3">
        <f t="shared" si="14"/>
        <v>1983</v>
      </c>
      <c r="BD34" s="3">
        <v>1733</v>
      </c>
      <c r="BE34" s="4">
        <f>'Canldives'!C34 + 'Cloja'!C34 + Dahe!C34 + Eparia!C34 + Etretes!C34 + Haiza!C34 + Ihner!C34 + Kaastini!C34 + Kusierna!C34 + Migoku!C34 + 'North Ayre'!C34 + Oscairia!C34 + Oyreain!C34 + 'Pha Hii'!C34 + 'Pruim Fijan'!C34 + 'Prystr Hii'!C34 + 'Ruylku'!C34 + Sanagara!C34 + Shinam!C34 + Stinebar!C34 + Suenan!C34 + Taval!C34 + Ucrua!C34 + Vesozata!C34 + 'Welenu Fana'!C34 + 'Western Migoku'!C34</f>
        <v>1032198257.041173</v>
      </c>
      <c r="BF34" s="5">
        <f t="shared" si="15"/>
        <v>1.3874893858251676E-2</v>
      </c>
      <c r="BG34" s="5">
        <f t="shared" si="16"/>
        <v>0.22461431067900378</v>
      </c>
      <c r="BN34" s="3">
        <f t="shared" si="17"/>
        <v>1983</v>
      </c>
      <c r="BO34" s="3">
        <v>1733</v>
      </c>
      <c r="BP34" s="4">
        <f>Andsaudare!C34 + Aplasia!C34 + Astye!C34 + 'Crila Republic'!C34 + 'Elja and Munusia'!C34 + Hiwush!C34 + Iainoa!C34 + Isari!C34 + Isuibul!C34 + Maalle!C34 + Mendereide!C34 + Nia!C34 + 'Niretui and Anulan'!C34 + Ohtina!C34 + Prstreula!C34 + 'Rethern'!C34 + 'Rkmepuia'!C34 + Tvecoca!C34 + Umarcia!C34 + 'United Delet'!C34 + Veelmit!C34 + Walporein!C34 + Yutnitu!C34</f>
        <v>159089846.83563313</v>
      </c>
      <c r="BQ34" s="6">
        <f t="shared" si="18"/>
        <v>2.3032909243803985E-2</v>
      </c>
      <c r="BR34" s="5">
        <f t="shared" si="19"/>
        <v>3.4619179057176659E-2</v>
      </c>
      <c r="BY34" s="3">
        <f t="shared" si="20"/>
        <v>1983</v>
      </c>
      <c r="BZ34" s="3">
        <v>1733</v>
      </c>
      <c r="CA34" s="4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654422837.86672258</v>
      </c>
      <c r="CB34" s="6">
        <f t="shared" si="21"/>
        <v>2.3356098157046597E-2</v>
      </c>
      <c r="CC34" s="5">
        <f t="shared" si="22"/>
        <v>0.14240746253669367</v>
      </c>
    </row>
    <row r="35" spans="1:81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4521409669.2008162</v>
      </c>
      <c r="D35" s="5">
        <f t="shared" si="1"/>
        <v>1.6876660305443464E-2</v>
      </c>
      <c r="K35" s="3">
        <f t="shared" si="2"/>
        <v>1982</v>
      </c>
      <c r="L35" s="3">
        <v>1732</v>
      </c>
      <c r="M35" s="4">
        <f>'Areoix Lie'!C35 + Pelines!C35 + Terressin!C35 + Taniduna!C35 + Iquir!C35 + Deschon!C35 + Othya!C35 + Eldavpir!C35 + 'Candenat'!C35 + Jau!C35 + Viussi!C35 + Jathua!C35 + Jshain!C35 + Acetoa!C35 + Sattle!C35 + 'Reerica'!C35 + 'Feio Lie'!C35 + Umendel!C35 + 'Fire Coast'!C35 + Yoprioq!C35 + 'Rijan bu'!C35 + Saa!C35 + 'Rinew'!C35 + Enina!C35 + Trevilla!C35</f>
        <v>654815659.80065036</v>
      </c>
      <c r="N35" s="5">
        <f t="shared" si="3"/>
        <v>1.8118728442074666E-2</v>
      </c>
      <c r="O35" s="5">
        <f t="shared" si="4"/>
        <v>0.14482555391102009</v>
      </c>
      <c r="V35" s="3">
        <f t="shared" si="5"/>
        <v>1982</v>
      </c>
      <c r="W35" s="3">
        <v>1732</v>
      </c>
      <c r="X35" s="4">
        <f>Aetintio!C35 + Arbiya!C35 + 'Curata'!C35 + 'Disal Nila'!C35 + Etirha!C35 + Fincen!C35 + Gaeiya!C35 + Genaire!C35 + Grazail!C35 + Guise!C35 + Laselteh!C35 + Lasri!C35 + Metndria!C35 + 'New Misos'!C35 + Peka!C35 + Pelan!C35 + Phuris!C35 + 'Raledria'!C35 + Slyiaduun!C35 + Tomscilus!C35</f>
        <v>360702546.03164661</v>
      </c>
      <c r="Y35" s="5">
        <f t="shared" si="6"/>
        <v>1.5999747268891008E-2</v>
      </c>
      <c r="Z35" s="5">
        <f t="shared" si="7"/>
        <v>7.9776568022291758E-2</v>
      </c>
      <c r="AG35" s="3">
        <f t="shared" si="8"/>
        <v>1982</v>
      </c>
      <c r="AH35" s="3">
        <v>1732</v>
      </c>
      <c r="AI35" s="4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801805243.05851555</v>
      </c>
      <c r="AJ35" s="5">
        <f t="shared" si="9"/>
        <v>7.586527512799251E-3</v>
      </c>
      <c r="AK35" s="5">
        <f t="shared" si="10"/>
        <v>0.17733523430099599</v>
      </c>
      <c r="AR35" s="3">
        <f t="shared" si="11"/>
        <v>1982</v>
      </c>
      <c r="AS35" s="3">
        <v>1732</v>
      </c>
      <c r="AT35" s="4">
        <f>Amcha!C35 + Byllu!C35 + 'Chaenia'!C35 + 'Cruthi Anoso'!C35 + 'Dual Cenryia'!C35 + Exilium!C35 + Galca!C35 + Inania!C35 + Inrea!C35 + Isnti!C35 + Lieri!C35 + Ocaun!C35 + Otiiric!C35 + Ozinia!C35 + Pelugrotoa!C35 + 'Rtesania'!C35 + Sadain!C35 + Selaja!C35 + Seytinemas!C35 + Sivoso!C35 + Sunsokua!C35 + Taing!C35 + Taoisia!C35 + Trian!C35 + Vayvele!C35</f>
        <v>879514597.08164966</v>
      </c>
      <c r="AU35" s="5">
        <f t="shared" si="12"/>
        <v>2.2295779862426285E-2</v>
      </c>
      <c r="AV35" s="5">
        <f t="shared" si="13"/>
        <v>0.19452220909615311</v>
      </c>
      <c r="BC35" s="3">
        <f t="shared" si="14"/>
        <v>1982</v>
      </c>
      <c r="BD35" s="3">
        <v>1732</v>
      </c>
      <c r="BE35" s="4">
        <f>'Canldives'!C35 + 'Cloja'!C35 + Dahe!C35 + Eparia!C35 + Etretes!C35 + Haiza!C35 + Ihner!C35 + Kaastini!C35 + Kusierna!C35 + Migoku!C35 + 'North Ayre'!C35 + Oscairia!C35 + Oyreain!C35 + 'Pha Hii'!C35 + 'Pruim Fijan'!C35 + 'Prystr Hii'!C35 + 'Ruylku'!C35 + Sanagara!C35 + Shinam!C35 + Stinebar!C35 + Suenan!C35 + Taval!C35 + Ucrua!C35 + Vesozata!C35 + 'Welenu Fana'!C35 + 'Western Migoku'!C35</f>
        <v>1018072607.6697615</v>
      </c>
      <c r="BF35" s="5">
        <f t="shared" si="15"/>
        <v>1.413175148443014E-2</v>
      </c>
      <c r="BG35" s="5">
        <f t="shared" si="16"/>
        <v>0.22516707888796803</v>
      </c>
      <c r="BN35" s="3">
        <f t="shared" si="17"/>
        <v>1982</v>
      </c>
      <c r="BO35" s="3">
        <v>1732</v>
      </c>
      <c r="BP35" s="4">
        <f>Andsaudare!C35 + Aplasia!C35 + Astye!C35 + 'Crila Republic'!C35 + 'Elja and Munusia'!C35 + Hiwush!C35 + Iainoa!C35 + Isari!C35 + Isuibul!C35 + Maalle!C35 + Mendereide!C35 + Nia!C35 + 'Niretui and Anulan'!C35 + Ohtina!C35 + Prstreula!C35 + 'Rethern'!C35 + 'Rkmepuia'!C35 + Tvecoca!C35 + Umarcia!C35 + 'United Delet'!C35 + Veelmit!C35 + Walporein!C35 + Yutnitu!C35</f>
        <v>155508044.16763845</v>
      </c>
      <c r="BQ35" s="7">
        <f t="shared" si="18"/>
        <v>2.2882985489828991E-2</v>
      </c>
      <c r="BR35" s="5">
        <f t="shared" si="19"/>
        <v>3.4393708056789589E-2</v>
      </c>
      <c r="BY35" s="3">
        <f t="shared" si="20"/>
        <v>1982</v>
      </c>
      <c r="BZ35" s="3">
        <v>1732</v>
      </c>
      <c r="CA35" s="4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639486918.62516594</v>
      </c>
      <c r="CB35" s="7">
        <f t="shared" si="21"/>
        <v>2.3332845999030939E-2</v>
      </c>
      <c r="CC35" s="5">
        <f t="shared" si="22"/>
        <v>0.14143529682374451</v>
      </c>
    </row>
    <row r="36" spans="1:81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4446369796.5520239</v>
      </c>
      <c r="D36" s="5">
        <f t="shared" si="1"/>
        <v>1.7002245694723774E-2</v>
      </c>
      <c r="K36" s="3">
        <f t="shared" si="2"/>
        <v>1981</v>
      </c>
      <c r="L36" s="3">
        <v>1731</v>
      </c>
      <c r="M36" s="4">
        <f>'Areoix Lie'!C36 + Pelines!C36 + Terressin!C36 + Taniduna!C36 + Iquir!C36 + Deschon!C36 + Othya!C36 + Eldavpir!C36 + 'Candenat'!C36 + Jau!C36 + Viussi!C36 + Jathua!C36 + Jshain!C36 + Acetoa!C36 + Sattle!C36 + 'Reerica'!C36 + 'Feio Lie'!C36 + Umendel!C36 + 'Fire Coast'!C36 + Yoprioq!C36 + 'Rijan bu'!C36 + Saa!C36 + 'Rinew'!C36 + Enina!C36 + Trevilla!C36</f>
        <v>643162375.37703419</v>
      </c>
      <c r="N36" s="5">
        <f t="shared" si="3"/>
        <v>1.8505147146558959E-2</v>
      </c>
      <c r="O36" s="5">
        <f t="shared" si="4"/>
        <v>0.14464887195747417</v>
      </c>
      <c r="V36" s="3">
        <f t="shared" si="5"/>
        <v>1981</v>
      </c>
      <c r="W36" s="3">
        <v>1731</v>
      </c>
      <c r="X36" s="4">
        <f>Aetintio!C36 + Arbiya!C36 + 'Curata'!C36 + 'Disal Nila'!C36 + Etirha!C36 + Fincen!C36 + Gaeiya!C36 + Genaire!C36 + Grazail!C36 + Guise!C36 + Laselteh!C36 + Lasri!C36 + Metndria!C36 + 'New Misos'!C36 + Peka!C36 + Pelan!C36 + Phuris!C36 + 'Raledria'!C36 + Slyiaduun!C36 + Tomscilus!C36</f>
        <v>355022279.28820962</v>
      </c>
      <c r="Y36" s="5">
        <f t="shared" si="6"/>
        <v>1.5432988054975146E-2</v>
      </c>
      <c r="Z36" s="5">
        <f t="shared" si="7"/>
        <v>7.9845423465118609E-2</v>
      </c>
      <c r="AG36" s="3">
        <f t="shared" si="8"/>
        <v>1981</v>
      </c>
      <c r="AH36" s="3">
        <v>1731</v>
      </c>
      <c r="AI36" s="4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795768126.27472365</v>
      </c>
      <c r="AJ36" s="5">
        <f t="shared" si="9"/>
        <v>8.2818311183251239E-3</v>
      </c>
      <c r="AK36" s="5">
        <f t="shared" si="10"/>
        <v>0.17897029772283199</v>
      </c>
      <c r="AR36" s="3">
        <f t="shared" si="11"/>
        <v>1981</v>
      </c>
      <c r="AS36" s="3">
        <v>1731</v>
      </c>
      <c r="AT36" s="4">
        <f>Amcha!C36 + Byllu!C36 + 'Chaenia'!C36 + 'Cruthi Anoso'!C36 + 'Dual Cenryia'!C36 + Exilium!C36 + Galca!C36 + Inania!C36 + Inrea!C36 + Isnti!C36 + Lieri!C36 + Ocaun!C36 + Otiiric!C36 + Ozinia!C36 + Pelugrotoa!C36 + 'Rtesania'!C36 + Sadain!C36 + Selaja!C36 + Seytinemas!C36 + Sivoso!C36 + Sunsokua!C36 + Taing!C36 + Taoisia!C36 + Trian!C36 + Vayvele!C36</f>
        <v>860332806.22561979</v>
      </c>
      <c r="AU36" s="5">
        <f t="shared" si="12"/>
        <v>2.2426296123213032E-2</v>
      </c>
      <c r="AV36" s="5">
        <f t="shared" si="13"/>
        <v>0.19349106025611554</v>
      </c>
      <c r="BC36" s="3">
        <f t="shared" si="14"/>
        <v>1981</v>
      </c>
      <c r="BD36" s="3">
        <v>1731</v>
      </c>
      <c r="BE36" s="4">
        <f>'Canldives'!C36 + 'Cloja'!C36 + Dahe!C36 + Eparia!C36 + Etretes!C36 + Haiza!C36 + Ihner!C36 + Kaastini!C36 + Kusierna!C36 + Migoku!C36 + 'North Ayre'!C36 + Oscairia!C36 + Oyreain!C36 + 'Pha Hii'!C36 + 'Pruim Fijan'!C36 + 'Prystr Hii'!C36 + 'Ruylku'!C36 + Sanagara!C36 + Shinam!C36 + Stinebar!C36 + Suenan!C36 + Taval!C36 + Ucrua!C36 + Vesozata!C36 + 'Welenu Fana'!C36 + 'Western Migoku'!C36</f>
        <v>1003885941.0323787</v>
      </c>
      <c r="BF36" s="5">
        <f t="shared" si="15"/>
        <v>1.426670546029008E-2</v>
      </c>
      <c r="BG36" s="5">
        <f t="shared" si="16"/>
        <v>0.22577652938602874</v>
      </c>
      <c r="BN36" s="3">
        <f t="shared" si="17"/>
        <v>1981</v>
      </c>
      <c r="BO36" s="3">
        <v>1731</v>
      </c>
      <c r="BP36" s="4">
        <f>Andsaudare!C36 + Aplasia!C36 + Astye!C36 + 'Crila Republic'!C36 + 'Elja and Munusia'!C36 + Hiwush!C36 + Iainoa!C36 + Isari!C36 + Isuibul!C36 + Maalle!C36 + Mendereide!C36 + Nia!C36 + 'Niretui and Anulan'!C36 + Ohtina!C36 + Prstreula!C36 + 'Rethern'!C36 + 'Rkmepuia'!C36 + Tvecoca!C36 + Umarcia!C36 + 'United Delet'!C36 + Veelmit!C36 + Walporein!C36 + Yutnitu!C36</f>
        <v>152029163.03585806</v>
      </c>
      <c r="BQ36" s="6">
        <f t="shared" si="18"/>
        <v>2.2923139495033978E-2</v>
      </c>
      <c r="BR36" s="5">
        <f t="shared" si="19"/>
        <v>3.4191749672676887E-2</v>
      </c>
      <c r="BY36" s="3">
        <f t="shared" si="20"/>
        <v>1981</v>
      </c>
      <c r="BZ36" s="3">
        <v>1731</v>
      </c>
      <c r="CA36" s="4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624906081.26710272</v>
      </c>
      <c r="CB36" s="6">
        <f t="shared" si="21"/>
        <v>2.3069164960843287E-2</v>
      </c>
      <c r="CC36" s="5">
        <f t="shared" si="22"/>
        <v>0.14054298447054303</v>
      </c>
    </row>
    <row r="37" spans="1:81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4372035376.8881474</v>
      </c>
      <c r="D37" s="5">
        <f t="shared" si="1"/>
        <v>1.7062009853949917E-2</v>
      </c>
      <c r="K37" s="3">
        <f t="shared" si="2"/>
        <v>1980</v>
      </c>
      <c r="L37" s="3">
        <v>1730</v>
      </c>
      <c r="M37" s="4">
        <f>'Areoix Lie'!C37 + Pelines!C37 + Terressin!C37 + Taniduna!C37 + Iquir!C37 + Deschon!C37 + Othya!C37 + Eldavpir!C37 + 'Candenat'!C37 + Jau!C37 + Viussi!C37 + Jathua!C37 + Jshain!C37 + Acetoa!C37 + Sattle!C37 + 'Reerica'!C37 + 'Feio Lie'!C37 + Umendel!C37 + 'Fire Coast'!C37 + Yoprioq!C37 + 'Rijan bu'!C37 + Saa!C37 + 'Rinew'!C37 + Enina!C37 + Trevilla!C37</f>
        <v>631476804.19575298</v>
      </c>
      <c r="N37" s="5">
        <f t="shared" si="3"/>
        <v>1.8873155781131863E-2</v>
      </c>
      <c r="O37" s="5">
        <f t="shared" si="4"/>
        <v>0.14443542875565996</v>
      </c>
      <c r="V37" s="3">
        <f t="shared" si="5"/>
        <v>1980</v>
      </c>
      <c r="W37" s="3">
        <v>1730</v>
      </c>
      <c r="X37" s="4">
        <f>Aetintio!C37 + Arbiya!C37 + 'Curata'!C37 + 'Disal Nila'!C37 + Etirha!C37 + Fincen!C37 + Gaeiya!C37 + Genaire!C37 + Grazail!C37 + Guise!C37 + Laselteh!C37 + Lasri!C37 + Metndria!C37 + 'New Misos'!C37 + Peka!C37 + Pelan!C37 + Phuris!C37 + 'Raledria'!C37 + Slyiaduun!C37 + Tomscilus!C37</f>
        <v>349626497.72511512</v>
      </c>
      <c r="Y37" s="5">
        <f t="shared" si="6"/>
        <v>1.3994717439014372E-2</v>
      </c>
      <c r="Z37" s="5">
        <f t="shared" si="7"/>
        <v>7.9968817172281506E-2</v>
      </c>
      <c r="AG37" s="3">
        <f t="shared" si="8"/>
        <v>1980</v>
      </c>
      <c r="AH37" s="3">
        <v>1730</v>
      </c>
      <c r="AI37" s="4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789231841.45062482</v>
      </c>
      <c r="AJ37" s="5">
        <f t="shared" si="9"/>
        <v>8.4818149266889485E-3</v>
      </c>
      <c r="AK37" s="5">
        <f t="shared" si="10"/>
        <v>0.1805181736686611</v>
      </c>
      <c r="AR37" s="3">
        <f t="shared" si="11"/>
        <v>1980</v>
      </c>
      <c r="AS37" s="3">
        <v>1730</v>
      </c>
      <c r="AT37" s="4">
        <f>Amcha!C37 + Byllu!C37 + 'Chaenia'!C37 + 'Cruthi Anoso'!C37 + 'Dual Cenryia'!C37 + Exilium!C37 + Galca!C37 + Inania!C37 + Inrea!C37 + Isnti!C37 + Lieri!C37 + Ocaun!C37 + Otiiric!C37 + Ozinia!C37 + Pelugrotoa!C37 + 'Rtesania'!C37 + Sadain!C37 + Selaja!C37 + Seytinemas!C37 + Sivoso!C37 + Sunsokua!C37 + Taing!C37 + Taoisia!C37 + Trian!C37 + Vayvele!C37</f>
        <v>841461931.76739335</v>
      </c>
      <c r="AU37" s="5">
        <f t="shared" si="12"/>
        <v>2.3204059682363058E-2</v>
      </c>
      <c r="AV37" s="5">
        <f t="shared" si="13"/>
        <v>0.19246457524465749</v>
      </c>
      <c r="BC37" s="3">
        <f t="shared" si="14"/>
        <v>1980</v>
      </c>
      <c r="BD37" s="3">
        <v>1730</v>
      </c>
      <c r="BE37" s="4">
        <f>'Canldives'!C37 + 'Cloja'!C37 + Dahe!C37 + Eparia!C37 + Etretes!C37 + Haiza!C37 + Ihner!C37 + Kaastini!C37 + Kusierna!C37 + Migoku!C37 + 'North Ayre'!C37 + Oscairia!C37 + Oyreain!C37 + 'Pha Hii'!C37 + 'Pruim Fijan'!C37 + 'Prystr Hii'!C37 + 'Ruylku'!C37 + Sanagara!C37 + Shinam!C37 + Stinebar!C37 + Suenan!C37 + Taval!C37 + Ucrua!C37 + Vesozata!C37 + 'Welenu Fana'!C37 + 'Western Migoku'!C37</f>
        <v>989765251.71138251</v>
      </c>
      <c r="BF37" s="5">
        <f t="shared" si="15"/>
        <v>1.4340129408420272E-2</v>
      </c>
      <c r="BG37" s="5">
        <f t="shared" si="16"/>
        <v>0.22638546269400517</v>
      </c>
      <c r="BN37" s="3">
        <f t="shared" si="17"/>
        <v>1980</v>
      </c>
      <c r="BO37" s="3">
        <v>1730</v>
      </c>
      <c r="BP37" s="4">
        <f>Andsaudare!C37 + Aplasia!C37 + Astye!C37 + 'Crila Republic'!C37 + 'Elja and Munusia'!C37 + Hiwush!C37 + Iainoa!C37 + Isari!C37 + Isuibul!C37 + Maalle!C37 + Mendereide!C37 + Nia!C37 + 'Niretui and Anulan'!C37 + Ohtina!C37 + Prstreula!C37 + 'Rethern'!C37 + 'Rkmepuia'!C37 + Tvecoca!C37 + Umarcia!C37 + 'United Delet'!C37 + Veelmit!C37 + Walporein!C37 + Yutnitu!C37</f>
        <v>148622273.91874942</v>
      </c>
      <c r="BQ37" s="7">
        <f t="shared" si="18"/>
        <v>2.2850693246638139E-2</v>
      </c>
      <c r="BR37" s="5">
        <f t="shared" si="19"/>
        <v>3.3993840650148911E-2</v>
      </c>
      <c r="BY37" s="3">
        <f t="shared" si="20"/>
        <v>1980</v>
      </c>
      <c r="BZ37" s="3">
        <v>1730</v>
      </c>
      <c r="CA37" s="4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610815087.25856304</v>
      </c>
      <c r="CB37" s="7">
        <f t="shared" si="21"/>
        <v>2.2731713809738919E-2</v>
      </c>
      <c r="CC37" s="5">
        <f t="shared" si="22"/>
        <v>0.13970954820894393</v>
      </c>
    </row>
    <row r="38" spans="1:81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4298691067.5347824</v>
      </c>
      <c r="D38" s="5">
        <f t="shared" si="1"/>
        <v>1.7087873184267754E-2</v>
      </c>
      <c r="K38" s="3">
        <f t="shared" si="2"/>
        <v>1979</v>
      </c>
      <c r="L38" s="3">
        <v>1729</v>
      </c>
      <c r="M38" s="4">
        <f>'Areoix Lie'!C38 + Pelines!C38 + Terressin!C38 + Taniduna!C38 + Iquir!C38 + Deschon!C38 + Othya!C38 + Eldavpir!C38 + 'Candenat'!C38 + Jau!C38 + Viussi!C38 + Jathua!C38 + Jshain!C38 + Acetoa!C38 + Sattle!C38 + 'Reerica'!C38 + 'Feio Lie'!C38 + Umendel!C38 + 'Fire Coast'!C38 + Yoprioq!C38 + 'Rijan bu'!C38 + Saa!C38 + 'Rinew'!C38 + Enina!C38 + Trevilla!C38</f>
        <v>619779607.12059724</v>
      </c>
      <c r="N38" s="5">
        <f t="shared" si="3"/>
        <v>1.8965388783039331E-2</v>
      </c>
      <c r="O38" s="5">
        <f t="shared" si="4"/>
        <v>0.14417868076200904</v>
      </c>
      <c r="V38" s="3">
        <f t="shared" si="5"/>
        <v>1979</v>
      </c>
      <c r="W38" s="3">
        <v>1729</v>
      </c>
      <c r="X38" s="4">
        <f>Aetintio!C38 + Arbiya!C38 + 'Curata'!C38 + 'Disal Nila'!C38 + Etirha!C38 + Fincen!C38 + Gaeiya!C38 + Genaire!C38 + Grazail!C38 + Guise!C38 + Laselteh!C38 + Lasri!C38 + Metndria!C38 + 'New Misos'!C38 + Peka!C38 + Pelan!C38 + Phuris!C38 + 'Raledria'!C38 + Slyiaduun!C38 + Tomscilus!C38</f>
        <v>344801103.70608813</v>
      </c>
      <c r="Y38" s="5">
        <f t="shared" si="6"/>
        <v>1.330628148218776E-2</v>
      </c>
      <c r="Z38" s="5">
        <f t="shared" si="7"/>
        <v>8.0210719563019214E-2</v>
      </c>
      <c r="AG38" s="3">
        <f t="shared" si="8"/>
        <v>1979</v>
      </c>
      <c r="AH38" s="3">
        <v>1729</v>
      </c>
      <c r="AI38" s="4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782594023.77820528</v>
      </c>
      <c r="AJ38" s="5">
        <f t="shared" si="9"/>
        <v>8.0513980452663093E-3</v>
      </c>
      <c r="AK38" s="5">
        <f t="shared" si="10"/>
        <v>0.18205402795484163</v>
      </c>
      <c r="AR38" s="3">
        <f t="shared" si="11"/>
        <v>1979</v>
      </c>
      <c r="AS38" s="3">
        <v>1729</v>
      </c>
      <c r="AT38" s="4">
        <f>Amcha!C38 + Byllu!C38 + 'Chaenia'!C38 + 'Cruthi Anoso'!C38 + 'Dual Cenryia'!C38 + Exilium!C38 + Galca!C38 + Inania!C38 + Inrea!C38 + Isnti!C38 + Lieri!C38 + Ocaun!C38 + Otiiric!C38 + Ozinia!C38 + Pelugrotoa!C38 + 'Rtesania'!C38 + Sadain!C38 + Selaja!C38 + Seytinemas!C38 + Sivoso!C38 + Sunsokua!C38 + Taing!C38 + Taoisia!C38 + Trian!C38 + Vayvele!C38</f>
        <v>822379391.29034674</v>
      </c>
      <c r="AU38" s="5">
        <f t="shared" si="12"/>
        <v>2.4351358163506767E-2</v>
      </c>
      <c r="AV38" s="5">
        <f t="shared" si="13"/>
        <v>0.19130925632252185</v>
      </c>
      <c r="BC38" s="3">
        <f t="shared" si="14"/>
        <v>1979</v>
      </c>
      <c r="BD38" s="3">
        <v>1729</v>
      </c>
      <c r="BE38" s="4">
        <f>'Canldives'!C38 + 'Cloja'!C38 + Dahe!C38 + Eparia!C38 + Etretes!C38 + Haiza!C38 + Ihner!C38 + Kaastini!C38 + Kusierna!C38 + Migoku!C38 + 'North Ayre'!C38 + Oscairia!C38 + Oyreain!C38 + 'Pha Hii'!C38 + 'Pruim Fijan'!C38 + 'Prystr Hii'!C38 + 'Ruylku'!C38 + Sanagara!C38 + Shinam!C38 + Stinebar!C38 + Suenan!C38 + Taval!C38 + Ucrua!C38 + Vesozata!C38 + 'Welenu Fana'!C38 + 'Western Migoku'!C38</f>
        <v>975772547.1126039</v>
      </c>
      <c r="BF38" s="5">
        <f t="shared" si="15"/>
        <v>1.4392694819979159E-2</v>
      </c>
      <c r="BG38" s="5">
        <f t="shared" si="16"/>
        <v>0.22699294547635193</v>
      </c>
      <c r="BN38" s="3">
        <f t="shared" si="17"/>
        <v>1979</v>
      </c>
      <c r="BO38" s="3">
        <v>1729</v>
      </c>
      <c r="BP38" s="4">
        <f>Andsaudare!C38 + Aplasia!C38 + Astye!C38 + 'Crila Republic'!C38 + 'Elja and Munusia'!C38 + Hiwush!C38 + Iainoa!C38 + Isari!C38 + Isuibul!C38 + Maalle!C38 + Mendereide!C38 + Nia!C38 + 'Niretui and Anulan'!C38 + Ohtina!C38 + Prstreula!C38 + 'Rethern'!C38 + 'Rkmepuia'!C38 + Tvecoca!C38 + Umarcia!C38 + 'United Delet'!C38 + Veelmit!C38 + Walporein!C38 + Yutnitu!C38</f>
        <v>145302021.9862259</v>
      </c>
      <c r="BQ38" s="6">
        <f t="shared" si="18"/>
        <v>2.2687451397484182E-2</v>
      </c>
      <c r="BR38" s="5">
        <f t="shared" si="19"/>
        <v>3.3801457165321222E-2</v>
      </c>
      <c r="BY38" s="3">
        <f t="shared" si="20"/>
        <v>1979</v>
      </c>
      <c r="BZ38" s="3">
        <v>1729</v>
      </c>
      <c r="CA38" s="4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597238825.20787299</v>
      </c>
      <c r="CB38" s="6">
        <f t="shared" si="21"/>
        <v>2.2420621193956831E-2</v>
      </c>
      <c r="CC38" s="5">
        <f t="shared" si="22"/>
        <v>0.13893504227796907</v>
      </c>
    </row>
    <row r="39" spans="1:81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4226469689.4640689</v>
      </c>
      <c r="D39" s="5">
        <f t="shared" si="1"/>
        <v>1.7040711155025649E-2</v>
      </c>
      <c r="K39" s="3">
        <f t="shared" si="2"/>
        <v>1978</v>
      </c>
      <c r="L39" s="3">
        <v>1728</v>
      </c>
      <c r="M39" s="4">
        <f>'Areoix Lie'!C39 + Pelines!C39 + Terressin!C39 + Taniduna!C39 + Iquir!C39 + Deschon!C39 + Othya!C39 + Eldavpir!C39 + 'Candenat'!C39 + Jau!C39 + Viussi!C39 + Jathua!C39 + Jshain!C39 + Acetoa!C39 + Sattle!C39 + 'Reerica'!C39 + 'Feio Lie'!C39 + Umendel!C39 + 'Fire Coast'!C39 + Yoprioq!C39 + 'Rijan bu'!C39 + Saa!C39 + 'Rinew'!C39 + Enina!C39 + Trevilla!C39</f>
        <v>608244022.75410581</v>
      </c>
      <c r="N39" s="5">
        <f t="shared" si="3"/>
        <v>1.9068385226947794E-2</v>
      </c>
      <c r="O39" s="5">
        <f t="shared" si="4"/>
        <v>0.14391302137345585</v>
      </c>
      <c r="V39" s="3">
        <f t="shared" si="5"/>
        <v>1978</v>
      </c>
      <c r="W39" s="3">
        <v>1728</v>
      </c>
      <c r="X39" s="4">
        <f>Aetintio!C39 + Arbiya!C39 + 'Curata'!C39 + 'Disal Nila'!C39 + Etirha!C39 + Fincen!C39 + Gaeiya!C39 + Genaire!C39 + Grazail!C39 + Guise!C39 + Laselteh!C39 + Lasri!C39 + Metndria!C39 + 'New Misos'!C39 + Peka!C39 + Pelan!C39 + Phuris!C39 + 'Raledria'!C39 + Slyiaduun!C39 + Tomscilus!C39</f>
        <v>340273330.98314476</v>
      </c>
      <c r="Y39" s="5">
        <f t="shared" si="6"/>
        <v>1.307503801380492E-2</v>
      </c>
      <c r="Z39" s="5">
        <f t="shared" si="7"/>
        <v>8.0510060637934588E-2</v>
      </c>
      <c r="AG39" s="3">
        <f t="shared" si="8"/>
        <v>1978</v>
      </c>
      <c r="AH39" s="3">
        <v>1728</v>
      </c>
      <c r="AI39" s="4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776343374.2522949</v>
      </c>
      <c r="AJ39" s="5">
        <f t="shared" si="9"/>
        <v>8.4126928486205621E-3</v>
      </c>
      <c r="AK39" s="5">
        <f t="shared" si="10"/>
        <v>0.18368601487610289</v>
      </c>
      <c r="AR39" s="3">
        <f t="shared" si="11"/>
        <v>1978</v>
      </c>
      <c r="AS39" s="3">
        <v>1728</v>
      </c>
      <c r="AT39" s="4">
        <f>Amcha!C39 + Byllu!C39 + 'Chaenia'!C39 + 'Cruthi Anoso'!C39 + 'Dual Cenryia'!C39 + Exilium!C39 + Galca!C39 + Inania!C39 + Inrea!C39 + Isnti!C39 + Lieri!C39 + Ocaun!C39 + Otiiric!C39 + Ozinia!C39 + Pelugrotoa!C39 + 'Rtesania'!C39 + Sadain!C39 + Selaja!C39 + Seytinemas!C39 + Sivoso!C39 + Sunsokua!C39 + Taing!C39 + Taoisia!C39 + Trian!C39 + Vayvele!C39</f>
        <v>802829404.90725517</v>
      </c>
      <c r="AU39" s="5">
        <f t="shared" si="12"/>
        <v>2.420251174046946E-2</v>
      </c>
      <c r="AV39" s="5">
        <f t="shared" si="13"/>
        <v>0.18995271796425842</v>
      </c>
      <c r="BC39" s="3">
        <f t="shared" si="14"/>
        <v>1978</v>
      </c>
      <c r="BD39" s="3">
        <v>1728</v>
      </c>
      <c r="BE39" s="4">
        <f>'Canldives'!C39 + 'Cloja'!C39 + Dahe!C39 + Eparia!C39 + Etretes!C39 + Haiza!C39 + Ihner!C39 + Kaastini!C39 + Kusierna!C39 + Migoku!C39 + 'North Ayre'!C39 + Oscairia!C39 + Oyreain!C39 + 'Pha Hii'!C39 + 'Pruim Fijan'!C39 + 'Prystr Hii'!C39 + 'Ruylku'!C39 + Sanagara!C39 + Shinam!C39 + Stinebar!C39 + Suenan!C39 + Taval!C39 + Ucrua!C39 + Vesozata!C39 + 'Welenu Fana'!C39 + 'Western Migoku'!C39</f>
        <v>961927813.65186286</v>
      </c>
      <c r="BF39" s="5">
        <f t="shared" si="15"/>
        <v>1.4268863568963851E-2</v>
      </c>
      <c r="BG39" s="5">
        <f t="shared" si="16"/>
        <v>0.22759605162904614</v>
      </c>
      <c r="BN39" s="3">
        <f t="shared" si="17"/>
        <v>1978</v>
      </c>
      <c r="BO39" s="3">
        <v>1728</v>
      </c>
      <c r="BP39" s="4">
        <f>Andsaudare!C39 + Aplasia!C39 + Astye!C39 + 'Crila Republic'!C39 + 'Elja and Munusia'!C39 + Hiwush!C39 + Iainoa!C39 + Isari!C39 + Isuibul!C39 + Maalle!C39 + Mendereide!C39 + Nia!C39 + 'Niretui and Anulan'!C39 + Ohtina!C39 + Prstreula!C39 + 'Rethern'!C39 + 'Rkmepuia'!C39 + Tvecoca!C39 + Umarcia!C39 + 'United Delet'!C39 + Veelmit!C39 + Walporein!C39 + Yutnitu!C39</f>
        <v>142078620.19590959</v>
      </c>
      <c r="BQ39" s="7">
        <f t="shared" si="18"/>
        <v>2.2569079586802994E-2</v>
      </c>
      <c r="BR39" s="5">
        <f t="shared" si="19"/>
        <v>3.3616382142782064E-2</v>
      </c>
      <c r="BY39" s="3">
        <f t="shared" si="20"/>
        <v>1978</v>
      </c>
      <c r="BZ39" s="3">
        <v>1728</v>
      </c>
      <c r="CA39" s="4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584141998.73084784</v>
      </c>
      <c r="CB39" s="7">
        <f t="shared" si="21"/>
        <v>2.2323950481397396E-2</v>
      </c>
      <c r="CC39" s="5">
        <f t="shared" si="22"/>
        <v>0.13821038399660665</v>
      </c>
    </row>
    <row r="40" spans="1:81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4155654383.4554877</v>
      </c>
      <c r="D40" s="5">
        <f t="shared" si="1"/>
        <v>1.7115529076990144E-2</v>
      </c>
      <c r="K40" s="3">
        <f t="shared" si="2"/>
        <v>1977</v>
      </c>
      <c r="L40" s="3">
        <v>1727</v>
      </c>
      <c r="M40" s="4">
        <f>'Areoix Lie'!C40 + Pelines!C40 + Terressin!C40 + Taniduna!C40 + Iquir!C40 + Deschon!C40 + Othya!C40 + Eldavpir!C40 + 'Candenat'!C40 + Jau!C40 + Viussi!C40 + Jathua!C40 + Jshain!C40 + Acetoa!C40 + Sattle!C40 + 'Reerica'!C40 + 'Feio Lie'!C40 + Umendel!C40 + 'Fire Coast'!C40 + Yoprioq!C40 + 'Rijan bu'!C40 + Saa!C40 + 'Rinew'!C40 + Enina!C40 + Trevilla!C40</f>
        <v>596862812.71364248</v>
      </c>
      <c r="N40" s="5">
        <f t="shared" si="3"/>
        <v>1.9311402510205803E-2</v>
      </c>
      <c r="O40" s="5">
        <f t="shared" si="4"/>
        <v>0.14362667287488481</v>
      </c>
      <c r="V40" s="3">
        <f t="shared" si="5"/>
        <v>1977</v>
      </c>
      <c r="W40" s="3">
        <v>1727</v>
      </c>
      <c r="X40" s="4">
        <f>Aetintio!C40 + Arbiya!C40 + 'Curata'!C40 + 'Disal Nila'!C40 + Etirha!C40 + Fincen!C40 + Gaeiya!C40 + Genaire!C40 + Grazail!C40 + Guise!C40 + Laselteh!C40 + Lasri!C40 + Metndria!C40 + 'New Misos'!C40 + Peka!C40 + Pelan!C40 + Phuris!C40 + 'Raledria'!C40 + Slyiaduun!C40 + Tomscilus!C40</f>
        <v>335881665.4393847</v>
      </c>
      <c r="Y40" s="5">
        <f t="shared" si="6"/>
        <v>1.3487508116921988E-2</v>
      </c>
      <c r="Z40" s="5">
        <f t="shared" si="7"/>
        <v>8.0825216547506573E-2</v>
      </c>
      <c r="AG40" s="3">
        <f t="shared" si="8"/>
        <v>1977</v>
      </c>
      <c r="AH40" s="3">
        <v>1727</v>
      </c>
      <c r="AI40" s="4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769866721.98585355</v>
      </c>
      <c r="AJ40" s="5">
        <f t="shared" si="9"/>
        <v>8.5665935195496923E-3</v>
      </c>
      <c r="AK40" s="5">
        <f t="shared" si="10"/>
        <v>0.18525763957918417</v>
      </c>
      <c r="AR40" s="3">
        <f t="shared" si="11"/>
        <v>1977</v>
      </c>
      <c r="AS40" s="3">
        <v>1727</v>
      </c>
      <c r="AT40" s="4">
        <f>Amcha!C40 + Byllu!C40 + 'Chaenia'!C40 + 'Cruthi Anoso'!C40 + 'Dual Cenryia'!C40 + Exilium!C40 + Galca!C40 + Inania!C40 + Inrea!C40 + Isnti!C40 + Lieri!C40 + Ocaun!C40 + Otiiric!C40 + Ozinia!C40 + Pelugrotoa!C40 + 'Rtesania'!C40 + Sadain!C40 + Selaja!C40 + Seytinemas!C40 + Sivoso!C40 + Sunsokua!C40 + Taing!C40 + Taoisia!C40 + Trian!C40 + Vayvele!C40</f>
        <v>783858070.74713588</v>
      </c>
      <c r="AU40" s="5">
        <f t="shared" si="12"/>
        <v>2.403940874980659E-2</v>
      </c>
      <c r="AV40" s="5">
        <f t="shared" si="13"/>
        <v>0.1886244616173654</v>
      </c>
      <c r="BC40" s="3">
        <f t="shared" si="14"/>
        <v>1977</v>
      </c>
      <c r="BD40" s="3">
        <v>1727</v>
      </c>
      <c r="BE40" s="4">
        <f>'Canldives'!C40 + 'Cloja'!C40 + Dahe!C40 + Eparia!C40 + Etretes!C40 + Haiza!C40 + Ihner!C40 + Kaastini!C40 + Kusierna!C40 + Migoku!C40 + 'North Ayre'!C40 + Oscairia!C40 + Oyreain!C40 + 'Pha Hii'!C40 + 'Pruim Fijan'!C40 + 'Prystr Hii'!C40 + 'Ruylku'!C40 + Sanagara!C40 + Shinam!C40 + Stinebar!C40 + Suenan!C40 + Taval!C40 + Ucrua!C40 + Vesozata!C40 + 'Welenu Fana'!C40 + 'Western Migoku'!C40</f>
        <v>948395290.64026904</v>
      </c>
      <c r="BF40" s="5">
        <f t="shared" si="15"/>
        <v>1.4243534721851473E-2</v>
      </c>
      <c r="BG40" s="5">
        <f t="shared" si="16"/>
        <v>0.22821803815447819</v>
      </c>
      <c r="BN40" s="3">
        <f t="shared" si="17"/>
        <v>1977</v>
      </c>
      <c r="BO40" s="3">
        <v>1727</v>
      </c>
      <c r="BP40" s="4">
        <f>Andsaudare!C40 + Aplasia!C40 + Astye!C40 + 'Crila Republic'!C40 + 'Elja and Munusia'!C40 + Hiwush!C40 + Iainoa!C40 + Isari!C40 + Isuibul!C40 + Maalle!C40 + Mendereide!C40 + Nia!C40 + 'Niretui and Anulan'!C40 + Ohtina!C40 + Prstreula!C40 + 'Rethern'!C40 + 'Rkmepuia'!C40 + Tvecoca!C40 + Umarcia!C40 + 'United Delet'!C40 + Veelmit!C40 + Walporein!C40 + Yutnitu!C40</f>
        <v>138942808.88418838</v>
      </c>
      <c r="BQ40" s="6">
        <f t="shared" si="18"/>
        <v>2.2647580258203605E-2</v>
      </c>
      <c r="BR40" s="5">
        <f t="shared" si="19"/>
        <v>3.3434640146531004E-2</v>
      </c>
      <c r="BY40" s="3">
        <f t="shared" si="20"/>
        <v>1977</v>
      </c>
      <c r="BZ40" s="3">
        <v>1727</v>
      </c>
      <c r="CA40" s="4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571386397.0963254</v>
      </c>
      <c r="CB40" s="6">
        <f t="shared" si="21"/>
        <v>2.2663993851024952E-2</v>
      </c>
      <c r="CC40" s="5">
        <f t="shared" si="22"/>
        <v>0.13749613042199366</v>
      </c>
    </row>
    <row r="41" spans="1:81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4085725037.7709327</v>
      </c>
      <c r="D41" s="5">
        <f t="shared" si="1"/>
        <v>1.7007835337554487E-2</v>
      </c>
      <c r="K41" s="3">
        <f t="shared" si="2"/>
        <v>1976</v>
      </c>
      <c r="L41" s="3">
        <v>1726</v>
      </c>
      <c r="M41" s="4">
        <f>'Areoix Lie'!C41 + Pelines!C41 + Terressin!C41 + Taniduna!C41 + Iquir!C41 + Deschon!C41 + Othya!C41 + Eldavpir!C41 + 'Candenat'!C41 + Jau!C41 + Viussi!C41 + Jathua!C41 + Jshain!C41 + Acetoa!C41 + Sattle!C41 + 'Reerica'!C41 + 'Feio Lie'!C41 + Umendel!C41 + 'Fire Coast'!C41 + Yoprioq!C41 + 'Rijan bu'!C41 + Saa!C41 + 'Rinew'!C41 + Enina!C41 + Trevilla!C41</f>
        <v>585554925.84874368</v>
      </c>
      <c r="N41" s="5">
        <f t="shared" si="3"/>
        <v>1.9539592789791727E-2</v>
      </c>
      <c r="O41" s="5">
        <f t="shared" si="4"/>
        <v>0.14331726203685197</v>
      </c>
      <c r="V41" s="3">
        <f t="shared" si="5"/>
        <v>1976</v>
      </c>
      <c r="W41" s="3">
        <v>1726</v>
      </c>
      <c r="X41" s="4">
        <f>Aetintio!C41 + Arbiya!C41 + 'Curata'!C41 + 'Disal Nila'!C41 + Etirha!C41 + Fincen!C41 + Gaeiya!C41 + Genaire!C41 + Grazail!C41 + Guise!C41 + Laselteh!C41 + Lasri!C41 + Metndria!C41 + 'New Misos'!C41 + Peka!C41 + Pelan!C41 + Phuris!C41 + 'Raledria'!C41 + Slyiaduun!C41 + Tomscilus!C41</f>
        <v>331411746.81418508</v>
      </c>
      <c r="Y41" s="5">
        <f t="shared" si="6"/>
        <v>1.2859896735053828E-2</v>
      </c>
      <c r="Z41" s="5">
        <f t="shared" si="7"/>
        <v>8.1114549743414671E-2</v>
      </c>
      <c r="AG41" s="3">
        <f t="shared" si="8"/>
        <v>1976</v>
      </c>
      <c r="AH41" s="3">
        <v>1726</v>
      </c>
      <c r="AI41" s="4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763327604.67435682</v>
      </c>
      <c r="AJ41" s="5">
        <f t="shared" si="9"/>
        <v>8.2480535655521797E-3</v>
      </c>
      <c r="AK41" s="5">
        <f t="shared" si="10"/>
        <v>0.18682794304993389</v>
      </c>
      <c r="AR41" s="3">
        <f t="shared" si="11"/>
        <v>1976</v>
      </c>
      <c r="AS41" s="3">
        <v>1726</v>
      </c>
      <c r="AT41" s="4">
        <f>Amcha!C41 + Byllu!C41 + 'Chaenia'!C41 + 'Cruthi Anoso'!C41 + 'Dual Cenryia'!C41 + Exilium!C41 + Galca!C41 + Inania!C41 + Inrea!C41 + Isnti!C41 + Lieri!C41 + Ocaun!C41 + Otiiric!C41 + Ozinia!C41 + Pelugrotoa!C41 + 'Rtesania'!C41 + Sadain!C41 + Selaja!C41 + Seytinemas!C41 + Sivoso!C41 + Sunsokua!C41 + Taing!C41 + Taoisia!C41 + Trian!C41 + Vayvele!C41</f>
        <v>765456938.52163863</v>
      </c>
      <c r="AU41" s="5">
        <f t="shared" si="12"/>
        <v>2.3971723740295624E-2</v>
      </c>
      <c r="AV41" s="5">
        <f t="shared" si="13"/>
        <v>0.18734910730538354</v>
      </c>
      <c r="BC41" s="3">
        <f t="shared" si="14"/>
        <v>1976</v>
      </c>
      <c r="BD41" s="3">
        <v>1726</v>
      </c>
      <c r="BE41" s="4">
        <f>'Canldives'!C41 + 'Cloja'!C41 + Dahe!C41 + Eparia!C41 + Etretes!C41 + Haiza!C41 + Ihner!C41 + Kaastini!C41 + Kusierna!C41 + Migoku!C41 + 'North Ayre'!C41 + Oscairia!C41 + Oyreain!C41 + 'Pha Hii'!C41 + 'Pruim Fijan'!C41 + 'Prystr Hii'!C41 + 'Ruylku'!C41 + Sanagara!C41 + Shinam!C41 + Stinebar!C41 + Suenan!C41 + Taval!C41 + Ucrua!C41 + Vesozata!C41 + 'Welenu Fana'!C41 + 'Western Migoku'!C41</f>
        <v>935076496.10047472</v>
      </c>
      <c r="BF41" s="5">
        <f t="shared" si="15"/>
        <v>1.4033777351935962E-2</v>
      </c>
      <c r="BG41" s="5">
        <f t="shared" si="16"/>
        <v>0.22886427438363022</v>
      </c>
      <c r="BN41" s="3">
        <f t="shared" si="17"/>
        <v>1976</v>
      </c>
      <c r="BO41" s="3">
        <v>1726</v>
      </c>
      <c r="BP41" s="4">
        <f>Andsaudare!C41 + Aplasia!C41 + Astye!C41 + 'Crila Republic'!C41 + 'Elja and Munusia'!C41 + Hiwush!C41 + Iainoa!C41 + Isari!C41 + Isuibul!C41 + Maalle!C41 + Mendereide!C41 + Nia!C41 + 'Niretui and Anulan'!C41 + Ohtina!C41 + Prstreula!C41 + 'Rethern'!C41 + 'Rkmepuia'!C41 + Tvecoca!C41 + Umarcia!C41 + 'United Delet'!C41 + Veelmit!C41 + Walporein!C41 + Yutnitu!C41</f>
        <v>135865777.77762634</v>
      </c>
      <c r="BQ41" s="7">
        <f t="shared" si="18"/>
        <v>2.2603079828143101E-2</v>
      </c>
      <c r="BR41" s="5">
        <f t="shared" si="19"/>
        <v>3.3253774182452386E-2</v>
      </c>
      <c r="BY41" s="3">
        <f t="shared" si="20"/>
        <v>1976</v>
      </c>
      <c r="BZ41" s="3">
        <v>1726</v>
      </c>
      <c r="CA41" s="4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558723491.32452321</v>
      </c>
      <c r="CB41" s="7">
        <f t="shared" si="21"/>
        <v>2.3160733911883623E-2</v>
      </c>
      <c r="CC41" s="5">
        <f t="shared" si="22"/>
        <v>0.13675014499491345</v>
      </c>
    </row>
    <row r="42" spans="1:81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4017397797.544836</v>
      </c>
      <c r="D42" s="5">
        <f t="shared" si="1"/>
        <v>1.6958150590889197E-2</v>
      </c>
      <c r="K42" s="3">
        <f t="shared" si="2"/>
        <v>1975</v>
      </c>
      <c r="L42" s="3">
        <v>1725</v>
      </c>
      <c r="M42" s="4">
        <f>'Areoix Lie'!C42 + Pelines!C42 + Terressin!C42 + Taniduna!C42 + Iquir!C42 + Deschon!C42 + Othya!C42 + Eldavpir!C42 + 'Candenat'!C42 + Jau!C42 + Viussi!C42 + Jathua!C42 + Jshain!C42 + Acetoa!C42 + Sattle!C42 + 'Reerica'!C42 + 'Feio Lie'!C42 + Umendel!C42 + 'Fire Coast'!C42 + Yoprioq!C42 + 'Rijan bu'!C42 + Saa!C42 + 'Rinew'!C42 + Enina!C42 + Trevilla!C42</f>
        <v>574332698.78855324</v>
      </c>
      <c r="N42" s="5">
        <f t="shared" si="3"/>
        <v>2.0049224046144662E-2</v>
      </c>
      <c r="O42" s="5">
        <f t="shared" si="4"/>
        <v>0.14296137144784288</v>
      </c>
      <c r="V42" s="3">
        <f t="shared" si="5"/>
        <v>1975</v>
      </c>
      <c r="W42" s="3">
        <v>1725</v>
      </c>
      <c r="X42" s="4">
        <f>Aetintio!C42 + Arbiya!C42 + 'Curata'!C42 + 'Disal Nila'!C42 + Etirha!C42 + Fincen!C42 + Gaeiya!C42 + Genaire!C42 + Grazail!C42 + Guise!C42 + Laselteh!C42 + Lasri!C42 + Metndria!C42 + 'New Misos'!C42 + Peka!C42 + Pelan!C42 + Phuris!C42 + 'Raledria'!C42 + Slyiaduun!C42 + Tomscilus!C42</f>
        <v>327203937.96070743</v>
      </c>
      <c r="Y42" s="5">
        <f t="shared" si="6"/>
        <v>1.423489661497199E-2</v>
      </c>
      <c r="Z42" s="5">
        <f t="shared" si="7"/>
        <v>8.1446736034124501E-2</v>
      </c>
      <c r="AG42" s="3">
        <f t="shared" si="8"/>
        <v>1975</v>
      </c>
      <c r="AH42" s="3">
        <v>1725</v>
      </c>
      <c r="AI42" s="4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757083142.36257374</v>
      </c>
      <c r="AJ42" s="5">
        <f t="shared" si="9"/>
        <v>8.5573587147868852E-3</v>
      </c>
      <c r="AK42" s="5">
        <f t="shared" si="10"/>
        <v>0.18845112695219082</v>
      </c>
      <c r="AR42" s="3">
        <f t="shared" si="11"/>
        <v>1975</v>
      </c>
      <c r="AS42" s="3">
        <v>1725</v>
      </c>
      <c r="AT42" s="4">
        <f>Amcha!C42 + Byllu!C42 + 'Chaenia'!C42 + 'Cruthi Anoso'!C42 + 'Dual Cenryia'!C42 + Exilium!C42 + Galca!C42 + Inania!C42 + Inrea!C42 + Isnti!C42 + Lieri!C42 + Ocaun!C42 + Otiiric!C42 + Ozinia!C42 + Pelugrotoa!C42 + 'Rtesania'!C42 + Sadain!C42 + Selaja!C42 + Seytinemas!C42 + Sivoso!C42 + Sunsokua!C42 + Taing!C42 + Taoisia!C42 + Trian!C42 + Vayvele!C42</f>
        <v>747537183.66912377</v>
      </c>
      <c r="AU42" s="5">
        <f t="shared" si="12"/>
        <v>2.2405071339622561E-2</v>
      </c>
      <c r="AV42" s="5">
        <f t="shared" si="13"/>
        <v>0.18607497224346772</v>
      </c>
      <c r="BC42" s="3">
        <f t="shared" si="14"/>
        <v>1975</v>
      </c>
      <c r="BD42" s="3">
        <v>1725</v>
      </c>
      <c r="BE42" s="4">
        <f>'Canldives'!C42 + 'Cloja'!C42 + Dahe!C42 + Eparia!C42 + Etretes!C42 + Haiza!C42 + Ihner!C42 + Kaastini!C42 + Kusierna!C42 + Migoku!C42 + 'North Ayre'!C42 + Oscairia!C42 + Oyreain!C42 + 'Pha Hii'!C42 + 'Pruim Fijan'!C42 + 'Prystr Hii'!C42 + 'Ruylku'!C42 + Sanagara!C42 + Shinam!C42 + Stinebar!C42 + Suenan!C42 + Taval!C42 + Ucrua!C42 + Vesozata!C42 + 'Welenu Fana'!C42 + 'Western Migoku'!C42</f>
        <v>922135452.47215378</v>
      </c>
      <c r="BF42" s="5">
        <f t="shared" si="15"/>
        <v>1.4099165615414674E-2</v>
      </c>
      <c r="BG42" s="5">
        <f t="shared" si="16"/>
        <v>0.22953551003480438</v>
      </c>
      <c r="BN42" s="3">
        <f t="shared" si="17"/>
        <v>1975</v>
      </c>
      <c r="BO42" s="3">
        <v>1725</v>
      </c>
      <c r="BP42" s="4">
        <f>Andsaudare!C42 + Aplasia!C42 + Astye!C42 + 'Crila Republic'!C42 + 'Elja and Munusia'!C42 + Hiwush!C42 + Iainoa!C42 + Isari!C42 + Isuibul!C42 + Maalle!C42 + Mendereide!C42 + Nia!C42 + 'Niretui and Anulan'!C42 + Ohtina!C42 + Prstreula!C42 + 'Rethern'!C42 + 'Rkmepuia'!C42 + Tvecoca!C42 + Umarcia!C42 + 'United Delet'!C42 + Veelmit!C42 + Walporein!C42 + Yutnitu!C42</f>
        <v>132862672.19189258</v>
      </c>
      <c r="BQ42" s="6">
        <f t="shared" si="18"/>
        <v>2.2585291059770012E-2</v>
      </c>
      <c r="BR42" s="5">
        <f t="shared" si="19"/>
        <v>3.3071823824140423E-2</v>
      </c>
      <c r="BY42" s="3">
        <f t="shared" si="20"/>
        <v>1975</v>
      </c>
      <c r="BZ42" s="3">
        <v>1725</v>
      </c>
      <c r="CA42" s="4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546075971.06305826</v>
      </c>
      <c r="CB42" s="6">
        <f t="shared" si="21"/>
        <v>2.3269371003216462E-2</v>
      </c>
      <c r="CC42" s="5">
        <f t="shared" si="22"/>
        <v>0.13592778175882489</v>
      </c>
    </row>
    <row r="43" spans="1:81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3950406214.0714283</v>
      </c>
      <c r="D43" s="5">
        <f t="shared" si="1"/>
        <v>1.7851089820900272E-2</v>
      </c>
      <c r="K43" s="3">
        <f t="shared" si="2"/>
        <v>1974</v>
      </c>
      <c r="L43" s="3">
        <v>1724</v>
      </c>
      <c r="M43" s="4">
        <f>'Areoix Lie'!C43 + Pelines!C43 + Terressin!C43 + Taniduna!C43 + Iquir!C43 + Deschon!C43 + Othya!C43 + Eldavpir!C43 + 'Candenat'!C43 + Jau!C43 + Viussi!C43 + Jathua!C43 + Jshain!C43 + Acetoa!C43 + Sattle!C43 + 'Reerica'!C43 + 'Feio Lie'!C43 + Umendel!C43 + 'Fire Coast'!C43 + Yoprioq!C43 + 'Rijan bu'!C43 + Saa!C43 + 'Rinew'!C43 + Enina!C43 + Trevilla!C43</f>
        <v>563044101.45070779</v>
      </c>
      <c r="N43" s="5">
        <f t="shared" si="3"/>
        <v>2.0518198196049092E-2</v>
      </c>
      <c r="O43" s="5">
        <f t="shared" si="4"/>
        <v>0.14252815304034636</v>
      </c>
      <c r="V43" s="3">
        <f t="shared" si="5"/>
        <v>1974</v>
      </c>
      <c r="W43" s="3">
        <v>1724</v>
      </c>
      <c r="X43" s="4">
        <f>Aetintio!C43 + Arbiya!C43 + 'Curata'!C43 + 'Disal Nila'!C43 + Etirha!C43 + Fincen!C43 + Gaeiya!C43 + Genaire!C43 + Grazail!C43 + Guise!C43 + Laselteh!C43 + Lasri!C43 + Metndria!C43 + 'New Misos'!C43 + Peka!C43 + Pelan!C43 + Phuris!C43 + 'Raledria'!C43 + Slyiaduun!C43 + Tomscilus!C43</f>
        <v>322611595.25545484</v>
      </c>
      <c r="Y43" s="5">
        <f t="shared" si="6"/>
        <v>2.1207166742685028E-2</v>
      </c>
      <c r="Z43" s="5">
        <f t="shared" si="7"/>
        <v>8.1665423192760711E-2</v>
      </c>
      <c r="AG43" s="3">
        <f t="shared" si="8"/>
        <v>1974</v>
      </c>
      <c r="AH43" s="3">
        <v>1724</v>
      </c>
      <c r="AI43" s="4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750659479.92024088</v>
      </c>
      <c r="AJ43" s="5">
        <f t="shared" si="9"/>
        <v>9.1575884171381169E-3</v>
      </c>
      <c r="AK43" s="5">
        <f t="shared" si="10"/>
        <v>0.19002083310986509</v>
      </c>
      <c r="AR43" s="3">
        <f t="shared" si="11"/>
        <v>1974</v>
      </c>
      <c r="AS43" s="3">
        <v>1724</v>
      </c>
      <c r="AT43" s="4">
        <f>Amcha!C43 + Byllu!C43 + 'Chaenia'!C43 + 'Cruthi Anoso'!C43 + 'Dual Cenryia'!C43 + Exilium!C43 + Galca!C43 + Inania!C43 + Inrea!C43 + Isnti!C43 + Lieri!C43 + Ocaun!C43 + Otiiric!C43 + Ozinia!C43 + Pelugrotoa!C43 + 'Rtesania'!C43 + Sadain!C43 + Selaja!C43 + Seytinemas!C43 + Sivoso!C43 + Sunsokua!C43 + Taing!C43 + Taoisia!C43 + Trian!C43 + Vayvele!C43</f>
        <v>731155590.50352836</v>
      </c>
      <c r="AU43" s="5">
        <f t="shared" si="12"/>
        <v>2.3249801609009958E-2</v>
      </c>
      <c r="AV43" s="5">
        <f t="shared" si="13"/>
        <v>0.18508364732192276</v>
      </c>
      <c r="BC43" s="3">
        <f t="shared" si="14"/>
        <v>1974</v>
      </c>
      <c r="BD43" s="3">
        <v>1724</v>
      </c>
      <c r="BE43" s="4">
        <f>'Canldives'!C43 + 'Cloja'!C43 + Dahe!C43 + Eparia!C43 + Etretes!C43 + Haiza!C43 + Ihner!C43 + Kaastini!C43 + Kusierna!C43 + Migoku!C43 + 'North Ayre'!C43 + Oscairia!C43 + Oyreain!C43 + 'Pha Hii'!C43 + 'Pruim Fijan'!C43 + 'Prystr Hii'!C43 + 'Ruylku'!C43 + Sanagara!C43 + Shinam!C43 + Stinebar!C43 + Suenan!C43 + Taval!C43 + Ucrua!C43 + Vesozata!C43 + 'Welenu Fana'!C43 + 'Western Migoku'!C43</f>
        <v>909314871.50228357</v>
      </c>
      <c r="BF43" s="5">
        <f t="shared" si="15"/>
        <v>1.412390791540909E-2</v>
      </c>
      <c r="BG43" s="5">
        <f t="shared" si="16"/>
        <v>0.23018262483065294</v>
      </c>
      <c r="BN43" s="3">
        <f t="shared" si="17"/>
        <v>1974</v>
      </c>
      <c r="BO43" s="3">
        <v>1724</v>
      </c>
      <c r="BP43" s="4">
        <f>Andsaudare!C43 + Aplasia!C43 + Astye!C43 + 'Crila Republic'!C43 + 'Elja and Munusia'!C43 + Hiwush!C43 + Iainoa!C43 + Isari!C43 + Isuibul!C43 + Maalle!C43 + Mendereide!C43 + Nia!C43 + 'Niretui and Anulan'!C43 + Ohtina!C43 + Prstreula!C43 + 'Rethern'!C43 + 'Rkmepuia'!C43 + Tvecoca!C43 + Umarcia!C43 + 'United Delet'!C43 + Veelmit!C43 + Walporein!C43 + Yutnitu!C43</f>
        <v>129928205.84598725</v>
      </c>
      <c r="BQ43" s="7">
        <f t="shared" si="18"/>
        <v>2.2529394728388597E-2</v>
      </c>
      <c r="BR43" s="5">
        <f t="shared" si="19"/>
        <v>3.288983431202095E-2</v>
      </c>
      <c r="BY43" s="3">
        <f t="shared" si="20"/>
        <v>1974</v>
      </c>
      <c r="BZ43" s="3">
        <v>1724</v>
      </c>
      <c r="CA43" s="4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533658083.13766265</v>
      </c>
      <c r="CB43" s="7">
        <f t="shared" si="21"/>
        <v>2.3394822875070137E-2</v>
      </c>
      <c r="CC43" s="5">
        <f t="shared" si="22"/>
        <v>0.13508941972518207</v>
      </c>
    </row>
    <row r="44" spans="1:81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3881123922.327908</v>
      </c>
      <c r="D44" s="5">
        <f t="shared" si="1"/>
        <v>1.7628738049633594E-2</v>
      </c>
      <c r="K44" s="3">
        <f t="shared" si="2"/>
        <v>1973</v>
      </c>
      <c r="L44" s="3">
        <v>1723</v>
      </c>
      <c r="M44" s="4">
        <f>'Areoix Lie'!C44 + Pelines!C44 + Terressin!C44 + Taniduna!C44 + Iquir!C44 + Deschon!C44 + Othya!C44 + Eldavpir!C44 + 'Candenat'!C44 + Jau!C44 + Viussi!C44 + Jathua!C44 + Jshain!C44 + Acetoa!C44 + Sattle!C44 + 'Reerica'!C44 + 'Feio Lie'!C44 + Umendel!C44 + 'Fire Coast'!C44 + Yoprioq!C44 + 'Rijan bu'!C44 + Saa!C44 + 'Rinew'!C44 + Enina!C44 + Trevilla!C44</f>
        <v>551723724.71749187</v>
      </c>
      <c r="N44" s="5">
        <f t="shared" si="3"/>
        <v>2.0901647794853088E-2</v>
      </c>
      <c r="O44" s="5">
        <f t="shared" si="4"/>
        <v>0.14215565793801466</v>
      </c>
      <c r="V44" s="3">
        <f t="shared" si="5"/>
        <v>1973</v>
      </c>
      <c r="W44" s="3">
        <v>1723</v>
      </c>
      <c r="X44" s="4">
        <f>Aetintio!C44 + Arbiya!C44 + 'Curata'!C44 + 'Disal Nila'!C44 + Etirha!C44 + Fincen!C44 + Gaeiya!C44 + Genaire!C44 + Grazail!C44 + Guise!C44 + Laselteh!C44 + Lasri!C44 + Metndria!C44 + 'New Misos'!C44 + Peka!C44 + Pelan!C44 + Phuris!C44 + 'Raledria'!C44 + Slyiaduun!C44 + Tomscilus!C44</f>
        <v>315911996.86198807</v>
      </c>
      <c r="Y44" s="5">
        <f t="shared" si="6"/>
        <v>1.586192903006527E-2</v>
      </c>
      <c r="Z44" s="5">
        <f t="shared" si="7"/>
        <v>8.1397039410301339E-2</v>
      </c>
      <c r="AG44" s="3">
        <f t="shared" si="8"/>
        <v>1973</v>
      </c>
      <c r="AH44" s="3">
        <v>1723</v>
      </c>
      <c r="AI44" s="4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743847629.48435926</v>
      </c>
      <c r="AJ44" s="5">
        <f t="shared" si="9"/>
        <v>9.6945555224348182E-3</v>
      </c>
      <c r="AK44" s="5">
        <f t="shared" si="10"/>
        <v>0.19165778892166824</v>
      </c>
      <c r="AR44" s="3">
        <f t="shared" si="11"/>
        <v>1973</v>
      </c>
      <c r="AS44" s="3">
        <v>1723</v>
      </c>
      <c r="AT44" s="4">
        <f>Amcha!C44 + Byllu!C44 + 'Chaenia'!C44 + 'Cruthi Anoso'!C44 + 'Dual Cenryia'!C44 + Exilium!C44 + Galca!C44 + Inania!C44 + Inrea!C44 + Isnti!C44 + Lieri!C44 + Ocaun!C44 + Otiiric!C44 + Ozinia!C44 + Pelugrotoa!C44 + 'Rtesania'!C44 + Sadain!C44 + Selaja!C44 + Seytinemas!C44 + Sivoso!C44 + Sunsokua!C44 + Taing!C44 + Taoisia!C44 + Trian!C44 + Vayvele!C44</f>
        <v>714542616.43034005</v>
      </c>
      <c r="AU44" s="5">
        <f t="shared" si="12"/>
        <v>2.375314034814845E-2</v>
      </c>
      <c r="AV44" s="5">
        <f t="shared" si="13"/>
        <v>0.18410713770812956</v>
      </c>
      <c r="BC44" s="3">
        <f t="shared" si="14"/>
        <v>1973</v>
      </c>
      <c r="BD44" s="3">
        <v>1723</v>
      </c>
      <c r="BE44" s="4">
        <f>'Canldives'!C44 + 'Cloja'!C44 + Dahe!C44 + Eparia!C44 + Etretes!C44 + Haiza!C44 + Ihner!C44 + Kaastini!C44 + Kusierna!C44 + Migoku!C44 + 'North Ayre'!C44 + Oscairia!C44 + Oyreain!C44 + 'Pha Hii'!C44 + 'Pruim Fijan'!C44 + 'Prystr Hii'!C44 + 'Ruylku'!C44 + Sanagara!C44 + Shinam!C44 + Stinebar!C44 + Suenan!C44 + Taval!C44 + Ucrua!C44 + Vesozata!C44 + 'Welenu Fana'!C44 + 'Western Migoku'!C44</f>
        <v>896650660.14608943</v>
      </c>
      <c r="BF44" s="5">
        <f t="shared" si="15"/>
        <v>1.4118749866427862E-2</v>
      </c>
      <c r="BG44" s="5">
        <f t="shared" si="16"/>
        <v>0.23102860874596245</v>
      </c>
      <c r="BN44" s="3">
        <f t="shared" si="17"/>
        <v>1973</v>
      </c>
      <c r="BO44" s="3">
        <v>1723</v>
      </c>
      <c r="BP44" s="4">
        <f>Andsaudare!C44 + Aplasia!C44 + Astye!C44 + 'Crila Republic'!C44 + 'Elja and Munusia'!C44 + Hiwush!C44 + Iainoa!C44 + Isari!C44 + Isuibul!C44 + Maalle!C44 + Mendereide!C44 + Nia!C44 + 'Niretui and Anulan'!C44 + Ohtina!C44 + Prstreula!C44 + 'Rethern'!C44 + 'Rkmepuia'!C44 + Tvecoca!C44 + Umarcia!C44 + 'United Delet'!C44 + Veelmit!C44 + Walporein!C44 + Yutnitu!C44</f>
        <v>127065497.10534208</v>
      </c>
      <c r="BQ44" s="6">
        <f t="shared" si="18"/>
        <v>2.2370222768209529E-2</v>
      </c>
      <c r="BR44" s="5">
        <f t="shared" si="19"/>
        <v>3.2739355827919009E-2</v>
      </c>
      <c r="BY44" s="3">
        <f t="shared" si="20"/>
        <v>1973</v>
      </c>
      <c r="BZ44" s="3">
        <v>1723</v>
      </c>
      <c r="CA44" s="4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521458650.37545574</v>
      </c>
      <c r="CB44" s="6">
        <f t="shared" si="21"/>
        <v>2.3389493838920916E-2</v>
      </c>
      <c r="CC44" s="5">
        <f t="shared" si="22"/>
        <v>0.13435763990310404</v>
      </c>
    </row>
    <row r="45" spans="1:81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3813889857.0871639</v>
      </c>
      <c r="D45" s="5">
        <f t="shared" si="1"/>
        <v>1.7624164741996681E-2</v>
      </c>
      <c r="K45" s="3">
        <f t="shared" si="2"/>
        <v>1972</v>
      </c>
      <c r="L45" s="3">
        <v>1722</v>
      </c>
      <c r="M45" s="4">
        <f>'Areoix Lie'!C45 + Pelines!C45 + Terressin!C45 + Taniduna!C45 + Iquir!C45 + Deschon!C45 + Othya!C45 + Eldavpir!C45 + 'Candenat'!C45 + Jau!C45 + Viussi!C45 + Jathua!C45 + Jshain!C45 + Acetoa!C45 + Sattle!C45 + 'Reerica'!C45 + 'Feio Lie'!C45 + Umendel!C45 + 'Fire Coast'!C45 + Yoprioq!C45 + 'Rijan bu'!C45 + Saa!C45 + 'Rinew'!C45 + Enina!C45 + Trevilla!C45</f>
        <v>540427891.27553546</v>
      </c>
      <c r="N45" s="5">
        <f t="shared" si="3"/>
        <v>2.1082475958206434E-2</v>
      </c>
      <c r="O45" s="5">
        <f t="shared" si="4"/>
        <v>0.14169992095374356</v>
      </c>
      <c r="V45" s="3">
        <f t="shared" si="5"/>
        <v>1972</v>
      </c>
      <c r="W45" s="3">
        <v>1722</v>
      </c>
      <c r="X45" s="4">
        <f>Aetintio!C45 + Arbiya!C45 + 'Curata'!C45 + 'Disal Nila'!C45 + Etirha!C45 + Fincen!C45 + Gaeiya!C45 + Genaire!C45 + Grazail!C45 + Guise!C45 + Laselteh!C45 + Lasri!C45 + Metndria!C45 + 'New Misos'!C45 + Peka!C45 + Pelan!C45 + Phuris!C45 + 'Raledria'!C45 + Slyiaduun!C45 + Tomscilus!C45</f>
        <v>310979265.81776488</v>
      </c>
      <c r="Y45" s="5">
        <f t="shared" si="6"/>
        <v>1.7619868206933047E-2</v>
      </c>
      <c r="Z45" s="5">
        <f t="shared" si="7"/>
        <v>8.1538606900219579E-2</v>
      </c>
      <c r="AG45" s="3">
        <f t="shared" si="8"/>
        <v>1972</v>
      </c>
      <c r="AH45" s="3">
        <v>1722</v>
      </c>
      <c r="AI45" s="4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736705596.17851818</v>
      </c>
      <c r="AJ45" s="5">
        <f t="shared" si="9"/>
        <v>9.9302550198780946E-3</v>
      </c>
      <c r="AK45" s="5">
        <f t="shared" si="10"/>
        <v>0.19316383634140205</v>
      </c>
      <c r="AR45" s="3">
        <f t="shared" si="11"/>
        <v>1972</v>
      </c>
      <c r="AS45" s="3">
        <v>1722</v>
      </c>
      <c r="AT45" s="4">
        <f>Amcha!C45 + Byllu!C45 + 'Chaenia'!C45 + 'Cruthi Anoso'!C45 + 'Dual Cenryia'!C45 + Exilium!C45 + Galca!C45 + Inania!C45 + Inrea!C45 + Isnti!C45 + Lieri!C45 + Ocaun!C45 + Otiiric!C45 + Ozinia!C45 + Pelugrotoa!C45 + 'Rtesania'!C45 + Sadain!C45 + Selaja!C45 + Seytinemas!C45 + Sivoso!C45 + Sunsokua!C45 + Taing!C45 + Taoisia!C45 + Trian!C45 + Vayvele!C45</f>
        <v>697963784.69456518</v>
      </c>
      <c r="AU45" s="5">
        <f t="shared" si="12"/>
        <v>2.4023542297480004E-2</v>
      </c>
      <c r="AV45" s="5">
        <f t="shared" si="13"/>
        <v>0.18300575287919588</v>
      </c>
      <c r="BC45" s="3">
        <f t="shared" si="14"/>
        <v>1972</v>
      </c>
      <c r="BD45" s="3">
        <v>1722</v>
      </c>
      <c r="BE45" s="4">
        <f>'Canldives'!C45 + 'Cloja'!C45 + Dahe!C45 + Eparia!C45 + Etretes!C45 + Haiza!C45 + Ihner!C45 + Kaastini!C45 + Kusierna!C45 + Migoku!C45 + 'North Ayre'!C45 + Oscairia!C45 + Oyreain!C45 + 'Pha Hii'!C45 + 'Pruim Fijan'!C45 + 'Prystr Hii'!C45 + 'Ruylku'!C45 + Sanagara!C45 + Shinam!C45 + Stinebar!C45 + Suenan!C45 + Taval!C45 + Ucrua!C45 + Vesozata!C45 + 'Welenu Fana'!C45 + 'Western Migoku'!C45</f>
        <v>884167322.87435722</v>
      </c>
      <c r="BF45" s="5">
        <f t="shared" si="15"/>
        <v>1.3865080122714962E-2</v>
      </c>
      <c r="BG45" s="5">
        <f t="shared" si="16"/>
        <v>0.23182822682499668</v>
      </c>
      <c r="BN45" s="3">
        <f t="shared" si="17"/>
        <v>1972</v>
      </c>
      <c r="BO45" s="3">
        <v>1722</v>
      </c>
      <c r="BP45" s="4">
        <f>Andsaudare!C45 + Aplasia!C45 + Astye!C45 + 'Crila Republic'!C45 + 'Elja and Munusia'!C45 + Hiwush!C45 + Iainoa!C45 + Isari!C45 + Isuibul!C45 + Maalle!C45 + Mendereide!C45 + Nia!C45 + 'Niretui and Anulan'!C45 + Ohtina!C45 + Prstreula!C45 + 'Rethern'!C45 + 'Rkmepuia'!C45 + Tvecoca!C45 + Umarcia!C45 + 'United Delet'!C45 + Veelmit!C45 + Walporein!C45 + Yutnitu!C45</f>
        <v>124285209.28680275</v>
      </c>
      <c r="BQ45" s="7">
        <f t="shared" si="18"/>
        <v>2.2146286075038185E-2</v>
      </c>
      <c r="BR45" s="5">
        <f t="shared" si="19"/>
        <v>3.2587519289748144E-2</v>
      </c>
      <c r="BY45" s="3">
        <f t="shared" si="20"/>
        <v>1972</v>
      </c>
      <c r="BZ45" s="3">
        <v>1722</v>
      </c>
      <c r="CA45" s="4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509540750.1393913</v>
      </c>
      <c r="CB45" s="7">
        <f t="shared" si="21"/>
        <v>2.2000934276987693E-2</v>
      </c>
      <c r="CC45" s="5">
        <f t="shared" si="22"/>
        <v>0.13360132810142294</v>
      </c>
    </row>
    <row r="46" spans="1:81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3747837354.1317372</v>
      </c>
      <c r="D46" s="5">
        <f t="shared" si="1"/>
        <v>1.8370459995812747E-2</v>
      </c>
      <c r="K46" s="3">
        <f t="shared" si="2"/>
        <v>1971</v>
      </c>
      <c r="L46" s="3">
        <v>1721</v>
      </c>
      <c r="M46" s="4">
        <f>'Areoix Lie'!C46 + Pelines!C46 + Terressin!C46 + Taniduna!C46 + Iquir!C46 + Deschon!C46 + Othya!C46 + Eldavpir!C46 + 'Candenat'!C46 + Jau!C46 + Viussi!C46 + Jathua!C46 + Jshain!C46 + Acetoa!C46 + Sattle!C46 + 'Reerica'!C46 + 'Feio Lie'!C46 + Umendel!C46 + 'Fire Coast'!C46 + Yoprioq!C46 + 'Rijan bu'!C46 + Saa!C46 + 'Rinew'!C46 + Enina!C46 + Trevilla!C46</f>
        <v>529269578.11942267</v>
      </c>
      <c r="N46" s="5">
        <f t="shared" si="3"/>
        <v>2.115237310591795E-2</v>
      </c>
      <c r="O46" s="5">
        <f t="shared" si="4"/>
        <v>0.14121999652304515</v>
      </c>
      <c r="V46" s="3">
        <f t="shared" si="5"/>
        <v>1971</v>
      </c>
      <c r="W46" s="3">
        <v>1721</v>
      </c>
      <c r="X46" s="4">
        <f>Aetintio!C46 + Arbiya!C46 + 'Curata'!C46 + 'Disal Nila'!C46 + Etirha!C46 + Fincen!C46 + Gaeiya!C46 + Genaire!C46 + Grazail!C46 + Guise!C46 + Laselteh!C46 + Lasri!C46 + Metndria!C46 + 'New Misos'!C46 + Peka!C46 + Pelan!C46 + Phuris!C46 + 'Raledria'!C46 + Slyiaduun!C46 + Tomscilus!C46</f>
        <v>305594727.00323421</v>
      </c>
      <c r="Y46" s="5">
        <f t="shared" si="6"/>
        <v>2.5984590894568393E-2</v>
      </c>
      <c r="Z46" s="5">
        <f t="shared" si="7"/>
        <v>8.1538951167754573E-2</v>
      </c>
      <c r="AG46" s="3">
        <f t="shared" si="8"/>
        <v>1971</v>
      </c>
      <c r="AH46" s="3">
        <v>1721</v>
      </c>
      <c r="AI46" s="4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729461853.94160497</v>
      </c>
      <c r="AJ46" s="5">
        <f t="shared" si="9"/>
        <v>1.0097236875846483E-2</v>
      </c>
      <c r="AK46" s="5">
        <f t="shared" si="10"/>
        <v>0.19463540837422483</v>
      </c>
      <c r="AR46" s="3">
        <f t="shared" si="11"/>
        <v>1971</v>
      </c>
      <c r="AS46" s="3">
        <v>1721</v>
      </c>
      <c r="AT46" s="4">
        <f>Amcha!C46 + Byllu!C46 + 'Chaenia'!C46 + 'Cruthi Anoso'!C46 + 'Dual Cenryia'!C46 + Exilium!C46 + Galca!C46 + Inania!C46 + Inrea!C46 + Isnti!C46 + Lieri!C46 + Ocaun!C46 + Otiiric!C46 + Ozinia!C46 + Pelugrotoa!C46 + 'Rtesania'!C46 + Sadain!C46 + Selaja!C46 + Seytinemas!C46 + Sivoso!C46 + Sunsokua!C46 + Taing!C46 + Taoisia!C46 + Trian!C46 + Vayvele!C46</f>
        <v>681589588.38839459</v>
      </c>
      <c r="AU46" s="5">
        <f t="shared" si="12"/>
        <v>2.4211523545779923E-2</v>
      </c>
      <c r="AV46" s="5">
        <f t="shared" si="13"/>
        <v>0.18186210445791842</v>
      </c>
      <c r="BC46" s="3">
        <f t="shared" si="14"/>
        <v>1971</v>
      </c>
      <c r="BD46" s="3">
        <v>1721</v>
      </c>
      <c r="BE46" s="4">
        <f>'Canldives'!C46 + 'Cloja'!C46 + Dahe!C46 + Eparia!C46 + Etretes!C46 + Haiza!C46 + Ihner!C46 + Kaastini!C46 + Kusierna!C46 + Migoku!C46 + 'North Ayre'!C46 + Oscairia!C46 + Oyreain!C46 + 'Pha Hii'!C46 + 'Pruim Fijan'!C46 + 'Prystr Hii'!C46 + 'Ruylku'!C46 + Sanagara!C46 + Shinam!C46 + Stinebar!C46 + Suenan!C46 + Taval!C46 + Ucrua!C46 + Vesozata!C46 + 'Welenu Fana'!C46 + 'Western Migoku'!C46</f>
        <v>872075920.36540055</v>
      </c>
      <c r="BF46" s="5">
        <f t="shared" si="15"/>
        <v>1.38311592267981E-2</v>
      </c>
      <c r="BG46" s="5">
        <f t="shared" si="16"/>
        <v>0.23268777109657543</v>
      </c>
      <c r="BN46" s="3">
        <f t="shared" si="17"/>
        <v>1971</v>
      </c>
      <c r="BO46" s="3">
        <v>1721</v>
      </c>
      <c r="BP46" s="4">
        <f>Andsaudare!C46 + Aplasia!C46 + Astye!C46 + 'Crila Republic'!C46 + 'Elja and Munusia'!C46 + Hiwush!C46 + Iainoa!C46 + Isari!C46 + Isuibul!C46 + Maalle!C46 + Mendereide!C46 + Nia!C46 + 'Niretui and Anulan'!C46 + Ohtina!C46 + Prstreula!C46 + 'Rethern'!C46 + 'Rkmepuia'!C46 + Tvecoca!C46 + Umarcia!C46 + 'United Delet'!C46 + Veelmit!C46 + Walporein!C46 + Yutnitu!C46</f>
        <v>121592389.44559319</v>
      </c>
      <c r="BQ46" s="6">
        <f t="shared" si="18"/>
        <v>2.1891657532840371E-2</v>
      </c>
      <c r="BR46" s="5">
        <f t="shared" si="19"/>
        <v>3.2443347444505777E-2</v>
      </c>
      <c r="BY46" s="3">
        <f t="shared" si="20"/>
        <v>1971</v>
      </c>
      <c r="BZ46" s="3">
        <v>1721</v>
      </c>
      <c r="CA46" s="4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498571706.78602636</v>
      </c>
      <c r="CB46" s="6">
        <f t="shared" si="21"/>
        <v>2.2094940324925469E-2</v>
      </c>
      <c r="CC46" s="5">
        <f t="shared" si="22"/>
        <v>0.13302917380776536</v>
      </c>
    </row>
    <row r="47" spans="1:81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3680229839.0972056</v>
      </c>
      <c r="D47" s="5">
        <f t="shared" si="1"/>
        <v>1.7890029856534644E-2</v>
      </c>
      <c r="K47" s="3">
        <f t="shared" si="2"/>
        <v>1970</v>
      </c>
      <c r="L47" s="3">
        <v>1720</v>
      </c>
      <c r="M47" s="4">
        <f>'Areoix Lie'!C47 + Pelines!C47 + Terressin!C47 + Taniduna!C47 + Iquir!C47 + Deschon!C47 + Othya!C47 + Eldavpir!C47 + 'Candenat'!C47 + Jau!C47 + Viussi!C47 + Jathua!C47 + Jshain!C47 + Acetoa!C47 + Sattle!C47 + 'Reerica'!C47 + 'Feio Lie'!C47 + Umendel!C47 + 'Fire Coast'!C47 + Yoprioq!C47 + 'Rijan bu'!C47 + Saa!C47 + 'Rinew'!C47 + Enina!C47 + Trevilla!C47</f>
        <v>518306172.57403636</v>
      </c>
      <c r="N47" s="5">
        <f t="shared" si="3"/>
        <v>2.1317174554207809E-2</v>
      </c>
      <c r="O47" s="5">
        <f t="shared" si="4"/>
        <v>0.14083527258753537</v>
      </c>
      <c r="V47" s="3">
        <f t="shared" si="5"/>
        <v>1970</v>
      </c>
      <c r="W47" s="3">
        <v>1720</v>
      </c>
      <c r="X47" s="4">
        <f>Aetintio!C47 + Arbiya!C47 + 'Curata'!C47 + 'Disal Nila'!C47 + Etirha!C47 + Fincen!C47 + Gaeiya!C47 + Genaire!C47 + Grazail!C47 + Guise!C47 + Laselteh!C47 + Lasri!C47 + Metndria!C47 + 'New Misos'!C47 + Peka!C47 + Pelan!C47 + Phuris!C47 + 'Raledria'!C47 + Slyiaduun!C47 + Tomscilus!C47</f>
        <v>297855084.48697311</v>
      </c>
      <c r="Y47" s="5">
        <f t="shared" si="6"/>
        <v>1.8798905150355791E-2</v>
      </c>
      <c r="Z47" s="5">
        <f t="shared" si="7"/>
        <v>8.0933826828609085E-2</v>
      </c>
      <c r="AG47" s="3">
        <f t="shared" si="8"/>
        <v>1970</v>
      </c>
      <c r="AH47" s="3">
        <v>1720</v>
      </c>
      <c r="AI47" s="4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722169933.06285512</v>
      </c>
      <c r="AJ47" s="5">
        <f t="shared" si="9"/>
        <v>1.0957732047854359E-2</v>
      </c>
      <c r="AK47" s="5">
        <f t="shared" si="10"/>
        <v>0.19622957386813919</v>
      </c>
      <c r="AR47" s="3">
        <f t="shared" si="11"/>
        <v>1970</v>
      </c>
      <c r="AS47" s="3">
        <v>1720</v>
      </c>
      <c r="AT47" s="4">
        <f>Amcha!C47 + Byllu!C47 + 'Chaenia'!C47 + 'Cruthi Anoso'!C47 + 'Dual Cenryia'!C47 + Exilium!C47 + Galca!C47 + Inania!C47 + Inrea!C47 + Isnti!C47 + Lieri!C47 + Ocaun!C47 + Otiiric!C47 + Ozinia!C47 + Pelugrotoa!C47 + 'Rtesania'!C47 + Sadain!C47 + Selaja!C47 + Seytinemas!C47 + Sivoso!C47 + Sunsokua!C47 + Taing!C47 + Taoisia!C47 + Trian!C47 + Vayvele!C47</f>
        <v>665477367.43749797</v>
      </c>
      <c r="AU47" s="5">
        <f t="shared" si="12"/>
        <v>2.3169311005195932E-2</v>
      </c>
      <c r="AV47" s="5">
        <f t="shared" si="13"/>
        <v>0.1808249474985904</v>
      </c>
      <c r="BC47" s="3">
        <f t="shared" si="14"/>
        <v>1970</v>
      </c>
      <c r="BD47" s="3">
        <v>1720</v>
      </c>
      <c r="BE47" s="4">
        <f>'Canldives'!C47 + 'Cloja'!C47 + Dahe!C47 + Eparia!C47 + Etretes!C47 + Haiza!C47 + Ihner!C47 + Kaastini!C47 + Kusierna!C47 + Migoku!C47 + 'North Ayre'!C47 + Oscairia!C47 + Oyreain!C47 + 'Pha Hii'!C47 + 'Pruim Fijan'!C47 + 'Prystr Hii'!C47 + 'Ruylku'!C47 + Sanagara!C47 + Shinam!C47 + Stinebar!C47 + Suenan!C47 + Taval!C47 + Ucrua!C47 + Vesozata!C47 + 'Welenu Fana'!C47 + 'Western Migoku'!C47</f>
        <v>860178652.4597373</v>
      </c>
      <c r="BF47" s="5">
        <f t="shared" si="15"/>
        <v>1.384681680489787E-2</v>
      </c>
      <c r="BG47" s="5">
        <f t="shared" si="16"/>
        <v>0.23372960115739594</v>
      </c>
      <c r="BN47" s="3">
        <f t="shared" si="17"/>
        <v>1970</v>
      </c>
      <c r="BO47" s="3">
        <v>1720</v>
      </c>
      <c r="BP47" s="4">
        <f>Andsaudare!C47 + Aplasia!C47 + Astye!C47 + 'Crila Republic'!C47 + 'Elja and Munusia'!C47 + Hiwush!C47 + Iainoa!C47 + Isari!C47 + Isuibul!C47 + Maalle!C47 + Mendereide!C47 + Nia!C47 + 'Niretui and Anulan'!C47 + Ohtina!C47 + Prstreula!C47 + 'Rethern'!C47 + 'Rkmepuia'!C47 + Tvecoca!C47 + Umarcia!C47 + 'United Delet'!C47 + Veelmit!C47 + Walporein!C47 + Yutnitu!C47</f>
        <v>118987554.64855686</v>
      </c>
      <c r="BQ47" s="7">
        <f t="shared" si="18"/>
        <v>2.1783375560344008E-2</v>
      </c>
      <c r="BR47" s="5">
        <f t="shared" si="19"/>
        <v>3.2331555324203773E-2</v>
      </c>
      <c r="BY47" s="3">
        <f t="shared" si="20"/>
        <v>1970</v>
      </c>
      <c r="BZ47" s="3">
        <v>1720</v>
      </c>
      <c r="CA47" s="4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487793929.03317738</v>
      </c>
      <c r="CB47" s="7">
        <f t="shared" si="21"/>
        <v>2.2783836440059501E-2</v>
      </c>
      <c r="CC47" s="5">
        <f t="shared" si="22"/>
        <v>0.1325444198759167</v>
      </c>
    </row>
    <row r="48" spans="1:81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3615547584.8564029</v>
      </c>
      <c r="D48" s="5">
        <f t="shared" si="1"/>
        <v>1.8095664338655098E-2</v>
      </c>
      <c r="K48" s="3">
        <f t="shared" si="2"/>
        <v>1969</v>
      </c>
      <c r="L48" s="3">
        <v>1719</v>
      </c>
      <c r="M48" s="4">
        <f>'Areoix Lie'!C48 + Pelines!C48 + Terressin!C48 + Taniduna!C48 + Iquir!C48 + Deschon!C48 + Othya!C48 + Eldavpir!C48 + 'Candenat'!C48 + Jau!C48 + Viussi!C48 + Jathua!C48 + Jshain!C48 + Acetoa!C48 + Sattle!C48 + 'Reerica'!C48 + 'Feio Lie'!C48 + Umendel!C48 + 'Fire Coast'!C48 + Yoprioq!C48 + 'Rijan bu'!C48 + Saa!C48 + 'Rinew'!C48 + Enina!C48 + Trevilla!C48</f>
        <v>507487963.08088183</v>
      </c>
      <c r="N48" s="5">
        <f t="shared" si="3"/>
        <v>2.1636601958953918E-2</v>
      </c>
      <c r="O48" s="5">
        <f t="shared" si="4"/>
        <v>0.14036268398360396</v>
      </c>
      <c r="V48" s="3">
        <f t="shared" si="5"/>
        <v>1969</v>
      </c>
      <c r="W48" s="3">
        <v>1719</v>
      </c>
      <c r="X48" s="4">
        <f>Aetintio!C48 + Arbiya!C48 + 'Curata'!C48 + 'Disal Nila'!C48 + Etirha!C48 + Fincen!C48 + Gaeiya!C48 + Genaire!C48 + Grazail!C48 + Guise!C48 + Laselteh!C48 + Lasri!C48 + Metndria!C48 + 'New Misos'!C48 + Peka!C48 + Pelan!C48 + Phuris!C48 + 'Raledria'!C48 + Slyiaduun!C48 + Tomscilus!C48</f>
        <v>292359054.35431856</v>
      </c>
      <c r="Y48" s="5">
        <f t="shared" si="6"/>
        <v>1.9767406129756516E-2</v>
      </c>
      <c r="Z48" s="5">
        <f t="shared" si="7"/>
        <v>8.0861625381132979E-2</v>
      </c>
      <c r="AG48" s="3">
        <f t="shared" si="8"/>
        <v>1969</v>
      </c>
      <c r="AH48" s="3">
        <v>1719</v>
      </c>
      <c r="AI48" s="4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714342360.88187981</v>
      </c>
      <c r="AJ48" s="5">
        <f t="shared" si="9"/>
        <v>1.0835384134571314E-2</v>
      </c>
      <c r="AK48" s="5">
        <f t="shared" si="10"/>
        <v>0.19757515123680802</v>
      </c>
      <c r="AR48" s="3">
        <f t="shared" si="11"/>
        <v>1969</v>
      </c>
      <c r="AS48" s="3">
        <v>1719</v>
      </c>
      <c r="AT48" s="4">
        <f>Amcha!C48 + Byllu!C48 + 'Chaenia'!C48 + 'Cruthi Anoso'!C48 + 'Dual Cenryia'!C48 + Exilium!C48 + Galca!C48 + Inania!C48 + Inrea!C48 + Isnti!C48 + Lieri!C48 + Ocaun!C48 + Otiiric!C48 + Ozinia!C48 + Pelugrotoa!C48 + 'Rtesania'!C48 + Sadain!C48 + Selaja!C48 + Seytinemas!C48 + Sivoso!C48 + Sunsokua!C48 + Taing!C48 + Taoisia!C48 + Trian!C48 + Vayvele!C48</f>
        <v>650407865.32554483</v>
      </c>
      <c r="AU48" s="5">
        <f t="shared" si="12"/>
        <v>2.3983153586073547E-2</v>
      </c>
      <c r="AV48" s="5">
        <f t="shared" si="13"/>
        <v>0.17989193892780056</v>
      </c>
      <c r="BC48" s="3">
        <f t="shared" si="14"/>
        <v>1969</v>
      </c>
      <c r="BD48" s="3">
        <v>1719</v>
      </c>
      <c r="BE48" s="4">
        <f>'Canldives'!C48 + 'Cloja'!C48 + Dahe!C48 + Eparia!C48 + Etretes!C48 + Haiza!C48 + Ihner!C48 + Kaastini!C48 + Kusierna!C48 + Migoku!C48 + 'North Ayre'!C48 + Oscairia!C48 + Oyreain!C48 + 'Pha Hii'!C48 + 'Pruim Fijan'!C48 + 'Prystr Hii'!C48 + 'Ruylku'!C48 + Sanagara!C48 + Shinam!C48 + Stinebar!C48 + Suenan!C48 + Taval!C48 + Ucrua!C48 + Vesozata!C48 + 'Welenu Fana'!C48 + 'Western Migoku'!C48</f>
        <v>848430589.51505089</v>
      </c>
      <c r="BF48" s="5">
        <f t="shared" si="15"/>
        <v>1.3702146730137648E-2</v>
      </c>
      <c r="BG48" s="5">
        <f t="shared" si="16"/>
        <v>0.23466171295011393</v>
      </c>
      <c r="BN48" s="3">
        <f t="shared" si="17"/>
        <v>1969</v>
      </c>
      <c r="BO48" s="3">
        <v>1719</v>
      </c>
      <c r="BP48" s="4">
        <f>Andsaudare!C48 + Aplasia!C48 + Astye!C48 + 'Crila Republic'!C48 + 'Elja and Munusia'!C48 + Hiwush!C48 + Iainoa!C48 + Isari!C48 + Isuibul!C48 + Maalle!C48 + Mendereide!C48 + Nia!C48 + 'Niretui and Anulan'!C48 + Ohtina!C48 + Prstreula!C48 + 'Rethern'!C48 + 'Rkmepuia'!C48 + Tvecoca!C48 + Umarcia!C48 + 'United Delet'!C48 + Veelmit!C48 + Walporein!C48 + Yutnitu!C48</f>
        <v>116450861.79181993</v>
      </c>
      <c r="BQ48" s="6">
        <f t="shared" si="18"/>
        <v>2.1641366735196496E-2</v>
      </c>
      <c r="BR48" s="5">
        <f t="shared" si="19"/>
        <v>3.2208360990620168E-2</v>
      </c>
      <c r="BY48" s="3">
        <f t="shared" si="20"/>
        <v>1969</v>
      </c>
      <c r="BZ48" s="3">
        <v>1719</v>
      </c>
      <c r="CA48" s="4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476927686.62732446</v>
      </c>
      <c r="CB48" s="6">
        <f t="shared" si="21"/>
        <v>2.2771623115125379E-2</v>
      </c>
      <c r="CC48" s="5">
        <f t="shared" si="22"/>
        <v>0.13191022256902929</v>
      </c>
    </row>
    <row r="49" spans="1:81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3551284728.4395685</v>
      </c>
      <c r="D49" s="5">
        <f t="shared" si="1"/>
        <v>1.8303750570720201E-2</v>
      </c>
      <c r="K49" s="3">
        <f t="shared" si="2"/>
        <v>1968</v>
      </c>
      <c r="L49" s="3">
        <v>1718</v>
      </c>
      <c r="M49" s="4">
        <f>'Areoix Lie'!C49 + Pelines!C49 + Terressin!C49 + Taniduna!C49 + Iquir!C49 + Deschon!C49 + Othya!C49 + Eldavpir!C49 + 'Candenat'!C49 + Jau!C49 + Viussi!C49 + Jathua!C49 + Jshain!C49 + Acetoa!C49 + Sattle!C49 + 'Reerica'!C49 + 'Feio Lie'!C49 + Umendel!C49 + 'Fire Coast'!C49 + Yoprioq!C49 + 'Rijan bu'!C49 + Saa!C49 + 'Rinew'!C49 + Enina!C49 + Trevilla!C49</f>
        <v>496740193.2426762</v>
      </c>
      <c r="N49" s="5">
        <f t="shared" si="3"/>
        <v>2.2181379047255936E-2</v>
      </c>
      <c r="O49" s="5">
        <f t="shared" si="4"/>
        <v>0.13987619445567334</v>
      </c>
      <c r="V49" s="3">
        <f t="shared" si="5"/>
        <v>1968</v>
      </c>
      <c r="W49" s="3">
        <v>1718</v>
      </c>
      <c r="X49" s="4">
        <f>Aetintio!C49 + Arbiya!C49 + 'Curata'!C49 + 'Disal Nila'!C49 + Etirha!C49 + Fincen!C49 + Gaeiya!C49 + Genaire!C49 + Grazail!C49 + Guise!C49 + Laselteh!C49 + Lasri!C49 + Metndria!C49 + 'New Misos'!C49 + Peka!C49 + Pelan!C49 + Phuris!C49 + 'Raledria'!C49 + Slyiaduun!C49 + Tomscilus!C49</f>
        <v>286691899.14971495</v>
      </c>
      <c r="Y49" s="5">
        <f t="shared" si="6"/>
        <v>1.8306022088764112E-2</v>
      </c>
      <c r="Z49" s="5">
        <f t="shared" si="7"/>
        <v>8.0729065978240255E-2</v>
      </c>
      <c r="AG49" s="3">
        <f t="shared" si="8"/>
        <v>1968</v>
      </c>
      <c r="AH49" s="3">
        <v>1718</v>
      </c>
      <c r="AI49" s="4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706685155.75705278</v>
      </c>
      <c r="AJ49" s="5">
        <f t="shared" si="9"/>
        <v>1.1798374456028835E-2</v>
      </c>
      <c r="AK49" s="5">
        <f t="shared" si="10"/>
        <v>0.19899422597623415</v>
      </c>
      <c r="AR49" s="3">
        <f t="shared" si="11"/>
        <v>1968</v>
      </c>
      <c r="AS49" s="3">
        <v>1718</v>
      </c>
      <c r="AT49" s="4">
        <f>Amcha!C49 + Byllu!C49 + 'Chaenia'!C49 + 'Cruthi Anoso'!C49 + 'Dual Cenryia'!C49 + Exilium!C49 + Galca!C49 + Inania!C49 + Inrea!C49 + Isnti!C49 + Lieri!C49 + Ocaun!C49 + Otiiric!C49 + Ozinia!C49 + Pelugrotoa!C49 + 'Rtesania'!C49 + Sadain!C49 + Selaja!C49 + Seytinemas!C49 + Sivoso!C49 + Sunsokua!C49 + Taing!C49 + Taoisia!C49 + Trian!C49 + Vayvele!C49</f>
        <v>635174380.60163665</v>
      </c>
      <c r="AU49" s="5">
        <f t="shared" si="12"/>
        <v>2.4256026660643328E-2</v>
      </c>
      <c r="AV49" s="5">
        <f t="shared" si="13"/>
        <v>0.17885763298983118</v>
      </c>
      <c r="BC49" s="3">
        <f t="shared" si="14"/>
        <v>1968</v>
      </c>
      <c r="BD49" s="3">
        <v>1718</v>
      </c>
      <c r="BE49" s="4">
        <f>'Canldives'!C49 + 'Cloja'!C49 + Dahe!C49 + Eparia!C49 + Etretes!C49 + Haiza!C49 + Ihner!C49 + Kaastini!C49 + Kusierna!C49 + Migoku!C49 + 'North Ayre'!C49 + Oscairia!C49 + Oyreain!C49 + 'Pha Hii'!C49 + 'Pruim Fijan'!C49 + 'Prystr Hii'!C49 + 'Ruylku'!C49 + Sanagara!C49 + Shinam!C49 + Stinebar!C49 + Suenan!C49 + Taval!C49 + Ucrua!C49 + Vesozata!C49 + 'Welenu Fana'!C49 + 'Western Migoku'!C49</f>
        <v>836962407.79582322</v>
      </c>
      <c r="BF49" s="5">
        <f t="shared" si="15"/>
        <v>1.3674928399016429E-2</v>
      </c>
      <c r="BG49" s="5">
        <f t="shared" si="16"/>
        <v>0.23567876748750127</v>
      </c>
      <c r="BN49" s="3">
        <f t="shared" si="17"/>
        <v>1968</v>
      </c>
      <c r="BO49" s="3">
        <v>1718</v>
      </c>
      <c r="BP49" s="4">
        <f>Andsaudare!C49 + Aplasia!C49 + Astye!C49 + 'Crila Republic'!C49 + 'Elja and Munusia'!C49 + Hiwush!C49 + Iainoa!C49 + Isari!C49 + Isuibul!C49 + Maalle!C49 + Mendereide!C49 + Nia!C49 + 'Niretui and Anulan'!C49 + Ohtina!C49 + Prstreula!C49 + 'Rethern'!C49 + 'Rkmepuia'!C49 + Tvecoca!C49 + Umarcia!C49 + 'United Delet'!C49 + Veelmit!C49 + Walporein!C49 + Yutnitu!C49</f>
        <v>113984090.29183654</v>
      </c>
      <c r="BQ49" s="7">
        <f t="shared" si="18"/>
        <v>2.1460155501634697E-2</v>
      </c>
      <c r="BR49" s="5">
        <f t="shared" si="19"/>
        <v>3.2096578846247864E-2</v>
      </c>
      <c r="BY49" s="3">
        <f t="shared" si="20"/>
        <v>1968</v>
      </c>
      <c r="BZ49" s="3">
        <v>1718</v>
      </c>
      <c r="CA49" s="4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466309072.18046707</v>
      </c>
      <c r="CB49" s="7">
        <f t="shared" si="21"/>
        <v>2.3072003164258208E-2</v>
      </c>
      <c r="CC49" s="5">
        <f t="shared" si="22"/>
        <v>0.13130714877524419</v>
      </c>
    </row>
    <row r="50" spans="1:81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3487451289.9016719</v>
      </c>
      <c r="D50" s="5">
        <f t="shared" si="1"/>
        <v>1.8438977547179838E-2</v>
      </c>
      <c r="K50" s="3">
        <f t="shared" si="2"/>
        <v>1967</v>
      </c>
      <c r="L50" s="3">
        <v>1717</v>
      </c>
      <c r="M50" s="4">
        <f>'Areoix Lie'!C50 + Pelines!C50 + Terressin!C50 + Taniduna!C50 + Iquir!C50 + Deschon!C50 + Othya!C50 + Eldavpir!C50 + 'Candenat'!C50 + Jau!C50 + Viussi!C50 + Jathua!C50 + Jshain!C50 + Acetoa!C50 + Sattle!C50 + 'Reerica'!C50 + 'Feio Lie'!C50 + Umendel!C50 + 'Fire Coast'!C50 + Yoprioq!C50 + 'Rijan bu'!C50 + Saa!C50 + 'Rinew'!C50 + Enina!C50 + Trevilla!C50</f>
        <v>485960910.09373754</v>
      </c>
      <c r="N50" s="5">
        <f t="shared" si="3"/>
        <v>2.2728840690005692E-2</v>
      </c>
      <c r="O50" s="5">
        <f t="shared" si="4"/>
        <v>0.13934557638149525</v>
      </c>
      <c r="V50" s="3">
        <f t="shared" si="5"/>
        <v>1967</v>
      </c>
      <c r="W50" s="3">
        <v>1717</v>
      </c>
      <c r="X50" s="4">
        <f>Aetintio!C50 + Arbiya!C50 + 'Curata'!C50 + 'Disal Nila'!C50 + Etirha!C50 + Fincen!C50 + Gaeiya!C50 + Genaire!C50 + Grazail!C50 + Guise!C50 + Laselteh!C50 + Lasri!C50 + Metndria!C50 + 'New Misos'!C50 + Peka!C50 + Pelan!C50 + Phuris!C50 + 'Raledria'!C50 + Slyiaduun!C50 + Tomscilus!C50</f>
        <v>281538057.25478119</v>
      </c>
      <c r="Y50" s="5">
        <f t="shared" si="6"/>
        <v>1.603764440967393E-2</v>
      </c>
      <c r="Z50" s="5">
        <f t="shared" si="7"/>
        <v>8.0728885897276323E-2</v>
      </c>
      <c r="AG50" s="3">
        <f t="shared" si="8"/>
        <v>1967</v>
      </c>
      <c r="AH50" s="3">
        <v>1717</v>
      </c>
      <c r="AI50" s="4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698444644.3067143</v>
      </c>
      <c r="AJ50" s="5">
        <f t="shared" si="9"/>
        <v>1.2884502009388435E-2</v>
      </c>
      <c r="AK50" s="5">
        <f t="shared" si="10"/>
        <v>0.20027366298395147</v>
      </c>
      <c r="AR50" s="3">
        <f t="shared" si="11"/>
        <v>1967</v>
      </c>
      <c r="AS50" s="3">
        <v>1717</v>
      </c>
      <c r="AT50" s="4">
        <f>Amcha!C50 + Byllu!C50 + 'Chaenia'!C50 + 'Cruthi Anoso'!C50 + 'Dual Cenryia'!C50 + Exilium!C50 + Galca!C50 + Inania!C50 + Inrea!C50 + Isnti!C50 + Lieri!C50 + Ocaun!C50 + Otiiric!C50 + Ozinia!C50 + Pelugrotoa!C50 + 'Rtesania'!C50 + Sadain!C50 + Selaja!C50 + Seytinemas!C50 + Sivoso!C50 + Sunsokua!C50 + Taing!C50 + Taoisia!C50 + Trian!C50 + Vayvele!C50</f>
        <v>620132431.80270076</v>
      </c>
      <c r="AU50" s="5">
        <f t="shared" si="12"/>
        <v>2.477892165751688E-2</v>
      </c>
      <c r="AV50" s="5">
        <f t="shared" si="13"/>
        <v>0.17781823465129609</v>
      </c>
      <c r="BC50" s="3">
        <f t="shared" si="14"/>
        <v>1967</v>
      </c>
      <c r="BD50" s="3">
        <v>1717</v>
      </c>
      <c r="BE50" s="4">
        <f>'Canldives'!C50 + 'Cloja'!C50 + Dahe!C50 + Eparia!C50 + Etretes!C50 + Haiza!C50 + Ihner!C50 + Kaastini!C50 + Kusierna!C50 + Migoku!C50 + 'North Ayre'!C50 + Oscairia!C50 + Oyreain!C50 + 'Pha Hii'!C50 + 'Pruim Fijan'!C50 + 'Prystr Hii'!C50 + 'Ruylku'!C50 + Sanagara!C50 + Shinam!C50 + Stinebar!C50 + Suenan!C50 + Taval!C50 + Ucrua!C50 + Vesozata!C50 + 'Welenu Fana'!C50 + 'Western Migoku'!C50</f>
        <v>825671410.377792</v>
      </c>
      <c r="BF50" s="5">
        <f t="shared" si="15"/>
        <v>1.3963964952212955E-2</v>
      </c>
      <c r="BG50" s="5">
        <f t="shared" si="16"/>
        <v>0.23675496565891008</v>
      </c>
      <c r="BN50" s="3">
        <f t="shared" si="17"/>
        <v>1967</v>
      </c>
      <c r="BO50" s="3">
        <v>1717</v>
      </c>
      <c r="BP50" s="4">
        <f>Andsaudare!C50 + Aplasia!C50 + Astye!C50 + 'Crila Republic'!C50 + 'Elja and Munusia'!C50 + Hiwush!C50 + Iainoa!C50 + Isari!C50 + Isuibul!C50 + Maalle!C50 + Mendereide!C50 + Nia!C50 + 'Niretui and Anulan'!C50 + Ohtina!C50 + Prstreula!C50 + 'Rethern'!C50 + 'Rkmepuia'!C50 + Tvecoca!C50 + Umarcia!C50 + 'United Delet'!C50 + Veelmit!C50 + Walporein!C50 + Yutnitu!C50</f>
        <v>111589365.16310756</v>
      </c>
      <c r="BQ50" s="6">
        <f t="shared" si="18"/>
        <v>2.1375705278051774E-2</v>
      </c>
      <c r="BR50" s="5">
        <f t="shared" si="19"/>
        <v>3.199739749375935E-2</v>
      </c>
      <c r="BY50" s="3">
        <f t="shared" si="20"/>
        <v>1967</v>
      </c>
      <c r="BZ50" s="3">
        <v>1717</v>
      </c>
      <c r="CA50" s="4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455793014.31201351</v>
      </c>
      <c r="CB50" s="6">
        <f t="shared" si="21"/>
        <v>2.2315656460867504E-2</v>
      </c>
      <c r="CC50" s="5">
        <f t="shared" si="22"/>
        <v>0.13069516286344018</v>
      </c>
    </row>
    <row r="51" spans="1:81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3424310505.378427</v>
      </c>
      <c r="D51" s="5">
        <f t="shared" si="1"/>
        <v>1.9444300975475871E-2</v>
      </c>
      <c r="K51" s="3">
        <f t="shared" si="2"/>
        <v>1966</v>
      </c>
      <c r="L51" s="3">
        <v>1716</v>
      </c>
      <c r="M51" s="4">
        <f>'Areoix Lie'!C51 + Pelines!C51 + Terressin!C51 + Taniduna!C51 + Iquir!C51 + Deschon!C51 + Othya!C51 + Eldavpir!C51 + 'Candenat'!C51 + Jau!C51 + Viussi!C51 + Jathua!C51 + Jshain!C51 + Acetoa!C51 + Sattle!C51 + 'Reerica'!C51 + 'Feio Lie'!C51 + Umendel!C51 + 'Fire Coast'!C51 + Yoprioq!C51 + 'Rijan bu'!C51 + Saa!C51 + 'Rinew'!C51 + Enina!C51 + Trevilla!C51</f>
        <v>475161050.27983147</v>
      </c>
      <c r="N51" s="5">
        <f t="shared" si="3"/>
        <v>2.3392144965403455E-2</v>
      </c>
      <c r="O51" s="5">
        <f t="shared" si="4"/>
        <v>0.13876108767984535</v>
      </c>
      <c r="V51" s="3">
        <f t="shared" si="5"/>
        <v>1966</v>
      </c>
      <c r="W51" s="3">
        <v>1716</v>
      </c>
      <c r="X51" s="4">
        <f>Aetintio!C51 + Arbiya!C51 + 'Curata'!C51 + 'Disal Nila'!C51 + Etirha!C51 + Fincen!C51 + Gaeiya!C51 + Genaire!C51 + Grazail!C51 + Guise!C51 + Laselteh!C51 + Lasri!C51 + Metndria!C51 + 'New Misos'!C51 + Peka!C51 + Pelan!C51 + Phuris!C51 + 'Raledria'!C51 + Slyiaduun!C51 + Tomscilus!C51</f>
        <v>277094120.28562886</v>
      </c>
      <c r="Y51" s="5">
        <f t="shared" si="6"/>
        <v>2.1754675333863323E-2</v>
      </c>
      <c r="Z51" s="5">
        <f t="shared" si="7"/>
        <v>8.0919682911467353E-2</v>
      </c>
      <c r="AG51" s="3">
        <f t="shared" si="8"/>
        <v>1966</v>
      </c>
      <c r="AH51" s="3">
        <v>1716</v>
      </c>
      <c r="AI51" s="4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689560007.01078987</v>
      </c>
      <c r="AJ51" s="5">
        <f t="shared" si="9"/>
        <v>1.3030154906524235E-2</v>
      </c>
      <c r="AK51" s="5">
        <f t="shared" si="10"/>
        <v>0.20137192755380262</v>
      </c>
      <c r="AR51" s="3">
        <f t="shared" si="11"/>
        <v>1966</v>
      </c>
      <c r="AS51" s="3">
        <v>1716</v>
      </c>
      <c r="AT51" s="4">
        <f>Amcha!C51 + Byllu!C51 + 'Chaenia'!C51 + 'Cruthi Anoso'!C51 + 'Dual Cenryia'!C51 + Exilium!C51 + Galca!C51 + Inania!C51 + Inrea!C51 + Isnti!C51 + Lieri!C51 + Ocaun!C51 + Otiiric!C51 + Ozinia!C51 + Pelugrotoa!C51 + 'Rtesania'!C51 + Sadain!C51 + Selaja!C51 + Seytinemas!C51 + Sivoso!C51 + Sunsokua!C51 + Taing!C51 + Taoisia!C51 + Trian!C51 + Vayvele!C51</f>
        <v>605137770.39800417</v>
      </c>
      <c r="AU51" s="5">
        <f t="shared" si="12"/>
        <v>2.7519690544774641E-2</v>
      </c>
      <c r="AV51" s="5">
        <f t="shared" si="13"/>
        <v>0.17671813623429844</v>
      </c>
      <c r="BC51" s="3">
        <f t="shared" si="14"/>
        <v>1966</v>
      </c>
      <c r="BD51" s="3">
        <v>1716</v>
      </c>
      <c r="BE51" s="4">
        <f>'Canldives'!C51 + 'Cloja'!C51 + Dahe!C51 + Eparia!C51 + Etretes!C51 + Haiza!C51 + Ihner!C51 + Kaastini!C51 + Kusierna!C51 + Migoku!C51 + 'North Ayre'!C51 + Oscairia!C51 + Oyreain!C51 + 'Pha Hii'!C51 + 'Pruim Fijan'!C51 + 'Prystr Hii'!C51 + 'Ruylku'!C51 + Sanagara!C51 + Shinam!C51 + Stinebar!C51 + Suenan!C51 + Taval!C51 + Ucrua!C51 + Vesozata!C51 + 'Welenu Fana'!C51 + 'Western Migoku'!C51</f>
        <v>814300546.09160101</v>
      </c>
      <c r="BF51" s="5">
        <f t="shared" si="15"/>
        <v>1.3706581121551176E-2</v>
      </c>
      <c r="BG51" s="5">
        <f t="shared" si="16"/>
        <v>0.23779985629592054</v>
      </c>
      <c r="BN51" s="3">
        <f t="shared" si="17"/>
        <v>1966</v>
      </c>
      <c r="BO51" s="3">
        <v>1716</v>
      </c>
      <c r="BP51" s="4">
        <f>Andsaudare!C51 + Aplasia!C51 + Astye!C51 + 'Crila Republic'!C51 + 'Elja and Munusia'!C51 + Hiwush!C51 + Iainoa!C51 + Isari!C51 + Isuibul!C51 + Maalle!C51 + Mendereide!C51 + Nia!C51 + 'Niretui and Anulan'!C51 + Ohtina!C51 + Prstreula!C51 + 'Rethern'!C51 + 'Rkmepuia'!C51 + Tvecoca!C51 + Umarcia!C51 + 'United Delet'!C51 + Veelmit!C51 + Walporein!C51 + Yutnitu!C51</f>
        <v>109253984.19647087</v>
      </c>
      <c r="BQ51" s="7">
        <f t="shared" si="18"/>
        <v>2.1334144295736154E-2</v>
      </c>
      <c r="BR51" s="5">
        <f t="shared" si="19"/>
        <v>3.1905396436704564E-2</v>
      </c>
      <c r="BY51" s="3">
        <f t="shared" si="20"/>
        <v>1966</v>
      </c>
      <c r="BZ51" s="3">
        <v>1716</v>
      </c>
      <c r="CA51" s="4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445843719.0426228</v>
      </c>
      <c r="CB51" s="7">
        <f t="shared" si="21"/>
        <v>2.26820322542515E-2</v>
      </c>
      <c r="CC51" s="5">
        <f t="shared" si="22"/>
        <v>0.13019955939811942</v>
      </c>
    </row>
    <row r="52" spans="1:81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3358997153.7452378</v>
      </c>
      <c r="D52" s="5">
        <f t="shared" si="1"/>
        <v>1.9527612749616213E-2</v>
      </c>
      <c r="K52" s="3">
        <f t="shared" si="2"/>
        <v>1965</v>
      </c>
      <c r="L52" s="3">
        <v>1715</v>
      </c>
      <c r="M52" s="4">
        <f>'Areoix Lie'!C52 + Pelines!C52 + Terressin!C52 + Taniduna!C52 + Iquir!C52 + Deschon!C52 + Othya!C52 + Eldavpir!C52 + 'Candenat'!C52 + Jau!C52 + Viussi!C52 + Jathua!C52 + Jshain!C52 + Acetoa!C52 + Sattle!C52 + 'Reerica'!C52 + 'Feio Lie'!C52 + Umendel!C52 + 'Fire Coast'!C52 + Yoprioq!C52 + 'Rijan bu'!C52 + Saa!C52 + 'Rinew'!C52 + Enina!C52 + Trevilla!C52</f>
        <v>464300075.60385823</v>
      </c>
      <c r="N52" s="5">
        <f t="shared" si="3"/>
        <v>2.400841644623267E-2</v>
      </c>
      <c r="O52" s="5">
        <f t="shared" si="4"/>
        <v>0.1382258020332556</v>
      </c>
      <c r="V52" s="3">
        <f t="shared" si="5"/>
        <v>1965</v>
      </c>
      <c r="W52" s="3">
        <v>1715</v>
      </c>
      <c r="X52" s="4">
        <f>Aetintio!C52 + Arbiya!C52 + 'Curata'!C52 + 'Disal Nila'!C52 + Etirha!C52 + Fincen!C52 + Gaeiya!C52 + Genaire!C52 + Grazail!C52 + Guise!C52 + Laselteh!C52 + Lasri!C52 + Metndria!C52 + 'New Misos'!C52 + Peka!C52 + Pelan!C52 + Phuris!C52 + 'Raledria'!C52 + Slyiaduun!C52 + Tomscilus!C52</f>
        <v>271194374.71141201</v>
      </c>
      <c r="Y52" s="5">
        <f t="shared" si="6"/>
        <v>1.9264814070962231E-2</v>
      </c>
      <c r="Z52" s="5">
        <f t="shared" si="7"/>
        <v>8.0736708695639661E-2</v>
      </c>
      <c r="AG52" s="3">
        <f t="shared" si="8"/>
        <v>1965</v>
      </c>
      <c r="AH52" s="3">
        <v>1715</v>
      </c>
      <c r="AI52" s="4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680690504.29640758</v>
      </c>
      <c r="AJ52" s="5">
        <f t="shared" si="9"/>
        <v>1.3369284569826204E-2</v>
      </c>
      <c r="AK52" s="5">
        <f t="shared" si="10"/>
        <v>0.20264694286431489</v>
      </c>
      <c r="AR52" s="3">
        <f t="shared" si="11"/>
        <v>1965</v>
      </c>
      <c r="AS52" s="3">
        <v>1715</v>
      </c>
      <c r="AT52" s="4">
        <f>Amcha!C52 + Byllu!C52 + 'Chaenia'!C52 + 'Cruthi Anoso'!C52 + 'Dual Cenryia'!C52 + Exilium!C52 + Galca!C52 + Inania!C52 + Inrea!C52 + Isnti!C52 + Lieri!C52 + Ocaun!C52 + Otiiric!C52 + Ozinia!C52 + Pelugrotoa!C52 + 'Rtesania'!C52 + Sadain!C52 + Selaja!C52 + Seytinemas!C52 + Sivoso!C52 + Sunsokua!C52 + Taing!C52 + Taoisia!C52 + Trian!C52 + Vayvele!C52</f>
        <v>588930583.00145054</v>
      </c>
      <c r="AU52" s="5">
        <f t="shared" si="12"/>
        <v>2.803392794603525E-2</v>
      </c>
      <c r="AV52" s="5">
        <f t="shared" si="13"/>
        <v>0.17532928908403528</v>
      </c>
      <c r="BC52" s="3">
        <f t="shared" si="14"/>
        <v>1965</v>
      </c>
      <c r="BD52" s="3">
        <v>1715</v>
      </c>
      <c r="BE52" s="4">
        <f>'Canldives'!C52 + 'Cloja'!C52 + Dahe!C52 + Eparia!C52 + Etretes!C52 + Haiza!C52 + Ihner!C52 + Kaastini!C52 + Kusierna!C52 + Migoku!C52 + 'North Ayre'!C52 + Oscairia!C52 + Oyreain!C52 + 'Pha Hii'!C52 + 'Pruim Fijan'!C52 + 'Prystr Hii'!C52 + 'Ruylku'!C52 + Sanagara!C52 + Shinam!C52 + Stinebar!C52 + Suenan!C52 + Taval!C52 + Ucrua!C52 + Vesozata!C52 + 'Welenu Fana'!C52 + 'Western Migoku'!C52</f>
        <v>803290184.02018261</v>
      </c>
      <c r="BF52" s="5">
        <f t="shared" si="15"/>
        <v>1.4001845626449662E-2</v>
      </c>
      <c r="BG52" s="5">
        <f t="shared" si="16"/>
        <v>0.23914583646625737</v>
      </c>
      <c r="BN52" s="3">
        <f t="shared" si="17"/>
        <v>1965</v>
      </c>
      <c r="BO52" s="3">
        <v>1715</v>
      </c>
      <c r="BP52" s="4">
        <f>Andsaudare!C52 + Aplasia!C52 + Astye!C52 + 'Crila Republic'!C52 + 'Elja and Munusia'!C52 + Hiwush!C52 + Iainoa!C52 + Isari!C52 + Isuibul!C52 + Maalle!C52 + Mendereide!C52 + Nia!C52 + 'Niretui and Anulan'!C52 + Ohtina!C52 + Prstreula!C52 + 'Rethern'!C52 + 'Rkmepuia'!C52 + Tvecoca!C52 + Umarcia!C52 + 'United Delet'!C52 + Veelmit!C52 + Walporein!C52 + Yutnitu!C52</f>
        <v>106971831.70333277</v>
      </c>
      <c r="BQ52" s="6">
        <f t="shared" si="18"/>
        <v>2.1402890253649571E-2</v>
      </c>
      <c r="BR52" s="5">
        <f t="shared" si="19"/>
        <v>3.1846359733904678E-2</v>
      </c>
      <c r="BY52" s="3">
        <f t="shared" si="20"/>
        <v>1965</v>
      </c>
      <c r="BZ52" s="3">
        <v>1715</v>
      </c>
      <c r="CA52" s="4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435955365.38357848</v>
      </c>
      <c r="CB52" s="6">
        <f t="shared" si="21"/>
        <v>2.276530779438854E-2</v>
      </c>
      <c r="CC52" s="5">
        <f t="shared" si="22"/>
        <v>0.12978735778251374</v>
      </c>
    </row>
    <row r="53" spans="1:81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3294660303.2027612</v>
      </c>
      <c r="D53" s="5">
        <f t="shared" si="1"/>
        <v>1.9850666291378678E-2</v>
      </c>
      <c r="K53" s="3">
        <f t="shared" si="2"/>
        <v>1964</v>
      </c>
      <c r="L53" s="3">
        <v>1714</v>
      </c>
      <c r="M53" s="4">
        <f>'Areoix Lie'!C53 + Pelines!C53 + Terressin!C53 + Taniduna!C53 + Iquir!C53 + Deschon!C53 + Othya!C53 + Eldavpir!C53 + 'Candenat'!C53 + Jau!C53 + Viussi!C53 + Jathua!C53 + Jshain!C53 + Acetoa!C53 + Sattle!C53 + 'Reerica'!C53 + 'Feio Lie'!C53 + Umendel!C53 + 'Fire Coast'!C53 + Yoprioq!C53 + 'Rijan bu'!C53 + Saa!C53 + 'Rinew'!C53 + Enina!C53 + Trevilla!C53</f>
        <v>453414315.88539791</v>
      </c>
      <c r="N53" s="5">
        <f t="shared" si="3"/>
        <v>2.4453763041511603E-2</v>
      </c>
      <c r="O53" s="5">
        <f t="shared" si="4"/>
        <v>0.13762096063276413</v>
      </c>
      <c r="V53" s="3">
        <f t="shared" si="5"/>
        <v>1964</v>
      </c>
      <c r="W53" s="3">
        <v>1714</v>
      </c>
      <c r="X53" s="4">
        <f>Aetintio!C53 + Arbiya!C53 + 'Curata'!C53 + 'Disal Nila'!C53 + Etirha!C53 + Fincen!C53 + Gaeiya!C53 + Genaire!C53 + Grazail!C53 + Guise!C53 + Laselteh!C53 + Lasri!C53 + Metndria!C53 + 'New Misos'!C53 + Peka!C53 + Pelan!C53 + Phuris!C53 + 'Raledria'!C53 + Slyiaduun!C53 + Tomscilus!C53</f>
        <v>266068612.36409873</v>
      </c>
      <c r="Y53" s="5">
        <f t="shared" si="6"/>
        <v>1.8931711617505752E-2</v>
      </c>
      <c r="Z53" s="5">
        <f t="shared" si="7"/>
        <v>8.0757525170486219E-2</v>
      </c>
      <c r="AG53" s="3">
        <f t="shared" si="8"/>
        <v>1964</v>
      </c>
      <c r="AH53" s="3">
        <v>1714</v>
      </c>
      <c r="AI53" s="4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671710219.22710013</v>
      </c>
      <c r="AJ53" s="5">
        <f t="shared" si="9"/>
        <v>1.4188244127387268E-2</v>
      </c>
      <c r="AK53" s="5">
        <f t="shared" si="10"/>
        <v>0.20387844494138779</v>
      </c>
      <c r="AR53" s="3">
        <f t="shared" si="11"/>
        <v>1964</v>
      </c>
      <c r="AS53" s="3">
        <v>1714</v>
      </c>
      <c r="AT53" s="4">
        <f>Amcha!C53 + Byllu!C53 + 'Chaenia'!C53 + 'Cruthi Anoso'!C53 + 'Dual Cenryia'!C53 + Exilium!C53 + Galca!C53 + Inania!C53 + Inrea!C53 + Isnti!C53 + Lieri!C53 + Ocaun!C53 + Otiiric!C53 + Ozinia!C53 + Pelugrotoa!C53 + 'Rtesania'!C53 + Sadain!C53 + Selaja!C53 + Seytinemas!C53 + Sivoso!C53 + Sunsokua!C53 + Taing!C53 + Taoisia!C53 + Trian!C53 + Vayvele!C53</f>
        <v>572870765.2461499</v>
      </c>
      <c r="AU53" s="5">
        <f t="shared" si="12"/>
        <v>2.8333446070348593E-2</v>
      </c>
      <c r="AV53" s="5">
        <f t="shared" si="13"/>
        <v>0.17387855272643993</v>
      </c>
      <c r="BC53" s="3">
        <f t="shared" si="14"/>
        <v>1964</v>
      </c>
      <c r="BD53" s="3">
        <v>1714</v>
      </c>
      <c r="BE53" s="4">
        <f>'Canldives'!C53 + 'Cloja'!C53 + Dahe!C53 + Eparia!C53 + Etretes!C53 + Haiza!C53 + Ihner!C53 + Kaastini!C53 + Kusierna!C53 + Migoku!C53 + 'North Ayre'!C53 + Oscairia!C53 + Oyreain!C53 + 'Pha Hii'!C53 + 'Pruim Fijan'!C53 + 'Prystr Hii'!C53 + 'Ruylku'!C53 + Sanagara!C53 + Shinam!C53 + Stinebar!C53 + Suenan!C53 + Taval!C53 + Ucrua!C53 + Vesozata!C53 + 'Welenu Fana'!C53 + 'Western Migoku'!C53</f>
        <v>792197950.6101495</v>
      </c>
      <c r="BF53" s="5">
        <f t="shared" si="15"/>
        <v>1.4405298384947633E-2</v>
      </c>
      <c r="BG53" s="5">
        <f t="shared" si="16"/>
        <v>0.24044905322714108</v>
      </c>
      <c r="BN53" s="3">
        <f t="shared" si="17"/>
        <v>1964</v>
      </c>
      <c r="BO53" s="3">
        <v>1714</v>
      </c>
      <c r="BP53" s="4">
        <f>Andsaudare!C53 + Aplasia!C53 + Astye!C53 + 'Crila Republic'!C53 + 'Elja and Munusia'!C53 + Hiwush!C53 + Iainoa!C53 + Isari!C53 + Isuibul!C53 + Maalle!C53 + Mendereide!C53 + Nia!C53 + 'Niretui and Anulan'!C53 + Ohtina!C53 + Prstreula!C53 + 'Rethern'!C53 + 'Rkmepuia'!C53 + Tvecoca!C53 + Umarcia!C53 + 'United Delet'!C53 + Veelmit!C53 + Walporein!C53 + Yutnitu!C53</f>
        <v>104730300.57391748</v>
      </c>
      <c r="BQ53" s="7">
        <f t="shared" si="18"/>
        <v>2.1446640029024754E-2</v>
      </c>
      <c r="BR53" s="5">
        <f t="shared" si="19"/>
        <v>3.1787890384968813E-2</v>
      </c>
      <c r="BY53" s="3">
        <f t="shared" si="20"/>
        <v>1964</v>
      </c>
      <c r="BZ53" s="3">
        <v>1714</v>
      </c>
      <c r="CA53" s="4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426251616.14420021</v>
      </c>
      <c r="CB53" s="7">
        <f t="shared" si="21"/>
        <v>2.2828602952109464E-2</v>
      </c>
      <c r="CC53" s="5">
        <f t="shared" si="22"/>
        <v>0.12937649921900543</v>
      </c>
    </row>
    <row r="54" spans="1:81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3230532088.7650948</v>
      </c>
      <c r="D54" s="5">
        <f t="shared" si="1"/>
        <v>1.9966412956023485E-2</v>
      </c>
      <c r="K54" s="3">
        <f t="shared" si="2"/>
        <v>1963</v>
      </c>
      <c r="L54" s="3">
        <v>1713</v>
      </c>
      <c r="M54" s="4">
        <f>'Areoix Lie'!C54 + Pelines!C54 + Terressin!C54 + Taniduna!C54 + Iquir!C54 + Deschon!C54 + Othya!C54 + Eldavpir!C54 + 'Candenat'!C54 + Jau!C54 + Viussi!C54 + Jathua!C54 + Jshain!C54 + Acetoa!C54 + Sattle!C54 + 'Reerica'!C54 + 'Feio Lie'!C54 + Umendel!C54 + 'Fire Coast'!C54 + Yoprioq!C54 + 'Rijan bu'!C54 + Saa!C54 + 'Rinew'!C54 + Enina!C54 + Trevilla!C54</f>
        <v>442591293.27540499</v>
      </c>
      <c r="N54" s="5">
        <f t="shared" si="3"/>
        <v>2.4771101811414412E-2</v>
      </c>
      <c r="O54" s="5">
        <f t="shared" si="4"/>
        <v>0.13700259929768727</v>
      </c>
      <c r="V54" s="3">
        <f t="shared" si="5"/>
        <v>1963</v>
      </c>
      <c r="W54" s="3">
        <v>1713</v>
      </c>
      <c r="X54" s="4">
        <f>Aetintio!C54 + Arbiya!C54 + 'Curata'!C54 + 'Disal Nila'!C54 + Etirha!C54 + Fincen!C54 + Gaeiya!C54 + Genaire!C54 + Grazail!C54 + Guise!C54 + Laselteh!C54 + Lasri!C54 + Metndria!C54 + 'New Misos'!C54 + Peka!C54 + Pelan!C54 + Phuris!C54 + 'Raledria'!C54 + Slyiaduun!C54 + Tomscilus!C54</f>
        <v>261125067.8828392</v>
      </c>
      <c r="Y54" s="5">
        <f t="shared" si="6"/>
        <v>1.8995469568133048E-2</v>
      </c>
      <c r="Z54" s="5">
        <f t="shared" si="7"/>
        <v>8.0830358810228389E-2</v>
      </c>
      <c r="AG54" s="3">
        <f t="shared" si="8"/>
        <v>1963</v>
      </c>
      <c r="AH54" s="3">
        <v>1713</v>
      </c>
      <c r="AI54" s="4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662313158.44628334</v>
      </c>
      <c r="AJ54" s="5">
        <f t="shared" si="9"/>
        <v>1.4497699003514102E-2</v>
      </c>
      <c r="AK54" s="5">
        <f t="shared" si="10"/>
        <v>0.20501674035358664</v>
      </c>
      <c r="AR54" s="3">
        <f t="shared" si="11"/>
        <v>1963</v>
      </c>
      <c r="AS54" s="3">
        <v>1713</v>
      </c>
      <c r="AT54" s="4">
        <f>Amcha!C54 + Byllu!C54 + 'Chaenia'!C54 + 'Cruthi Anoso'!C54 + 'Dual Cenryia'!C54 + Exilium!C54 + Galca!C54 + Inania!C54 + Inrea!C54 + Isnti!C54 + Lieri!C54 + Ocaun!C54 + Otiiric!C54 + Ozinia!C54 + Pelugrotoa!C54 + 'Rtesania'!C54 + Sadain!C54 + Selaja!C54 + Seytinemas!C54 + Sivoso!C54 + Sunsokua!C54 + Taing!C54 + Taoisia!C54 + Trian!C54 + Vayvele!C54</f>
        <v>557086582.60149562</v>
      </c>
      <c r="AU54" s="5">
        <f t="shared" si="12"/>
        <v>2.8703352983089514E-2</v>
      </c>
      <c r="AV54" s="5">
        <f t="shared" si="13"/>
        <v>0.17244421887616906</v>
      </c>
      <c r="BC54" s="3">
        <f t="shared" si="14"/>
        <v>1963</v>
      </c>
      <c r="BD54" s="3">
        <v>1713</v>
      </c>
      <c r="BE54" s="4">
        <f>'Canldives'!C54 + 'Cloja'!C54 + Dahe!C54 + Eparia!C54 + Etretes!C54 + Haiza!C54 + Ihner!C54 + Kaastini!C54 + Kusierna!C54 + Migoku!C54 + 'North Ayre'!C54 + Oscairia!C54 + Oyreain!C54 + 'Pha Hii'!C54 + 'Pruim Fijan'!C54 + 'Prystr Hii'!C54 + 'Ruylku'!C54 + Sanagara!C54 + Shinam!C54 + Stinebar!C54 + Suenan!C54 + Taval!C54 + Ucrua!C54 + Vesozata!C54 + 'Welenu Fana'!C54 + 'Western Migoku'!C54</f>
        <v>780948159.35151529</v>
      </c>
      <c r="BF54" s="5">
        <f t="shared" si="15"/>
        <v>1.4513307853350747E-2</v>
      </c>
      <c r="BG54" s="5">
        <f t="shared" si="16"/>
        <v>0.24173979328898759</v>
      </c>
      <c r="BN54" s="3">
        <f t="shared" si="17"/>
        <v>1963</v>
      </c>
      <c r="BO54" s="3">
        <v>1713</v>
      </c>
      <c r="BP54" s="4">
        <f>Andsaudare!C54 + Aplasia!C54 + Astye!C54 + 'Crila Republic'!C54 + 'Elja and Munusia'!C54 + Hiwush!C54 + Iainoa!C54 + Isari!C54 + Isuibul!C54 + Maalle!C54 + Mendereide!C54 + Nia!C54 + 'Niretui and Anulan'!C54 + Ohtina!C54 + Prstreula!C54 + 'Rethern'!C54 + 'Rkmepuia'!C54 + Tvecoca!C54 + Umarcia!C54 + 'United Delet'!C54 + Veelmit!C54 + Walporein!C54 + Yutnitu!C54</f>
        <v>102531347.66877449</v>
      </c>
      <c r="BQ54" s="6">
        <f t="shared" si="18"/>
        <v>2.1568105497444999E-2</v>
      </c>
      <c r="BR54" s="5">
        <f t="shared" si="19"/>
        <v>3.1738222946415054E-2</v>
      </c>
      <c r="BY54" s="3">
        <f t="shared" si="20"/>
        <v>1963</v>
      </c>
      <c r="BZ54" s="3">
        <v>1713</v>
      </c>
      <c r="CA54" s="4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416738068.24911213</v>
      </c>
      <c r="CB54" s="6">
        <f t="shared" si="21"/>
        <v>2.2401312655289225E-2</v>
      </c>
      <c r="CC54" s="5">
        <f t="shared" si="22"/>
        <v>0.12899982318653108</v>
      </c>
    </row>
    <row r="55" spans="1:81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3167292616.4328327</v>
      </c>
      <c r="D55" s="5">
        <f t="shared" si="1"/>
        <v>2.0357243397523764E-2</v>
      </c>
      <c r="K55" s="3">
        <f t="shared" si="2"/>
        <v>1962</v>
      </c>
      <c r="L55" s="3">
        <v>1712</v>
      </c>
      <c r="M55" s="4">
        <f>'Areoix Lie'!C55 + Pelines!C55 + Terressin!C55 + Taniduna!C55 + Iquir!C55 + Deschon!C55 + Othya!C55 + Eldavpir!C55 + 'Candenat'!C55 + Jau!C55 + Viussi!C55 + Jathua!C55 + Jshain!C55 + Acetoa!C55 + Sattle!C55 + 'Reerica'!C55 + 'Feio Lie'!C55 + Umendel!C55 + 'Fire Coast'!C55 + Yoprioq!C55 + 'Rijan bu'!C55 + Saa!C55 + 'Rinew'!C55 + Enina!C55 + Trevilla!C55</f>
        <v>431892831.96322387</v>
      </c>
      <c r="N55" s="5">
        <f t="shared" si="3"/>
        <v>2.4928571789812989E-2</v>
      </c>
      <c r="O55" s="5">
        <f t="shared" si="4"/>
        <v>0.13636025598722348</v>
      </c>
      <c r="V55" s="3">
        <f t="shared" si="5"/>
        <v>1962</v>
      </c>
      <c r="W55" s="3">
        <v>1712</v>
      </c>
      <c r="X55" s="4">
        <f>Aetintio!C55 + Arbiya!C55 + 'Curata'!C55 + 'Disal Nila'!C55 + Etirha!C55 + Fincen!C55 + Gaeiya!C55 + Genaire!C55 + Grazail!C55 + Guise!C55 + Laselteh!C55 + Lasri!C55 + Metndria!C55 + 'New Misos'!C55 + Peka!C55 + Pelan!C55 + Phuris!C55 + 'Raledria'!C55 + Slyiaduun!C55 + Tomscilus!C55</f>
        <v>256257339.39082995</v>
      </c>
      <c r="Y55" s="5">
        <f t="shared" si="6"/>
        <v>2.216636369603741E-2</v>
      </c>
      <c r="Z55" s="5">
        <f t="shared" si="7"/>
        <v>8.09073775063575E-2</v>
      </c>
      <c r="AG55" s="3">
        <f t="shared" si="8"/>
        <v>1962</v>
      </c>
      <c r="AH55" s="3">
        <v>1712</v>
      </c>
      <c r="AI55" s="4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652848359.43623877</v>
      </c>
      <c r="AJ55" s="5">
        <f t="shared" si="9"/>
        <v>1.4710127514794218E-2</v>
      </c>
      <c r="AK55" s="5">
        <f t="shared" si="10"/>
        <v>0.20612189604745457</v>
      </c>
      <c r="AR55" s="3">
        <f t="shared" si="11"/>
        <v>1962</v>
      </c>
      <c r="AS55" s="3">
        <v>1712</v>
      </c>
      <c r="AT55" s="4">
        <f>Amcha!C55 + Byllu!C55 + 'Chaenia'!C55 + 'Cruthi Anoso'!C55 + 'Dual Cenryia'!C55 + Exilium!C55 + Galca!C55 + Inania!C55 + Inrea!C55 + Isnti!C55 + Lieri!C55 + Ocaun!C55 + Otiiric!C55 + Ozinia!C55 + Pelugrotoa!C55 + 'Rtesania'!C55 + Sadain!C55 + Selaja!C55 + Seytinemas!C55 + Sivoso!C55 + Sunsokua!C55 + Taing!C55 + Taoisia!C55 + Trian!C55 + Vayvele!C55</f>
        <v>541542497.15044272</v>
      </c>
      <c r="AU55" s="5">
        <f t="shared" si="12"/>
        <v>2.9023054313699649E-2</v>
      </c>
      <c r="AV55" s="5">
        <f t="shared" si="13"/>
        <v>0.17097962289330743</v>
      </c>
      <c r="BC55" s="3">
        <f t="shared" si="14"/>
        <v>1962</v>
      </c>
      <c r="BD55" s="3">
        <v>1712</v>
      </c>
      <c r="BE55" s="4">
        <f>'Canldives'!C55 + 'Cloja'!C55 + Dahe!C55 + Eparia!C55 + Etretes!C55 + Haiza!C55 + Ihner!C55 + Kaastini!C55 + Kusierna!C55 + Migoku!C55 + 'North Ayre'!C55 + Oscairia!C55 + Oyreain!C55 + 'Pha Hii'!C55 + 'Pruim Fijan'!C55 + 'Prystr Hii'!C55 + 'Ruylku'!C55 + Sanagara!C55 + Shinam!C55 + Stinebar!C55 + Suenan!C55 + Taval!C55 + Ucrua!C55 + Vesozata!C55 + 'Welenu Fana'!C55 + 'Western Migoku'!C55</f>
        <v>769776160.94948494</v>
      </c>
      <c r="BF55" s="5">
        <f t="shared" si="15"/>
        <v>1.4850691784956987E-2</v>
      </c>
      <c r="BG55" s="5">
        <f t="shared" si="16"/>
        <v>0.24303916757032898</v>
      </c>
      <c r="BN55" s="3">
        <f t="shared" si="17"/>
        <v>1962</v>
      </c>
      <c r="BO55" s="3">
        <v>1712</v>
      </c>
      <c r="BP55" s="4">
        <f>Andsaudare!C55 + Aplasia!C55 + Astye!C55 + 'Crila Republic'!C55 + 'Elja and Munusia'!C55 + Hiwush!C55 + Iainoa!C55 + Isari!C55 + Isuibul!C55 + Maalle!C55 + Mendereide!C55 + Nia!C55 + 'Niretui and Anulan'!C55 + Ohtina!C55 + Prstreula!C55 + 'Rethern'!C55 + 'Rkmepuia'!C55 + Tvecoca!C55 + Umarcia!C55 + 'United Delet'!C55 + Veelmit!C55 + Walporein!C55 + Yutnitu!C55</f>
        <v>100366629.61286131</v>
      </c>
      <c r="BQ55" s="7">
        <f t="shared" si="18"/>
        <v>2.1020001763171148E-2</v>
      </c>
      <c r="BR55" s="5">
        <f t="shared" si="19"/>
        <v>3.1688461335125817E-2</v>
      </c>
      <c r="BY55" s="3">
        <f t="shared" si="20"/>
        <v>1962</v>
      </c>
      <c r="BZ55" s="3">
        <v>1712</v>
      </c>
      <c r="CA55" s="4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407607133.4130013</v>
      </c>
      <c r="CB55" s="7">
        <f t="shared" si="21"/>
        <v>2.2264731368182949E-2</v>
      </c>
      <c r="CC55" s="5">
        <f t="shared" si="22"/>
        <v>0.12869260367615459</v>
      </c>
    </row>
    <row r="56" spans="1:81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3104101663.3415308</v>
      </c>
      <c r="D56" s="5">
        <f t="shared" si="1"/>
        <v>1.9918775252385671E-2</v>
      </c>
      <c r="K56" s="3">
        <f t="shared" si="2"/>
        <v>1961</v>
      </c>
      <c r="L56" s="3">
        <v>1711</v>
      </c>
      <c r="M56" s="4">
        <f>'Areoix Lie'!C56 + Pelines!C56 + Terressin!C56 + Taniduna!C56 + Iquir!C56 + Deschon!C56 + Othya!C56 + Eldavpir!C56 + 'Candenat'!C56 + Jau!C56 + Viussi!C56 + Jathua!C56 + Jshain!C56 + Acetoa!C56 + Sattle!C56 + 'Reerica'!C56 + 'Feio Lie'!C56 + Umendel!C56 + 'Fire Coast'!C56 + Yoprioq!C56 + 'Rijan bu'!C56 + Saa!C56 + 'Rinew'!C56 + Enina!C56 + Trevilla!C56</f>
        <v>421388225.33654004</v>
      </c>
      <c r="N56" s="5">
        <f t="shared" si="3"/>
        <v>2.5103359283416799E-2</v>
      </c>
      <c r="O56" s="5">
        <f t="shared" si="4"/>
        <v>0.13575206969314282</v>
      </c>
      <c r="V56" s="3">
        <f t="shared" si="5"/>
        <v>1961</v>
      </c>
      <c r="W56" s="3">
        <v>1711</v>
      </c>
      <c r="X56" s="4">
        <f>Aetintio!C56 + Arbiya!C56 + 'Curata'!C56 + 'Disal Nila'!C56 + Etirha!C56 + Fincen!C56 + Gaeiya!C56 + Genaire!C56 + Grazail!C56 + Guise!C56 + Laselteh!C56 + Lasri!C56 + Metndria!C56 + 'New Misos'!C56 + Peka!C56 + Pelan!C56 + Phuris!C56 + 'Raledria'!C56 + Slyiaduun!C56 + Tomscilus!C56</f>
        <v>250700226.98089236</v>
      </c>
      <c r="Y56" s="5">
        <f t="shared" si="6"/>
        <v>1.6555941399772886E-2</v>
      </c>
      <c r="Z56" s="5">
        <f t="shared" si="7"/>
        <v>8.076418048467407E-2</v>
      </c>
      <c r="AG56" s="3">
        <f t="shared" si="8"/>
        <v>1961</v>
      </c>
      <c r="AH56" s="3">
        <v>1711</v>
      </c>
      <c r="AI56" s="4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643384097.32361758</v>
      </c>
      <c r="AJ56" s="5">
        <f t="shared" si="9"/>
        <v>1.4715609424439556E-2</v>
      </c>
      <c r="AK56" s="5">
        <f t="shared" si="10"/>
        <v>0.20726901599963121</v>
      </c>
      <c r="AR56" s="3">
        <f t="shared" si="11"/>
        <v>1961</v>
      </c>
      <c r="AS56" s="3">
        <v>1711</v>
      </c>
      <c r="AT56" s="4">
        <f>Amcha!C56 + Byllu!C56 + 'Chaenia'!C56 + 'Cruthi Anoso'!C56 + 'Dual Cenryia'!C56 + Exilium!C56 + Galca!C56 + Inania!C56 + Inrea!C56 + Isnti!C56 + Lieri!C56 + Ocaun!C56 + Otiiric!C56 + Ozinia!C56 + Pelugrotoa!C56 + 'Rtesania'!C56 + Sadain!C56 + Selaja!C56 + Seytinemas!C56 + Sivoso!C56 + Sunsokua!C56 + Taing!C56 + Taoisia!C56 + Trian!C56 + Vayvele!C56</f>
        <v>526268575.6944688</v>
      </c>
      <c r="AU56" s="5">
        <f t="shared" si="12"/>
        <v>2.9407147978218841E-2</v>
      </c>
      <c r="AV56" s="5">
        <f t="shared" si="13"/>
        <v>0.16953973573402442</v>
      </c>
      <c r="BC56" s="3">
        <f t="shared" si="14"/>
        <v>1961</v>
      </c>
      <c r="BD56" s="3">
        <v>1711</v>
      </c>
      <c r="BE56" s="4">
        <f>'Canldives'!C56 + 'Cloja'!C56 + Dahe!C56 + Eparia!C56 + Etretes!C56 + Haiza!C56 + Ihner!C56 + Kaastini!C56 + Kusierna!C56 + Migoku!C56 + 'North Ayre'!C56 + Oscairia!C56 + Oyreain!C56 + 'Pha Hii'!C56 + 'Pruim Fijan'!C56 + 'Prystr Hii'!C56 + 'Ruylku'!C56 + Sanagara!C56 + Shinam!C56 + Stinebar!C56 + Suenan!C56 + Taval!C56 + Ucrua!C56 + Vesozata!C56 + 'Welenu Fana'!C56 + 'Western Migoku'!C56</f>
        <v>758511736.92907882</v>
      </c>
      <c r="BF56" s="5">
        <f t="shared" si="15"/>
        <v>1.4795322289282473E-2</v>
      </c>
      <c r="BG56" s="5">
        <f t="shared" si="16"/>
        <v>0.24435789133032113</v>
      </c>
      <c r="BN56" s="3">
        <f t="shared" si="17"/>
        <v>1961</v>
      </c>
      <c r="BO56" s="3">
        <v>1711</v>
      </c>
      <c r="BP56" s="4">
        <f>Andsaudare!C56 + Aplasia!C56 + Astye!C56 + 'Crila Republic'!C56 + 'Elja and Munusia'!C56 + Hiwush!C56 + Iainoa!C56 + Isari!C56 + Isuibul!C56 + Maalle!C56 + Mendereide!C56 + Nia!C56 + 'Niretui and Anulan'!C56 + Ohtina!C56 + Prstreula!C56 + 'Rethern'!C56 + 'Rkmepuia'!C56 + Tvecoca!C56 + Umarcia!C56 + 'United Delet'!C56 + Veelmit!C56 + Walporein!C56 + Yutnitu!C56</f>
        <v>98300355.957318127</v>
      </c>
      <c r="BQ56" s="6">
        <f t="shared" si="18"/>
        <v>2.0947705511689233E-2</v>
      </c>
      <c r="BR56" s="5">
        <f t="shared" si="19"/>
        <v>3.1667891911600243E-2</v>
      </c>
      <c r="BY56" s="3">
        <f t="shared" si="20"/>
        <v>1961</v>
      </c>
      <c r="BZ56" s="3">
        <v>1711</v>
      </c>
      <c r="CA56" s="4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398729527.5925898</v>
      </c>
      <c r="CB56" s="6">
        <f t="shared" si="21"/>
        <v>2.2062889694037361E-2</v>
      </c>
      <c r="CC56" s="5">
        <f t="shared" si="22"/>
        <v>0.128452470581573</v>
      </c>
    </row>
    <row r="57" spans="1:81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3043479283.5080423</v>
      </c>
      <c r="D57" s="5">
        <f t="shared" si="1"/>
        <v>2.0245001324829266E-2</v>
      </c>
      <c r="K57" s="3">
        <f t="shared" si="2"/>
        <v>1960</v>
      </c>
      <c r="L57" s="3">
        <v>1710</v>
      </c>
      <c r="M57" s="4">
        <f>'Areoix Lie'!C57 + Pelines!C57 + Terressin!C57 + Taniduna!C57 + Iquir!C57 + Deschon!C57 + Othya!C57 + Eldavpir!C57 + 'Candenat'!C57 + Jau!C57 + Viussi!C57 + Jathua!C57 + Jshain!C57 + Acetoa!C57 + Sattle!C57 + 'Reerica'!C57 + 'Feio Lie'!C57 + Umendel!C57 + 'Fire Coast'!C57 + Yoprioq!C57 + 'Rijan bu'!C57 + Saa!C57 + 'Rinew'!C57 + Enina!C57 + Trevilla!C57</f>
        <v>411069012.23219597</v>
      </c>
      <c r="N57" s="5">
        <f t="shared" si="3"/>
        <v>2.5170490067307084E-2</v>
      </c>
      <c r="O57" s="5">
        <f t="shared" si="4"/>
        <v>0.13506548720725331</v>
      </c>
      <c r="V57" s="3">
        <f t="shared" si="5"/>
        <v>1960</v>
      </c>
      <c r="W57" s="3">
        <v>1710</v>
      </c>
      <c r="X57" s="4">
        <f>Aetintio!C57 + Arbiya!C57 + 'Curata'!C57 + 'Disal Nila'!C57 + Etirha!C57 + Fincen!C57 + Gaeiya!C57 + Genaire!C57 + Grazail!C57 + Guise!C57 + Laselteh!C57 + Lasri!C57 + Metndria!C57 + 'New Misos'!C57 + Peka!C57 + Pelan!C57 + Phuris!C57 + 'Raledria'!C57 + Slyiaduun!C57 + Tomscilus!C57</f>
        <v>246617246.30292773</v>
      </c>
      <c r="Y57" s="5">
        <f t="shared" si="6"/>
        <v>2.0629495426835766E-2</v>
      </c>
      <c r="Z57" s="5">
        <f t="shared" si="7"/>
        <v>8.1031353700777062E-2</v>
      </c>
      <c r="AG57" s="3">
        <f t="shared" si="8"/>
        <v>1960</v>
      </c>
      <c r="AH57" s="3">
        <v>1710</v>
      </c>
      <c r="AI57" s="4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634053612.01504898</v>
      </c>
      <c r="AJ57" s="5">
        <f t="shared" si="9"/>
        <v>1.4575729029934214E-2</v>
      </c>
      <c r="AK57" s="5">
        <f t="shared" si="10"/>
        <v>0.20833183108912512</v>
      </c>
      <c r="AR57" s="3">
        <f t="shared" si="11"/>
        <v>1960</v>
      </c>
      <c r="AS57" s="3">
        <v>1710</v>
      </c>
      <c r="AT57" s="4">
        <f>Amcha!C57 + Byllu!C57 + 'Chaenia'!C57 + 'Cruthi Anoso'!C57 + 'Dual Cenryia'!C57 + Exilium!C57 + Galca!C57 + Inania!C57 + Inrea!C57 + Isnti!C57 + Lieri!C57 + Ocaun!C57 + Otiiric!C57 + Ozinia!C57 + Pelugrotoa!C57 + 'Rtesania'!C57 + Sadain!C57 + Selaja!C57 + Seytinemas!C57 + Sivoso!C57 + Sunsokua!C57 + Taing!C57 + Taoisia!C57 + Trian!C57 + Vayvele!C57</f>
        <v>511234623.4704833</v>
      </c>
      <c r="AU57" s="5">
        <f t="shared" si="12"/>
        <v>2.9657667270868757E-2</v>
      </c>
      <c r="AV57" s="5">
        <f t="shared" si="13"/>
        <v>0.1679770341269459</v>
      </c>
      <c r="BC57" s="3">
        <f t="shared" si="14"/>
        <v>1960</v>
      </c>
      <c r="BD57" s="3">
        <v>1710</v>
      </c>
      <c r="BE57" s="4">
        <f>'Canldives'!C57 + 'Cloja'!C57 + Dahe!C57 + Eparia!C57 + Etretes!C57 + Haiza!C57 + Ihner!C57 + Kaastini!C57 + Kusierna!C57 + Migoku!C57 + 'North Ayre'!C57 + Oscairia!C57 + Oyreain!C57 + 'Pha Hii'!C57 + 'Pruim Fijan'!C57 + 'Prystr Hii'!C57 + 'Ruylku'!C57 + Sanagara!C57 + Shinam!C57 + Stinebar!C57 + Suenan!C57 + Taval!C57 + Ucrua!C57 + Vesozata!C57 + 'Welenu Fana'!C57 + 'Western Migoku'!C57</f>
        <v>747452929.93462753</v>
      </c>
      <c r="BF57" s="5">
        <f t="shared" si="15"/>
        <v>1.4931469513845953E-2</v>
      </c>
      <c r="BG57" s="5">
        <f t="shared" si="16"/>
        <v>0.24559159445734155</v>
      </c>
      <c r="BN57" s="3">
        <f t="shared" si="17"/>
        <v>1960</v>
      </c>
      <c r="BO57" s="3">
        <v>1710</v>
      </c>
      <c r="BP57" s="4">
        <f>Andsaudare!C57 + Aplasia!C57 + Astye!C57 + 'Crila Republic'!C57 + 'Elja and Munusia'!C57 + Hiwush!C57 + Iainoa!C57 + Isari!C57 + Isuibul!C57 + Maalle!C57 + Mendereide!C57 + Nia!C57 + 'Niretui and Anulan'!C57 + Ohtina!C57 + Prstreula!C57 + 'Rethern'!C57 + 'Rkmepuia'!C57 + Tvecoca!C57 + Umarcia!C57 + 'United Delet'!C57 + Veelmit!C57 + Walporein!C57 + Yutnitu!C57</f>
        <v>96283438.834950835</v>
      </c>
      <c r="BQ57" s="7">
        <f t="shared" si="18"/>
        <v>2.1373001658314274E-2</v>
      </c>
      <c r="BR57" s="5">
        <f t="shared" si="19"/>
        <v>3.1635976415771913E-2</v>
      </c>
      <c r="BY57" s="3">
        <f t="shared" si="20"/>
        <v>1960</v>
      </c>
      <c r="BZ57" s="3">
        <v>1710</v>
      </c>
      <c r="CA57" s="4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390122302.27041376</v>
      </c>
      <c r="CB57" s="7">
        <f t="shared" si="21"/>
        <v>2.1762891152433485E-2</v>
      </c>
      <c r="CC57" s="5">
        <f t="shared" si="22"/>
        <v>0.1281829991038225</v>
      </c>
    </row>
    <row r="58" spans="1:81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2983086689.5264978</v>
      </c>
      <c r="D58" s="5">
        <f t="shared" si="1"/>
        <v>2.0239838961790796E-2</v>
      </c>
      <c r="K58" s="3">
        <f t="shared" si="2"/>
        <v>1959</v>
      </c>
      <c r="L58" s="3">
        <v>1709</v>
      </c>
      <c r="M58" s="4">
        <f>'Areoix Lie'!C58 + Pelines!C58 + Terressin!C58 + Taniduna!C58 + Iquir!C58 + Deschon!C58 + Othya!C58 + Eldavpir!C58 + 'Candenat'!C58 + Jau!C58 + Viussi!C58 + Jathua!C58 + Jshain!C58 + Acetoa!C58 + Sattle!C58 + 'Reerica'!C58 + 'Feio Lie'!C58 + Umendel!C58 + 'Fire Coast'!C58 + Yoprioq!C58 + 'Rijan bu'!C58 + Saa!C58 + 'Rinew'!C58 + Enina!C58 + Trevilla!C58</f>
        <v>400976243.67358392</v>
      </c>
      <c r="N58" s="5">
        <f t="shared" si="3"/>
        <v>2.5286971351608383E-2</v>
      </c>
      <c r="O58" s="5">
        <f t="shared" si="4"/>
        <v>0.13441655754805787</v>
      </c>
      <c r="V58" s="3">
        <f t="shared" si="5"/>
        <v>1959</v>
      </c>
      <c r="W58" s="3">
        <v>1709</v>
      </c>
      <c r="X58" s="4">
        <f>Aetintio!C58 + Arbiya!C58 + 'Curata'!C58 + 'Disal Nila'!C58 + Etirha!C58 + Fincen!C58 + Gaeiya!C58 + Genaire!C58 + Grazail!C58 + Guise!C58 + Laselteh!C58 + Lasri!C58 + Metndria!C58 + 'New Misos'!C58 + Peka!C58 + Pelan!C58 + Phuris!C58 + 'Raledria'!C58 + Slyiaduun!C58 + Tomscilus!C58</f>
        <v>241632489.95639729</v>
      </c>
      <c r="Y58" s="5">
        <f t="shared" si="6"/>
        <v>2.0312202785356021E-2</v>
      </c>
      <c r="Z58" s="5">
        <f t="shared" si="7"/>
        <v>8.1000827366083467E-2</v>
      </c>
      <c r="AG58" s="3">
        <f t="shared" si="8"/>
        <v>1959</v>
      </c>
      <c r="AH58" s="3">
        <v>1709</v>
      </c>
      <c r="AI58" s="4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624944589.0266726</v>
      </c>
      <c r="AJ58" s="5">
        <f t="shared" si="9"/>
        <v>1.4487116463648761E-2</v>
      </c>
      <c r="AK58" s="5">
        <f t="shared" si="10"/>
        <v>0.20949595304113316</v>
      </c>
      <c r="AR58" s="3">
        <f t="shared" si="11"/>
        <v>1959</v>
      </c>
      <c r="AS58" s="3">
        <v>1709</v>
      </c>
      <c r="AT58" s="4">
        <f>Amcha!C58 + Byllu!C58 + 'Chaenia'!C58 + 'Cruthi Anoso'!C58 + 'Dual Cenryia'!C58 + Exilium!C58 + Galca!C58 + Inania!C58 + Inrea!C58 + Isnti!C58 + Lieri!C58 + Ocaun!C58 + Otiiric!C58 + Ozinia!C58 + Pelugrotoa!C58 + 'Rtesania'!C58 + Sadain!C58 + Selaja!C58 + Seytinemas!C58 + Sivoso!C58 + Sunsokua!C58 + Taing!C58 + Taoisia!C58 + Trian!C58 + Vayvele!C58</f>
        <v>496509315.39753634</v>
      </c>
      <c r="AU58" s="5">
        <f t="shared" si="12"/>
        <v>3.0048797855480692E-2</v>
      </c>
      <c r="AV58" s="5">
        <f t="shared" si="13"/>
        <v>0.16644146385043432</v>
      </c>
      <c r="BC58" s="3">
        <f t="shared" si="14"/>
        <v>1959</v>
      </c>
      <c r="BD58" s="3">
        <v>1709</v>
      </c>
      <c r="BE58" s="4">
        <f>'Canldives'!C58 + 'Cloja'!C58 + Dahe!C58 + Eparia!C58 + Etretes!C58 + Haiza!C58 + Ihner!C58 + Kaastini!C58 + Kusierna!C58 + Migoku!C58 + 'North Ayre'!C58 + Oscairia!C58 + Oyreain!C58 + 'Pha Hii'!C58 + 'Pruim Fijan'!C58 + 'Prystr Hii'!C58 + 'Ruylku'!C58 + Sanagara!C58 + Shinam!C58 + Stinebar!C58 + Suenan!C58 + Taval!C58 + Ucrua!C58 + Vesozata!C58 + 'Welenu Fana'!C58 + 'Western Migoku'!C58</f>
        <v>736456551.38928628</v>
      </c>
      <c r="BF58" s="5">
        <f t="shared" si="15"/>
        <v>1.4986297794994181E-2</v>
      </c>
      <c r="BG58" s="5">
        <f t="shared" si="16"/>
        <v>0.24687735491394092</v>
      </c>
      <c r="BN58" s="3">
        <f t="shared" si="17"/>
        <v>1959</v>
      </c>
      <c r="BO58" s="3">
        <v>1709</v>
      </c>
      <c r="BP58" s="4">
        <f>Andsaudare!C58 + Aplasia!C58 + Astye!C58 + 'Crila Republic'!C58 + 'Elja and Munusia'!C58 + Hiwush!C58 + Iainoa!C58 + Isari!C58 + Isuibul!C58 + Maalle!C58 + Mendereide!C58 + Nia!C58 + 'Niretui and Anulan'!C58 + Ohtina!C58 + Prstreula!C58 + 'Rethern'!C58 + 'Rkmepuia'!C58 + Tvecoca!C58 + Umarcia!C58 + 'United Delet'!C58 + Veelmit!C58 + Walporein!C58 + Yutnitu!C58</f>
        <v>94268635.139781266</v>
      </c>
      <c r="BQ58" s="6">
        <f t="shared" si="18"/>
        <v>2.1249370180861118E-2</v>
      </c>
      <c r="BR58" s="5">
        <f t="shared" si="19"/>
        <v>3.1601037767609905E-2</v>
      </c>
      <c r="BY58" s="3">
        <f t="shared" si="20"/>
        <v>1959</v>
      </c>
      <c r="BZ58" s="3">
        <v>1709</v>
      </c>
      <c r="CA58" s="4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381812948.62881517</v>
      </c>
      <c r="CB58" s="6">
        <f t="shared" si="21"/>
        <v>2.1650198921781678E-2</v>
      </c>
      <c r="CC58" s="5">
        <f t="shared" si="22"/>
        <v>0.12799257559941041</v>
      </c>
    </row>
    <row r="59" spans="1:81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2923907277.0988097</v>
      </c>
      <c r="D59" s="5">
        <f t="shared" si="1"/>
        <v>2.0292839866622121E-2</v>
      </c>
      <c r="K59" s="3">
        <f t="shared" si="2"/>
        <v>1958</v>
      </c>
      <c r="L59" s="3">
        <v>1708</v>
      </c>
      <c r="M59" s="4">
        <f>'Areoix Lie'!C59 + Pelines!C59 + Terressin!C59 + Taniduna!C59 + Iquir!C59 + Deschon!C59 + Othya!C59 + Eldavpir!C59 + 'Candenat'!C59 + Jau!C59 + Viussi!C59 + Jathua!C59 + Jshain!C59 + Acetoa!C59 + Sattle!C59 + 'Reerica'!C59 + 'Feio Lie'!C59 + Umendel!C59 + 'Fire Coast'!C59 + Yoprioq!C59 + 'Rijan bu'!C59 + Saa!C59 + 'Rinew'!C59 + Enina!C59 + Trevilla!C59</f>
        <v>391086841.90630811</v>
      </c>
      <c r="N59" s="5">
        <f t="shared" si="3"/>
        <v>2.5374274958128426E-2</v>
      </c>
      <c r="O59" s="5">
        <f t="shared" si="4"/>
        <v>0.13375487142477255</v>
      </c>
      <c r="V59" s="3">
        <f t="shared" si="5"/>
        <v>1958</v>
      </c>
      <c r="W59" s="3">
        <v>1708</v>
      </c>
      <c r="X59" s="4">
        <f>Aetintio!C59 + Arbiya!C59 + 'Curata'!C59 + 'Disal Nila'!C59 + Etirha!C59 + Fincen!C59 + Gaeiya!C59 + Genaire!C59 + Grazail!C59 + Guise!C59 + Laselteh!C59 + Lasri!C59 + Metndria!C59 + 'New Misos'!C59 + Peka!C59 + Pelan!C59 + Phuris!C59 + 'Raledria'!C59 + Slyiaduun!C59 + Tomscilus!C59</f>
        <v>236822111.20945472</v>
      </c>
      <c r="Y59" s="5">
        <f t="shared" si="6"/>
        <v>2.0582540949011689E-2</v>
      </c>
      <c r="Z59" s="5">
        <f t="shared" si="7"/>
        <v>8.099508252684294E-2</v>
      </c>
      <c r="AG59" s="3">
        <f t="shared" si="8"/>
        <v>1958</v>
      </c>
      <c r="AH59" s="3">
        <v>1708</v>
      </c>
      <c r="AI59" s="4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616020232.1791296</v>
      </c>
      <c r="AJ59" s="5">
        <f t="shared" si="9"/>
        <v>1.4564809688207723E-2</v>
      </c>
      <c r="AK59" s="5">
        <f t="shared" si="10"/>
        <v>0.21068391498049271</v>
      </c>
      <c r="AR59" s="3">
        <f t="shared" si="11"/>
        <v>1958</v>
      </c>
      <c r="AS59" s="3">
        <v>1708</v>
      </c>
      <c r="AT59" s="4">
        <f>Amcha!C59 + Byllu!C59 + 'Chaenia'!C59 + 'Cruthi Anoso'!C59 + 'Dual Cenryia'!C59 + Exilium!C59 + Galca!C59 + Inania!C59 + Inrea!C59 + Isnti!C59 + Lieri!C59 + Ocaun!C59 + Otiiric!C59 + Ozinia!C59 + Pelugrotoa!C59 + 'Rtesania'!C59 + Sadain!C59 + Selaja!C59 + Seytinemas!C59 + Sivoso!C59 + Sunsokua!C59 + Taing!C59 + Taoisia!C59 + Trian!C59 + Vayvele!C59</f>
        <v>482025042.33901185</v>
      </c>
      <c r="AU59" s="5">
        <f t="shared" si="12"/>
        <v>3.0301220724602083E-2</v>
      </c>
      <c r="AV59" s="5">
        <f t="shared" si="13"/>
        <v>0.1648564734300644</v>
      </c>
      <c r="BC59" s="3">
        <f t="shared" si="14"/>
        <v>1958</v>
      </c>
      <c r="BD59" s="3">
        <v>1708</v>
      </c>
      <c r="BE59" s="4">
        <f>'Canldives'!C59 + 'Cloja'!C59 + Dahe!C59 + Eparia!C59 + Etretes!C59 + Haiza!C59 + Ihner!C59 + Kaastini!C59 + Kusierna!C59 + Migoku!C59 + 'North Ayre'!C59 + Oscairia!C59 + Oyreain!C59 + 'Pha Hii'!C59 + 'Pruim Fijan'!C59 + 'Prystr Hii'!C59 + 'Ruylku'!C59 + Sanagara!C59 + Shinam!C59 + Stinebar!C59 + Suenan!C59 + Taval!C59 + Ucrua!C59 + Vesozata!C59 + 'Welenu Fana'!C59 + 'Western Migoku'!C59</f>
        <v>725582752.19005466</v>
      </c>
      <c r="BF59" s="5">
        <f t="shared" si="15"/>
        <v>1.5137288718167052E-2</v>
      </c>
      <c r="BG59" s="5">
        <f t="shared" si="16"/>
        <v>0.24815518531422107</v>
      </c>
      <c r="BN59" s="3">
        <f t="shared" si="17"/>
        <v>1958</v>
      </c>
      <c r="BO59" s="3">
        <v>1708</v>
      </c>
      <c r="BP59" s="4">
        <f>Andsaudare!C59 + Aplasia!C59 + Astye!C59 + 'Crila Republic'!C59 + 'Elja and Munusia'!C59 + Hiwush!C59 + Iainoa!C59 + Isari!C59 + Isuibul!C59 + Maalle!C59 + Mendereide!C59 + Nia!C59 + 'Niretui and Anulan'!C59 + Ohtina!C59 + Prstreula!C59 + 'Rethern'!C59 + 'Rkmepuia'!C59 + Tvecoca!C59 + Umarcia!C59 + 'United Delet'!C59 + Veelmit!C59 + Walporein!C59 + Yutnitu!C59</f>
        <v>92307165.999119774</v>
      </c>
      <c r="BQ59" s="7">
        <f t="shared" si="18"/>
        <v>2.1040466117863432E-2</v>
      </c>
      <c r="BR59" s="5">
        <f t="shared" si="19"/>
        <v>3.1569799330541617E-2</v>
      </c>
      <c r="BY59" s="3">
        <f t="shared" si="20"/>
        <v>1958</v>
      </c>
      <c r="BZ59" s="3">
        <v>1708</v>
      </c>
      <c r="CA59" s="4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373721797.37425673</v>
      </c>
      <c r="CB59" s="7">
        <f t="shared" si="21"/>
        <v>2.1386335301534852E-2</v>
      </c>
      <c r="CC59" s="5">
        <f t="shared" si="22"/>
        <v>0.12781588537413366</v>
      </c>
    </row>
    <row r="60" spans="1:81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2865753010.1662164</v>
      </c>
      <c r="D60" s="5">
        <f t="shared" si="1"/>
        <v>2.0383910442590088E-2</v>
      </c>
      <c r="K60" s="3">
        <f t="shared" si="2"/>
        <v>1957</v>
      </c>
      <c r="L60" s="3">
        <v>1707</v>
      </c>
      <c r="M60" s="4">
        <f>'Areoix Lie'!C60 + Pelines!C60 + Terressin!C60 + Taniduna!C60 + Iquir!C60 + Deschon!C60 + Othya!C60 + Eldavpir!C60 + 'Candenat'!C60 + Jau!C60 + Viussi!C60 + Jathua!C60 + Jshain!C60 + Acetoa!C60 + Sattle!C60 + 'Reerica'!C60 + 'Feio Lie'!C60 + Umendel!C60 + 'Fire Coast'!C60 + Yoprioq!C60 + 'Rijan bu'!C60 + Saa!C60 + 'Rinew'!C60 + Enina!C60 + Trevilla!C60</f>
        <v>381408868.40785849</v>
      </c>
      <c r="N60" s="5">
        <f t="shared" si="3"/>
        <v>2.5342039767939212E-2</v>
      </c>
      <c r="O60" s="5">
        <f t="shared" si="4"/>
        <v>0.13309202400025968</v>
      </c>
      <c r="V60" s="3">
        <f t="shared" si="5"/>
        <v>1957</v>
      </c>
      <c r="W60" s="3">
        <v>1707</v>
      </c>
      <c r="X60" s="4">
        <f>Aetintio!C60 + Arbiya!C60 + 'Curata'!C60 + 'Disal Nila'!C60 + Etirha!C60 + Fincen!C60 + Gaeiya!C60 + Genaire!C60 + Grazail!C60 + Guise!C60 + Laselteh!C60 + Lasri!C60 + Metndria!C60 + 'New Misos'!C60 + Peka!C60 + Pelan!C60 + Phuris!C60 + 'Raledria'!C60 + Slyiaduun!C60 + Tomscilus!C60</f>
        <v>232046014.61165535</v>
      </c>
      <c r="Y60" s="5">
        <f t="shared" si="6"/>
        <v>2.0878911528766135E-2</v>
      </c>
      <c r="Z60" s="5">
        <f t="shared" si="7"/>
        <v>8.0972091379988287E-2</v>
      </c>
      <c r="AG60" s="3">
        <f t="shared" si="8"/>
        <v>1957</v>
      </c>
      <c r="AH60" s="3">
        <v>1707</v>
      </c>
      <c r="AI60" s="4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607176817.38679922</v>
      </c>
      <c r="AJ60" s="5">
        <f t="shared" si="9"/>
        <v>1.4265237776873208E-2</v>
      </c>
      <c r="AK60" s="5">
        <f t="shared" si="10"/>
        <v>0.21187339426421203</v>
      </c>
      <c r="AR60" s="3">
        <f t="shared" si="11"/>
        <v>1957</v>
      </c>
      <c r="AS60" s="3">
        <v>1707</v>
      </c>
      <c r="AT60" s="4">
        <f>Amcha!C60 + Byllu!C60 + 'Chaenia'!C60 + 'Cruthi Anoso'!C60 + 'Dual Cenryia'!C60 + Exilium!C60 + Galca!C60 + Inania!C60 + Inrea!C60 + Isnti!C60 + Lieri!C60 + Ocaun!C60 + Otiiric!C60 + Ozinia!C60 + Pelugrotoa!C60 + 'Rtesania'!C60 + Sadain!C60 + Selaja!C60 + Seytinemas!C60 + Sivoso!C60 + Sunsokua!C60 + Taing!C60 + Taoisia!C60 + Trian!C60 + Vayvele!C60</f>
        <v>467848656.91997117</v>
      </c>
      <c r="AU60" s="5">
        <f t="shared" si="12"/>
        <v>3.0758722548929349E-2</v>
      </c>
      <c r="AV60" s="5">
        <f t="shared" si="13"/>
        <v>0.16325505207890736</v>
      </c>
      <c r="BC60" s="3">
        <f t="shared" si="14"/>
        <v>1957</v>
      </c>
      <c r="BD60" s="3">
        <v>1707</v>
      </c>
      <c r="BE60" s="4">
        <f>'Canldives'!C60 + 'Cloja'!C60 + Dahe!C60 + Eparia!C60 + Etretes!C60 + Haiza!C60 + Ihner!C60 + Kaastini!C60 + Kusierna!C60 + Migoku!C60 + 'North Ayre'!C60 + Oscairia!C60 + Oyreain!C60 + 'Pha Hii'!C60 + 'Pruim Fijan'!C60 + 'Prystr Hii'!C60 + 'Ruylku'!C60 + Sanagara!C60 + Shinam!C60 + Stinebar!C60 + Suenan!C60 + Taval!C60 + Ucrua!C60 + Vesozata!C60 + 'Welenu Fana'!C60 + 'Western Migoku'!C60</f>
        <v>714763175.63534844</v>
      </c>
      <c r="BF60" s="5">
        <f t="shared" si="15"/>
        <v>1.5555547864616997E-2</v>
      </c>
      <c r="BG60" s="5">
        <f t="shared" si="16"/>
        <v>0.24941548455143783</v>
      </c>
      <c r="BN60" s="3">
        <f t="shared" si="17"/>
        <v>1957</v>
      </c>
      <c r="BO60" s="3">
        <v>1707</v>
      </c>
      <c r="BP60" s="4">
        <f>Andsaudare!C60 + Aplasia!C60 + Astye!C60 + 'Crila Republic'!C60 + 'Elja and Munusia'!C60 + Hiwush!C60 + Iainoa!C60 + Isari!C60 + Isuibul!C60 + Maalle!C60 + Mendereide!C60 + Nia!C60 + 'Niretui and Anulan'!C60 + Ohtina!C60 + Prstreula!C60 + 'Rethern'!C60 + 'Rkmepuia'!C60 + Tvecoca!C60 + Umarcia!C60 + 'United Delet'!C60 + Veelmit!C60 + Walporein!C60 + Yutnitu!C60</f>
        <v>90405002.604925483</v>
      </c>
      <c r="BQ60" s="6">
        <f t="shared" si="18"/>
        <v>2.0977774262170835E-2</v>
      </c>
      <c r="BR60" s="5">
        <f t="shared" si="19"/>
        <v>3.154668329204055E-2</v>
      </c>
      <c r="BY60" s="3">
        <f t="shared" si="20"/>
        <v>1957</v>
      </c>
      <c r="BZ60" s="3">
        <v>1707</v>
      </c>
      <c r="CA60" s="4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365896609.79155958</v>
      </c>
      <c r="CB60" s="6">
        <f t="shared" si="21"/>
        <v>2.1323261157084161E-2</v>
      </c>
      <c r="CC60" s="5">
        <f t="shared" si="22"/>
        <v>0.12767904578431805</v>
      </c>
    </row>
    <row r="61" spans="1:81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2808504701.8461905</v>
      </c>
      <c r="D61" s="5">
        <f t="shared" si="1"/>
        <v>2.0151681986547283E-2</v>
      </c>
      <c r="K61" s="3">
        <f t="shared" si="2"/>
        <v>1956</v>
      </c>
      <c r="L61" s="3">
        <v>1706</v>
      </c>
      <c r="M61" s="4">
        <f>'Areoix Lie'!C61 + Pelines!C61 + Terressin!C61 + Taniduna!C61 + Iquir!C61 + Deschon!C61 + Othya!C61 + Eldavpir!C61 + 'Candenat'!C61 + Jau!C61 + Viussi!C61 + Jathua!C61 + Jshain!C61 + Acetoa!C61 + Sattle!C61 + 'Reerica'!C61 + 'Feio Lie'!C61 + Umendel!C61 + 'Fire Coast'!C61 + Yoprioq!C61 + 'Rijan bu'!C61 + Saa!C61 + 'Rinew'!C61 + Enina!C61 + Trevilla!C61</f>
        <v>371982083.65101361</v>
      </c>
      <c r="N61" s="5">
        <f t="shared" si="3"/>
        <v>2.5268353755831564E-2</v>
      </c>
      <c r="O61" s="5">
        <f t="shared" si="4"/>
        <v>0.13244844610959297</v>
      </c>
      <c r="V61" s="3">
        <f t="shared" si="5"/>
        <v>1956</v>
      </c>
      <c r="W61" s="3">
        <v>1706</v>
      </c>
      <c r="X61" s="4">
        <f>Aetintio!C61 + Arbiya!C61 + 'Curata'!C61 + 'Disal Nila'!C61 + Etirha!C61 + Fincen!C61 + Gaeiya!C61 + Genaire!C61 + Grazail!C61 + Guise!C61 + Laselteh!C61 + Lasri!C61 + Metndria!C61 + 'New Misos'!C61 + Peka!C61 + Pelan!C61 + Phuris!C61 + 'Raledria'!C61 + Slyiaduun!C61 + Tomscilus!C61</f>
        <v>227300233.15318215</v>
      </c>
      <c r="Y61" s="5">
        <f t="shared" si="6"/>
        <v>2.0962837713252466E-2</v>
      </c>
      <c r="Z61" s="5">
        <f t="shared" si="7"/>
        <v>8.0932829844922366E-2</v>
      </c>
      <c r="AG61" s="3">
        <f t="shared" si="8"/>
        <v>1956</v>
      </c>
      <c r="AH61" s="3">
        <v>1706</v>
      </c>
      <c r="AI61" s="4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598637116.57676983</v>
      </c>
      <c r="AJ61" s="5">
        <f t="shared" si="9"/>
        <v>1.3523344100402228E-2</v>
      </c>
      <c r="AK61" s="5">
        <f t="shared" si="10"/>
        <v>0.21315154508491707</v>
      </c>
      <c r="AR61" s="3">
        <f t="shared" si="11"/>
        <v>1956</v>
      </c>
      <c r="AS61" s="3">
        <v>1706</v>
      </c>
      <c r="AT61" s="4">
        <f>Amcha!C61 + Byllu!C61 + 'Chaenia'!C61 + 'Cruthi Anoso'!C61 + 'Dual Cenryia'!C61 + Exilium!C61 + Galca!C61 + Inania!C61 + Inrea!C61 + Isnti!C61 + Lieri!C61 + Ocaun!C61 + Otiiric!C61 + Ozinia!C61 + Pelugrotoa!C61 + 'Rtesania'!C61 + Sadain!C61 + Selaja!C61 + Seytinemas!C61 + Sivoso!C61 + Sunsokua!C61 + Taing!C61 + Taoisia!C61 + Trian!C61 + Vayvele!C61</f>
        <v>453887652.54689634</v>
      </c>
      <c r="AU61" s="5">
        <f t="shared" si="12"/>
        <v>3.0569459681035541E-2</v>
      </c>
      <c r="AV61" s="5">
        <f t="shared" si="13"/>
        <v>0.16161185425416238</v>
      </c>
      <c r="BC61" s="3">
        <f t="shared" si="14"/>
        <v>1956</v>
      </c>
      <c r="BD61" s="3">
        <v>1706</v>
      </c>
      <c r="BE61" s="4">
        <f>'Canldives'!C61 + 'Cloja'!C61 + Dahe!C61 + Eparia!C61 + Etretes!C61 + Haiza!C61 + Ihner!C61 + Kaastini!C61 + Kusierna!C61 + Migoku!C61 + 'North Ayre'!C61 + Oscairia!C61 + Oyreain!C61 + 'Pha Hii'!C61 + 'Pruim Fijan'!C61 + 'Prystr Hii'!C61 + 'Ruylku'!C61 + Sanagara!C61 + Shinam!C61 + Stinebar!C61 + Suenan!C61 + Taval!C61 + Ucrua!C61 + Vesozata!C61 + 'Welenu Fana'!C61 + 'Western Migoku'!C61</f>
        <v>703814948.51587677</v>
      </c>
      <c r="BF61" s="5">
        <f t="shared" si="15"/>
        <v>1.5609125819183462E-2</v>
      </c>
      <c r="BG61" s="5">
        <f t="shared" si="16"/>
        <v>0.25060130682822751</v>
      </c>
      <c r="BN61" s="3">
        <f t="shared" si="17"/>
        <v>1956</v>
      </c>
      <c r="BO61" s="3">
        <v>1706</v>
      </c>
      <c r="BP61" s="4">
        <f>Andsaudare!C61 + Aplasia!C61 + Astye!C61 + 'Crila Republic'!C61 + 'Elja and Munusia'!C61 + Hiwush!C61 + Iainoa!C61 + Isari!C61 + Isuibul!C61 + Maalle!C61 + Mendereide!C61 + Nia!C61 + 'Niretui and Anulan'!C61 + Ohtina!C61 + Prstreula!C61 + 'Rethern'!C61 + 'Rkmepuia'!C61 + Tvecoca!C61 + Umarcia!C61 + 'United Delet'!C61 + Veelmit!C61 + Walporein!C61 + Yutnitu!C61</f>
        <v>88547473.690363526</v>
      </c>
      <c r="BQ61" s="7">
        <f t="shared" si="18"/>
        <v>2.0774897899146216E-2</v>
      </c>
      <c r="BR61" s="5">
        <f t="shared" si="19"/>
        <v>3.1528333789918962E-2</v>
      </c>
      <c r="BY61" s="3">
        <f t="shared" si="20"/>
        <v>1956</v>
      </c>
      <c r="BZ61" s="3">
        <v>1706</v>
      </c>
      <c r="CA61" s="4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358257393.82164431</v>
      </c>
      <c r="CB61" s="7">
        <f t="shared" si="21"/>
        <v>2.1203966726709371E-2</v>
      </c>
      <c r="CC61" s="5">
        <f t="shared" si="22"/>
        <v>0.12756161440147892</v>
      </c>
    </row>
    <row r="62" spans="1:81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2753026585.592814</v>
      </c>
      <c r="D62" s="5">
        <f t="shared" si="1"/>
        <v>2.0028125633084065E-2</v>
      </c>
      <c r="K62" s="3">
        <f t="shared" si="2"/>
        <v>1955</v>
      </c>
      <c r="L62" s="3">
        <v>1705</v>
      </c>
      <c r="M62" s="4">
        <f>'Areoix Lie'!C62 + Pelines!C62 + Terressin!C62 + Taniduna!C62 + Iquir!C62 + Deschon!C62 + Othya!C62 + Eldavpir!C62 + 'Candenat'!C62 + Jau!C62 + Viussi!C62 + Jathua!C62 + Jshain!C62 + Acetoa!C62 + Sattle!C62 + 'Reerica'!C62 + 'Feio Lie'!C62 + Umendel!C62 + 'Fire Coast'!C62 + Yoprioq!C62 + 'Rijan bu'!C62 + Saa!C62 + 'Rinew'!C62 + Enina!C62 + Trevilla!C62</f>
        <v>362814362.00419527</v>
      </c>
      <c r="N62" s="5">
        <f t="shared" si="3"/>
        <v>2.5193823304247125E-2</v>
      </c>
      <c r="O62" s="5">
        <f t="shared" si="4"/>
        <v>0.13178745308994894</v>
      </c>
      <c r="V62" s="3">
        <f t="shared" si="5"/>
        <v>1955</v>
      </c>
      <c r="W62" s="3">
        <v>1705</v>
      </c>
      <c r="X62" s="4">
        <f>Aetintio!C62 + Arbiya!C62 + 'Curata'!C62 + 'Disal Nila'!C62 + Etirha!C62 + Fincen!C62 + Gaeiya!C62 + Genaire!C62 + Grazail!C62 + Guise!C62 + Laselteh!C62 + Lasri!C62 + Metndria!C62 + 'New Misos'!C62 + Peka!C62 + Pelan!C62 + Phuris!C62 + 'Raledria'!C62 + Slyiaduun!C62 + Tomscilus!C62</f>
        <v>222633209.31669569</v>
      </c>
      <c r="Y62" s="5">
        <f t="shared" si="6"/>
        <v>2.0904859984855858E-2</v>
      </c>
      <c r="Z62" s="5">
        <f t="shared" si="7"/>
        <v>8.0868528651987459E-2</v>
      </c>
      <c r="AG62" s="3">
        <f t="shared" si="8"/>
        <v>1955</v>
      </c>
      <c r="AH62" s="3">
        <v>1705</v>
      </c>
      <c r="AI62" s="4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590649559.34302318</v>
      </c>
      <c r="AJ62" s="5">
        <f t="shared" si="9"/>
        <v>1.3710407036118527E-2</v>
      </c>
      <c r="AK62" s="5">
        <f t="shared" si="10"/>
        <v>0.21454553415285585</v>
      </c>
      <c r="AR62" s="3">
        <f t="shared" si="11"/>
        <v>1955</v>
      </c>
      <c r="AS62" s="3">
        <v>1705</v>
      </c>
      <c r="AT62" s="4">
        <f>Amcha!C62 + Byllu!C62 + 'Chaenia'!C62 + 'Cruthi Anoso'!C62 + 'Dual Cenryia'!C62 + Exilium!C62 + Galca!C62 + Inania!C62 + Inrea!C62 + Isnti!C62 + Lieri!C62 + Ocaun!C62 + Otiiric!C62 + Ozinia!C62 + Pelugrotoa!C62 + 'Rtesania'!C62 + Sadain!C62 + Selaja!C62 + Seytinemas!C62 + Sivoso!C62 + Sunsokua!C62 + Taing!C62 + Taoisia!C62 + Trian!C62 + Vayvele!C62</f>
        <v>440424125.01470399</v>
      </c>
      <c r="AU62" s="5">
        <f t="shared" si="12"/>
        <v>2.9987151108705517E-2</v>
      </c>
      <c r="AV62" s="5">
        <f t="shared" si="13"/>
        <v>0.15997815906302507</v>
      </c>
      <c r="BC62" s="3">
        <f t="shared" si="14"/>
        <v>1955</v>
      </c>
      <c r="BD62" s="3">
        <v>1705</v>
      </c>
      <c r="BE62" s="4">
        <f>'Canldives'!C62 + 'Cloja'!C62 + Dahe!C62 + Eparia!C62 + Etretes!C62 + Haiza!C62 + Ihner!C62 + Kaastini!C62 + Kusierna!C62 + Migoku!C62 + 'North Ayre'!C62 + Oscairia!C62 + Oyreain!C62 + 'Pha Hii'!C62 + 'Pruim Fijan'!C62 + 'Prystr Hii'!C62 + 'Ruylku'!C62 + Sanagara!C62 + Shinam!C62 + Stinebar!C62 + Suenan!C62 + Taval!C62 + Ucrua!C62 + Vesozata!C62 + 'Welenu Fana'!C62 + 'Western Migoku'!C62</f>
        <v>692997857.76165056</v>
      </c>
      <c r="BF62" s="5">
        <f t="shared" si="15"/>
        <v>1.5630296567816004E-2</v>
      </c>
      <c r="BG62" s="5">
        <f t="shared" si="16"/>
        <v>0.25172218146684777</v>
      </c>
      <c r="BN62" s="3">
        <f t="shared" si="17"/>
        <v>1955</v>
      </c>
      <c r="BO62" s="3">
        <v>1705</v>
      </c>
      <c r="BP62" s="4">
        <f>Andsaudare!C62 + Aplasia!C62 + Astye!C62 + 'Crila Republic'!C62 + 'Elja and Munusia'!C62 + Hiwush!C62 + Iainoa!C62 + Isari!C62 + Isuibul!C62 + Maalle!C62 + Mendereide!C62 + Nia!C62 + 'Niretui and Anulan'!C62 + Ohtina!C62 + Prstreula!C62 + 'Rethern'!C62 + 'Rkmepuia'!C62 + Tvecoca!C62 + Umarcia!C62 + 'United Delet'!C62 + Veelmit!C62 + Walporein!C62 + Yutnitu!C62</f>
        <v>86745347.943609133</v>
      </c>
      <c r="BQ62" s="6">
        <f t="shared" si="18"/>
        <v>2.0556030876588673E-2</v>
      </c>
      <c r="BR62" s="5">
        <f t="shared" si="19"/>
        <v>3.1509084727901419E-2</v>
      </c>
      <c r="BY62" s="3">
        <f t="shared" si="20"/>
        <v>1955</v>
      </c>
      <c r="BZ62" s="3">
        <v>1705</v>
      </c>
      <c r="CA62" s="4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350818646.90554982</v>
      </c>
      <c r="CB62" s="6">
        <f t="shared" si="21"/>
        <v>2.099964000752564E-2</v>
      </c>
      <c r="CC62" s="5">
        <f t="shared" si="22"/>
        <v>0.12743017039554214</v>
      </c>
    </row>
    <row r="63" spans="1:81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2698971250.3114934</v>
      </c>
      <c r="D63" s="5">
        <f t="shared" si="1"/>
        <v>1.9559744449577997E-2</v>
      </c>
      <c r="K63" s="3">
        <f t="shared" si="2"/>
        <v>1954</v>
      </c>
      <c r="L63" s="3">
        <v>1704</v>
      </c>
      <c r="M63" s="4">
        <f>'Areoix Lie'!C63 + Pelines!C63 + Terressin!C63 + Taniduna!C63 + Iquir!C63 + Deschon!C63 + Othya!C63 + Eldavpir!C63 + 'Candenat'!C63 + Jau!C63 + Viussi!C63 + Jathua!C63 + Jshain!C63 + Acetoa!C63 + Sattle!C63 + 'Reerica'!C63 + 'Feio Lie'!C63 + Umendel!C63 + 'Fire Coast'!C63 + Yoprioq!C63 + 'Rijan bu'!C63 + Saa!C63 + 'Rinew'!C63 + Enina!C63 + Trevilla!C63</f>
        <v>353898310.50174278</v>
      </c>
      <c r="N63" s="5">
        <f t="shared" si="3"/>
        <v>2.5046834811386174E-2</v>
      </c>
      <c r="O63" s="5">
        <f t="shared" si="4"/>
        <v>0.13112340876580242</v>
      </c>
      <c r="V63" s="3">
        <f t="shared" si="5"/>
        <v>1954</v>
      </c>
      <c r="W63" s="3">
        <v>1704</v>
      </c>
      <c r="X63" s="4">
        <f>Aetintio!C63 + Arbiya!C63 + 'Curata'!C63 + 'Disal Nila'!C63 + Etirha!C63 + Fincen!C63 + Gaeiya!C63 + Genaire!C63 + Grazail!C63 + Guise!C63 + Laselteh!C63 + Lasri!C63 + Metndria!C63 + 'New Misos'!C63 + Peka!C63 + Pelan!C63 + Phuris!C63 + 'Raledria'!C63 + Slyiaduun!C63 + Tomscilus!C63</f>
        <v>218074394.63065955</v>
      </c>
      <c r="Y63" s="5">
        <f t="shared" si="6"/>
        <v>2.0978983102388611E-2</v>
      </c>
      <c r="Z63" s="5">
        <f t="shared" si="7"/>
        <v>8.0799080244182364E-2</v>
      </c>
      <c r="AG63" s="3">
        <f t="shared" si="8"/>
        <v>1954</v>
      </c>
      <c r="AH63" s="3">
        <v>1704</v>
      </c>
      <c r="AI63" s="4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582661039.32972479</v>
      </c>
      <c r="AJ63" s="5">
        <f t="shared" si="9"/>
        <v>1.251607466393719E-2</v>
      </c>
      <c r="AK63" s="5">
        <f t="shared" si="10"/>
        <v>0.21588264019577044</v>
      </c>
      <c r="AR63" s="3">
        <f t="shared" si="11"/>
        <v>1954</v>
      </c>
      <c r="AS63" s="3">
        <v>1704</v>
      </c>
      <c r="AT63" s="4">
        <f>Amcha!C63 + Byllu!C63 + 'Chaenia'!C63 + 'Cruthi Anoso'!C63 + 'Dual Cenryia'!C63 + Exilium!C63 + Galca!C63 + Inania!C63 + Inrea!C63 + Isnti!C63 + Lieri!C63 + Ocaun!C63 + Otiiric!C63 + Ozinia!C63 + Pelugrotoa!C63 + 'Rtesania'!C63 + Sadain!C63 + Selaja!C63 + Seytinemas!C63 + Sivoso!C63 + Sunsokua!C63 + Taing!C63 + Taoisia!C63 + Trian!C63 + Vayvele!C63</f>
        <v>427601572.05904925</v>
      </c>
      <c r="AU63" s="5">
        <f t="shared" si="12"/>
        <v>2.9287443540554538E-2</v>
      </c>
      <c r="AV63" s="5">
        <f t="shared" si="13"/>
        <v>0.15843131786220357</v>
      </c>
      <c r="BC63" s="3">
        <f t="shared" si="14"/>
        <v>1954</v>
      </c>
      <c r="BD63" s="3">
        <v>1704</v>
      </c>
      <c r="BE63" s="4">
        <f>'Canldives'!C63 + 'Cloja'!C63 + Dahe!C63 + Eparia!C63 + Etretes!C63 + Haiza!C63 + Ihner!C63 + Kaastini!C63 + Kusierna!C63 + Migoku!C63 + 'North Ayre'!C63 + Oscairia!C63 + Oyreain!C63 + 'Pha Hii'!C63 + 'Pruim Fijan'!C63 + 'Prystr Hii'!C63 + 'Ruylku'!C63 + Sanagara!C63 + Shinam!C63 + Stinebar!C63 + Suenan!C63 + Taval!C63 + Ucrua!C63 + Vesozata!C63 + 'Welenu Fana'!C63 + 'Western Migoku'!C63</f>
        <v>682332793.8360467</v>
      </c>
      <c r="BF63" s="5">
        <f t="shared" si="15"/>
        <v>1.5581256608235002E-2</v>
      </c>
      <c r="BG63" s="5">
        <f t="shared" si="16"/>
        <v>0.25281217566037334</v>
      </c>
      <c r="BN63" s="3">
        <f t="shared" si="17"/>
        <v>1954</v>
      </c>
      <c r="BO63" s="3">
        <v>1704</v>
      </c>
      <c r="BP63" s="4">
        <f>Andsaudare!C63 + Aplasia!C63 + Astye!C63 + 'Crila Republic'!C63 + 'Elja and Munusia'!C63 + Hiwush!C63 + Iainoa!C63 + Isari!C63 + Isuibul!C63 + Maalle!C63 + Mendereide!C63 + Nia!C63 + 'Niretui and Anulan'!C63 + Ohtina!C63 + Prstreula!C63 + 'Rethern'!C63 + 'Rkmepuia'!C63 + Tvecoca!C63 + Umarcia!C63 + 'United Delet'!C63 + Veelmit!C63 + Walporein!C63 + Yutnitu!C63</f>
        <v>84998123.884585485</v>
      </c>
      <c r="BQ63" s="7">
        <f t="shared" si="18"/>
        <v>2.0354259355256615E-2</v>
      </c>
      <c r="BR63" s="5">
        <f t="shared" si="19"/>
        <v>3.1492785954935862E-2</v>
      </c>
      <c r="BY63" s="3">
        <f t="shared" si="20"/>
        <v>1954</v>
      </c>
      <c r="BZ63" s="3">
        <v>1704</v>
      </c>
      <c r="CA63" s="4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343603105.38695586</v>
      </c>
      <c r="CB63" s="7">
        <f t="shared" si="21"/>
        <v>2.0691596816964988E-2</v>
      </c>
      <c r="CC63" s="5">
        <f t="shared" si="22"/>
        <v>0.12730891644262604</v>
      </c>
    </row>
    <row r="64" spans="1:81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2647192834.9510961</v>
      </c>
      <c r="D64" s="5">
        <f t="shared" si="1"/>
        <v>1.9362706539855487E-2</v>
      </c>
      <c r="K64" s="3">
        <f t="shared" si="2"/>
        <v>1953</v>
      </c>
      <c r="L64" s="3">
        <v>1703</v>
      </c>
      <c r="M64" s="4">
        <f>'Areoix Lie'!C64 + Pelines!C64 + Terressin!C64 + Taniduna!C64 + Iquir!C64 + Deschon!C64 + Othya!C64 + Eldavpir!C64 + 'Candenat'!C64 + Jau!C64 + Viussi!C64 + Jathua!C64 + Jshain!C64 + Acetoa!C64 + Sattle!C64 + 'Reerica'!C64 + 'Feio Lie'!C64 + Umendel!C64 + 'Fire Coast'!C64 + Yoprioq!C64 + 'Rijan bu'!C64 + Saa!C64 + 'Rinew'!C64 + Enina!C64 + Trevilla!C64</f>
        <v>345250869.01698679</v>
      </c>
      <c r="N64" s="5">
        <f t="shared" si="3"/>
        <v>2.4879994028622378E-2</v>
      </c>
      <c r="O64" s="5">
        <f t="shared" si="4"/>
        <v>0.13042150328401175</v>
      </c>
      <c r="V64" s="3">
        <f t="shared" si="5"/>
        <v>1953</v>
      </c>
      <c r="W64" s="3">
        <v>1703</v>
      </c>
      <c r="X64" s="4">
        <f>Aetintio!C64 + Arbiya!C64 + 'Curata'!C64 + 'Disal Nila'!C64 + Etirha!C64 + Fincen!C64 + Gaeiya!C64 + Genaire!C64 + Grazail!C64 + Guise!C64 + Laselteh!C64 + Lasri!C64 + Metndria!C64 + 'New Misos'!C64 + Peka!C64 + Pelan!C64 + Phuris!C64 + 'Raledria'!C64 + Slyiaduun!C64 + Tomscilus!C64</f>
        <v>213593421.84303319</v>
      </c>
      <c r="Y64" s="5">
        <f t="shared" si="6"/>
        <v>2.1088388366834677E-2</v>
      </c>
      <c r="Z64" s="5">
        <f t="shared" si="7"/>
        <v>8.0686763360395347E-2</v>
      </c>
      <c r="AG64" s="3">
        <f t="shared" si="8"/>
        <v>1953</v>
      </c>
      <c r="AH64" s="3">
        <v>1703</v>
      </c>
      <c r="AI64" s="4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575458557.06351626</v>
      </c>
      <c r="AJ64" s="5">
        <f t="shared" si="9"/>
        <v>1.242392354907353E-2</v>
      </c>
      <c r="AK64" s="5">
        <f t="shared" si="10"/>
        <v>0.21738444946876989</v>
      </c>
      <c r="AR64" s="3">
        <f t="shared" si="11"/>
        <v>1953</v>
      </c>
      <c r="AS64" s="3">
        <v>1703</v>
      </c>
      <c r="AT64" s="4">
        <f>Amcha!C64 + Byllu!C64 + 'Chaenia'!C64 + 'Cruthi Anoso'!C64 + 'Dual Cenryia'!C64 + Exilium!C64 + Galca!C64 + Inania!C64 + Inrea!C64 + Isnti!C64 + Lieri!C64 + Ocaun!C64 + Otiiric!C64 + Ozinia!C64 + Pelugrotoa!C64 + 'Rtesania'!C64 + Sadain!C64 + Selaja!C64 + Seytinemas!C64 + Sivoso!C64 + Sunsokua!C64 + Taing!C64 + Taoisia!C64 + Trian!C64 + Vayvele!C64</f>
        <v>415434555.95667285</v>
      </c>
      <c r="AU64" s="5">
        <f t="shared" si="12"/>
        <v>2.8823665067323933E-2</v>
      </c>
      <c r="AV64" s="5">
        <f t="shared" si="13"/>
        <v>0.15693399833652372</v>
      </c>
      <c r="BC64" s="3">
        <f t="shared" si="14"/>
        <v>1953</v>
      </c>
      <c r="BD64" s="3">
        <v>1703</v>
      </c>
      <c r="BE64" s="4">
        <f>'Canldives'!C64 + 'Cloja'!C64 + Dahe!C64 + Eparia!C64 + Etretes!C64 + Haiza!C64 + Ihner!C64 + Kaastini!C64 + Kusierna!C64 + Migoku!C64 + 'North Ayre'!C64 + Oscairia!C64 + Oyreain!C64 + 'Pha Hii'!C64 + 'Pruim Fijan'!C64 + 'Prystr Hii'!C64 + 'Ruylku'!C64 + Sanagara!C64 + Shinam!C64 + Stinebar!C64 + Suenan!C64 + Taval!C64 + Ucrua!C64 + Vesozata!C64 + 'Welenu Fana'!C64 + 'Western Migoku'!C64</f>
        <v>671864303.71396625</v>
      </c>
      <c r="BF64" s="5">
        <f t="shared" si="15"/>
        <v>1.5527794610900307E-2</v>
      </c>
      <c r="BG64" s="5">
        <f t="shared" si="16"/>
        <v>0.25380255448084055</v>
      </c>
      <c r="BN64" s="3">
        <f t="shared" si="17"/>
        <v>1953</v>
      </c>
      <c r="BO64" s="3">
        <v>1703</v>
      </c>
      <c r="BP64" s="4">
        <f>Andsaudare!C64 + Aplasia!C64 + Astye!C64 + 'Crila Republic'!C64 + 'Elja and Munusia'!C64 + Hiwush!C64 + Iainoa!C64 + Isari!C64 + Isuibul!C64 + Maalle!C64 + Mendereide!C64 + Nia!C64 + 'Niretui and Anulan'!C64 + Ohtina!C64 + Prstreula!C64 + 'Rethern'!C64 + 'Rkmepuia'!C64 + Tvecoca!C64 + Umarcia!C64 + 'United Delet'!C64 + Veelmit!C64 + Walporein!C64 + Yutnitu!C64</f>
        <v>83302561.934023052</v>
      </c>
      <c r="BQ64" s="6">
        <f t="shared" si="18"/>
        <v>2.0077526476975301E-2</v>
      </c>
      <c r="BR64" s="5">
        <f t="shared" si="19"/>
        <v>3.146826360141685E-2</v>
      </c>
      <c r="BY64" s="3">
        <f t="shared" si="20"/>
        <v>1953</v>
      </c>
      <c r="BZ64" s="3">
        <v>1703</v>
      </c>
      <c r="CA64" s="4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336637537.19388396</v>
      </c>
      <c r="CB64" s="6">
        <f t="shared" si="21"/>
        <v>2.0359481049985903E-2</v>
      </c>
      <c r="CC64" s="5">
        <f t="shared" si="22"/>
        <v>0.12716774265525049</v>
      </c>
    </row>
    <row r="65" spans="1:81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2596909635.7632885</v>
      </c>
      <c r="D65" s="5">
        <f t="shared" si="1"/>
        <v>1.90577792405189E-2</v>
      </c>
      <c r="K65" s="3">
        <f t="shared" si="2"/>
        <v>1952</v>
      </c>
      <c r="L65" s="3">
        <v>1702</v>
      </c>
      <c r="M65" s="4">
        <f>'Areoix Lie'!C65 + Pelines!C65 + Terressin!C65 + Taniduna!C65 + Iquir!C65 + Deschon!C65 + Othya!C65 + Eldavpir!C65 + 'Candenat'!C65 + Jau!C65 + Viussi!C65 + Jathua!C65 + Jshain!C65 + Acetoa!C65 + Sattle!C65 + 'Reerica'!C65 + 'Feio Lie'!C65 + Umendel!C65 + 'Fire Coast'!C65 + Yoprioq!C65 + 'Rijan bu'!C65 + Saa!C65 + 'Rinew'!C65 + Enina!C65 + Trevilla!C65</f>
        <v>336869556.46374416</v>
      </c>
      <c r="N65" s="5">
        <f t="shared" si="3"/>
        <v>2.4722785930462666E-2</v>
      </c>
      <c r="O65" s="5">
        <f t="shared" si="4"/>
        <v>0.12971939871320584</v>
      </c>
      <c r="V65" s="3">
        <f t="shared" si="5"/>
        <v>1952</v>
      </c>
      <c r="W65" s="3">
        <v>1702</v>
      </c>
      <c r="X65" s="4">
        <f>Aetintio!C65 + Arbiya!C65 + 'Curata'!C65 + 'Disal Nila'!C65 + Etirha!C65 + Fincen!C65 + Gaeiya!C65 + Genaire!C65 + Grazail!C65 + Guise!C65 + Laselteh!C65 + Lasri!C65 + Metndria!C65 + 'New Misos'!C65 + Peka!C65 + Pelan!C65 + Phuris!C65 + 'Raledria'!C65 + Slyiaduun!C65 + Tomscilus!C65</f>
        <v>209182108.30373085</v>
      </c>
      <c r="Y65" s="5">
        <f t="shared" si="6"/>
        <v>2.1779135546110114E-2</v>
      </c>
      <c r="Z65" s="5">
        <f t="shared" si="7"/>
        <v>8.0550399375851844E-2</v>
      </c>
      <c r="AG65" s="3">
        <f t="shared" si="8"/>
        <v>1952</v>
      </c>
      <c r="AH65" s="3">
        <v>1702</v>
      </c>
      <c r="AI65" s="4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568396838.20018208</v>
      </c>
      <c r="AJ65" s="5">
        <f t="shared" si="9"/>
        <v>1.1535090700822058E-2</v>
      </c>
      <c r="AK65" s="5">
        <f t="shared" si="10"/>
        <v>0.21887432291540551</v>
      </c>
      <c r="AR65" s="3">
        <f t="shared" si="11"/>
        <v>1952</v>
      </c>
      <c r="AS65" s="3">
        <v>1702</v>
      </c>
      <c r="AT65" s="4">
        <f>Amcha!C65 + Byllu!C65 + 'Chaenia'!C65 + 'Cruthi Anoso'!C65 + 'Dual Cenryia'!C65 + Exilium!C65 + Galca!C65 + Inania!C65 + Inrea!C65 + Isnti!C65 + Lieri!C65 + Ocaun!C65 + Otiiric!C65 + Ozinia!C65 + Pelugrotoa!C65 + 'Rtesania'!C65 + Sadain!C65 + Selaja!C65 + Seytinemas!C65 + Sivoso!C65 + Sunsokua!C65 + Taing!C65 + Taoisia!C65 + Trian!C65 + Vayvele!C65</f>
        <v>403795684.39406741</v>
      </c>
      <c r="AU65" s="5">
        <f t="shared" si="12"/>
        <v>2.8456517116444736E-2</v>
      </c>
      <c r="AV65" s="5">
        <f t="shared" si="13"/>
        <v>0.15549084913591266</v>
      </c>
      <c r="BC65" s="3">
        <f t="shared" si="14"/>
        <v>1952</v>
      </c>
      <c r="BD65" s="3">
        <v>1702</v>
      </c>
      <c r="BE65" s="4">
        <f>'Canldives'!C65 + 'Cloja'!C65 + Dahe!C65 + Eparia!C65 + Etretes!C65 + Haiza!C65 + Ihner!C65 + Kaastini!C65 + Kusierna!C65 + Migoku!C65 + 'North Ayre'!C65 + Oscairia!C65 + Oyreain!C65 + 'Pha Hii'!C65 + 'Pruim Fijan'!C65 + 'Prystr Hii'!C65 + 'Ruylku'!C65 + Sanagara!C65 + Shinam!C65 + Stinebar!C65 + Suenan!C65 + Taval!C65 + Ucrua!C65 + Vesozata!C65 + 'Welenu Fana'!C65 + 'Western Migoku'!C65</f>
        <v>661591250.65738964</v>
      </c>
      <c r="BF65" s="5">
        <f t="shared" si="15"/>
        <v>1.5560670849763114E-2</v>
      </c>
      <c r="BG65" s="5">
        <f t="shared" si="16"/>
        <v>0.25476098264887587</v>
      </c>
      <c r="BN65" s="3">
        <f t="shared" si="17"/>
        <v>1952</v>
      </c>
      <c r="BO65" s="3">
        <v>1702</v>
      </c>
      <c r="BP65" s="4">
        <f>Andsaudare!C65 + Aplasia!C65 + Astye!C65 + 'Crila Republic'!C65 + 'Elja and Munusia'!C65 + Hiwush!C65 + Iainoa!C65 + Isari!C65 + Isuibul!C65 + Maalle!C65 + Mendereide!C65 + Nia!C65 + 'Niretui and Anulan'!C65 + Ohtina!C65 + Prstreula!C65 + 'Rethern'!C65 + 'Rkmepuia'!C65 + Tvecoca!C65 + Umarcia!C65 + 'United Delet'!C65 + Veelmit!C65 + Walporein!C65 + Yutnitu!C65</f>
        <v>81662971.462300241</v>
      </c>
      <c r="BQ65" s="7">
        <f t="shared" si="18"/>
        <v>1.9744094907157925E-2</v>
      </c>
      <c r="BR65" s="5">
        <f t="shared" si="19"/>
        <v>3.1446212196866725E-2</v>
      </c>
      <c r="BY65" s="3">
        <f t="shared" si="20"/>
        <v>1952</v>
      </c>
      <c r="BZ65" s="3">
        <v>1702</v>
      </c>
      <c r="CA65" s="4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329920526.48687309</v>
      </c>
      <c r="CB65" s="7">
        <f t="shared" si="21"/>
        <v>1.9922690391425808E-2</v>
      </c>
      <c r="CC65" s="5">
        <f t="shared" si="22"/>
        <v>0.12704351431539213</v>
      </c>
    </row>
    <row r="66" spans="1:81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2548343861.0308313</v>
      </c>
      <c r="D66" s="5">
        <f>((C66-C67)/$C$67)</f>
        <v>1.874386648942384E-2</v>
      </c>
      <c r="K66" s="3">
        <f t="shared" si="2"/>
        <v>1951</v>
      </c>
      <c r="L66" s="3">
        <v>1701</v>
      </c>
      <c r="M66" s="4">
        <f>'Areoix Lie'!C66 + Pelines!C66 + Terressin!C66 + Taniduna!C66 + Iquir!C66 + Deschon!C66 + Othya!C66 + Eldavpir!C66 + 'Candenat'!C66 + Jau!C66 + Viussi!C66 + Jathua!C66 + Jshain!C66 + Acetoa!C66 + Sattle!C66 + 'Reerica'!C66 + 'Feio Lie'!C66 + Umendel!C66 + 'Fire Coast'!C66 + Yoprioq!C66 + 'Rijan bu'!C66 + Saa!C66 + 'Rinew'!C66 + Enina!C66 + Trevilla!C66</f>
        <v>328742135.03300005</v>
      </c>
      <c r="N66" s="5"/>
      <c r="O66" s="5">
        <f t="shared" si="4"/>
        <v>0.12900226694682423</v>
      </c>
      <c r="V66" s="3">
        <f t="shared" si="5"/>
        <v>1951</v>
      </c>
      <c r="W66" s="3">
        <v>1701</v>
      </c>
      <c r="X66" s="4">
        <f>Aetintio!C66 + Arbiya!C66 + 'Curata'!C66 + 'Disal Nila'!C66 + Etirha!C66 + Fincen!C66 + Gaeiya!C66 + Genaire!C66 + Grazail!C66 + Guise!C66 + Laselteh!C66 + Lasri!C66 + Metndria!C66 + 'New Misos'!C66 + Peka!C66 + Pelan!C66 + Phuris!C66 + 'Raledria'!C66 + Slyiaduun!C66 + Tomscilus!C66</f>
        <v>204723409.42049998</v>
      </c>
      <c r="Y66" s="5"/>
      <c r="Z66" s="5">
        <f t="shared" si="7"/>
        <v>8.033586540306506E-2</v>
      </c>
      <c r="AG66" s="3">
        <f t="shared" si="8"/>
        <v>1951</v>
      </c>
      <c r="AH66" s="3">
        <v>1701</v>
      </c>
      <c r="AI66" s="4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561915096.59479988</v>
      </c>
      <c r="AJ66" s="5"/>
      <c r="AK66" s="5">
        <f t="shared" si="10"/>
        <v>0.22050207006502626</v>
      </c>
      <c r="AR66" s="3">
        <f t="shared" si="11"/>
        <v>1951</v>
      </c>
      <c r="AS66" s="3">
        <v>1701</v>
      </c>
      <c r="AT66" s="4">
        <f>Amcha!C66 + Byllu!C66 + 'Chaenia'!C66 + 'Cruthi Anoso'!C66 + 'Dual Cenryia'!C66 + Exilium!C66 + Galca!C66 + Inania!C66 + Inrea!C66 + Isnti!C66 + Lieri!C66 + Ocaun!C66 + Otiiric!C66 + Ozinia!C66 + Pelugrotoa!C66 + 'Rtesania'!C66 + Sadain!C66 + Selaja!C66 + Seytinemas!C66 + Sivoso!C66 + Sunsokua!C66 + Taing!C66 + Taoisia!C66 + Trian!C66 + Vayvele!C66</f>
        <v>392623001.2389999</v>
      </c>
      <c r="AU66" s="5"/>
      <c r="AV66" s="5">
        <f t="shared" si="13"/>
        <v>0.15406986758850505</v>
      </c>
      <c r="BC66" s="3">
        <f t="shared" si="14"/>
        <v>1951</v>
      </c>
      <c r="BD66" s="3">
        <v>1701</v>
      </c>
      <c r="BE66" s="4">
        <f>'Canldives'!C66 + 'Cloja'!C66 + Dahe!C66 + Eparia!C66 + Etretes!C66 + Haiza!C66 + Ihner!C66 + Kaastini!C66 + Kusierna!C66 + Migoku!C66 + 'North Ayre'!C66 + Oscairia!C66 + Oyreain!C66 + 'Pha Hii'!C66 + 'Pruim Fijan'!C66 + 'Prystr Hii'!C66 + 'Ruylku'!C66 + Sanagara!C66 + Shinam!C66 + Stinebar!C66 + Suenan!C66 + Taval!C66 + Ucrua!C66 + Vesozata!C66 + 'Welenu Fana'!C66 + 'Western Migoku'!C66</f>
        <v>651454186.48775351</v>
      </c>
      <c r="BF66" s="5"/>
      <c r="BG66" s="5">
        <f t="shared" si="16"/>
        <v>0.25563825841942445</v>
      </c>
      <c r="BN66" s="3">
        <f t="shared" si="17"/>
        <v>1951</v>
      </c>
      <c r="BO66" s="3">
        <v>1701</v>
      </c>
      <c r="BP66" s="4">
        <f>Andsaudare!C66 + Aplasia!C66 + Astye!C66 + 'Crila Republic'!C66 + 'Elja and Munusia'!C66 + Hiwush!C66 + Iainoa!C66 + Isari!C66 + Isuibul!C66 + Maalle!C66 + Mendereide!C66 + Nia!C66 + 'Niretui and Anulan'!C66 + Ohtina!C66 + Prstreula!C66 + 'Rethern'!C66 + 'Rkmepuia'!C66 + Tvecoca!C66 + Umarcia!C66 + 'United Delet'!C66 + Veelmit!C66 + Walporein!C66 + Yutnitu!C66</f>
        <v>80081828.245090455</v>
      </c>
      <c r="BQ66" s="6"/>
      <c r="BR66" s="5">
        <f t="shared" si="19"/>
        <v>3.1425048035980722E-2</v>
      </c>
      <c r="BY66" s="3">
        <f t="shared" si="20"/>
        <v>1951</v>
      </c>
      <c r="BZ66" s="3">
        <v>1701</v>
      </c>
      <c r="CA66" s="4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323476014.01068568</v>
      </c>
      <c r="CB66" s="6"/>
      <c r="CC66" s="5">
        <f t="shared" si="22"/>
        <v>0.12693577933389111</v>
      </c>
    </row>
    <row r="67" spans="1:81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2501456887.1097956</v>
      </c>
      <c r="D67" s="5">
        <v>1.9400000000000001E-2</v>
      </c>
      <c r="K67" s="3">
        <f t="shared" si="2"/>
        <v>1950</v>
      </c>
      <c r="L67" s="3">
        <v>1700</v>
      </c>
      <c r="M67" s="4">
        <f>'Areoix Lie'!C67 + Pelines!C67 + Terressin!C67 + Taniduna!C67 + Iquir!C67 + Deschon!C67 + Othya!C67 + Eldavpir!C67 + 'Candenat'!C67 + Jau!C67 + Viussi!C67 + Jathua!C67 + Jshain!C67 + Acetoa!C67 + Sattle!C67 + 'Reerica'!C67 + 'Feio Lie'!C67 + Umendel!C67 + 'Fire Coast'!C67 + Yoprioq!C67 + 'Rijan bu'!C67 + Saa!C67 + 'Rinew'!C67 + Enina!C67 + Trevilla!C67</f>
        <v>320824711</v>
      </c>
      <c r="N67" s="8"/>
      <c r="O67" s="5">
        <f t="shared" si="4"/>
        <v>0.12825514309410449</v>
      </c>
      <c r="V67" s="3">
        <f t="shared" si="5"/>
        <v>1950</v>
      </c>
      <c r="W67" s="3">
        <v>1700</v>
      </c>
      <c r="X67" s="4">
        <f>Aetintio!C67 + Arbiya!C67 + 'Curata'!C67 + 'Disal Nila'!C67 + Etirha!C67 + Fincen!C67 + Gaeiya!C67 + Genaire!C67 + Grazail!C67 + Guise!C67 + Laselteh!C67 + Lasri!C67 + Metndria!C67 + 'New Misos'!C67 + Peka!C67 + Pelan!C67 + Phuris!C67 + 'Raledria'!C67 + Slyiaduun!C67 + Tomscilus!C67</f>
        <v>200253995</v>
      </c>
      <c r="Y67" s="8"/>
      <c r="Z67" s="5">
        <f t="shared" si="7"/>
        <v>8.0054945592676258E-2</v>
      </c>
      <c r="AG67" s="3">
        <f t="shared" si="8"/>
        <v>1950</v>
      </c>
      <c r="AH67" s="3">
        <v>1700</v>
      </c>
      <c r="AI67" s="4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555878420</v>
      </c>
      <c r="AJ67" s="8"/>
      <c r="AK67" s="5">
        <f t="shared" si="10"/>
        <v>0.22222186713050515</v>
      </c>
      <c r="AR67" s="3">
        <f t="shared" si="11"/>
        <v>1950</v>
      </c>
      <c r="AS67" s="3">
        <v>1700</v>
      </c>
      <c r="AT67" s="4">
        <f>Amcha!C67 + Byllu!C67 + 'Chaenia'!C67 + 'Cruthi Anoso'!C67 + 'Dual Cenryia'!C67 + Exilium!C67 + Galca!C67 + Inania!C67 + Inrea!C67 + Isnti!C67 + Lieri!C67 + Ocaun!C67 + Otiiric!C67 + Ozinia!C67 + Pelugrotoa!C67 + 'Rtesania'!C67 + Sadain!C67 + Selaja!C67 + Seytinemas!C67 + Sivoso!C67 + Sunsokua!C67 + Taing!C67 + Taoisia!C67 + Trian!C67 + Vayvele!C67</f>
        <v>381997123</v>
      </c>
      <c r="AU67" s="8"/>
      <c r="AV67" s="5">
        <f t="shared" si="13"/>
        <v>0.15270985679124086</v>
      </c>
      <c r="BC67" s="3">
        <f t="shared" si="14"/>
        <v>1950</v>
      </c>
      <c r="BD67" s="3">
        <v>1700</v>
      </c>
      <c r="BE67" s="4">
        <f>'Canldives'!C67 + 'Cloja'!C67 + Dahe!C67 + Eparia!C67 + Etretes!C67 + Haiza!C67 + Ihner!C67 + Kaastini!C67 + Kusierna!C67 + Migoku!C67 + 'North Ayre'!C67 + Oscairia!C67 + Oyreain!C67 + 'Pha Hii'!C67 + 'Pruim Fijan'!C67 + 'Prystr Hii'!C67 + 'Ruylku'!C67 + Sanagara!C67 + Shinam!C67 + Stinebar!C67 + Suenan!C67 + Taval!C67 + Ucrua!C67 + Vesozata!C67 + 'Welenu Fana'!C67 + 'Western Migoku'!C67</f>
        <v>641434971.10979581</v>
      </c>
      <c r="BF67" s="8"/>
      <c r="BG67" s="5">
        <f t="shared" si="16"/>
        <v>0.25642455579193102</v>
      </c>
      <c r="BN67" s="3">
        <f t="shared" si="17"/>
        <v>1950</v>
      </c>
      <c r="BO67" s="3">
        <v>1700</v>
      </c>
      <c r="BP67" s="4">
        <f>Andsaudare!C67 + Aplasia!C67 + Astye!C67 + 'Crila Republic'!C67 + 'Elja and Munusia'!C67 + Hiwush!C67 + Iainoa!C67 + Isari!C67 + Isuibul!C67 + Maalle!C67 + Mendereide!C67 + Nia!C67 + 'Niretui and Anulan'!C67 + Ohtina!C67 + Prstreula!C67 + 'Rethern'!C67 + 'Rkmepuia'!C67 + Tvecoca!C67 + Umarcia!C67 + 'United Delet'!C67 + Veelmit!C67 + Walporein!C67 + Yutnitu!C67</f>
        <v>78646235</v>
      </c>
      <c r="BQ67" s="8"/>
      <c r="BR67" s="5">
        <f t="shared" si="19"/>
        <v>3.1440172087422433E-2</v>
      </c>
      <c r="BY67" s="3">
        <f t="shared" si="20"/>
        <v>1950</v>
      </c>
      <c r="BZ67" s="3">
        <v>1700</v>
      </c>
      <c r="CA67" s="4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8"/>
      <c r="CC67" s="5">
        <f t="shared" si="22"/>
        <v>0.12682546464614528</v>
      </c>
    </row>
  </sheetData>
  <dataValidations count="1">
    <dataValidation type="custom" allowBlank="1" showDropDown="1" sqref="AJ2:AJ67 D2:D67 N2:N67 CB2:CB67 Y2:Y67 AU2:AU67 BQ2:BQ67 BF2:BF67" xr:uid="{00000000-0002-0000-00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W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  <col min="88" max="89" width="7.26953125" customWidth="1"/>
    <col min="99" max="100" width="7.26953125" customWidth="1"/>
    <col min="110" max="111" width="7.26953125" customWidth="1"/>
    <col min="121" max="122" width="7.26953125" customWidth="1"/>
    <col min="132" max="133" width="7.26953125" customWidth="1"/>
    <col min="143" max="144" width="7.26953125" customWidth="1"/>
    <col min="154" max="155" width="7.26953125" customWidth="1"/>
    <col min="165" max="166" width="7.26953125" customWidth="1"/>
    <col min="176" max="177" width="7.26953125" customWidth="1"/>
    <col min="187" max="188" width="7.26953125" customWidth="1"/>
    <col min="198" max="199" width="7.26953125" customWidth="1"/>
    <col min="209" max="210" width="7.26953125" customWidth="1"/>
    <col min="220" max="221" width="7.26953125" customWidth="1"/>
    <col min="231" max="232" width="7.26953125" customWidth="1"/>
    <col min="242" max="243" width="7.26953125" customWidth="1"/>
    <col min="253" max="254" width="7.26953125" customWidth="1"/>
  </cols>
  <sheetData>
    <row r="1" spans="1:257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9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9" t="s">
        <v>34</v>
      </c>
      <c r="CM1" s="9" t="s">
        <v>35</v>
      </c>
      <c r="CN1" s="2" t="s">
        <v>6</v>
      </c>
      <c r="CU1" s="1" t="s">
        <v>0</v>
      </c>
      <c r="CV1" s="2" t="s">
        <v>1</v>
      </c>
      <c r="CW1" s="9" t="s">
        <v>36</v>
      </c>
      <c r="CX1" s="9" t="s">
        <v>37</v>
      </c>
      <c r="CY1" s="2" t="s">
        <v>6</v>
      </c>
      <c r="DF1" s="1" t="s">
        <v>0</v>
      </c>
      <c r="DG1" s="2" t="s">
        <v>1</v>
      </c>
      <c r="DH1" s="9" t="s">
        <v>38</v>
      </c>
      <c r="DI1" s="9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9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9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9" t="s">
        <v>47</v>
      </c>
      <c r="FB1" s="2" t="s">
        <v>6</v>
      </c>
      <c r="FI1" s="1" t="s">
        <v>0</v>
      </c>
      <c r="FJ1" s="2" t="s">
        <v>1</v>
      </c>
      <c r="FK1" s="9" t="s">
        <v>48</v>
      </c>
      <c r="FL1" s="9" t="s">
        <v>49</v>
      </c>
      <c r="FM1" s="2" t="s">
        <v>6</v>
      </c>
      <c r="FT1" s="1" t="s">
        <v>0</v>
      </c>
      <c r="FU1" s="2" t="s">
        <v>1</v>
      </c>
      <c r="FV1" s="9" t="s">
        <v>50</v>
      </c>
      <c r="FW1" s="9" t="s">
        <v>51</v>
      </c>
      <c r="FX1" s="2" t="s">
        <v>6</v>
      </c>
      <c r="GE1" s="1" t="s">
        <v>0</v>
      </c>
      <c r="GF1" s="2" t="s">
        <v>1</v>
      </c>
      <c r="GG1" s="9" t="s">
        <v>52</v>
      </c>
      <c r="GH1" s="9" t="s">
        <v>53</v>
      </c>
      <c r="GI1" s="2" t="s">
        <v>6</v>
      </c>
      <c r="GP1" s="1" t="s">
        <v>0</v>
      </c>
      <c r="GQ1" s="2" t="s">
        <v>1</v>
      </c>
      <c r="GR1" s="9" t="s">
        <v>54</v>
      </c>
      <c r="GS1" s="9" t="s">
        <v>55</v>
      </c>
      <c r="GT1" s="2" t="s">
        <v>6</v>
      </c>
      <c r="HA1" s="1" t="s">
        <v>0</v>
      </c>
      <c r="HB1" s="2" t="s">
        <v>1</v>
      </c>
      <c r="HC1" s="9" t="s">
        <v>56</v>
      </c>
      <c r="HD1" s="9" t="s">
        <v>57</v>
      </c>
      <c r="HE1" s="2" t="s">
        <v>6</v>
      </c>
      <c r="HL1" s="1" t="s">
        <v>0</v>
      </c>
      <c r="HM1" s="2" t="s">
        <v>1</v>
      </c>
      <c r="HN1" s="9" t="s">
        <v>58</v>
      </c>
      <c r="HO1" s="9" t="s">
        <v>59</v>
      </c>
      <c r="HP1" s="2" t="s">
        <v>6</v>
      </c>
      <c r="HW1" s="1" t="s">
        <v>0</v>
      </c>
      <c r="HX1" s="2" t="s">
        <v>1</v>
      </c>
      <c r="HY1" s="9" t="s">
        <v>60</v>
      </c>
      <c r="HZ1" s="9" t="s">
        <v>61</v>
      </c>
      <c r="IA1" s="2" t="s">
        <v>6</v>
      </c>
      <c r="IH1" s="1" t="s">
        <v>0</v>
      </c>
      <c r="II1" s="2" t="s">
        <v>1</v>
      </c>
      <c r="IJ1" s="9" t="s">
        <v>62</v>
      </c>
      <c r="IK1" s="9" t="s">
        <v>63</v>
      </c>
      <c r="IL1" s="2" t="s">
        <v>6</v>
      </c>
      <c r="IS1" s="1" t="s">
        <v>0</v>
      </c>
      <c r="IT1" s="2" t="s">
        <v>1</v>
      </c>
      <c r="IU1" s="9" t="s">
        <v>64</v>
      </c>
      <c r="IV1" s="9" t="s">
        <v>65</v>
      </c>
      <c r="IW1" s="2" t="s">
        <v>6</v>
      </c>
    </row>
    <row r="2" spans="1:257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6813753981.0332737</v>
      </c>
      <c r="D2" s="5">
        <f t="shared" ref="D2:D65" si="1">((C2-C3)/C3)</f>
        <v>9.5970216014784337E-3</v>
      </c>
      <c r="K2" s="3">
        <f t="shared" ref="K2:K67" si="2">SUM(L2+250)</f>
        <v>2015</v>
      </c>
      <c r="L2" s="3">
        <v>1765</v>
      </c>
      <c r="M2" s="4">
        <f>Eldavpir!C2 + Iquir!C2 + Viussi!C2 + Umendel!C2 + 'Reerica'!C2 + Saa!C2 + Sattle!C2</f>
        <v>111363867.49651727</v>
      </c>
      <c r="N2" s="5">
        <f t="shared" ref="N2:N66" si="3">((M2-M3)/M3)</f>
        <v>2.270135203707515E-2</v>
      </c>
      <c r="O2" s="5">
        <f t="shared" ref="O2:O67" si="4">SUM(M2/C2)</f>
        <v>1.6343981277649456E-2</v>
      </c>
      <c r="V2" s="3">
        <f t="shared" ref="V2:V67" si="5">SUM(W2+250)</f>
        <v>2015</v>
      </c>
      <c r="W2" s="3">
        <v>1765</v>
      </c>
      <c r="X2" s="4">
        <f>'Areoix Lie'!C2 + Jau!C2 + Terressin!C2 + Acetoa!C2 + 'Feio Lie'!C2</f>
        <v>695214081.86366022</v>
      </c>
      <c r="Y2" s="5">
        <f t="shared" ref="Y2:Y66" si="6">((X2-X3)/X3)</f>
        <v>4.5685788369702806E-3</v>
      </c>
      <c r="Z2" s="5">
        <f t="shared" ref="Z2:Z67" si="7">SUM(X2/C2)</f>
        <v>0.10203099257749167</v>
      </c>
      <c r="AG2" s="3">
        <f t="shared" ref="AG2:AG67" si="8">SUM(AH2+250)</f>
        <v>2015</v>
      </c>
      <c r="AH2" s="3">
        <v>1765</v>
      </c>
      <c r="AI2" s="4">
        <f>Taniduna!C2 + Jathua!C2 + Deschon!C2 + Pelines!C2 + 'Candenat'!C2 + Othya!C2 + Yoprioq!C2 + Jshain!C2 + 'Fire Coast'!C2 + 'Rijan bu'!C2 + 'Rinew'!C2 + Enina!C2 + Trevilla!C2</f>
        <v>233068817.83299503</v>
      </c>
      <c r="AJ2" s="5">
        <f t="shared" ref="AJ2:AJ66" si="9">((AI2-AI3)/AI3)</f>
        <v>2.6173646880506322E-2</v>
      </c>
      <c r="AK2" s="5">
        <f t="shared" ref="AK2:AK67" si="10">SUM(AI2/C2)</f>
        <v>3.420564030955095E-2</v>
      </c>
      <c r="AR2" s="3">
        <f t="shared" ref="AR2:AR67" si="11">SUM(AS2+250)</f>
        <v>2015</v>
      </c>
      <c r="AS2" s="3">
        <v>1765</v>
      </c>
      <c r="AT2" s="4">
        <f>Gaeiya!C2 + 'Raledria'!C2 + Arbiya!C2 + Fincen!C2 + 'Curata'!C2</f>
        <v>326381358.73238164</v>
      </c>
      <c r="AU2" s="5">
        <f t="shared" ref="AU2:AU66" si="12">((AT2-AT3)/AT3)</f>
        <v>1.3689916580767654E-2</v>
      </c>
      <c r="AV2" s="5">
        <f t="shared" ref="AV2:AV67" si="13">SUM(AT2/C2)</f>
        <v>4.7900373221706406E-2</v>
      </c>
      <c r="BC2" s="3">
        <f t="shared" ref="BC2:BC67" si="14">SUM(BD2+250)</f>
        <v>2015</v>
      </c>
      <c r="BD2" s="3">
        <v>1765</v>
      </c>
      <c r="BE2" s="4">
        <f>Etirha!C2 + Laselteh!C2 + Grazail!C2 + 'Disal Nila'!C2 + Pelan!C2 + Peka!C2 + Guise!C2</f>
        <v>107306109.76055335</v>
      </c>
      <c r="BF2" s="5">
        <f t="shared" ref="BF2:BF66" si="15">((BE2-BE3)/BE3)</f>
        <v>4.4523594830258506E-3</v>
      </c>
      <c r="BG2" s="5">
        <f t="shared" ref="BG2:BG67" si="16">SUM(BE2/C2)</f>
        <v>1.5748456733138592E-2</v>
      </c>
      <c r="BN2" s="3">
        <f t="shared" ref="BN2:BN67" si="17">SUM(BO2+250)</f>
        <v>2015</v>
      </c>
      <c r="BO2" s="3">
        <v>1765</v>
      </c>
      <c r="BP2" s="4">
        <f>Genaire!C2 + 'New Misos'!C2 + Phuris!C2 + Lasri!C2 + Slyiaduun!C2 + Aetintio!C2 + Metndria!C2 + Tomscilus!C2</f>
        <v>103750343.01267757</v>
      </c>
      <c r="BQ2" s="5">
        <f t="shared" ref="BQ2:BQ66" si="18">((BP2-BP3)/BP3)</f>
        <v>1.0148463951954947E-2</v>
      </c>
      <c r="BR2" s="5">
        <f t="shared" ref="BR2:BR67" si="19">SUM(BP2/C2)</f>
        <v>1.5226605378103822E-2</v>
      </c>
      <c r="BY2" s="3">
        <f t="shared" ref="BY2:BY67" si="20">SUM(BZ2+250)</f>
        <v>2015</v>
      </c>
      <c r="BZ2" s="3">
        <v>1765</v>
      </c>
      <c r="CA2" s="4">
        <f>Ealdorii!C2 + Ukhdari!C2 + Hkuqo!C2 + Acrana!C2 + Zenashan!C2</f>
        <v>270797133.681306</v>
      </c>
      <c r="CB2" s="6">
        <f t="shared" ref="CB2:CB66" si="21">((CA2-CA3)/CA3)</f>
        <v>5.6264080193361588E-3</v>
      </c>
      <c r="CC2" s="5">
        <f t="shared" ref="CC2:CC67" si="22">SUM(CA2/C2)</f>
        <v>3.9742722504377957E-2</v>
      </c>
      <c r="CJ2" s="3">
        <f t="shared" ref="CJ2:CJ67" si="23">SUM(CK2+250)</f>
        <v>2015</v>
      </c>
      <c r="CK2" s="3">
        <v>1765</v>
      </c>
      <c r="CL2" s="4">
        <f>Estijan!C2 + Ikzen!C2 + Urbiqu!C2 + Danocia!C2 + Koruch!C2 + 'New Kizura'!C2 + Lydroa!C2 + Fermori!C2 + Uularin!C2 + 'Niul Spijan'!C2</f>
        <v>300361933.42560333</v>
      </c>
      <c r="CM2" s="6">
        <f t="shared" ref="CM2:CM66" si="24">((CL2-CL3)/CL3)</f>
        <v>9.7871899109260585E-3</v>
      </c>
      <c r="CN2" s="5">
        <f t="shared" ref="CN2:CN67" si="25">SUM(CL2/C2)</f>
        <v>4.408171094255664E-2</v>
      </c>
      <c r="CU2" s="3">
        <f t="shared" ref="CU2:CU67" si="26">SUM(CV2+250)</f>
        <v>2015</v>
      </c>
      <c r="CV2" s="3">
        <v>1765</v>
      </c>
      <c r="CW2" s="4">
        <f>Praesyu!C2 + Lycroa!C2 + Emara!C2 + Eldjo!C2 + Easuhura!C2 + Ilicuhe!C2 + Tonder!C2</f>
        <v>250044910.79776329</v>
      </c>
      <c r="CX2" s="6">
        <f t="shared" ref="CX2:CX66" si="27">((CW2-CW3)/CW3)</f>
        <v>7.0197974614573189E-3</v>
      </c>
      <c r="CY2" s="5">
        <f t="shared" ref="CY2:CY67" si="28">SUM(CW2/C2)</f>
        <v>3.669708526221916E-2</v>
      </c>
      <c r="DF2" s="3">
        <f t="shared" ref="DF2:DF67" si="29">SUM(DG2+250)</f>
        <v>2015</v>
      </c>
      <c r="DG2" s="3">
        <v>1765</v>
      </c>
      <c r="DH2" s="4">
        <f>Verusa!C2 + Darewa!C2 + Siana!C2 + Yaxuto!C2 + 'Merela Sta'!C2 + Palina!C2</f>
        <v>173450331.68247336</v>
      </c>
      <c r="DI2" s="6">
        <f t="shared" ref="DI2:DI66" si="30">((DH2-DH3)/DH3)</f>
        <v>4.8175436555675478E-3</v>
      </c>
      <c r="DJ2" s="5">
        <f t="shared" ref="DJ2:DJ67" si="31">SUM(DH2/C2)</f>
        <v>2.5455913460522454E-2</v>
      </c>
      <c r="DQ2" s="3">
        <f t="shared" ref="DQ2:DQ67" si="32">SUM(DR2+250)</f>
        <v>2015</v>
      </c>
      <c r="DR2" s="3">
        <v>1765</v>
      </c>
      <c r="DS2" s="4">
        <f>Sunsokua!C2 + Vayvele!C2 + Selaja!C2 + Sadain!C2</f>
        <v>203930062.56238285</v>
      </c>
      <c r="DT2" s="6">
        <f t="shared" ref="DT2:DT66" si="33">((DS2-DS3)/DS3)</f>
        <v>1.1491543438458372E-2</v>
      </c>
      <c r="DU2" s="5">
        <f t="shared" ref="DU2:DU67" si="34">SUM(DS2/C2)</f>
        <v>2.992917900030459E-2</v>
      </c>
      <c r="EB2" s="3">
        <f t="shared" ref="EB2:EB67" si="35">SUM(EC2+250)</f>
        <v>2015</v>
      </c>
      <c r="EC2" s="3">
        <v>1765</v>
      </c>
      <c r="ED2" s="4">
        <f>Pelugrotoa!C2 + Lieri!C2 + 'Rtesania'!C2 + Ozinia!C2</f>
        <v>401871033.0767917</v>
      </c>
      <c r="EE2" s="6">
        <f t="shared" ref="EE2:EE66" si="36">((ED2-ED3)/ED3)</f>
        <v>5.585468208166345E-3</v>
      </c>
      <c r="EF2" s="5">
        <f t="shared" ref="EF2:EF67" si="37">SUM(ED2/C2)</f>
        <v>5.8979387015650635E-2</v>
      </c>
      <c r="EM2" s="3">
        <f t="shared" ref="EM2:EM67" si="38">SUM(EN2+250)</f>
        <v>2015</v>
      </c>
      <c r="EN2" s="3">
        <v>1765</v>
      </c>
      <c r="EO2" s="4">
        <f>Ocaun!C2 + 'Dual Cenryia'!C2 + Byllu!C2 + Exilium!C2 + Inrea!C2 + Amcha!C2 + Isnti!C2 + Galca!C2 + Otiiric!C2 + Taing!C2 + 'Cruthi Anoso'!C2</f>
        <v>298188764.6113615</v>
      </c>
      <c r="EP2" s="6">
        <f t="shared" ref="EP2:EP66" si="39">((EO2-EO3)/EO3)</f>
        <v>1.821189447195206E-2</v>
      </c>
      <c r="EQ2" s="5">
        <f t="shared" ref="EQ2:EQ67" si="40">SUM(EO2/C2)</f>
        <v>4.3762772392633785E-2</v>
      </c>
      <c r="EX2" s="3">
        <f t="shared" ref="EX2:EX67" si="41">SUM(EY2+250)</f>
        <v>2015</v>
      </c>
      <c r="EY2" s="3">
        <v>1765</v>
      </c>
      <c r="EZ2" s="4">
        <f>Sivoso!C2 + Taoisia!C2 + Seytinemas!C2 + Trian!C2 + 'Chaenia'!C2</f>
        <v>146859225.55372363</v>
      </c>
      <c r="FA2" s="6">
        <f t="shared" ref="FA2:FA66" si="42">((EZ2-EZ3)/EZ3)</f>
        <v>6.7047667219439812E-3</v>
      </c>
      <c r="FB2" s="5">
        <f t="shared" ref="FB2:FB67" si="43">SUM(EZ2/C2)</f>
        <v>2.1553350174150714E-2</v>
      </c>
      <c r="FI2" s="3">
        <f t="shared" ref="FI2:FI67" si="44">SUM(FJ2+250)</f>
        <v>2015</v>
      </c>
      <c r="FJ2" s="3">
        <v>1765</v>
      </c>
      <c r="FK2" s="4">
        <f>Migoku!C2 + 'Welenu Fana'!C2 + Haiza!C2 + Ucrua!C2 + Ihner!C2 + Oscairia!C2 + Shinam!C2 + 'Ruylku'!C2 + Taval!C2 + 'Western Migoku'!C2 + 'Pruim Fijan'!C2 + 'Canldives'!C2</f>
        <v>197724533.52886093</v>
      </c>
      <c r="FL2" s="6">
        <f t="shared" ref="FL2:FL66" si="45">((FK2-FK3)/FK3)</f>
        <v>1.3016240260895397E-2</v>
      </c>
      <c r="FM2" s="5">
        <f t="shared" ref="FM2:FM67" si="46">SUM(FK2/C2)</f>
        <v>2.9018443295611464E-2</v>
      </c>
      <c r="FT2" s="3">
        <f t="shared" ref="FT2:FT67" si="47">SUM(FU2+250)</f>
        <v>2015</v>
      </c>
      <c r="FU2" s="3">
        <v>1765</v>
      </c>
      <c r="FV2" s="4">
        <f>Vesozata!C2 + Etretes!C2 + Kusierna!C2 + Eparia!C2</f>
        <v>156362424.29524773</v>
      </c>
      <c r="FW2" s="6">
        <f t="shared" ref="FW2:FW66" si="48">((FV2-FV3)/FV3)</f>
        <v>2.5730360016975824E-2</v>
      </c>
      <c r="FX2" s="5">
        <f t="shared" ref="FX2:FX67" si="49">SUM(FV2/C2)</f>
        <v>2.2948058402240127E-2</v>
      </c>
      <c r="GE2" s="3">
        <f t="shared" ref="GE2:GE67" si="50">SUM(GF2+250)</f>
        <v>2015</v>
      </c>
      <c r="GF2" s="3">
        <v>1765</v>
      </c>
      <c r="GG2" s="4">
        <f>Dahe!C2 + Kaastini!C2 + Suenan!C2 + Oyreain!C2 + Sanagara!C2 + 'North Ayre'!C2 + Stinebar!C2 + 'Cloja'!C2 + 'Pha Hii'!C2 + 'Prystr Hii'!C2</f>
        <v>1035011873.7948959</v>
      </c>
      <c r="GH2" s="6">
        <f t="shared" ref="GH2:GH66" si="51">((GG2-GG3)/GG3)</f>
        <v>3.2492257424739574E-3</v>
      </c>
      <c r="GI2" s="5">
        <f t="shared" ref="GI2:GI67" si="52">SUM(GG2/C2)</f>
        <v>0.15190038804981057</v>
      </c>
      <c r="GP2" s="3">
        <f t="shared" ref="GP2:GP67" si="53">SUM(GQ2+250)</f>
        <v>2015</v>
      </c>
      <c r="GQ2" s="3">
        <v>1765</v>
      </c>
      <c r="GR2" s="4">
        <f>Maalle!C2 + 'United Delet'!C2 + Ohtina!C2 + Astye!C2 + Prstreula!C2 + Veelmit!C2 + Aplasia!C2 + 'Elja and Munusia'!C2 + Walporein!C2 + 'Crila Republic'!C2 + 'Niretui and Anulan'!C2 + 'Rethern'!C2 + Tvecoca!C2</f>
        <v>204353689.92445248</v>
      </c>
      <c r="GS2" s="6">
        <f t="shared" ref="GS2:GS66" si="54">((GR2-GR3)/GR3)</f>
        <v>1.0741046026304645E-2</v>
      </c>
      <c r="GT2" s="5">
        <f t="shared" ref="GT2:GT67" si="55">SUM(GR2/C2)</f>
        <v>2.9991351389159374E-2</v>
      </c>
      <c r="HA2" s="3">
        <f t="shared" ref="HA2:HA67" si="56">SUM(HB2+250)</f>
        <v>2015</v>
      </c>
      <c r="HB2" s="3">
        <v>1765</v>
      </c>
      <c r="HC2" s="4">
        <f>Andsaudare!C2 + Nia!C2 + Umarcia!C2 + Mendereide!C2 + Iainoa!C2 + Isari!C2 + 'Rkmepuia'!C2 + Hiwush!C2 + Isuibul!C2 + Yutnitu!C2</f>
        <v>71713507.953493014</v>
      </c>
      <c r="HD2" s="6">
        <f t="shared" ref="HD2:HD66" si="57">((HC2-HC3)/HC3)</f>
        <v>1.2075509389022474E-2</v>
      </c>
      <c r="HE2" s="5">
        <f t="shared" ref="HE2:HE67" si="58">SUM(HC2/C2)</f>
        <v>1.0524816151729916E-2</v>
      </c>
      <c r="HL2" s="3">
        <f t="shared" ref="HL2:HL67" si="59">SUM(HM2+250)</f>
        <v>2015</v>
      </c>
      <c r="HM2" s="3">
        <v>1765</v>
      </c>
      <c r="HN2" s="4">
        <f>Zhanshe!C2 + Volver!C2 + Finae!C2 + Myla!C2 + 'Nheyes Si'!C2 + Onphello!C2 + Hyelen!C2</f>
        <v>123176683.31096971</v>
      </c>
      <c r="HO2" s="6">
        <f t="shared" ref="HO2:HO66" si="60">((HN2-HN3)/HN3)</f>
        <v>1.1188839347309699E-2</v>
      </c>
      <c r="HP2" s="5">
        <f t="shared" ref="HP2:HP67" si="61">SUM(HN2/C2)</f>
        <v>1.8077653471763672E-2</v>
      </c>
      <c r="HW2" s="3">
        <f t="shared" ref="HW2:HW67" si="62">SUM(HX2+250)</f>
        <v>2015</v>
      </c>
      <c r="HX2" s="3">
        <v>1765</v>
      </c>
      <c r="HY2" s="4">
        <f>Yihnurda!C2 + Ztesh!C2 + Wundry!C2 + Anymna!C2 + Shomjind!C2 + Baluyde!C2 + Letan!C2</f>
        <v>600317508.74191809</v>
      </c>
      <c r="HZ2" s="6">
        <f t="shared" ref="HZ2:HZ66" si="63">((HY2-HY3)/HY3)</f>
        <v>1.439349337133437E-2</v>
      </c>
      <c r="IA2" s="5">
        <f t="shared" ref="IA2:IA67" si="64">SUM(HY2/C2)</f>
        <v>8.8103783965925164E-2</v>
      </c>
      <c r="IH2" s="3">
        <f t="shared" ref="IH2:IH67" si="65">SUM(II2+250)</f>
        <v>2015</v>
      </c>
      <c r="II2" s="3">
        <v>1765</v>
      </c>
      <c r="IJ2" s="4">
        <f>Iareva!C2 + 'United Mihili'!C2 + 'Mesjan Hyaa'!C2 + Desaki!C2 + 'Far Lands'!C2</f>
        <v>74200934.916990668</v>
      </c>
      <c r="IK2" s="6">
        <f t="shared" ref="IK2:IK66" si="66">((IJ2-IJ3)/IJ3)</f>
        <v>1.1565105899932131E-2</v>
      </c>
      <c r="IL2" s="5">
        <f t="shared" ref="IL2:IL67" si="67">SUM(IJ2/C2)</f>
        <v>1.0889875848693093E-2</v>
      </c>
      <c r="IS2" s="3">
        <f t="shared" ref="IS2:IS67" si="68">SUM(IT2+250)</f>
        <v>2015</v>
      </c>
      <c r="IT2" s="3">
        <v>1765</v>
      </c>
      <c r="IU2" s="4">
        <f>Verste!C2 + Quidic!C2 + Erkizil!C2 + Ashain!C2 + Ahokini!C2</f>
        <v>371219135.09384602</v>
      </c>
      <c r="IV2" s="6">
        <f t="shared" ref="IV2:IV66" si="69">((IU2-IU3)/IU3)</f>
        <v>8.2218893623500627E-3</v>
      </c>
      <c r="IW2" s="5">
        <f t="shared" ref="IW2:IW67" si="70">SUM(IU2/C2)</f>
        <v>5.4480853891580097E-2</v>
      </c>
    </row>
    <row r="3" spans="1:257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6748983837.358119</v>
      </c>
      <c r="D3" s="5">
        <f t="shared" si="1"/>
        <v>9.775063187399834E-3</v>
      </c>
      <c r="K3" s="3">
        <f t="shared" si="2"/>
        <v>2014</v>
      </c>
      <c r="L3" s="3">
        <v>1764</v>
      </c>
      <c r="M3" s="4">
        <f>Eldavpir!C3 + Iquir!C3 + Viussi!C3 + Umendel!C3 + 'Reerica'!C3 + Saa!C3 + Sattle!C3</f>
        <v>108891874.71464308</v>
      </c>
      <c r="N3" s="5">
        <f t="shared" si="3"/>
        <v>2.3619423521160792E-2</v>
      </c>
      <c r="O3" s="5">
        <f t="shared" si="4"/>
        <v>1.6134558525964505E-2</v>
      </c>
      <c r="V3" s="3">
        <f t="shared" si="5"/>
        <v>2014</v>
      </c>
      <c r="W3" s="3">
        <v>1764</v>
      </c>
      <c r="X3" s="4">
        <f>'Areoix Lie'!C3 + Jau!C3 + Terressin!C3 + Acetoa!C3 + 'Feio Lie'!C3</f>
        <v>692052385.97900176</v>
      </c>
      <c r="Y3" s="5">
        <f t="shared" si="6"/>
        <v>4.7854165818214328E-3</v>
      </c>
      <c r="Z3" s="5">
        <f t="shared" si="7"/>
        <v>0.10254171630227296</v>
      </c>
      <c r="AG3" s="3">
        <f t="shared" si="8"/>
        <v>2014</v>
      </c>
      <c r="AH3" s="3">
        <v>1764</v>
      </c>
      <c r="AI3" s="4">
        <f>Taniduna!C3 + Jathua!C3 + Deschon!C3 + Pelines!C3 + 'Candenat'!C3 + Othya!C3 + Yoprioq!C3 + Jshain!C3 + 'Fire Coast'!C3 + 'Rijan bu'!C3 + 'Rinew'!C3 + Enina!C3 + Trevilla!C3</f>
        <v>227124150.51926872</v>
      </c>
      <c r="AJ3" s="5">
        <f t="shared" si="9"/>
        <v>2.6601162354114975E-2</v>
      </c>
      <c r="AK3" s="5">
        <f t="shared" si="10"/>
        <v>3.36530885230533E-2</v>
      </c>
      <c r="AR3" s="3">
        <f t="shared" si="11"/>
        <v>2014</v>
      </c>
      <c r="AS3" s="3">
        <v>1764</v>
      </c>
      <c r="AT3" s="4">
        <f>Gaeiya!C3 + 'Raledria'!C3 + Arbiya!C3 + Fincen!C3 + 'Curata'!C3</f>
        <v>321973567.45274144</v>
      </c>
      <c r="AU3" s="5">
        <f t="shared" si="12"/>
        <v>1.4181202006595003E-2</v>
      </c>
      <c r="AV3" s="5">
        <f t="shared" si="13"/>
        <v>4.7706969702683059E-2</v>
      </c>
      <c r="BC3" s="3">
        <f t="shared" si="14"/>
        <v>2014</v>
      </c>
      <c r="BD3" s="3">
        <v>1764</v>
      </c>
      <c r="BE3" s="4">
        <f>Etirha!C3 + Laselteh!C3 + Grazail!C3 + 'Disal Nila'!C3 + Pelan!C3 + Peka!C3 + Guise!C3</f>
        <v>106830462.13937108</v>
      </c>
      <c r="BF3" s="5">
        <f t="shared" si="15"/>
        <v>4.7757311363850145E-3</v>
      </c>
      <c r="BG3" s="5">
        <f t="shared" si="16"/>
        <v>1.5829118088566903E-2</v>
      </c>
      <c r="BN3" s="3">
        <f t="shared" si="17"/>
        <v>2014</v>
      </c>
      <c r="BO3" s="3">
        <v>1764</v>
      </c>
      <c r="BP3" s="4">
        <f>Genaire!C3 + 'New Misos'!C3 + Phuris!C3 + Lasri!C3 + Slyiaduun!C3 + Aetintio!C3 + Metndria!C3 + Tomscilus!C3</f>
        <v>102708014.43065123</v>
      </c>
      <c r="BQ3" s="5">
        <f t="shared" si="18"/>
        <v>1.0305757553070489E-2</v>
      </c>
      <c r="BR3" s="5">
        <f t="shared" si="19"/>
        <v>1.521829313949819E-2</v>
      </c>
      <c r="BY3" s="3">
        <f t="shared" si="20"/>
        <v>2014</v>
      </c>
      <c r="BZ3" s="3">
        <v>1764</v>
      </c>
      <c r="CA3" s="4">
        <f>Ealdorii!C3 + Ukhdari!C3 + Hkuqo!C3 + Acrana!C3 + Zenashan!C3</f>
        <v>269282043.03491116</v>
      </c>
      <c r="CB3" s="7">
        <f t="shared" si="21"/>
        <v>6.3470104544885355E-3</v>
      </c>
      <c r="CC3" s="5">
        <f t="shared" si="22"/>
        <v>3.9899642601651457E-2</v>
      </c>
      <c r="CJ3" s="3">
        <f t="shared" si="23"/>
        <v>2014</v>
      </c>
      <c r="CK3" s="3">
        <v>1764</v>
      </c>
      <c r="CL3" s="4">
        <f>Estijan!C3 + Ikzen!C3 + Urbiqu!C3 + Danocia!C3 + Koruch!C3 + 'New Kizura'!C3 + Lydroa!C3 + Fermori!C3 + Uularin!C3 + 'Niul Spijan'!C3</f>
        <v>297450726.67449707</v>
      </c>
      <c r="CM3" s="7">
        <f t="shared" si="24"/>
        <v>9.9233757679989109E-3</v>
      </c>
      <c r="CN3" s="5">
        <f t="shared" si="25"/>
        <v>4.4073409248366752E-2</v>
      </c>
      <c r="CU3" s="3">
        <f t="shared" si="26"/>
        <v>2014</v>
      </c>
      <c r="CV3" s="3">
        <v>1764</v>
      </c>
      <c r="CW3" s="4">
        <f>Praesyu!C3 + Lycroa!C3 + Emara!C3 + Eldjo!C3 + Easuhura!C3 + Ilicuhe!C3 + Tonder!C3</f>
        <v>248301881.87768325</v>
      </c>
      <c r="CX3" s="7">
        <f t="shared" si="27"/>
        <v>5.7930163784236134E-3</v>
      </c>
      <c r="CY3" s="5">
        <f t="shared" si="28"/>
        <v>3.679100259556714E-2</v>
      </c>
      <c r="DF3" s="3">
        <f t="shared" si="29"/>
        <v>2014</v>
      </c>
      <c r="DG3" s="3">
        <v>1764</v>
      </c>
      <c r="DH3" s="4">
        <f>Verusa!C3 + Darewa!C3 + Siana!C3 + Yaxuto!C3 + 'Merela Sta'!C3 + Palina!C3</f>
        <v>172618733.39855704</v>
      </c>
      <c r="DI3" s="7">
        <f t="shared" si="30"/>
        <v>4.5133056662651719E-3</v>
      </c>
      <c r="DJ3" s="5">
        <f t="shared" si="31"/>
        <v>2.5576996116518841E-2</v>
      </c>
      <c r="DQ3" s="3">
        <f t="shared" si="32"/>
        <v>2014</v>
      </c>
      <c r="DR3" s="3">
        <v>1764</v>
      </c>
      <c r="DS3" s="4">
        <f>Sunsokua!C3 + Vayvele!C3 + Selaja!C3 + Sadain!C3</f>
        <v>201613215.53825769</v>
      </c>
      <c r="DT3" s="7">
        <f t="shared" si="33"/>
        <v>1.1979000487162904E-2</v>
      </c>
      <c r="DU3" s="5">
        <f t="shared" si="34"/>
        <v>2.9873121702004093E-2</v>
      </c>
      <c r="EB3" s="3">
        <f t="shared" si="35"/>
        <v>2014</v>
      </c>
      <c r="EC3" s="3">
        <v>1764</v>
      </c>
      <c r="ED3" s="4">
        <f>Pelugrotoa!C3 + Lieri!C3 + 'Rtesania'!C3 + Ozinia!C3</f>
        <v>399638862.91324204</v>
      </c>
      <c r="EE3" s="7">
        <f t="shared" si="36"/>
        <v>5.7165764447475731E-3</v>
      </c>
      <c r="EF3" s="5">
        <f t="shared" si="37"/>
        <v>5.9214671800085411E-2</v>
      </c>
      <c r="EM3" s="3">
        <f t="shared" si="38"/>
        <v>2014</v>
      </c>
      <c r="EN3" s="3">
        <v>1764</v>
      </c>
      <c r="EO3" s="4">
        <f>Ocaun!C3 + 'Dual Cenryia'!C3 + Byllu!C3 + Exilium!C3 + Inrea!C3 + Amcha!C3 + Isnti!C3 + Galca!C3 + Otiiric!C3 + Taing!C3 + 'Cruthi Anoso'!C3</f>
        <v>292855314.52763391</v>
      </c>
      <c r="EP3" s="7">
        <f t="shared" si="39"/>
        <v>1.813286774936064E-2</v>
      </c>
      <c r="EQ3" s="5">
        <f t="shared" si="40"/>
        <v>4.3392504943717831E-2</v>
      </c>
      <c r="EX3" s="3">
        <f t="shared" si="41"/>
        <v>2014</v>
      </c>
      <c r="EY3" s="3">
        <v>1764</v>
      </c>
      <c r="EZ3" s="4">
        <f>Sivoso!C3 + Taoisia!C3 + Seytinemas!C3 + Trian!C3 + 'Chaenia'!C3</f>
        <v>145881126.63053155</v>
      </c>
      <c r="FA3" s="7">
        <f t="shared" si="42"/>
        <v>6.8603170708773642E-3</v>
      </c>
      <c r="FB3" s="5">
        <f t="shared" si="43"/>
        <v>2.1615272779736946E-2</v>
      </c>
      <c r="FI3" s="3">
        <f t="shared" si="44"/>
        <v>2014</v>
      </c>
      <c r="FJ3" s="3">
        <v>1764</v>
      </c>
      <c r="FK3" s="4">
        <f>Migoku!C3 + 'Welenu Fana'!C3 + Haiza!C3 + Ucrua!C3 + Ihner!C3 + Oscairia!C3 + Shinam!C3 + 'Ruylku'!C3 + Taval!C3 + 'Western Migoku'!C3 + 'Pruim Fijan'!C3 + 'Canldives'!C3</f>
        <v>195183972.05353621</v>
      </c>
      <c r="FL3" s="7">
        <f t="shared" si="45"/>
        <v>1.374136994043058E-2</v>
      </c>
      <c r="FM3" s="5">
        <f t="shared" si="46"/>
        <v>2.8920497775253337E-2</v>
      </c>
      <c r="FT3" s="3">
        <f t="shared" si="47"/>
        <v>2014</v>
      </c>
      <c r="FU3" s="3">
        <v>1764</v>
      </c>
      <c r="FV3" s="4">
        <f>Vesozata!C3 + Etretes!C3 + Kusierna!C3 + Eparia!C3</f>
        <v>152440086.00141263</v>
      </c>
      <c r="FW3" s="7">
        <f t="shared" si="48"/>
        <v>2.4955511150934799E-2</v>
      </c>
      <c r="FX3" s="5">
        <f t="shared" si="49"/>
        <v>2.2587116768245975E-2</v>
      </c>
      <c r="GE3" s="3">
        <f t="shared" si="50"/>
        <v>2014</v>
      </c>
      <c r="GF3" s="3">
        <v>1764</v>
      </c>
      <c r="GG3" s="4">
        <f>Dahe!C3 + Kaastini!C3 + Suenan!C3 + Oyreain!C3 + Sanagara!C3 + 'North Ayre'!C3 + Stinebar!C3 + 'Cloja'!C3 + 'Pha Hii'!C3 + 'Prystr Hii'!C3</f>
        <v>1031659778.2858146</v>
      </c>
      <c r="GH3" s="7">
        <f t="shared" si="51"/>
        <v>3.1424057504393838E-3</v>
      </c>
      <c r="GI3" s="5">
        <f t="shared" si="52"/>
        <v>0.15286149784137823</v>
      </c>
      <c r="GP3" s="3">
        <f t="shared" si="53"/>
        <v>2014</v>
      </c>
      <c r="GQ3" s="3">
        <v>1764</v>
      </c>
      <c r="GR3" s="4">
        <f>Maalle!C3 + 'United Delet'!C3 + Ohtina!C3 + Astye!C3 + Prstreula!C3 + Veelmit!C3 + Aplasia!C3 + 'Elja and Munusia'!C3 + Walporein!C3 + 'Crila Republic'!C3 + 'Niretui and Anulan'!C3 + 'Rethern'!C3 + Tvecoca!C3</f>
        <v>202182043.29176334</v>
      </c>
      <c r="GS3" s="7">
        <f t="shared" si="54"/>
        <v>1.1291505917531728E-2</v>
      </c>
      <c r="GT3" s="5">
        <f t="shared" si="55"/>
        <v>2.9957405168554566E-2</v>
      </c>
      <c r="HA3" s="3">
        <f t="shared" si="56"/>
        <v>2014</v>
      </c>
      <c r="HB3" s="3">
        <v>1764</v>
      </c>
      <c r="HC3" s="4">
        <f>Andsaudare!C3 + Nia!C3 + Umarcia!C3 + Mendereide!C3 + Iainoa!C3 + Isari!C3 + 'Rkmepuia'!C3 + Hiwush!C3 + Isuibul!C3 + Yutnitu!C3</f>
        <v>70857863.161599055</v>
      </c>
      <c r="HD3" s="7">
        <f t="shared" si="57"/>
        <v>1.2287192552057827E-2</v>
      </c>
      <c r="HE3" s="5">
        <f t="shared" si="58"/>
        <v>1.0499041762313106E-2</v>
      </c>
      <c r="HL3" s="3">
        <f t="shared" si="59"/>
        <v>2014</v>
      </c>
      <c r="HM3" s="3">
        <v>1764</v>
      </c>
      <c r="HN3" s="4">
        <f>Zhanshe!C3 + Volver!C3 + Finae!C3 + Myla!C3 + 'Nheyes Si'!C3 + Onphello!C3 + Hyelen!C3</f>
        <v>121813729.06615183</v>
      </c>
      <c r="HO3" s="7">
        <f t="shared" si="60"/>
        <v>1.2012952263686467E-2</v>
      </c>
      <c r="HP3" s="5">
        <f t="shared" si="61"/>
        <v>1.804919555324282E-2</v>
      </c>
      <c r="HW3" s="3">
        <f t="shared" si="62"/>
        <v>2014</v>
      </c>
      <c r="HX3" s="3">
        <v>1764</v>
      </c>
      <c r="HY3" s="4">
        <f>Yihnurda!C3 + Ztesh!C3 + Wundry!C3 + Anymna!C3 + Shomjind!C3 + Baluyde!C3 + Letan!C3</f>
        <v>591799447.31976175</v>
      </c>
      <c r="HZ3" s="7">
        <f t="shared" si="63"/>
        <v>1.5177084047445388E-2</v>
      </c>
      <c r="IA3" s="5">
        <f t="shared" si="64"/>
        <v>8.7687192854712909E-2</v>
      </c>
      <c r="IH3" s="3">
        <f t="shared" si="65"/>
        <v>2014</v>
      </c>
      <c r="II3" s="3">
        <v>1764</v>
      </c>
      <c r="IJ3" s="4">
        <f>Iareva!C3 + 'United Mihili'!C3 + 'Mesjan Hyaa'!C3 + Desaki!C3 + 'Far Lands'!C3</f>
        <v>73352604.280451432</v>
      </c>
      <c r="IK3" s="7">
        <f t="shared" si="66"/>
        <v>1.173401874573333E-2</v>
      </c>
      <c r="IL3" s="5">
        <f t="shared" si="67"/>
        <v>1.086868868679425E-2</v>
      </c>
      <c r="IS3" s="3">
        <f t="shared" si="68"/>
        <v>2014</v>
      </c>
      <c r="IT3" s="3">
        <v>1764</v>
      </c>
      <c r="IU3" s="4">
        <f>Verste!C3 + Quidic!C3 + Erkizil!C3 + Ashain!C3 + Ahokini!C3</f>
        <v>368191902.0113951</v>
      </c>
      <c r="IV3" s="7">
        <f t="shared" si="69"/>
        <v>8.6202354832951057E-3</v>
      </c>
      <c r="IW3" s="5">
        <f t="shared" si="70"/>
        <v>5.4555161322704153E-2</v>
      </c>
    </row>
    <row r="4" spans="1:257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6683650729.1580877</v>
      </c>
      <c r="D4" s="5">
        <f t="shared" si="1"/>
        <v>9.767101234825026E-3</v>
      </c>
      <c r="K4" s="3">
        <f t="shared" si="2"/>
        <v>2013</v>
      </c>
      <c r="L4" s="3">
        <v>1763</v>
      </c>
      <c r="M4" s="4">
        <f>Eldavpir!C4 + Iquir!C4 + Viussi!C4 + Umendel!C4 + 'Reerica'!C4 + Saa!C4 + Sattle!C4</f>
        <v>106379257.96685706</v>
      </c>
      <c r="N4" s="5">
        <f t="shared" si="3"/>
        <v>2.4434239631731611E-2</v>
      </c>
      <c r="O4" s="5">
        <f t="shared" si="4"/>
        <v>1.5916340077851018E-2</v>
      </c>
      <c r="V4" s="3">
        <f t="shared" si="5"/>
        <v>2013</v>
      </c>
      <c r="W4" s="3">
        <v>1763</v>
      </c>
      <c r="X4" s="4">
        <f>'Areoix Lie'!C4 + Jau!C4 + Terressin!C4 + Acetoa!C4 + 'Feio Lie'!C4</f>
        <v>688756399.68312252</v>
      </c>
      <c r="Y4" s="5">
        <f t="shared" si="6"/>
        <v>3.8484268509908306E-3</v>
      </c>
      <c r="Z4" s="5">
        <f t="shared" si="7"/>
        <v>0.103050926446284</v>
      </c>
      <c r="AG4" s="3">
        <f t="shared" si="8"/>
        <v>2013</v>
      </c>
      <c r="AH4" s="3">
        <v>1763</v>
      </c>
      <c r="AI4" s="4">
        <f>Taniduna!C4 + Jathua!C4 + Deschon!C4 + Pelines!C4 + 'Candenat'!C4 + Othya!C4 + Yoprioq!C4 + Jshain!C4 + 'Fire Coast'!C4 + 'Rijan bu'!C4 + 'Rinew'!C4 + Enina!C4 + Trevilla!C4</f>
        <v>221238937.62057197</v>
      </c>
      <c r="AJ4" s="5">
        <f t="shared" si="9"/>
        <v>2.6835985727972213E-2</v>
      </c>
      <c r="AK4" s="5">
        <f t="shared" si="10"/>
        <v>3.310151092357283E-2</v>
      </c>
      <c r="AR4" s="3">
        <f t="shared" si="11"/>
        <v>2013</v>
      </c>
      <c r="AS4" s="3">
        <v>1763</v>
      </c>
      <c r="AT4" s="4">
        <f>Gaeiya!C4 + 'Raledria'!C4 + Arbiya!C4 + Fincen!C4 + 'Curata'!C4</f>
        <v>317471440.81916016</v>
      </c>
      <c r="AU4" s="5">
        <f t="shared" si="12"/>
        <v>1.6275924142318189E-2</v>
      </c>
      <c r="AV4" s="5">
        <f t="shared" si="13"/>
        <v>4.7499705428076841E-2</v>
      </c>
      <c r="BC4" s="3">
        <f t="shared" si="14"/>
        <v>2013</v>
      </c>
      <c r="BD4" s="3">
        <v>1763</v>
      </c>
      <c r="BE4" s="4">
        <f>Etirha!C4 + Laselteh!C4 + Grazail!C4 + 'Disal Nila'!C4 + Pelan!C4 + Peka!C4 + Guise!C4</f>
        <v>106322693.54132147</v>
      </c>
      <c r="BF4" s="5">
        <f t="shared" si="15"/>
        <v>4.5213350897277777E-3</v>
      </c>
      <c r="BG4" s="5">
        <f t="shared" si="16"/>
        <v>1.5907876974701595E-2</v>
      </c>
      <c r="BN4" s="3">
        <f t="shared" si="17"/>
        <v>2013</v>
      </c>
      <c r="BO4" s="3">
        <v>1763</v>
      </c>
      <c r="BP4" s="4">
        <f>Genaire!C4 + 'New Misos'!C4 + Phuris!C4 + Lasri!C4 + Slyiaduun!C4 + Aetintio!C4 + Metndria!C4 + Tomscilus!C4</f>
        <v>101660327.7401951</v>
      </c>
      <c r="BQ4" s="5">
        <f t="shared" si="18"/>
        <v>1.0266049226486657E-2</v>
      </c>
      <c r="BR4" s="5">
        <f t="shared" si="19"/>
        <v>1.5210299260057359E-2</v>
      </c>
      <c r="BY4" s="3">
        <f t="shared" si="20"/>
        <v>2013</v>
      </c>
      <c r="BZ4" s="3">
        <v>1763</v>
      </c>
      <c r="CA4" s="4">
        <f>Ealdorii!C4 + Ukhdari!C4 + Hkuqo!C4 + Acrana!C4 + Zenashan!C4</f>
        <v>267583686.57874528</v>
      </c>
      <c r="CB4" s="6">
        <f t="shared" si="21"/>
        <v>6.555204263565215E-3</v>
      </c>
      <c r="CC4" s="5">
        <f t="shared" si="22"/>
        <v>4.0035558023908242E-2</v>
      </c>
      <c r="CJ4" s="3">
        <f t="shared" si="23"/>
        <v>2013</v>
      </c>
      <c r="CK4" s="3">
        <v>1763</v>
      </c>
      <c r="CL4" s="4">
        <f>Estijan!C4 + Ikzen!C4 + Urbiqu!C4 + Danocia!C4 + Koruch!C4 + 'New Kizura'!C4 + Lydroa!C4 + Fermori!C4 + Uularin!C4 + 'Niul Spijan'!C4</f>
        <v>294528014.51228899</v>
      </c>
      <c r="CM4" s="6">
        <f t="shared" si="24"/>
        <v>9.7064593433542918E-3</v>
      </c>
      <c r="CN4" s="5">
        <f t="shared" si="25"/>
        <v>4.4066936835490428E-2</v>
      </c>
      <c r="CU4" s="3">
        <f t="shared" si="26"/>
        <v>2013</v>
      </c>
      <c r="CV4" s="3">
        <v>1763</v>
      </c>
      <c r="CW4" s="4">
        <f>Praesyu!C4 + Lycroa!C4 + Emara!C4 + Eldjo!C4 + Easuhura!C4 + Ilicuhe!C4 + Tonder!C4</f>
        <v>246871749.78779247</v>
      </c>
      <c r="CX4" s="6">
        <f t="shared" si="27"/>
        <v>5.2339792069340807E-3</v>
      </c>
      <c r="CY4" s="5">
        <f t="shared" si="28"/>
        <v>3.693666228110784E-2</v>
      </c>
      <c r="DF4" s="3">
        <f t="shared" si="29"/>
        <v>2013</v>
      </c>
      <c r="DG4" s="3">
        <v>1763</v>
      </c>
      <c r="DH4" s="4">
        <f>Verusa!C4 + Darewa!C4 + Siana!C4 + Yaxuto!C4 + 'Merela Sta'!C4 + Palina!C4</f>
        <v>171843152.72366047</v>
      </c>
      <c r="DI4" s="6">
        <f t="shared" si="30"/>
        <v>3.4030552743086985E-3</v>
      </c>
      <c r="DJ4" s="5">
        <f t="shared" si="31"/>
        <v>2.5710971396811284E-2</v>
      </c>
      <c r="DQ4" s="3">
        <f t="shared" si="32"/>
        <v>2013</v>
      </c>
      <c r="DR4" s="3">
        <v>1763</v>
      </c>
      <c r="DS4" s="4">
        <f>Sunsokua!C4 + Vayvele!C4 + Selaja!C4 + Sadain!C4</f>
        <v>199226679.05282801</v>
      </c>
      <c r="DT4" s="6">
        <f t="shared" si="33"/>
        <v>1.2390854024701513E-2</v>
      </c>
      <c r="DU4" s="5">
        <f t="shared" si="34"/>
        <v>2.9808062558338351E-2</v>
      </c>
      <c r="EB4" s="3">
        <f t="shared" si="35"/>
        <v>2013</v>
      </c>
      <c r="EC4" s="3">
        <v>1763</v>
      </c>
      <c r="ED4" s="4">
        <f>Pelugrotoa!C4 + Lieri!C4 + 'Rtesania'!C4 + Ozinia!C4</f>
        <v>397367282.46638137</v>
      </c>
      <c r="EE4" s="6">
        <f t="shared" si="36"/>
        <v>5.4506069698925632E-3</v>
      </c>
      <c r="EF4" s="5">
        <f t="shared" si="37"/>
        <v>5.945362775059853E-2</v>
      </c>
      <c r="EM4" s="3">
        <f t="shared" si="38"/>
        <v>2013</v>
      </c>
      <c r="EN4" s="3">
        <v>1763</v>
      </c>
      <c r="EO4" s="4">
        <f>Ocaun!C4 + 'Dual Cenryia'!C4 + Byllu!C4 + Exilium!C4 + Inrea!C4 + Amcha!C4 + Isnti!C4 + Galca!C4 + Otiiric!C4 + Taing!C4 + 'Cruthi Anoso'!C4</f>
        <v>287639583.99163252</v>
      </c>
      <c r="EP4" s="6">
        <f t="shared" si="39"/>
        <v>1.7948947794145603E-2</v>
      </c>
      <c r="EQ4" s="5">
        <f t="shared" si="40"/>
        <v>4.3036297922746977E-2</v>
      </c>
      <c r="EX4" s="3">
        <f t="shared" si="41"/>
        <v>2013</v>
      </c>
      <c r="EY4" s="3">
        <v>1763</v>
      </c>
      <c r="EZ4" s="4">
        <f>Sivoso!C4 + Taoisia!C4 + Seytinemas!C4 + Trian!C4 + 'Chaenia'!C4</f>
        <v>144887154.80904421</v>
      </c>
      <c r="FA4" s="6">
        <f t="shared" si="42"/>
        <v>7.2086931560689377E-3</v>
      </c>
      <c r="FB4" s="5">
        <f t="shared" si="43"/>
        <v>2.1677846536318792E-2</v>
      </c>
      <c r="FI4" s="3">
        <f t="shared" si="44"/>
        <v>2013</v>
      </c>
      <c r="FJ4" s="3">
        <v>1763</v>
      </c>
      <c r="FK4" s="4">
        <f>Migoku!C4 + 'Welenu Fana'!C4 + Haiza!C4 + Ucrua!C4 + Ihner!C4 + Oscairia!C4 + Shinam!C4 + 'Ruylku'!C4 + Taval!C4 + 'Western Migoku'!C4 + 'Pruim Fijan'!C4 + 'Canldives'!C4</f>
        <v>192538232.96666446</v>
      </c>
      <c r="FL4" s="6">
        <f t="shared" si="45"/>
        <v>1.2408477064180872E-2</v>
      </c>
      <c r="FM4" s="5">
        <f t="shared" si="46"/>
        <v>2.8807345082635358E-2</v>
      </c>
      <c r="FT4" s="3">
        <f t="shared" si="47"/>
        <v>2013</v>
      </c>
      <c r="FU4" s="3">
        <v>1763</v>
      </c>
      <c r="FV4" s="4">
        <f>Vesozata!C4 + Etretes!C4 + Kusierna!C4 + Eparia!C4</f>
        <v>148728490.4983201</v>
      </c>
      <c r="FW4" s="6">
        <f t="shared" si="48"/>
        <v>2.4345645338146458E-2</v>
      </c>
      <c r="FX4" s="5">
        <f t="shared" si="49"/>
        <v>2.2252582686506543E-2</v>
      </c>
      <c r="GE4" s="3">
        <f t="shared" si="50"/>
        <v>2013</v>
      </c>
      <c r="GF4" s="3">
        <v>1763</v>
      </c>
      <c r="GG4" s="4">
        <f>Dahe!C4 + Kaastini!C4 + Suenan!C4 + Oyreain!C4 + Sanagara!C4 + 'North Ayre'!C4 + Stinebar!C4 + 'Cloja'!C4 + 'Pha Hii'!C4 + 'Prystr Hii'!C4</f>
        <v>1028428040.0986954</v>
      </c>
      <c r="GH4" s="6">
        <f t="shared" si="51"/>
        <v>3.2348317930290709E-3</v>
      </c>
      <c r="GI4" s="5">
        <f t="shared" si="52"/>
        <v>0.15387219975635116</v>
      </c>
      <c r="GP4" s="3">
        <f t="shared" si="53"/>
        <v>2013</v>
      </c>
      <c r="GQ4" s="3">
        <v>1763</v>
      </c>
      <c r="GR4" s="4">
        <f>Maalle!C4 + 'United Delet'!C4 + Ohtina!C4 + Astye!C4 + Prstreula!C4 + Veelmit!C4 + Aplasia!C4 + 'Elja and Munusia'!C4 + Walporein!C4 + 'Crila Republic'!C4 + 'Niretui and Anulan'!C4 + 'Rethern'!C4 + Tvecoca!C4</f>
        <v>199924593.56051466</v>
      </c>
      <c r="GS4" s="6">
        <f t="shared" si="54"/>
        <v>1.1790848354411227E-2</v>
      </c>
      <c r="GT4" s="5">
        <f t="shared" si="55"/>
        <v>2.9912483710186087E-2</v>
      </c>
      <c r="HA4" s="3">
        <f t="shared" si="56"/>
        <v>2013</v>
      </c>
      <c r="HB4" s="3">
        <v>1763</v>
      </c>
      <c r="HC4" s="4">
        <f>Andsaudare!C4 + Nia!C4 + Umarcia!C4 + Mendereide!C4 + Iainoa!C4 + Isari!C4 + 'Rkmepuia'!C4 + Hiwush!C4 + Isuibul!C4 + Yutnitu!C4</f>
        <v>69997786.876035303</v>
      </c>
      <c r="HD4" s="6">
        <f t="shared" si="57"/>
        <v>1.1945464478789429E-2</v>
      </c>
      <c r="HE4" s="5">
        <f t="shared" si="58"/>
        <v>1.0472986951676429E-2</v>
      </c>
      <c r="HL4" s="3">
        <f t="shared" si="59"/>
        <v>2013</v>
      </c>
      <c r="HM4" s="3">
        <v>1763</v>
      </c>
      <c r="HN4" s="4">
        <f>Zhanshe!C4 + Volver!C4 + Finae!C4 + Myla!C4 + 'Nheyes Si'!C4 + Onphello!C4 + Hyelen!C4</f>
        <v>120367756.94785029</v>
      </c>
      <c r="HO4" s="6">
        <f t="shared" si="60"/>
        <v>1.2758943304305005E-2</v>
      </c>
      <c r="HP4" s="5">
        <f t="shared" si="61"/>
        <v>1.8009282924186035E-2</v>
      </c>
      <c r="HW4" s="3">
        <f t="shared" si="62"/>
        <v>2013</v>
      </c>
      <c r="HX4" s="3">
        <v>1763</v>
      </c>
      <c r="HY4" s="4">
        <f>Yihnurda!C4 + Ztesh!C4 + Wundry!C4 + Anymna!C4 + Shomjind!C4 + Baluyde!C4 + Letan!C4</f>
        <v>582951936.77963614</v>
      </c>
      <c r="HZ4" s="6">
        <f t="shared" si="63"/>
        <v>1.579231386333128E-2</v>
      </c>
      <c r="IA4" s="5">
        <f t="shared" si="64"/>
        <v>8.7220586533112904E-2</v>
      </c>
      <c r="IH4" s="3">
        <f t="shared" si="65"/>
        <v>2013</v>
      </c>
      <c r="II4" s="3">
        <v>1763</v>
      </c>
      <c r="IJ4" s="4">
        <f>Iareva!C4 + 'United Mihili'!C4 + 'Mesjan Hyaa'!C4 + Desaki!C4 + 'Far Lands'!C4</f>
        <v>72501866.025408641</v>
      </c>
      <c r="IK4" s="6">
        <f t="shared" si="66"/>
        <v>1.2549954596165567E-2</v>
      </c>
      <c r="IL4" s="5">
        <f t="shared" si="67"/>
        <v>1.0847644343399345E-2</v>
      </c>
      <c r="IS4" s="3">
        <f t="shared" si="68"/>
        <v>2013</v>
      </c>
      <c r="IT4" s="3">
        <v>1763</v>
      </c>
      <c r="IU4" s="4">
        <f>Verste!C4 + Quidic!C4 + Erkizil!C4 + Ashain!C4 + Ahokini!C4</f>
        <v>365045127.05415887</v>
      </c>
      <c r="IV4" s="6">
        <f t="shared" si="69"/>
        <v>8.9089329502902211E-3</v>
      </c>
      <c r="IW4" s="5">
        <f t="shared" si="70"/>
        <v>5.4617624685505087E-2</v>
      </c>
    </row>
    <row r="5" spans="1:257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6619002263.9723339</v>
      </c>
      <c r="D5" s="5">
        <f t="shared" si="1"/>
        <v>9.9807088805101418E-3</v>
      </c>
      <c r="K5" s="3">
        <f t="shared" si="2"/>
        <v>2012</v>
      </c>
      <c r="L5" s="3">
        <v>1762</v>
      </c>
      <c r="M5" s="4">
        <f>Eldavpir!C5 + Iquir!C5 + Viussi!C5 + Umendel!C5 + 'Reerica'!C5 + Saa!C5 + Sattle!C5</f>
        <v>103841958.66500789</v>
      </c>
      <c r="N5" s="5">
        <f t="shared" si="3"/>
        <v>2.5298396857156832E-2</v>
      </c>
      <c r="O5" s="5">
        <f t="shared" si="4"/>
        <v>1.5688460967935684E-2</v>
      </c>
      <c r="V5" s="3">
        <f t="shared" si="5"/>
        <v>2012</v>
      </c>
      <c r="W5" s="3">
        <v>1762</v>
      </c>
      <c r="X5" s="4">
        <f>'Areoix Lie'!C5 + Jau!C5 + Terressin!C5 + Acetoa!C5 + 'Feio Lie'!C5</f>
        <v>686115932.70480871</v>
      </c>
      <c r="Y5" s="5">
        <f t="shared" si="6"/>
        <v>3.028627604294174E-3</v>
      </c>
      <c r="Z5" s="5">
        <f t="shared" si="7"/>
        <v>0.10365851307218657</v>
      </c>
      <c r="AG5" s="3">
        <f t="shared" si="8"/>
        <v>2012</v>
      </c>
      <c r="AH5" s="3">
        <v>1762</v>
      </c>
      <c r="AI5" s="4">
        <f>Taniduna!C5 + Jathua!C5 + Deschon!C5 + Pelines!C5 + 'Candenat'!C5 + Othya!C5 + Yoprioq!C5 + Jshain!C5 + 'Fire Coast'!C5 + 'Rijan bu'!C5 + 'Rinew'!C5 + Enina!C5 + Trevilla!C5</f>
        <v>215456938.29937729</v>
      </c>
      <c r="AJ5" s="5">
        <f t="shared" si="9"/>
        <v>2.6887825535763805E-2</v>
      </c>
      <c r="AK5" s="5">
        <f t="shared" si="10"/>
        <v>3.2551271280283983E-2</v>
      </c>
      <c r="AR5" s="3">
        <f t="shared" si="11"/>
        <v>2012</v>
      </c>
      <c r="AS5" s="3">
        <v>1762</v>
      </c>
      <c r="AT5" s="4">
        <f>Gaeiya!C5 + 'Raledria'!C5 + Arbiya!C5 + Fincen!C5 + 'Curata'!C5</f>
        <v>312387052.84402841</v>
      </c>
      <c r="AU5" s="5">
        <f t="shared" si="12"/>
        <v>1.6593312696444987E-2</v>
      </c>
      <c r="AV5" s="5">
        <f t="shared" si="13"/>
        <v>4.7195489650210844E-2</v>
      </c>
      <c r="BC5" s="3">
        <f t="shared" si="14"/>
        <v>2012</v>
      </c>
      <c r="BD5" s="3">
        <v>1762</v>
      </c>
      <c r="BE5" s="4">
        <f>Etirha!C5 + Laselteh!C5 + Grazail!C5 + 'Disal Nila'!C5 + Pelan!C5 + Peka!C5 + Guise!C5</f>
        <v>105844136.73187371</v>
      </c>
      <c r="BF5" s="5">
        <f t="shared" si="15"/>
        <v>4.6965741159271162E-3</v>
      </c>
      <c r="BG5" s="5">
        <f t="shared" si="16"/>
        <v>1.5990950374498332E-2</v>
      </c>
      <c r="BN5" s="3">
        <f t="shared" si="17"/>
        <v>2012</v>
      </c>
      <c r="BO5" s="3">
        <v>1762</v>
      </c>
      <c r="BP5" s="4">
        <f>Genaire!C5 + 'New Misos'!C5 + Phuris!C5 + Lasri!C5 + Slyiaduun!C5 + Aetintio!C5 + Metndria!C5 + Tomscilus!C5</f>
        <v>100627283.09837952</v>
      </c>
      <c r="BQ5" s="5">
        <f t="shared" si="18"/>
        <v>1.1109090703179262E-2</v>
      </c>
      <c r="BR5" s="5">
        <f t="shared" si="19"/>
        <v>1.5202787230652642E-2</v>
      </c>
      <c r="BY5" s="3">
        <f t="shared" si="20"/>
        <v>2012</v>
      </c>
      <c r="BZ5" s="3">
        <v>1762</v>
      </c>
      <c r="CA5" s="4">
        <f>Ealdorii!C5 + Ukhdari!C5 + Hkuqo!C5 + Acrana!C5 + Zenashan!C5</f>
        <v>265841044.23216397</v>
      </c>
      <c r="CB5" s="7">
        <f t="shared" si="21"/>
        <v>7.4572442075483535E-3</v>
      </c>
      <c r="CC5" s="5">
        <f t="shared" si="22"/>
        <v>4.0163310666798575E-2</v>
      </c>
      <c r="CJ5" s="3">
        <f t="shared" si="23"/>
        <v>2012</v>
      </c>
      <c r="CK5" s="3">
        <v>1762</v>
      </c>
      <c r="CL5" s="4">
        <f>Estijan!C5 + Ikzen!C5 + Urbiqu!C5 + Danocia!C5 + Koruch!C5 + 'New Kizura'!C5 + Lydroa!C5 + Fermori!C5 + Uularin!C5 + 'Niul Spijan'!C5</f>
        <v>291696672.6189217</v>
      </c>
      <c r="CM5" s="7">
        <f t="shared" si="24"/>
        <v>1.032550043833309E-2</v>
      </c>
      <c r="CN5" s="5">
        <f t="shared" si="25"/>
        <v>4.4069583448648433E-2</v>
      </c>
      <c r="CU5" s="3">
        <f t="shared" si="26"/>
        <v>2012</v>
      </c>
      <c r="CV5" s="3">
        <v>1762</v>
      </c>
      <c r="CW5" s="4">
        <f>Praesyu!C5 + Lycroa!C5 + Emara!C5 + Eldjo!C5 + Easuhura!C5 + Ilicuhe!C5 + Tonder!C5</f>
        <v>245586355.90746608</v>
      </c>
      <c r="CX5" s="7">
        <f t="shared" si="27"/>
        <v>4.8031023921481075E-3</v>
      </c>
      <c r="CY5" s="5">
        <f t="shared" si="28"/>
        <v>3.7103228872455415E-2</v>
      </c>
      <c r="DF5" s="3">
        <f t="shared" si="29"/>
        <v>2012</v>
      </c>
      <c r="DG5" s="3">
        <v>1762</v>
      </c>
      <c r="DH5" s="4">
        <f>Verusa!C5 + Darewa!C5 + Siana!C5 + Yaxuto!C5 + 'Merela Sta'!C5 + Palina!C5</f>
        <v>171260344.30569106</v>
      </c>
      <c r="DI5" s="7">
        <f t="shared" si="30"/>
        <v>3.0275942715009968E-3</v>
      </c>
      <c r="DJ5" s="5">
        <f t="shared" si="31"/>
        <v>2.587404226130461E-2</v>
      </c>
      <c r="DQ5" s="3">
        <f t="shared" si="32"/>
        <v>2012</v>
      </c>
      <c r="DR5" s="3">
        <v>1762</v>
      </c>
      <c r="DS5" s="4">
        <f>Sunsokua!C5 + Vayvele!C5 + Selaja!C5 + Sadain!C5</f>
        <v>196788303.905368</v>
      </c>
      <c r="DT5" s="7">
        <f t="shared" si="33"/>
        <v>1.2495884902980538E-2</v>
      </c>
      <c r="DU5" s="5">
        <f t="shared" si="34"/>
        <v>2.9730810786468487E-2</v>
      </c>
      <c r="EB5" s="3">
        <f t="shared" si="35"/>
        <v>2012</v>
      </c>
      <c r="EC5" s="3">
        <v>1762</v>
      </c>
      <c r="ED5" s="4">
        <f>Pelugrotoa!C5 + Lieri!C5 + 'Rtesania'!C5 + Ozinia!C5</f>
        <v>395213131.01985151</v>
      </c>
      <c r="EE5" s="7">
        <f t="shared" si="36"/>
        <v>6.2491880930918339E-3</v>
      </c>
      <c r="EF5" s="5">
        <f t="shared" si="37"/>
        <v>5.9708867780726205E-2</v>
      </c>
      <c r="EM5" s="3">
        <f t="shared" si="38"/>
        <v>2012</v>
      </c>
      <c r="EN5" s="3">
        <v>1762</v>
      </c>
      <c r="EO5" s="4">
        <f>Ocaun!C5 + 'Dual Cenryia'!C5 + Byllu!C5 + Exilium!C5 + Inrea!C5 + Amcha!C5 + Isnti!C5 + Galca!C5 + Otiiric!C5 + Taing!C5 + 'Cruthi Anoso'!C5</f>
        <v>282567789.48977345</v>
      </c>
      <c r="EP5" s="7">
        <f t="shared" si="39"/>
        <v>1.760639092310964E-2</v>
      </c>
      <c r="EQ5" s="5">
        <f t="shared" si="40"/>
        <v>4.2690390216031285E-2</v>
      </c>
      <c r="EX5" s="3">
        <f t="shared" si="41"/>
        <v>2012</v>
      </c>
      <c r="EY5" s="3">
        <v>1762</v>
      </c>
      <c r="EZ5" s="4">
        <f>Sivoso!C5 + Taoisia!C5 + Seytinemas!C5 + Trian!C5 + 'Chaenia'!C5</f>
        <v>143850182.97950062</v>
      </c>
      <c r="FA5" s="7">
        <f t="shared" si="42"/>
        <v>7.6190763937687761E-3</v>
      </c>
      <c r="FB5" s="5">
        <f t="shared" si="43"/>
        <v>2.1732910375705211E-2</v>
      </c>
      <c r="FI5" s="3">
        <f t="shared" si="44"/>
        <v>2012</v>
      </c>
      <c r="FJ5" s="3">
        <v>1762</v>
      </c>
      <c r="FK5" s="4">
        <f>Migoku!C5 + 'Welenu Fana'!C5 + Haiza!C5 + Ucrua!C5 + Ihner!C5 + Oscairia!C5 + Shinam!C5 + 'Ruylku'!C5 + Taval!C5 + 'Western Migoku'!C5 + 'Pruim Fijan'!C5 + 'Canldives'!C5</f>
        <v>190178408.54611754</v>
      </c>
      <c r="FL5" s="7">
        <f t="shared" si="45"/>
        <v>1.5776834168327463E-2</v>
      </c>
      <c r="FM5" s="5">
        <f t="shared" si="46"/>
        <v>2.8732186659199556E-2</v>
      </c>
      <c r="FT5" s="3">
        <f t="shared" si="47"/>
        <v>2012</v>
      </c>
      <c r="FU5" s="3">
        <v>1762</v>
      </c>
      <c r="FV5" s="4">
        <f>Vesozata!C5 + Etretes!C5 + Kusierna!C5 + Eparia!C5</f>
        <v>145193657.2144292</v>
      </c>
      <c r="FW5" s="7">
        <f t="shared" si="48"/>
        <v>2.3709831473032822E-2</v>
      </c>
      <c r="FX5" s="5">
        <f t="shared" si="49"/>
        <v>2.1935882694092409E-2</v>
      </c>
      <c r="GE5" s="3">
        <f t="shared" si="50"/>
        <v>2012</v>
      </c>
      <c r="GF5" s="3">
        <v>1762</v>
      </c>
      <c r="GG5" s="4">
        <f>Dahe!C5 + Kaastini!C5 + Suenan!C5 + Oyreain!C5 + Sanagara!C5 + 'North Ayre'!C5 + Stinebar!C5 + 'Cloja'!C5 + 'Pha Hii'!C5 + 'Prystr Hii'!C5</f>
        <v>1025111975.2896137</v>
      </c>
      <c r="GH5" s="7">
        <f t="shared" si="51"/>
        <v>3.245997234360963E-3</v>
      </c>
      <c r="GI5" s="5">
        <f t="shared" si="52"/>
        <v>0.15487409346713263</v>
      </c>
      <c r="GP5" s="3">
        <f t="shared" si="53"/>
        <v>2012</v>
      </c>
      <c r="GQ5" s="3">
        <v>1762</v>
      </c>
      <c r="GR5" s="4">
        <f>Maalle!C5 + 'United Delet'!C5 + Ohtina!C5 + Astye!C5 + Prstreula!C5 + Veelmit!C5 + Aplasia!C5 + 'Elja and Munusia'!C5 + Walporein!C5 + 'Crila Republic'!C5 + 'Niretui and Anulan'!C5 + 'Rethern'!C5 + Tvecoca!C5</f>
        <v>197594783.43342838</v>
      </c>
      <c r="GS5" s="7">
        <f t="shared" si="54"/>
        <v>1.2690528194042761E-2</v>
      </c>
      <c r="GT5" s="5">
        <f t="shared" si="55"/>
        <v>2.985265385222027E-2</v>
      </c>
      <c r="HA5" s="3">
        <f t="shared" si="56"/>
        <v>2012</v>
      </c>
      <c r="HB5" s="3">
        <v>1762</v>
      </c>
      <c r="HC5" s="4">
        <f>Andsaudare!C5 + Nia!C5 + Umarcia!C5 + Mendereide!C5 + Iainoa!C5 + Isari!C5 + 'Rkmepuia'!C5 + Hiwush!C5 + Isuibul!C5 + Yutnitu!C5</f>
        <v>69171501.165913343</v>
      </c>
      <c r="HD5" s="7">
        <f t="shared" si="57"/>
        <v>1.205964993676197E-2</v>
      </c>
      <c r="HE5" s="5">
        <f t="shared" si="58"/>
        <v>1.0450442288321669E-2</v>
      </c>
      <c r="HL5" s="3">
        <f t="shared" si="59"/>
        <v>2012</v>
      </c>
      <c r="HM5" s="3">
        <v>1762</v>
      </c>
      <c r="HN5" s="4">
        <f>Zhanshe!C5 + Volver!C5 + Finae!C5 + Myla!C5 + 'Nheyes Si'!C5 + Onphello!C5 + Hyelen!C5</f>
        <v>118851339.44621532</v>
      </c>
      <c r="HO5" s="7">
        <f t="shared" si="60"/>
        <v>1.3514678899839736E-2</v>
      </c>
      <c r="HP5" s="5">
        <f t="shared" si="61"/>
        <v>1.795608079681903E-2</v>
      </c>
      <c r="HW5" s="3">
        <f t="shared" si="62"/>
        <v>2012</v>
      </c>
      <c r="HX5" s="3">
        <v>1762</v>
      </c>
      <c r="HY5" s="4">
        <f>Yihnurda!C5 + Ztesh!C5 + Wundry!C5 + Anymna!C5 + Shomjind!C5 + Baluyde!C5 + Letan!C5</f>
        <v>573888903.0992105</v>
      </c>
      <c r="HZ5" s="7">
        <f t="shared" si="63"/>
        <v>1.6345300122043736E-2</v>
      </c>
      <c r="IA5" s="5">
        <f t="shared" si="64"/>
        <v>8.6703234144959535E-2</v>
      </c>
      <c r="IH5" s="3">
        <f t="shared" si="65"/>
        <v>2012</v>
      </c>
      <c r="II5" s="3">
        <v>1762</v>
      </c>
      <c r="IJ5" s="4">
        <f>Iareva!C5 + 'United Mihili'!C5 + 'Mesjan Hyaa'!C5 + Desaki!C5 + 'Far Lands'!C5</f>
        <v>71603248.507699057</v>
      </c>
      <c r="IK5" s="7">
        <f t="shared" si="66"/>
        <v>1.3885436036678715E-2</v>
      </c>
      <c r="IL5" s="5">
        <f t="shared" si="67"/>
        <v>1.0817831094792075E-2</v>
      </c>
      <c r="IS5" s="3">
        <f t="shared" si="68"/>
        <v>2012</v>
      </c>
      <c r="IT5" s="3">
        <v>1762</v>
      </c>
      <c r="IU5" s="4">
        <f>Verste!C5 + Quidic!C5 + Erkizil!C5 + Ashain!C5 + Ahokini!C5</f>
        <v>361821681.94970769</v>
      </c>
      <c r="IV5" s="7">
        <f t="shared" si="69"/>
        <v>9.2361295807873445E-3</v>
      </c>
      <c r="IW5" s="5">
        <f t="shared" si="70"/>
        <v>5.4664081914449096E-2</v>
      </c>
    </row>
    <row r="6" spans="1:257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6553592762.4885178</v>
      </c>
      <c r="D6" s="5">
        <f t="shared" si="1"/>
        <v>1.0017077690113077E-2</v>
      </c>
      <c r="K6" s="3">
        <f t="shared" si="2"/>
        <v>2011</v>
      </c>
      <c r="L6" s="3">
        <v>1761</v>
      </c>
      <c r="M6" s="4">
        <f>Eldavpir!C6 + Iquir!C6 + Viussi!C6 + Umendel!C6 + 'Reerica'!C6 + Saa!C6 + Sattle!C6</f>
        <v>101279743.51985162</v>
      </c>
      <c r="N6" s="5">
        <f t="shared" si="3"/>
        <v>2.5979553898442337E-2</v>
      </c>
      <c r="O6" s="5">
        <f t="shared" si="4"/>
        <v>1.5454079493550019E-2</v>
      </c>
      <c r="V6" s="3">
        <f t="shared" si="5"/>
        <v>2011</v>
      </c>
      <c r="W6" s="3">
        <v>1761</v>
      </c>
      <c r="X6" s="4">
        <f>'Areoix Lie'!C6 + Jau!C6 + Terressin!C6 + Acetoa!C6 + 'Feio Lie'!C6</f>
        <v>684044217.50511491</v>
      </c>
      <c r="Y6" s="5">
        <f t="shared" si="6"/>
        <v>4.3564915272326053E-3</v>
      </c>
      <c r="Z6" s="5">
        <f t="shared" si="7"/>
        <v>0.10437697951274148</v>
      </c>
      <c r="AG6" s="3">
        <f t="shared" si="8"/>
        <v>2011</v>
      </c>
      <c r="AH6" s="3">
        <v>1761</v>
      </c>
      <c r="AI6" s="4">
        <f>Taniduna!C6 + Jathua!C6 + Deschon!C6 + Pelines!C6 + 'Candenat'!C6 + Othya!C6 + Yoprioq!C6 + Jshain!C6 + 'Fire Coast'!C6 + 'Rijan bu'!C6 + 'Rinew'!C6 + Enina!C6 + Trevilla!C6</f>
        <v>209815456.89955547</v>
      </c>
      <c r="AJ6" s="5">
        <f t="shared" si="9"/>
        <v>2.7021475623046111E-2</v>
      </c>
      <c r="AK6" s="5">
        <f t="shared" si="10"/>
        <v>3.2015333345168789E-2</v>
      </c>
      <c r="AR6" s="3">
        <f t="shared" si="11"/>
        <v>2011</v>
      </c>
      <c r="AS6" s="3">
        <v>1761</v>
      </c>
      <c r="AT6" s="4">
        <f>Gaeiya!C6 + 'Raledria'!C6 + Arbiya!C6 + Fincen!C6 + 'Curata'!C6</f>
        <v>307288124.89966404</v>
      </c>
      <c r="AU6" s="5">
        <f t="shared" si="12"/>
        <v>1.3364265034012742E-2</v>
      </c>
      <c r="AV6" s="5">
        <f t="shared" si="13"/>
        <v>4.6888498574174632E-2</v>
      </c>
      <c r="BC6" s="3">
        <f t="shared" si="14"/>
        <v>2011</v>
      </c>
      <c r="BD6" s="3">
        <v>1761</v>
      </c>
      <c r="BE6" s="4">
        <f>Etirha!C6 + Laselteh!C6 + Grazail!C6 + 'Disal Nila'!C6 + Pelan!C6 + Peka!C6 + Guise!C6</f>
        <v>105349355.67488146</v>
      </c>
      <c r="BF6" s="5">
        <f t="shared" si="15"/>
        <v>3.7164470860644749E-3</v>
      </c>
      <c r="BG6" s="5">
        <f t="shared" si="16"/>
        <v>1.6075053713724866E-2</v>
      </c>
      <c r="BN6" s="3">
        <f t="shared" si="17"/>
        <v>2011</v>
      </c>
      <c r="BO6" s="3">
        <v>1761</v>
      </c>
      <c r="BP6" s="4">
        <f>Genaire!C6 + 'New Misos'!C6 + Phuris!C6 + Lasri!C6 + Slyiaduun!C6 + Aetintio!C6 + Metndria!C6 + Tomscilus!C6</f>
        <v>99521687.643415347</v>
      </c>
      <c r="BQ6" s="5">
        <f t="shared" si="18"/>
        <v>1.1769997008540709E-2</v>
      </c>
      <c r="BR6" s="5">
        <f t="shared" si="19"/>
        <v>1.5185821159510858E-2</v>
      </c>
      <c r="BY6" s="3">
        <f t="shared" si="20"/>
        <v>2011</v>
      </c>
      <c r="BZ6" s="3">
        <v>1761</v>
      </c>
      <c r="CA6" s="4">
        <f>Ealdorii!C6 + Ukhdari!C6 + Hkuqo!C6 + Acrana!C6 + Zenashan!C6</f>
        <v>263873276.767463</v>
      </c>
      <c r="CB6" s="6">
        <f t="shared" si="21"/>
        <v>7.6478151466691019E-3</v>
      </c>
      <c r="CC6" s="5">
        <f t="shared" si="22"/>
        <v>4.0263911159970453E-2</v>
      </c>
      <c r="CJ6" s="3">
        <f t="shared" si="23"/>
        <v>2011</v>
      </c>
      <c r="CK6" s="3">
        <v>1761</v>
      </c>
      <c r="CL6" s="4">
        <f>Estijan!C6 + Ikzen!C6 + Urbiqu!C6 + Danocia!C6 + Koruch!C6 + 'New Kizura'!C6 + Lydroa!C6 + Fermori!C6 + Uularin!C6 + 'Niul Spijan'!C6</f>
        <v>288715540.18221664</v>
      </c>
      <c r="CM6" s="6">
        <f t="shared" si="24"/>
        <v>1.0450858804856659E-2</v>
      </c>
      <c r="CN6" s="5">
        <f t="shared" si="25"/>
        <v>4.4054543918988665E-2</v>
      </c>
      <c r="CU6" s="3">
        <f t="shared" si="26"/>
        <v>2011</v>
      </c>
      <c r="CV6" s="3">
        <v>1761</v>
      </c>
      <c r="CW6" s="4">
        <f>Praesyu!C6 + Lycroa!C6 + Emara!C6 + Eldjo!C6 + Easuhura!C6 + Ilicuhe!C6 + Tonder!C6</f>
        <v>244412418.03771842</v>
      </c>
      <c r="CX6" s="6">
        <f t="shared" si="27"/>
        <v>4.3686324513475027E-3</v>
      </c>
      <c r="CY6" s="5">
        <f t="shared" si="28"/>
        <v>3.7294416497266544E-2</v>
      </c>
      <c r="DF6" s="3">
        <f t="shared" si="29"/>
        <v>2011</v>
      </c>
      <c r="DG6" s="3">
        <v>1761</v>
      </c>
      <c r="DH6" s="4">
        <f>Verusa!C6 + Darewa!C6 + Siana!C6 + Yaxuto!C6 + 'Merela Sta'!C6 + Palina!C6</f>
        <v>170743402.55820924</v>
      </c>
      <c r="DI6" s="6">
        <f t="shared" si="30"/>
        <v>4.0461907365260345E-3</v>
      </c>
      <c r="DJ6" s="5">
        <f t="shared" si="31"/>
        <v>2.6053404406741757E-2</v>
      </c>
      <c r="DQ6" s="3">
        <f t="shared" si="32"/>
        <v>2011</v>
      </c>
      <c r="DR6" s="3">
        <v>1761</v>
      </c>
      <c r="DS6" s="4">
        <f>Sunsokua!C6 + Vayvele!C6 + Selaja!C6 + Sadain!C6</f>
        <v>194359608.60643366</v>
      </c>
      <c r="DT6" s="6">
        <f t="shared" si="33"/>
        <v>1.2682244353072991E-2</v>
      </c>
      <c r="DU6" s="5">
        <f t="shared" si="34"/>
        <v>2.9656955451811108E-2</v>
      </c>
      <c r="EB6" s="3">
        <f t="shared" si="35"/>
        <v>2011</v>
      </c>
      <c r="EC6" s="3">
        <v>1761</v>
      </c>
      <c r="ED6" s="4">
        <f>Pelugrotoa!C6 + Lieri!C6 + 'Rtesania'!C6 + Ozinia!C6</f>
        <v>392758707.97849417</v>
      </c>
      <c r="EE6" s="6">
        <f t="shared" si="36"/>
        <v>5.3042600666429402E-3</v>
      </c>
      <c r="EF6" s="5">
        <f t="shared" si="37"/>
        <v>5.993028895944956E-2</v>
      </c>
      <c r="EM6" s="3">
        <f t="shared" si="38"/>
        <v>2011</v>
      </c>
      <c r="EN6" s="3">
        <v>1761</v>
      </c>
      <c r="EO6" s="4">
        <f>Ocaun!C6 + 'Dual Cenryia'!C6 + Byllu!C6 + Exilium!C6 + Inrea!C6 + Amcha!C6 + Isnti!C6 + Galca!C6 + Otiiric!C6 + Taing!C6 + 'Cruthi Anoso'!C6</f>
        <v>277678866.80963689</v>
      </c>
      <c r="EP6" s="6">
        <f t="shared" si="39"/>
        <v>1.7197535528072683E-2</v>
      </c>
      <c r="EQ6" s="5">
        <f t="shared" si="40"/>
        <v>4.2370479349741773E-2</v>
      </c>
      <c r="EX6" s="3">
        <f t="shared" si="41"/>
        <v>2011</v>
      </c>
      <c r="EY6" s="3">
        <v>1761</v>
      </c>
      <c r="EZ6" s="4">
        <f>Sivoso!C6 + Taoisia!C6 + Seytinemas!C6 + Trian!C6 + 'Chaenia'!C6</f>
        <v>142762464.85361817</v>
      </c>
      <c r="FA6" s="6">
        <f t="shared" si="42"/>
        <v>7.9800690391774332E-3</v>
      </c>
      <c r="FB6" s="5">
        <f t="shared" si="43"/>
        <v>2.1783847429575207E-2</v>
      </c>
      <c r="FI6" s="3">
        <f t="shared" si="44"/>
        <v>2011</v>
      </c>
      <c r="FJ6" s="3">
        <v>1761</v>
      </c>
      <c r="FK6" s="4">
        <f>Migoku!C6 + 'Welenu Fana'!C6 + Haiza!C6 + Ucrua!C6 + Ihner!C6 + Oscairia!C6 + Shinam!C6 + 'Ruylku'!C6 + Taval!C6 + 'Western Migoku'!C6 + 'Pruim Fijan'!C6 + 'Canldives'!C6</f>
        <v>187224597.12504381</v>
      </c>
      <c r="FL6" s="6">
        <f t="shared" si="45"/>
        <v>1.6159252485799379E-2</v>
      </c>
      <c r="FM6" s="5">
        <f t="shared" si="46"/>
        <v>2.8568237897948247E-2</v>
      </c>
      <c r="FT6" s="3">
        <f t="shared" si="47"/>
        <v>2011</v>
      </c>
      <c r="FU6" s="3">
        <v>1761</v>
      </c>
      <c r="FV6" s="4">
        <f>Vesozata!C6 + Etretes!C6 + Kusierna!C6 + Eparia!C6</f>
        <v>141830871.16151622</v>
      </c>
      <c r="FW6" s="6">
        <f t="shared" si="48"/>
        <v>2.3028458311882022E-2</v>
      </c>
      <c r="FX6" s="5">
        <f t="shared" si="49"/>
        <v>2.1641697356193441E-2</v>
      </c>
      <c r="GE6" s="3">
        <f t="shared" si="50"/>
        <v>2011</v>
      </c>
      <c r="GF6" s="3">
        <v>1761</v>
      </c>
      <c r="GG6" s="4">
        <f>Dahe!C6 + Kaastini!C6 + Suenan!C6 + Oyreain!C6 + Sanagara!C6 + 'North Ayre'!C6 + Stinebar!C6 + 'Cloja'!C6 + 'Pha Hii'!C6 + 'Prystr Hii'!C6</f>
        <v>1021795230.7963655</v>
      </c>
      <c r="GH6" s="6">
        <f t="shared" si="51"/>
        <v>3.2538775093215186E-3</v>
      </c>
      <c r="GI6" s="5">
        <f t="shared" si="52"/>
        <v>0.15591375110228414</v>
      </c>
      <c r="GP6" s="3">
        <f t="shared" si="53"/>
        <v>2011</v>
      </c>
      <c r="GQ6" s="3">
        <v>1761</v>
      </c>
      <c r="GR6" s="4">
        <f>Maalle!C6 + 'United Delet'!C6 + Ohtina!C6 + Astye!C6 + Prstreula!C6 + Veelmit!C6 + Aplasia!C6 + 'Elja and Munusia'!C6 + Walporein!C6 + 'Crila Republic'!C6 + 'Niretui and Anulan'!C6 + 'Rethern'!C6 + Tvecoca!C6</f>
        <v>195118625.0214113</v>
      </c>
      <c r="GS6" s="6">
        <f t="shared" si="54"/>
        <v>1.3883208892160831E-2</v>
      </c>
      <c r="GT6" s="5">
        <f t="shared" si="55"/>
        <v>2.9772772293425391E-2</v>
      </c>
      <c r="HA6" s="3">
        <f t="shared" si="56"/>
        <v>2011</v>
      </c>
      <c r="HB6" s="3">
        <v>1761</v>
      </c>
      <c r="HC6" s="4">
        <f>Andsaudare!C6 + Nia!C6 + Umarcia!C6 + Mendereide!C6 + Iainoa!C6 + Isari!C6 + 'Rkmepuia'!C6 + Hiwush!C6 + Isuibul!C6 + Yutnitu!C6</f>
        <v>68347257.170301661</v>
      </c>
      <c r="HD6" s="6">
        <f t="shared" si="57"/>
        <v>1.292029325547419E-2</v>
      </c>
      <c r="HE6" s="5">
        <f t="shared" si="58"/>
        <v>1.0428975318928571E-2</v>
      </c>
      <c r="HL6" s="3">
        <f t="shared" si="59"/>
        <v>2011</v>
      </c>
      <c r="HM6" s="3">
        <v>1761</v>
      </c>
      <c r="HN6" s="4">
        <f>Zhanshe!C6 + Volver!C6 + Finae!C6 + Myla!C6 + 'Nheyes Si'!C6 + Onphello!C6 + Hyelen!C6</f>
        <v>117266520.08161074</v>
      </c>
      <c r="HO6" s="6">
        <f t="shared" si="60"/>
        <v>1.2586932224858264E-2</v>
      </c>
      <c r="HP6" s="5">
        <f t="shared" si="61"/>
        <v>1.7893470700959837E-2</v>
      </c>
      <c r="HW6" s="3">
        <f t="shared" si="62"/>
        <v>2011</v>
      </c>
      <c r="HX6" s="3">
        <v>1761</v>
      </c>
      <c r="HY6" s="4">
        <f>Yihnurda!C6 + Ztesh!C6 + Wundry!C6 + Anymna!C6 + Shomjind!C6 + Baluyde!C6 + Letan!C6</f>
        <v>564659376.12964547</v>
      </c>
      <c r="HZ6" s="6">
        <f t="shared" si="63"/>
        <v>1.7117541839735548E-2</v>
      </c>
      <c r="IA6" s="5">
        <f t="shared" si="64"/>
        <v>8.6160278276923949E-2</v>
      </c>
      <c r="IH6" s="3">
        <f t="shared" si="65"/>
        <v>2011</v>
      </c>
      <c r="II6" s="3">
        <v>1761</v>
      </c>
      <c r="IJ6" s="4">
        <f>Iareva!C6 + 'United Mihili'!C6 + 'Mesjan Hyaa'!C6 + Desaki!C6 + 'Far Lands'!C6</f>
        <v>70622622.598860085</v>
      </c>
      <c r="IK6" s="6">
        <f t="shared" si="66"/>
        <v>1.4999957285062537E-2</v>
      </c>
      <c r="IL6" s="5">
        <f t="shared" si="67"/>
        <v>1.077616891349889E-2</v>
      </c>
      <c r="IS6" s="3">
        <f t="shared" si="68"/>
        <v>2011</v>
      </c>
      <c r="IT6" s="3">
        <v>1761</v>
      </c>
      <c r="IU6" s="4">
        <f>Verste!C6 + Quidic!C6 + Erkizil!C6 + Ashain!C6 + Ahokini!C6</f>
        <v>358510433.13322502</v>
      </c>
      <c r="IV6" s="6">
        <f t="shared" si="69"/>
        <v>9.4050681462778431E-3</v>
      </c>
      <c r="IW6" s="5">
        <f t="shared" si="70"/>
        <v>5.4704411172032015E-2</v>
      </c>
    </row>
    <row r="7" spans="1:257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6488595992.3335562</v>
      </c>
      <c r="D7" s="5">
        <f t="shared" si="1"/>
        <v>1.03548475285569E-2</v>
      </c>
      <c r="K7" s="3">
        <f t="shared" si="2"/>
        <v>2010</v>
      </c>
      <c r="L7" s="3">
        <v>1760</v>
      </c>
      <c r="M7" s="4">
        <f>Eldavpir!C7 + Iquir!C7 + Viussi!C7 + Umendel!C7 + 'Reerica'!C7 + Saa!C7 + Sattle!C7</f>
        <v>98715167.505060151</v>
      </c>
      <c r="N7" s="5">
        <f t="shared" si="3"/>
        <v>2.670598358568638E-2</v>
      </c>
      <c r="O7" s="5">
        <f t="shared" si="4"/>
        <v>1.5213640612190167E-2</v>
      </c>
      <c r="V7" s="3">
        <f t="shared" si="5"/>
        <v>2010</v>
      </c>
      <c r="W7" s="3">
        <v>1760</v>
      </c>
      <c r="X7" s="4">
        <f>'Areoix Lie'!C7 + Jau!C7 + Terressin!C7 + Acetoa!C7 + 'Feio Lie'!C7</f>
        <v>681077110.8423382</v>
      </c>
      <c r="Y7" s="5">
        <f t="shared" si="6"/>
        <v>5.4124607499626944E-3</v>
      </c>
      <c r="Z7" s="5">
        <f t="shared" si="7"/>
        <v>0.10496525159634663</v>
      </c>
      <c r="AG7" s="3">
        <f t="shared" si="8"/>
        <v>2010</v>
      </c>
      <c r="AH7" s="3">
        <v>1760</v>
      </c>
      <c r="AI7" s="4">
        <f>Taniduna!C7 + Jathua!C7 + Deschon!C7 + Pelines!C7 + 'Candenat'!C7 + Othya!C7 + Yoprioq!C7 + Jshain!C7 + 'Fire Coast'!C7 + 'Rijan bu'!C7 + 'Rinew'!C7 + Enina!C7 + Trevilla!C7</f>
        <v>204295101.78671795</v>
      </c>
      <c r="AJ7" s="5">
        <f t="shared" si="9"/>
        <v>2.7150655635138621E-2</v>
      </c>
      <c r="AK7" s="5">
        <f t="shared" si="10"/>
        <v>3.1485255366199082E-2</v>
      </c>
      <c r="AR7" s="3">
        <f t="shared" si="11"/>
        <v>2010</v>
      </c>
      <c r="AS7" s="3">
        <v>1760</v>
      </c>
      <c r="AT7" s="4">
        <f>Gaeiya!C7 + 'Raledria'!C7 + Arbiya!C7 + Fincen!C7 + 'Curata'!C7</f>
        <v>303235603.92111337</v>
      </c>
      <c r="AU7" s="5">
        <f t="shared" si="12"/>
        <v>1.4973855564476946E-2</v>
      </c>
      <c r="AV7" s="5">
        <f t="shared" si="13"/>
        <v>4.6733623773061859E-2</v>
      </c>
      <c r="BC7" s="3">
        <f t="shared" si="14"/>
        <v>2010</v>
      </c>
      <c r="BD7" s="3">
        <v>1760</v>
      </c>
      <c r="BE7" s="4">
        <f>Etirha!C7 + Laselteh!C7 + Grazail!C7 + 'Disal Nila'!C7 + Pelan!C7 + Peka!C7 + Guise!C7</f>
        <v>104959280.06433095</v>
      </c>
      <c r="BF7" s="5">
        <f t="shared" si="15"/>
        <v>5.0655328846563995E-3</v>
      </c>
      <c r="BG7" s="5">
        <f t="shared" si="16"/>
        <v>1.6175961670035096E-2</v>
      </c>
      <c r="BN7" s="3">
        <f t="shared" si="17"/>
        <v>2010</v>
      </c>
      <c r="BO7" s="3">
        <v>1760</v>
      </c>
      <c r="BP7" s="4">
        <f>Genaire!C7 + 'New Misos'!C7 + Phuris!C7 + Lasri!C7 + Slyiaduun!C7 + Aetintio!C7 + Metndria!C7 + Tomscilus!C7</f>
        <v>98363944.313101873</v>
      </c>
      <c r="BQ7" s="5">
        <f t="shared" si="18"/>
        <v>1.2024336855627607E-2</v>
      </c>
      <c r="BR7" s="5">
        <f t="shared" si="19"/>
        <v>1.5159511307118121E-2</v>
      </c>
      <c r="BY7" s="3">
        <f t="shared" si="20"/>
        <v>2010</v>
      </c>
      <c r="BZ7" s="3">
        <v>1760</v>
      </c>
      <c r="CA7" s="4">
        <f>Ealdorii!C7 + Ukhdari!C7 + Hkuqo!C7 + Acrana!C7 + Zenashan!C7</f>
        <v>261870539.29060987</v>
      </c>
      <c r="CB7" s="7">
        <f t="shared" si="21"/>
        <v>8.1496763918205047E-3</v>
      </c>
      <c r="CC7" s="5">
        <f t="shared" si="22"/>
        <v>4.03585829045323E-2</v>
      </c>
      <c r="CJ7" s="3">
        <f t="shared" si="23"/>
        <v>2010</v>
      </c>
      <c r="CK7" s="3">
        <v>1760</v>
      </c>
      <c r="CL7" s="4">
        <f>Estijan!C7 + Ikzen!C7 + Urbiqu!C7 + Danocia!C7 + Koruch!C7 + 'New Kizura'!C7 + Lydroa!C7 + Fermori!C7 + Uularin!C7 + 'Niul Spijan'!C7</f>
        <v>285729422.33302099</v>
      </c>
      <c r="CM7" s="7">
        <f t="shared" si="24"/>
        <v>1.0479656223253378E-2</v>
      </c>
      <c r="CN7" s="5">
        <f t="shared" si="25"/>
        <v>4.4035631540416093E-2</v>
      </c>
      <c r="CU7" s="3">
        <f t="shared" si="26"/>
        <v>2010</v>
      </c>
      <c r="CV7" s="3">
        <v>1760</v>
      </c>
      <c r="CW7" s="4">
        <f>Praesyu!C7 + Lycroa!C7 + Emara!C7 + Eldjo!C7 + Easuhura!C7 + Ilicuhe!C7 + Tonder!C7</f>
        <v>243349314.32614008</v>
      </c>
      <c r="CX7" s="7">
        <f t="shared" si="27"/>
        <v>3.7847272707337686E-3</v>
      </c>
      <c r="CY7" s="5">
        <f t="shared" si="28"/>
        <v>3.7504155693105806E-2</v>
      </c>
      <c r="DF7" s="3">
        <f t="shared" si="29"/>
        <v>2010</v>
      </c>
      <c r="DG7" s="3">
        <v>1760</v>
      </c>
      <c r="DH7" s="4">
        <f>Verusa!C7 + Darewa!C7 + Siana!C7 + Yaxuto!C7 + 'Merela Sta'!C7 + Palina!C7</f>
        <v>170055326.27234915</v>
      </c>
      <c r="DI7" s="7">
        <f t="shared" si="30"/>
        <v>4.4050361488427326E-3</v>
      </c>
      <c r="DJ7" s="5">
        <f t="shared" si="31"/>
        <v>2.6208339442504034E-2</v>
      </c>
      <c r="DQ7" s="3">
        <f t="shared" si="32"/>
        <v>2010</v>
      </c>
      <c r="DR7" s="3">
        <v>1760</v>
      </c>
      <c r="DS7" s="4">
        <f>Sunsokua!C7 + Vayvele!C7 + Selaja!C7 + Sadain!C7</f>
        <v>191925561.73491073</v>
      </c>
      <c r="DT7" s="7">
        <f t="shared" si="33"/>
        <v>1.2553057247019755E-2</v>
      </c>
      <c r="DU7" s="5">
        <f t="shared" si="34"/>
        <v>2.9578904583006205E-2</v>
      </c>
      <c r="EB7" s="3">
        <f t="shared" si="35"/>
        <v>2010</v>
      </c>
      <c r="EC7" s="3">
        <v>1760</v>
      </c>
      <c r="ED7" s="4">
        <f>Pelugrotoa!C7 + Lieri!C7 + 'Rtesania'!C7 + Ozinia!C7</f>
        <v>390686405.67827463</v>
      </c>
      <c r="EE7" s="7">
        <f t="shared" si="36"/>
        <v>4.5647948801499924E-3</v>
      </c>
      <c r="EF7" s="5">
        <f t="shared" si="37"/>
        <v>6.0211239248040824E-2</v>
      </c>
      <c r="EM7" s="3">
        <f t="shared" si="38"/>
        <v>2010</v>
      </c>
      <c r="EN7" s="3">
        <v>1760</v>
      </c>
      <c r="EO7" s="4">
        <f>Ocaun!C7 + 'Dual Cenryia'!C7 + Byllu!C7 + Exilium!C7 + Inrea!C7 + Amcha!C7 + Isnti!C7 + Galca!C7 + Otiiric!C7 + Taing!C7 + 'Cruthi Anoso'!C7</f>
        <v>272984211.13995463</v>
      </c>
      <c r="EP7" s="7">
        <f t="shared" si="39"/>
        <v>1.699095845646002E-2</v>
      </c>
      <c r="EQ7" s="5">
        <f t="shared" si="40"/>
        <v>4.2071383618658413E-2</v>
      </c>
      <c r="EX7" s="3">
        <f t="shared" si="41"/>
        <v>2010</v>
      </c>
      <c r="EY7" s="3">
        <v>1760</v>
      </c>
      <c r="EZ7" s="4">
        <f>Sivoso!C7 + Taoisia!C7 + Seytinemas!C7 + Trian!C7 + 'Chaenia'!C7</f>
        <v>141632229.88099518</v>
      </c>
      <c r="FA7" s="7">
        <f t="shared" si="42"/>
        <v>8.4765571769273955E-3</v>
      </c>
      <c r="FB7" s="5">
        <f t="shared" si="43"/>
        <v>2.1827870011992937E-2</v>
      </c>
      <c r="FI7" s="3">
        <f t="shared" si="44"/>
        <v>2010</v>
      </c>
      <c r="FJ7" s="3">
        <v>1760</v>
      </c>
      <c r="FK7" s="4">
        <f>Migoku!C7 + 'Welenu Fana'!C7 + Haiza!C7 + Ucrua!C7 + Ihner!C7 + Oscairia!C7 + Shinam!C7 + 'Ruylku'!C7 + Taval!C7 + 'Western Migoku'!C7 + 'Pruim Fijan'!C7 + 'Canldives'!C7</f>
        <v>184247298.50861663</v>
      </c>
      <c r="FL7" s="7">
        <f t="shared" si="45"/>
        <v>1.8324880745943559E-2</v>
      </c>
      <c r="FM7" s="5">
        <f t="shared" si="46"/>
        <v>2.8395557178518986E-2</v>
      </c>
      <c r="FT7" s="3">
        <f t="shared" si="47"/>
        <v>2010</v>
      </c>
      <c r="FU7" s="3">
        <v>1760</v>
      </c>
      <c r="FV7" s="4">
        <f>Vesozata!C7 + Etretes!C7 + Kusierna!C7 + Eparia!C7</f>
        <v>138638246.0909777</v>
      </c>
      <c r="FW7" s="7">
        <f t="shared" si="48"/>
        <v>2.2328115653656205E-2</v>
      </c>
      <c r="FX7" s="5">
        <f t="shared" si="49"/>
        <v>2.1366447572754164E-2</v>
      </c>
      <c r="GE7" s="3">
        <f t="shared" si="50"/>
        <v>2010</v>
      </c>
      <c r="GF7" s="3">
        <v>1760</v>
      </c>
      <c r="GG7" s="4">
        <f>Dahe!C7 + Kaastini!C7 + Suenan!C7 + Oyreain!C7 + Sanagara!C7 + 'North Ayre'!C7 + Stinebar!C7 + 'Cloja'!C7 + 'Pha Hii'!C7 + 'Prystr Hii'!C7</f>
        <v>1018481217.6685275</v>
      </c>
      <c r="GH7" s="7">
        <f t="shared" si="51"/>
        <v>3.2011242356139672E-3</v>
      </c>
      <c r="GI7" s="5">
        <f t="shared" si="52"/>
        <v>0.15696480700476487</v>
      </c>
      <c r="GP7" s="3">
        <f t="shared" si="53"/>
        <v>2010</v>
      </c>
      <c r="GQ7" s="3">
        <v>1760</v>
      </c>
      <c r="GR7" s="4">
        <f>Maalle!C7 + 'United Delet'!C7 + Ohtina!C7 + Astye!C7 + Prstreula!C7 + Veelmit!C7 + Aplasia!C7 + 'Elja and Munusia'!C7 + Walporein!C7 + 'Crila Republic'!C7 + 'Niretui and Anulan'!C7 + 'Rethern'!C7 + Tvecoca!C7</f>
        <v>192446845.26791942</v>
      </c>
      <c r="GS7" s="7">
        <f t="shared" si="54"/>
        <v>1.5261574566637119E-2</v>
      </c>
      <c r="GT7" s="5">
        <f t="shared" si="55"/>
        <v>2.965924300038103E-2</v>
      </c>
      <c r="HA7" s="3">
        <f t="shared" si="56"/>
        <v>2010</v>
      </c>
      <c r="HB7" s="3">
        <v>1760</v>
      </c>
      <c r="HC7" s="4">
        <f>Andsaudare!C7 + Nia!C7 + Umarcia!C7 + Mendereide!C7 + Iainoa!C7 + Isari!C7 + 'Rkmepuia'!C7 + Hiwush!C7 + Isuibul!C7 + Yutnitu!C7</f>
        <v>67475454.510479853</v>
      </c>
      <c r="HD7" s="7">
        <f t="shared" si="57"/>
        <v>1.4192734986505581E-2</v>
      </c>
      <c r="HE7" s="5">
        <f t="shared" si="58"/>
        <v>1.0399083960567717E-2</v>
      </c>
      <c r="HL7" s="3">
        <f t="shared" si="59"/>
        <v>2010</v>
      </c>
      <c r="HM7" s="3">
        <v>1760</v>
      </c>
      <c r="HN7" s="4">
        <f>Zhanshe!C7 + Volver!C7 + Finae!C7 + Myla!C7 + 'Nheyes Si'!C7 + Onphello!C7 + Hyelen!C7</f>
        <v>115808842.03586598</v>
      </c>
      <c r="HO7" s="7">
        <f t="shared" si="60"/>
        <v>1.1775414443015098E-2</v>
      </c>
      <c r="HP7" s="5">
        <f t="shared" si="61"/>
        <v>1.784805868213973E-2</v>
      </c>
      <c r="HW7" s="3">
        <f t="shared" si="62"/>
        <v>2010</v>
      </c>
      <c r="HX7" s="3">
        <v>1760</v>
      </c>
      <c r="HY7" s="4">
        <f>Yihnurda!C7 + Ztesh!C7 + Wundry!C7 + Anymna!C7 + Shomjind!C7 + Baluyde!C7 + Letan!C7</f>
        <v>555156462.1610049</v>
      </c>
      <c r="HZ7" s="7">
        <f t="shared" si="63"/>
        <v>1.8093500443405661E-2</v>
      </c>
      <c r="IA7" s="5">
        <f t="shared" si="64"/>
        <v>8.5558796204438778E-2</v>
      </c>
      <c r="IH7" s="3">
        <f t="shared" si="65"/>
        <v>2010</v>
      </c>
      <c r="II7" s="3">
        <v>1760</v>
      </c>
      <c r="IJ7" s="4">
        <f>Iareva!C7 + 'United Mihili'!C7 + 'Mesjan Hyaa'!C7 + Desaki!C7 + 'Far Lands'!C7</f>
        <v>69578941.449182481</v>
      </c>
      <c r="IK7" s="7">
        <f t="shared" si="66"/>
        <v>1.5564154409828775E-2</v>
      </c>
      <c r="IL7" s="5">
        <f t="shared" si="67"/>
        <v>1.0723266101232346E-2</v>
      </c>
      <c r="IS7" s="3">
        <f t="shared" si="68"/>
        <v>2010</v>
      </c>
      <c r="IT7" s="3">
        <v>1760</v>
      </c>
      <c r="IU7" s="4">
        <f>Verste!C7 + Quidic!C7 + Erkizil!C7 + Ashain!C7 + Ahokini!C7</f>
        <v>355170034.75285852</v>
      </c>
      <c r="IV7" s="7">
        <f t="shared" si="69"/>
        <v>9.5518901873720887E-3</v>
      </c>
      <c r="IW7" s="5">
        <f t="shared" si="70"/>
        <v>5.4737578849492416E-2</v>
      </c>
    </row>
    <row r="8" spans="1:257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6422096165.7237568</v>
      </c>
      <c r="D8" s="5">
        <f t="shared" si="1"/>
        <v>1.0842017656342316E-2</v>
      </c>
      <c r="K8" s="3">
        <f t="shared" si="2"/>
        <v>2009</v>
      </c>
      <c r="L8" s="3">
        <v>1759</v>
      </c>
      <c r="M8" s="4">
        <f>Eldavpir!C8 + Iquir!C8 + Viussi!C8 + Umendel!C8 + 'Reerica'!C8 + Saa!C8 + Sattle!C8</f>
        <v>96147455.146122292</v>
      </c>
      <c r="N8" s="5">
        <f t="shared" si="3"/>
        <v>2.7304651805842035E-2</v>
      </c>
      <c r="O8" s="5">
        <f t="shared" si="4"/>
        <v>1.4971350889960813E-2</v>
      </c>
      <c r="V8" s="3">
        <f t="shared" si="5"/>
        <v>2009</v>
      </c>
      <c r="W8" s="3">
        <v>1759</v>
      </c>
      <c r="X8" s="4">
        <f>'Areoix Lie'!C8 + Jau!C8 + Terressin!C8 + Acetoa!C8 + 'Feio Lie'!C8</f>
        <v>677410652.27529156</v>
      </c>
      <c r="Y8" s="5">
        <f t="shared" si="6"/>
        <v>5.4396485917027103E-3</v>
      </c>
      <c r="Z8" s="5">
        <f t="shared" si="7"/>
        <v>0.10548123771344194</v>
      </c>
      <c r="AG8" s="3">
        <f t="shared" si="8"/>
        <v>2009</v>
      </c>
      <c r="AH8" s="3">
        <v>1759</v>
      </c>
      <c r="AI8" s="4">
        <f>Taniduna!C8 + Jathua!C8 + Deschon!C8 + Pelines!C8 + 'Candenat'!C8 + Othya!C8 + Yoprioq!C8 + Jshain!C8 + 'Fire Coast'!C8 + 'Rijan bu'!C8 + 'Rinew'!C8 + Enina!C8 + Trevilla!C8</f>
        <v>198894972.87074414</v>
      </c>
      <c r="AJ8" s="5">
        <f t="shared" si="9"/>
        <v>2.7008038178386786E-2</v>
      </c>
      <c r="AK8" s="5">
        <f t="shared" si="10"/>
        <v>3.0970413356980475E-2</v>
      </c>
      <c r="AR8" s="3">
        <f t="shared" si="11"/>
        <v>2009</v>
      </c>
      <c r="AS8" s="3">
        <v>1759</v>
      </c>
      <c r="AT8" s="4">
        <f>Gaeiya!C8 + 'Raledria'!C8 + Arbiya!C8 + Fincen!C8 + 'Curata'!C8</f>
        <v>298761985.10795051</v>
      </c>
      <c r="AU8" s="5">
        <f t="shared" si="12"/>
        <v>1.9600187211296218E-2</v>
      </c>
      <c r="AV8" s="5">
        <f t="shared" si="13"/>
        <v>4.6520945404479264E-2</v>
      </c>
      <c r="BC8" s="3">
        <f t="shared" si="14"/>
        <v>2009</v>
      </c>
      <c r="BD8" s="3">
        <v>1759</v>
      </c>
      <c r="BE8" s="4">
        <f>Etirha!C8 + Laselteh!C8 + Grazail!C8 + 'Disal Nila'!C8 + Pelan!C8 + Peka!C8 + Guise!C8</f>
        <v>104430285.021401</v>
      </c>
      <c r="BF8" s="5">
        <f t="shared" si="15"/>
        <v>5.0022570074730694E-3</v>
      </c>
      <c r="BG8" s="5">
        <f t="shared" si="16"/>
        <v>1.6261090199609605E-2</v>
      </c>
      <c r="BN8" s="3">
        <f t="shared" si="17"/>
        <v>2009</v>
      </c>
      <c r="BO8" s="3">
        <v>1759</v>
      </c>
      <c r="BP8" s="4">
        <f>Genaire!C8 + 'New Misos'!C8 + Phuris!C8 + Lasri!C8 + Slyiaduun!C8 + Aetintio!C8 + Metndria!C8 + Tomscilus!C8</f>
        <v>97195236.054026023</v>
      </c>
      <c r="BQ8" s="5">
        <f t="shared" si="18"/>
        <v>1.1379157953784495E-2</v>
      </c>
      <c r="BR8" s="5">
        <f t="shared" si="19"/>
        <v>1.5134503368663326E-2</v>
      </c>
      <c r="BY8" s="3">
        <f t="shared" si="20"/>
        <v>2009</v>
      </c>
      <c r="BZ8" s="3">
        <v>1759</v>
      </c>
      <c r="CA8" s="4">
        <f>Ealdorii!C8 + Ukhdari!C8 + Hkuqo!C8 + Acrana!C8 + Zenashan!C8</f>
        <v>259753631.25428715</v>
      </c>
      <c r="CB8" s="6">
        <f t="shared" si="21"/>
        <v>7.4730561184982681E-3</v>
      </c>
      <c r="CC8" s="5">
        <f t="shared" si="22"/>
        <v>4.0446861048368227E-2</v>
      </c>
      <c r="CJ8" s="3">
        <f t="shared" si="23"/>
        <v>2009</v>
      </c>
      <c r="CK8" s="3">
        <v>1759</v>
      </c>
      <c r="CL8" s="4">
        <f>Estijan!C8 + Ikzen!C8 + Urbiqu!C8 + Danocia!C8 + Koruch!C8 + 'New Kizura'!C8 + Lydroa!C8 + Fermori!C8 + Uularin!C8 + 'Niul Spijan'!C8</f>
        <v>282766130.49386567</v>
      </c>
      <c r="CM8" s="6">
        <f t="shared" si="24"/>
        <v>1.1289523074769091E-2</v>
      </c>
      <c r="CN8" s="5">
        <f t="shared" si="25"/>
        <v>4.4030192509893464E-2</v>
      </c>
      <c r="CU8" s="3">
        <f t="shared" si="26"/>
        <v>2009</v>
      </c>
      <c r="CV8" s="3">
        <v>1759</v>
      </c>
      <c r="CW8" s="4">
        <f>Praesyu!C8 + Lycroa!C8 + Emara!C8 + Eldjo!C8 + Easuhura!C8 + Ilicuhe!C8 + Tonder!C8</f>
        <v>242431776.17157111</v>
      </c>
      <c r="CX8" s="6">
        <f t="shared" si="27"/>
        <v>3.8366785462588676E-3</v>
      </c>
      <c r="CY8" s="5">
        <f t="shared" si="28"/>
        <v>3.7749633439855157E-2</v>
      </c>
      <c r="DF8" s="3">
        <f t="shared" si="29"/>
        <v>2009</v>
      </c>
      <c r="DG8" s="3">
        <v>1759</v>
      </c>
      <c r="DH8" s="4">
        <f>Verusa!C8 + Darewa!C8 + Siana!C8 + Yaxuto!C8 + 'Merela Sta'!C8 + Palina!C8</f>
        <v>169309511.75273544</v>
      </c>
      <c r="DI8" s="6">
        <f t="shared" si="30"/>
        <v>4.4028701081042206E-3</v>
      </c>
      <c r="DJ8" s="5">
        <f t="shared" si="31"/>
        <v>2.6363590233416351E-2</v>
      </c>
      <c r="DQ8" s="3">
        <f t="shared" si="32"/>
        <v>2009</v>
      </c>
      <c r="DR8" s="3">
        <v>1759</v>
      </c>
      <c r="DS8" s="4">
        <f>Sunsokua!C8 + Vayvele!C8 + Selaja!C8 + Sadain!C8</f>
        <v>189546177.7150993</v>
      </c>
      <c r="DT8" s="6">
        <f t="shared" si="33"/>
        <v>1.2211206999723409E-2</v>
      </c>
      <c r="DU8" s="5">
        <f t="shared" si="34"/>
        <v>2.9514690036370368E-2</v>
      </c>
      <c r="EB8" s="3">
        <f t="shared" si="35"/>
        <v>2009</v>
      </c>
      <c r="EC8" s="3">
        <v>1759</v>
      </c>
      <c r="ED8" s="4">
        <f>Pelugrotoa!C8 + Lieri!C8 + 'Rtesania'!C8 + Ozinia!C8</f>
        <v>388911106.25162375</v>
      </c>
      <c r="EE8" s="6">
        <f t="shared" si="36"/>
        <v>6.1442778359116264E-3</v>
      </c>
      <c r="EF8" s="5">
        <f t="shared" si="37"/>
        <v>6.0558281317451168E-2</v>
      </c>
      <c r="EM8" s="3">
        <f t="shared" si="38"/>
        <v>2009</v>
      </c>
      <c r="EN8" s="3">
        <v>1759</v>
      </c>
      <c r="EO8" s="4">
        <f>Ocaun!C8 + 'Dual Cenryia'!C8 + Byllu!C8 + Exilium!C8 + Inrea!C8 + Amcha!C8 + Isnti!C8 + Galca!C8 + Otiiric!C8 + Taing!C8 + 'Cruthi Anoso'!C8</f>
        <v>268423439.6284869</v>
      </c>
      <c r="EP8" s="6">
        <f t="shared" si="39"/>
        <v>1.6755312625160904E-2</v>
      </c>
      <c r="EQ8" s="5">
        <f t="shared" si="40"/>
        <v>4.1796857708410871E-2</v>
      </c>
      <c r="EX8" s="3">
        <f t="shared" si="41"/>
        <v>2009</v>
      </c>
      <c r="EY8" s="3">
        <v>1759</v>
      </c>
      <c r="EZ8" s="4">
        <f>Sivoso!C8 + Taoisia!C8 + Seytinemas!C8 + Trian!C8 + 'Chaenia'!C8</f>
        <v>140441767.21120071</v>
      </c>
      <c r="FA8" s="6">
        <f t="shared" si="42"/>
        <v>9.050390378632844E-3</v>
      </c>
      <c r="FB8" s="5">
        <f t="shared" si="43"/>
        <v>2.1868524479712961E-2</v>
      </c>
      <c r="FI8" s="3">
        <f t="shared" si="44"/>
        <v>2009</v>
      </c>
      <c r="FJ8" s="3">
        <v>1759</v>
      </c>
      <c r="FK8" s="4">
        <f>Migoku!C8 + 'Welenu Fana'!C8 + Haiza!C8 + Ucrua!C8 + Ihner!C8 + Oscairia!C8 + Shinam!C8 + 'Ruylku'!C8 + Taval!C8 + 'Western Migoku'!C8 + 'Pruim Fijan'!C8 + 'Canldives'!C8</f>
        <v>180931745.84289029</v>
      </c>
      <c r="FL8" s="6">
        <f t="shared" si="45"/>
        <v>1.9363581955875696E-2</v>
      </c>
      <c r="FM8" s="5">
        <f t="shared" si="46"/>
        <v>2.8173316184295982E-2</v>
      </c>
      <c r="FT8" s="3">
        <f t="shared" si="47"/>
        <v>2009</v>
      </c>
      <c r="FU8" s="3">
        <v>1759</v>
      </c>
      <c r="FV8" s="4">
        <f>Vesozata!C8 + Etretes!C8 + Kusierna!C8 + Eparia!C8</f>
        <v>135610323.11268792</v>
      </c>
      <c r="FW8" s="6">
        <f t="shared" si="48"/>
        <v>2.2700081203502909E-2</v>
      </c>
      <c r="FX8" s="5">
        <f t="shared" si="49"/>
        <v>2.1116208728930629E-2</v>
      </c>
      <c r="GE8" s="3">
        <f t="shared" si="50"/>
        <v>2009</v>
      </c>
      <c r="GF8" s="3">
        <v>1759</v>
      </c>
      <c r="GG8" s="4">
        <f>Dahe!C8 + Kaastini!C8 + Suenan!C8 + Oyreain!C8 + Sanagara!C8 + 'North Ayre'!C8 + Stinebar!C8 + 'Cloja'!C8 + 'Pha Hii'!C8 + 'Prystr Hii'!C8</f>
        <v>1015231336.0339943</v>
      </c>
      <c r="GH8" s="6">
        <f t="shared" si="51"/>
        <v>3.4250601620709753E-3</v>
      </c>
      <c r="GI8" s="5">
        <f t="shared" si="52"/>
        <v>0.15808410678315962</v>
      </c>
      <c r="GP8" s="3">
        <f t="shared" si="53"/>
        <v>2009</v>
      </c>
      <c r="GQ8" s="3">
        <v>1759</v>
      </c>
      <c r="GR8" s="4">
        <f>Maalle!C8 + 'United Delet'!C8 + Ohtina!C8 + Astye!C8 + Prstreula!C8 + Veelmit!C8 + Aplasia!C8 + 'Elja and Munusia'!C8 + Walporein!C8 + 'Crila Republic'!C8 + 'Niretui and Anulan'!C8 + 'Rethern'!C8 + Tvecoca!C8</f>
        <v>189553953.47259653</v>
      </c>
      <c r="GS8" s="6">
        <f t="shared" si="54"/>
        <v>1.582974591668946E-2</v>
      </c>
      <c r="GT8" s="5">
        <f t="shared" si="55"/>
        <v>2.9515900818223608E-2</v>
      </c>
      <c r="HA8" s="3">
        <f t="shared" si="56"/>
        <v>2009</v>
      </c>
      <c r="HB8" s="3">
        <v>1759</v>
      </c>
      <c r="HC8" s="4">
        <f>Andsaudare!C8 + Nia!C8 + Umarcia!C8 + Mendereide!C8 + Iainoa!C8 + Isari!C8 + 'Rkmepuia'!C8 + Hiwush!C8 + Isuibul!C8 + Yutnitu!C8</f>
        <v>66531194.893027559</v>
      </c>
      <c r="HD8" s="6">
        <f t="shared" si="57"/>
        <v>1.4659943311923121E-2</v>
      </c>
      <c r="HE8" s="5">
        <f t="shared" si="58"/>
        <v>1.0359731959188068E-2</v>
      </c>
      <c r="HL8" s="3">
        <f t="shared" si="59"/>
        <v>2009</v>
      </c>
      <c r="HM8" s="3">
        <v>1759</v>
      </c>
      <c r="HN8" s="4">
        <f>Zhanshe!C8 + Volver!C8 + Finae!C8 + Myla!C8 + 'Nheyes Si'!C8 + Onphello!C8 + Hyelen!C8</f>
        <v>114461016.13332741</v>
      </c>
      <c r="HO8" s="6">
        <f t="shared" si="60"/>
        <v>1.2037942143487131E-2</v>
      </c>
      <c r="HP8" s="5">
        <f t="shared" si="61"/>
        <v>1.7822999403875772E-2</v>
      </c>
      <c r="HW8" s="3">
        <f t="shared" si="62"/>
        <v>2009</v>
      </c>
      <c r="HX8" s="3">
        <v>1759</v>
      </c>
      <c r="HY8" s="4">
        <f>Yihnurda!C8 + Ztesh!C8 + Wundry!C8 + Anymna!C8 + Shomjind!C8 + Baluyde!C8 + Letan!C8</f>
        <v>545290252.73142409</v>
      </c>
      <c r="HZ8" s="6">
        <f t="shared" si="63"/>
        <v>1.89910239340958E-2</v>
      </c>
      <c r="IA8" s="5">
        <f t="shared" si="64"/>
        <v>8.4908453355427294E-2</v>
      </c>
      <c r="IH8" s="3">
        <f t="shared" si="65"/>
        <v>2009</v>
      </c>
      <c r="II8" s="3">
        <v>1759</v>
      </c>
      <c r="IJ8" s="4">
        <f>Iareva!C8 + 'United Mihili'!C8 + 'Mesjan Hyaa'!C8 + Desaki!C8 + 'Far Lands'!C8</f>
        <v>68512600.752058491</v>
      </c>
      <c r="IK8" s="6">
        <f t="shared" si="66"/>
        <v>1.6655840869994016E-2</v>
      </c>
      <c r="IL8" s="5">
        <f t="shared" si="67"/>
        <v>1.0668261418713475E-2</v>
      </c>
      <c r="IS8" s="3">
        <f t="shared" si="68"/>
        <v>2009</v>
      </c>
      <c r="IT8" s="3">
        <v>1759</v>
      </c>
      <c r="IU8" s="4">
        <f>Verste!C8 + Quidic!C8 + Erkizil!C8 + Ashain!C8 + Ahokini!C8</f>
        <v>351809588.19951218</v>
      </c>
      <c r="IV8" s="6">
        <f t="shared" si="69"/>
        <v>9.8075327560493818E-3</v>
      </c>
      <c r="IW8" s="5">
        <f t="shared" si="70"/>
        <v>5.4781114938328546E-2</v>
      </c>
    </row>
    <row r="9" spans="1:257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6353214501.9194164</v>
      </c>
      <c r="D9" s="5">
        <f t="shared" si="1"/>
        <v>1.1492962111562182E-2</v>
      </c>
      <c r="K9" s="3">
        <f t="shared" si="2"/>
        <v>2008</v>
      </c>
      <c r="L9" s="3">
        <v>1758</v>
      </c>
      <c r="M9" s="4">
        <f>Eldavpir!C9 + Iquir!C9 + Viussi!C9 + Umendel!C9 + 'Reerica'!C9 + Saa!C9 + Sattle!C9</f>
        <v>93591959.285991743</v>
      </c>
      <c r="N9" s="5">
        <f t="shared" si="3"/>
        <v>2.7573138147448314E-2</v>
      </c>
      <c r="O9" s="5">
        <f t="shared" si="4"/>
        <v>1.4731433868275027E-2</v>
      </c>
      <c r="V9" s="3">
        <f t="shared" si="5"/>
        <v>2008</v>
      </c>
      <c r="W9" s="3">
        <v>1758</v>
      </c>
      <c r="X9" s="4">
        <f>'Areoix Lie'!C9 + Jau!C9 + Terressin!C9 + Acetoa!C9 + 'Feio Lie'!C9</f>
        <v>673745712.35988736</v>
      </c>
      <c r="Y9" s="5">
        <f t="shared" si="6"/>
        <v>1.0526758616971697E-2</v>
      </c>
      <c r="Z9" s="5">
        <f t="shared" si="7"/>
        <v>0.10604800328343031</v>
      </c>
      <c r="AG9" s="3">
        <f t="shared" si="8"/>
        <v>2008</v>
      </c>
      <c r="AH9" s="3">
        <v>1758</v>
      </c>
      <c r="AI9" s="4">
        <f>Taniduna!C9 + Jathua!C9 + Deschon!C9 + Pelines!C9 + 'Candenat'!C9 + Othya!C9 + Yoprioq!C9 + Jshain!C9 + 'Fire Coast'!C9 + 'Rijan bu'!C9 + 'Rinew'!C9 + Enina!C9 + Trevilla!C9</f>
        <v>193664475.32730699</v>
      </c>
      <c r="AJ9" s="5">
        <f t="shared" si="9"/>
        <v>2.7051172526850985E-2</v>
      </c>
      <c r="AK9" s="5">
        <f t="shared" si="10"/>
        <v>3.0482911488160454E-2</v>
      </c>
      <c r="AR9" s="3">
        <f t="shared" si="11"/>
        <v>2008</v>
      </c>
      <c r="AS9" s="3">
        <v>1758</v>
      </c>
      <c r="AT9" s="4">
        <f>Gaeiya!C9 + 'Raledria'!C9 + Arbiya!C9 + Fincen!C9 + 'Curata'!C9</f>
        <v>293018762.50640267</v>
      </c>
      <c r="AU9" s="5">
        <f t="shared" si="12"/>
        <v>1.9088596523993445E-2</v>
      </c>
      <c r="AV9" s="5">
        <f t="shared" si="13"/>
        <v>4.6121339428705992E-2</v>
      </c>
      <c r="BC9" s="3">
        <f t="shared" si="14"/>
        <v>2008</v>
      </c>
      <c r="BD9" s="3">
        <v>1758</v>
      </c>
      <c r="BE9" s="4">
        <f>Etirha!C9 + Laselteh!C9 + Grazail!C9 + 'Disal Nila'!C9 + Pelan!C9 + Peka!C9 + Guise!C9</f>
        <v>103910498.00460744</v>
      </c>
      <c r="BF9" s="5">
        <f t="shared" si="15"/>
        <v>5.4894647490254722E-3</v>
      </c>
      <c r="BG9" s="5">
        <f t="shared" si="16"/>
        <v>1.6355578419902914E-2</v>
      </c>
      <c r="BN9" s="3">
        <f t="shared" si="17"/>
        <v>2008</v>
      </c>
      <c r="BO9" s="3">
        <v>1758</v>
      </c>
      <c r="BP9" s="4">
        <f>Genaire!C9 + 'New Misos'!C9 + Phuris!C9 + Lasri!C9 + Slyiaduun!C9 + Aetintio!C9 + Metndria!C9 + Tomscilus!C9</f>
        <v>96101679.859283209</v>
      </c>
      <c r="BQ9" s="5">
        <f t="shared" si="18"/>
        <v>1.1188655118209124E-2</v>
      </c>
      <c r="BR9" s="5">
        <f t="shared" si="19"/>
        <v>1.5126465481410901E-2</v>
      </c>
      <c r="BY9" s="3">
        <f t="shared" si="20"/>
        <v>2008</v>
      </c>
      <c r="BZ9" s="3">
        <v>1758</v>
      </c>
      <c r="CA9" s="4">
        <f>Ealdorii!C9 + Ukhdari!C9 + Hkuqo!C9 + Acrana!C9 + Zenashan!C9</f>
        <v>257826876.53706852</v>
      </c>
      <c r="CB9" s="7">
        <f t="shared" si="21"/>
        <v>7.1712208449888652E-3</v>
      </c>
      <c r="CC9" s="5">
        <f t="shared" si="22"/>
        <v>4.0582114213076628E-2</v>
      </c>
      <c r="CJ9" s="3">
        <f t="shared" si="23"/>
        <v>2008</v>
      </c>
      <c r="CK9" s="3">
        <v>1758</v>
      </c>
      <c r="CL9" s="4">
        <f>Estijan!C9 + Ikzen!C9 + Urbiqu!C9 + Danocia!C9 + Koruch!C9 + 'New Kizura'!C9 + Lydroa!C9 + Fermori!C9 + Uularin!C9 + 'Niul Spijan'!C9</f>
        <v>279609472.89766347</v>
      </c>
      <c r="CM9" s="7">
        <f t="shared" si="24"/>
        <v>1.1402447274971072E-2</v>
      </c>
      <c r="CN9" s="5">
        <f t="shared" si="25"/>
        <v>4.4010708722834496E-2</v>
      </c>
      <c r="CU9" s="3">
        <f t="shared" si="26"/>
        <v>2008</v>
      </c>
      <c r="CV9" s="3">
        <v>1758</v>
      </c>
      <c r="CW9" s="4">
        <f>Praesyu!C9 + Lycroa!C9 + Emara!C9 + Eldjo!C9 + Easuhura!C9 + Ilicuhe!C9 + Tonder!C9</f>
        <v>241505198.35822013</v>
      </c>
      <c r="CX9" s="7">
        <f t="shared" si="27"/>
        <v>4.8915463729019976E-3</v>
      </c>
      <c r="CY9" s="5">
        <f t="shared" si="28"/>
        <v>3.8013071695479073E-2</v>
      </c>
      <c r="DF9" s="3">
        <f t="shared" si="29"/>
        <v>2008</v>
      </c>
      <c r="DG9" s="3">
        <v>1758</v>
      </c>
      <c r="DH9" s="4">
        <f>Verusa!C9 + Darewa!C9 + Siana!C9 + Yaxuto!C9 + 'Merela Sta'!C9 + Palina!C9</f>
        <v>168567331.68684852</v>
      </c>
      <c r="DI9" s="7">
        <f t="shared" si="30"/>
        <v>3.887085196919758E-3</v>
      </c>
      <c r="DJ9" s="5">
        <f t="shared" si="31"/>
        <v>2.6532605130193763E-2</v>
      </c>
      <c r="DQ9" s="3">
        <f t="shared" si="32"/>
        <v>2008</v>
      </c>
      <c r="DR9" s="3">
        <v>1758</v>
      </c>
      <c r="DS9" s="4">
        <f>Sunsokua!C9 + Vayvele!C9 + Selaja!C9 + Sadain!C9</f>
        <v>187259513.03871614</v>
      </c>
      <c r="DT9" s="7">
        <f t="shared" si="33"/>
        <v>1.1779004877400535E-2</v>
      </c>
      <c r="DU9" s="5">
        <f t="shared" si="34"/>
        <v>2.9474766353653224E-2</v>
      </c>
      <c r="EB9" s="3">
        <f t="shared" si="35"/>
        <v>2008</v>
      </c>
      <c r="EC9" s="3">
        <v>1758</v>
      </c>
      <c r="ED9" s="4">
        <f>Pelugrotoa!C9 + Lieri!C9 + 'Rtesania'!C9 + Ozinia!C9</f>
        <v>386536120.9310081</v>
      </c>
      <c r="EE9" s="7">
        <f t="shared" si="36"/>
        <v>5.9996396518262425E-3</v>
      </c>
      <c r="EF9" s="5">
        <f t="shared" si="37"/>
        <v>6.0841031073990783E-2</v>
      </c>
      <c r="EM9" s="3">
        <f t="shared" si="38"/>
        <v>2008</v>
      </c>
      <c r="EN9" s="3">
        <v>1758</v>
      </c>
      <c r="EO9" s="4">
        <f>Ocaun!C9 + 'Dual Cenryia'!C9 + Byllu!C9 + Exilium!C9 + Inrea!C9 + Amcha!C9 + Isnti!C9 + Galca!C9 + Otiiric!C9 + Taing!C9 + 'Cruthi Anoso'!C9</f>
        <v>264000036.48414123</v>
      </c>
      <c r="EP9" s="7">
        <f t="shared" si="39"/>
        <v>1.6413312397429634E-2</v>
      </c>
      <c r="EQ9" s="5">
        <f t="shared" si="40"/>
        <v>4.155377351172107E-2</v>
      </c>
      <c r="EX9" s="3">
        <f t="shared" si="41"/>
        <v>2008</v>
      </c>
      <c r="EY9" s="3">
        <v>1758</v>
      </c>
      <c r="EZ9" s="4">
        <f>Sivoso!C9 + Taoisia!C9 + Seytinemas!C9 + Trian!C9 + 'Chaenia'!C9</f>
        <v>139182114.7390883</v>
      </c>
      <c r="FA9" s="7">
        <f t="shared" si="42"/>
        <v>9.3277632710456488E-3</v>
      </c>
      <c r="FB9" s="5">
        <f t="shared" si="43"/>
        <v>2.1907353308634386E-2</v>
      </c>
      <c r="FI9" s="3">
        <f t="shared" si="44"/>
        <v>2008</v>
      </c>
      <c r="FJ9" s="3">
        <v>1758</v>
      </c>
      <c r="FK9" s="4">
        <f>Migoku!C9 + 'Welenu Fana'!C9 + Haiza!C9 + Ucrua!C9 + Ihner!C9 + Oscairia!C9 + Shinam!C9 + 'Ruylku'!C9 + Taval!C9 + 'Western Migoku'!C9 + 'Pruim Fijan'!C9 + 'Canldives'!C9</f>
        <v>177494810.53240347</v>
      </c>
      <c r="FL9" s="7">
        <f t="shared" si="45"/>
        <v>2.2375388032503312E-2</v>
      </c>
      <c r="FM9" s="5">
        <f t="shared" si="46"/>
        <v>2.7937795973798651E-2</v>
      </c>
      <c r="FT9" s="3">
        <f t="shared" si="47"/>
        <v>2008</v>
      </c>
      <c r="FU9" s="3">
        <v>1758</v>
      </c>
      <c r="FV9" s="4">
        <f>Vesozata!C9 + Etretes!C9 + Kusierna!C9 + Eparia!C9</f>
        <v>132600285.85614571</v>
      </c>
      <c r="FW9" s="7">
        <f t="shared" si="48"/>
        <v>2.117878442214146E-2</v>
      </c>
      <c r="FX9" s="5">
        <f t="shared" si="49"/>
        <v>2.0871369259779417E-2</v>
      </c>
      <c r="GE9" s="3">
        <f t="shared" si="50"/>
        <v>2008</v>
      </c>
      <c r="GF9" s="3">
        <v>1758</v>
      </c>
      <c r="GG9" s="4">
        <f>Dahe!C9 + Kaastini!C9 + Suenan!C9 + Oyreain!C9 + Sanagara!C9 + 'North Ayre'!C9 + Stinebar!C9 + 'Cloja'!C9 + 'Pha Hii'!C9 + 'Prystr Hii'!C9</f>
        <v>1011765976.6938813</v>
      </c>
      <c r="GH9" s="7">
        <f t="shared" si="51"/>
        <v>3.5532131633202436E-3</v>
      </c>
      <c r="GI9" s="5">
        <f t="shared" si="52"/>
        <v>0.15925260769775823</v>
      </c>
      <c r="GP9" s="3">
        <f t="shared" si="53"/>
        <v>2008</v>
      </c>
      <c r="GQ9" s="3">
        <v>1758</v>
      </c>
      <c r="GR9" s="4">
        <f>Maalle!C9 + 'United Delet'!C9 + Ohtina!C9 + Astye!C9 + Prstreula!C9 + Veelmit!C9 + Aplasia!C9 + 'Elja and Munusia'!C9 + Walporein!C9 + 'Crila Republic'!C9 + 'Niretui and Anulan'!C9 + 'Rethern'!C9 + Tvecoca!C9</f>
        <v>186600120.96962386</v>
      </c>
      <c r="GS9" s="7">
        <f t="shared" si="54"/>
        <v>1.5576415070322674E-2</v>
      </c>
      <c r="GT9" s="5">
        <f t="shared" si="55"/>
        <v>2.9370977622941698E-2</v>
      </c>
      <c r="HA9" s="3">
        <f t="shared" si="56"/>
        <v>2008</v>
      </c>
      <c r="HB9" s="3">
        <v>1758</v>
      </c>
      <c r="HC9" s="4">
        <f>Andsaudare!C9 + Nia!C9 + Umarcia!C9 + Mendereide!C9 + Iainoa!C9 + Isari!C9 + 'Rkmepuia'!C9 + Hiwush!C9 + Isuibul!C9 + Yutnitu!C9</f>
        <v>65569943.242131889</v>
      </c>
      <c r="HD9" s="7">
        <f t="shared" si="57"/>
        <v>1.4209192229070307E-2</v>
      </c>
      <c r="HE9" s="5">
        <f t="shared" si="58"/>
        <v>1.0320750735288738E-2</v>
      </c>
      <c r="HL9" s="3">
        <f t="shared" si="59"/>
        <v>2008</v>
      </c>
      <c r="HM9" s="3">
        <v>1758</v>
      </c>
      <c r="HN9" s="4">
        <f>Zhanshe!C9 + Volver!C9 + Finae!C9 + Myla!C9 + 'Nheyes Si'!C9 + Onphello!C9 + Hyelen!C9</f>
        <v>113099530.52837132</v>
      </c>
      <c r="HO9" s="7">
        <f t="shared" si="60"/>
        <v>1.2104701145521589E-2</v>
      </c>
      <c r="HP9" s="5">
        <f t="shared" si="61"/>
        <v>1.7801937978672369E-2</v>
      </c>
      <c r="HW9" s="3">
        <f t="shared" si="62"/>
        <v>2008</v>
      </c>
      <c r="HX9" s="3">
        <v>1758</v>
      </c>
      <c r="HY9" s="4">
        <f>Yihnurda!C9 + Ztesh!C9 + Wundry!C9 + Anymna!C9 + Shomjind!C9 + Baluyde!C9 + Letan!C9</f>
        <v>535127631.08175451</v>
      </c>
      <c r="HZ9" s="7">
        <f t="shared" si="63"/>
        <v>1.9605299207512611E-2</v>
      </c>
      <c r="IA9" s="5">
        <f t="shared" si="64"/>
        <v>8.4229429199987368E-2</v>
      </c>
      <c r="IH9" s="3">
        <f t="shared" si="65"/>
        <v>2008</v>
      </c>
      <c r="II9" s="3">
        <v>1758</v>
      </c>
      <c r="IJ9" s="4">
        <f>Iareva!C9 + 'United Mihili'!C9 + 'Mesjan Hyaa'!C9 + Desaki!C9 + 'Far Lands'!C9</f>
        <v>67390160.954988912</v>
      </c>
      <c r="IK9" s="7">
        <f t="shared" si="66"/>
        <v>1.9023765161734336E-2</v>
      </c>
      <c r="IL9" s="5">
        <f t="shared" si="67"/>
        <v>1.0607254160020754E-2</v>
      </c>
      <c r="IS9" s="3">
        <f t="shared" si="68"/>
        <v>2008</v>
      </c>
      <c r="IT9" s="3">
        <v>1758</v>
      </c>
      <c r="IU9" s="4">
        <f>Verste!C9 + Quidic!C9 + Erkizil!C9 + Ashain!C9 + Ahokini!C9</f>
        <v>348392715.23289657</v>
      </c>
      <c r="IV9" s="7">
        <f t="shared" si="69"/>
        <v>9.9451671417818237E-3</v>
      </c>
      <c r="IW9" s="5">
        <f t="shared" si="70"/>
        <v>5.4837234777393565E-2</v>
      </c>
    </row>
    <row r="10" spans="1:257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6281026897.7617378</v>
      </c>
      <c r="D10" s="5">
        <f t="shared" si="1"/>
        <v>1.1118298934828193E-2</v>
      </c>
      <c r="K10" s="3">
        <f t="shared" si="2"/>
        <v>2007</v>
      </c>
      <c r="L10" s="3">
        <v>1757</v>
      </c>
      <c r="M10" s="4">
        <f>Eldavpir!C10 + Iquir!C10 + Viussi!C10 + Umendel!C10 + 'Reerica'!C10 + Saa!C10 + Sattle!C10</f>
        <v>91080581.820894256</v>
      </c>
      <c r="N10" s="5">
        <f t="shared" si="3"/>
        <v>2.7098612382475504E-2</v>
      </c>
      <c r="O10" s="5">
        <f t="shared" si="4"/>
        <v>1.4500906189933861E-2</v>
      </c>
      <c r="V10" s="3">
        <f t="shared" si="5"/>
        <v>2007</v>
      </c>
      <c r="W10" s="3">
        <v>1757</v>
      </c>
      <c r="X10" s="4">
        <f>'Areoix Lie'!C10 + Jau!C10 + Terressin!C10 + Acetoa!C10 + 'Feio Lie'!C10</f>
        <v>666727235.68645525</v>
      </c>
      <c r="Y10" s="5">
        <f t="shared" si="6"/>
        <v>7.0756696631870284E-3</v>
      </c>
      <c r="Z10" s="5">
        <f t="shared" si="7"/>
        <v>0.10614939985753689</v>
      </c>
      <c r="AG10" s="3">
        <f t="shared" si="8"/>
        <v>2007</v>
      </c>
      <c r="AH10" s="3">
        <v>1757</v>
      </c>
      <c r="AI10" s="4">
        <f>Taniduna!C10 + Jathua!C10 + Deschon!C10 + Pelines!C10 + 'Candenat'!C10 + Othya!C10 + Yoprioq!C10 + Jshain!C10 + 'Fire Coast'!C10 + 'Rijan bu'!C10 + 'Rinew'!C10 + Enina!C10 + Trevilla!C10</f>
        <v>188563608.61828807</v>
      </c>
      <c r="AJ10" s="5">
        <f t="shared" si="9"/>
        <v>2.6925659092733326E-2</v>
      </c>
      <c r="AK10" s="5">
        <f t="shared" si="10"/>
        <v>3.002114330786949E-2</v>
      </c>
      <c r="AR10" s="3">
        <f t="shared" si="11"/>
        <v>2007</v>
      </c>
      <c r="AS10" s="3">
        <v>1757</v>
      </c>
      <c r="AT10" s="4">
        <f>Gaeiya!C10 + 'Raledria'!C10 + Arbiya!C10 + Fincen!C10 + 'Curata'!C10</f>
        <v>287530214.2579748</v>
      </c>
      <c r="AU10" s="5">
        <f t="shared" si="12"/>
        <v>1.7411656242929105E-2</v>
      </c>
      <c r="AV10" s="5">
        <f t="shared" si="13"/>
        <v>4.5777580471823329E-2</v>
      </c>
      <c r="BC10" s="3">
        <f t="shared" si="14"/>
        <v>2007</v>
      </c>
      <c r="BD10" s="3">
        <v>1757</v>
      </c>
      <c r="BE10" s="4">
        <f>Etirha!C10 + Laselteh!C10 + Grazail!C10 + 'Disal Nila'!C10 + Pelan!C10 + Peka!C10 + Guise!C10</f>
        <v>103343199.15579021</v>
      </c>
      <c r="BF10" s="5">
        <f t="shared" si="15"/>
        <v>6.2106531364061199E-3</v>
      </c>
      <c r="BG10" s="5">
        <f t="shared" si="16"/>
        <v>1.6453233020322977E-2</v>
      </c>
      <c r="BN10" s="3">
        <f t="shared" si="17"/>
        <v>2007</v>
      </c>
      <c r="BO10" s="3">
        <v>1757</v>
      </c>
      <c r="BP10" s="4">
        <f>Genaire!C10 + 'New Misos'!C10 + Phuris!C10 + Lasri!C10 + Slyiaduun!C10 + Aetintio!C10 + Metndria!C10 + Tomscilus!C10</f>
        <v>95038328.775602028</v>
      </c>
      <c r="BQ10" s="5">
        <f t="shared" si="18"/>
        <v>1.1011001441645541E-2</v>
      </c>
      <c r="BR10" s="5">
        <f t="shared" si="19"/>
        <v>1.5131017638130035E-2</v>
      </c>
      <c r="BY10" s="3">
        <f t="shared" si="20"/>
        <v>2007</v>
      </c>
      <c r="BZ10" s="3">
        <v>1757</v>
      </c>
      <c r="CA10" s="4">
        <f>Ealdorii!C10 + Ukhdari!C10 + Hkuqo!C10 + Acrana!C10 + Zenashan!C10</f>
        <v>255991107.76890436</v>
      </c>
      <c r="CB10" s="6">
        <f t="shared" si="21"/>
        <v>6.9254622636535411E-3</v>
      </c>
      <c r="CC10" s="5">
        <f t="shared" si="22"/>
        <v>4.0756250838557551E-2</v>
      </c>
      <c r="CJ10" s="3">
        <f t="shared" si="23"/>
        <v>2007</v>
      </c>
      <c r="CK10" s="3">
        <v>1757</v>
      </c>
      <c r="CL10" s="4">
        <f>Estijan!C10 + Ikzen!C10 + Urbiqu!C10 + Danocia!C10 + Koruch!C10 + 'New Kizura'!C10 + Lydroa!C10 + Fermori!C10 + Uularin!C10 + 'Niul Spijan'!C10</f>
        <v>276457184.42843133</v>
      </c>
      <c r="CM10" s="6">
        <f t="shared" si="24"/>
        <v>1.1324057015468935E-2</v>
      </c>
      <c r="CN10" s="5">
        <f t="shared" si="25"/>
        <v>4.4014647433996447E-2</v>
      </c>
      <c r="CU10" s="3">
        <f t="shared" si="26"/>
        <v>2007</v>
      </c>
      <c r="CV10" s="3">
        <v>1757</v>
      </c>
      <c r="CW10" s="4">
        <f>Praesyu!C10 + Lycroa!C10 + Emara!C10 + Eldjo!C10 + Easuhura!C10 + Ilicuhe!C10 + Tonder!C10</f>
        <v>240329614.90214461</v>
      </c>
      <c r="CX10" s="6">
        <f t="shared" si="27"/>
        <v>4.460001086652521E-3</v>
      </c>
      <c r="CY10" s="5">
        <f t="shared" si="28"/>
        <v>3.8262790275231391E-2</v>
      </c>
      <c r="DF10" s="3">
        <f t="shared" si="29"/>
        <v>2007</v>
      </c>
      <c r="DG10" s="3">
        <v>1757</v>
      </c>
      <c r="DH10" s="4">
        <f>Verusa!C10 + Darewa!C10 + Siana!C10 + Yaxuto!C10 + 'Merela Sta'!C10 + Palina!C10</f>
        <v>167914633.20178366</v>
      </c>
      <c r="DI10" s="6">
        <f t="shared" si="30"/>
        <v>2.5996947195854343E-3</v>
      </c>
      <c r="DJ10" s="5">
        <f t="shared" si="31"/>
        <v>2.6733627468084959E-2</v>
      </c>
      <c r="DQ10" s="3">
        <f t="shared" si="32"/>
        <v>2007</v>
      </c>
      <c r="DR10" s="3">
        <v>1757</v>
      </c>
      <c r="DS10" s="4">
        <f>Sunsokua!C10 + Vayvele!C10 + Selaja!C10 + Sadain!C10</f>
        <v>185079461.16297084</v>
      </c>
      <c r="DT10" s="6">
        <f t="shared" si="33"/>
        <v>1.1254097792499381E-2</v>
      </c>
      <c r="DU10" s="5">
        <f t="shared" si="34"/>
        <v>2.9466433463121205E-2</v>
      </c>
      <c r="EB10" s="3">
        <f t="shared" si="35"/>
        <v>2007</v>
      </c>
      <c r="EC10" s="3">
        <v>1757</v>
      </c>
      <c r="ED10" s="4">
        <f>Pelugrotoa!C10 + Lieri!C10 + 'Rtesania'!C10 + Ozinia!C10</f>
        <v>384230874.14304364</v>
      </c>
      <c r="EE10" s="6">
        <f t="shared" si="36"/>
        <v>6.2630912322298197E-3</v>
      </c>
      <c r="EF10" s="5">
        <f t="shared" si="37"/>
        <v>6.1173257239188934E-2</v>
      </c>
      <c r="EM10" s="3">
        <f t="shared" si="38"/>
        <v>2007</v>
      </c>
      <c r="EN10" s="3">
        <v>1757</v>
      </c>
      <c r="EO10" s="4">
        <f>Ocaun!C10 + 'Dual Cenryia'!C10 + Byllu!C10 + Exilium!C10 + Inrea!C10 + Amcha!C10 + Isnti!C10 + Galca!C10 + Otiiric!C10 + Taing!C10 + 'Cruthi Anoso'!C10</f>
        <v>259736893.70659688</v>
      </c>
      <c r="EP10" s="6">
        <f t="shared" si="39"/>
        <v>1.5747563605610266E-2</v>
      </c>
      <c r="EQ10" s="5">
        <f t="shared" si="40"/>
        <v>4.135261605059435E-2</v>
      </c>
      <c r="EX10" s="3">
        <f t="shared" si="41"/>
        <v>2007</v>
      </c>
      <c r="EY10" s="3">
        <v>1757</v>
      </c>
      <c r="EZ10" s="4">
        <f>Sivoso!C10 + Taoisia!C10 + Seytinemas!C10 + Trian!C10 + 'Chaenia'!C10</f>
        <v>137895854.84899837</v>
      </c>
      <c r="FA10" s="6">
        <f t="shared" si="42"/>
        <v>9.6209345961908305E-3</v>
      </c>
      <c r="FB10" s="5">
        <f t="shared" si="43"/>
        <v>2.1954348722521465E-2</v>
      </c>
      <c r="FI10" s="3">
        <f t="shared" si="44"/>
        <v>2007</v>
      </c>
      <c r="FJ10" s="3">
        <v>1757</v>
      </c>
      <c r="FK10" s="4">
        <f>Migoku!C10 + 'Welenu Fana'!C10 + Haiza!C10 + Ucrua!C10 + Ihner!C10 + Oscairia!C10 + Shinam!C10 + 'Ruylku'!C10 + Taval!C10 + 'Western Migoku'!C10 + 'Pruim Fijan'!C10 + 'Canldives'!C10</f>
        <v>173610214.61400884</v>
      </c>
      <c r="FL10" s="6">
        <f t="shared" si="45"/>
        <v>2.4023967412012254E-2</v>
      </c>
      <c r="FM10" s="5">
        <f t="shared" si="46"/>
        <v>2.7640418906003307E-2</v>
      </c>
      <c r="FT10" s="3">
        <f t="shared" si="47"/>
        <v>2007</v>
      </c>
      <c r="FU10" s="3">
        <v>1757</v>
      </c>
      <c r="FV10" s="4">
        <f>Vesozata!C10 + Etretes!C10 + Kusierna!C10 + Eparia!C10</f>
        <v>129850216.12173501</v>
      </c>
      <c r="FW10" s="6">
        <f t="shared" si="48"/>
        <v>2.0862542805422619E-2</v>
      </c>
      <c r="FX10" s="5">
        <f t="shared" si="49"/>
        <v>2.0673405517178649E-2</v>
      </c>
      <c r="GE10" s="3">
        <f t="shared" si="50"/>
        <v>2007</v>
      </c>
      <c r="GF10" s="3">
        <v>1757</v>
      </c>
      <c r="GG10" s="4">
        <f>Dahe!C10 + Kaastini!C10 + Suenan!C10 + Oyreain!C10 + Sanagara!C10 + 'North Ayre'!C10 + Stinebar!C10 + 'Cloja'!C10 + 'Pha Hii'!C10 + 'Prystr Hii'!C10</f>
        <v>1008183685.1527518</v>
      </c>
      <c r="GH10" s="6">
        <f t="shared" si="51"/>
        <v>3.8445193020484967E-3</v>
      </c>
      <c r="GI10" s="5">
        <f t="shared" si="52"/>
        <v>0.16051255655536534</v>
      </c>
      <c r="GP10" s="3">
        <f t="shared" si="53"/>
        <v>2007</v>
      </c>
      <c r="GQ10" s="3">
        <v>1757</v>
      </c>
      <c r="GR10" s="4">
        <f>Maalle!C10 + 'United Delet'!C10 + Ohtina!C10 + Astye!C10 + Prstreula!C10 + Veelmit!C10 + Aplasia!C10 + 'Elja and Munusia'!C10 + Walporein!C10 + 'Crila Republic'!C10 + 'Niretui and Anulan'!C10 + 'Rethern'!C10 + Tvecoca!C10</f>
        <v>183738139.44537389</v>
      </c>
      <c r="GS10" s="6">
        <f t="shared" si="54"/>
        <v>1.5601420750485017E-2</v>
      </c>
      <c r="GT10" s="5">
        <f t="shared" si="55"/>
        <v>2.9252882122006118E-2</v>
      </c>
      <c r="HA10" s="3">
        <f t="shared" si="56"/>
        <v>2007</v>
      </c>
      <c r="HB10" s="3">
        <v>1757</v>
      </c>
      <c r="HC10" s="4">
        <f>Andsaudare!C10 + Nia!C10 + Umarcia!C10 + Mendereide!C10 + Iainoa!C10 + Isari!C10 + 'Rkmepuia'!C10 + Hiwush!C10 + Isuibul!C10 + Yutnitu!C10</f>
        <v>64651300.485671595</v>
      </c>
      <c r="HD10" s="6">
        <f t="shared" si="57"/>
        <v>1.4000604810941506E-2</v>
      </c>
      <c r="HE10" s="5">
        <f t="shared" si="58"/>
        <v>1.0293109954474208E-2</v>
      </c>
      <c r="HL10" s="3">
        <f t="shared" si="59"/>
        <v>2007</v>
      </c>
      <c r="HM10" s="3">
        <v>1757</v>
      </c>
      <c r="HN10" s="4">
        <f>Zhanshe!C10 + Volver!C10 + Finae!C10 + Myla!C10 + 'Nheyes Si'!C10 + Onphello!C10 + Hyelen!C10</f>
        <v>111746868.08623937</v>
      </c>
      <c r="HO10" s="6">
        <f t="shared" si="60"/>
        <v>1.260931523273748E-2</v>
      </c>
      <c r="HP10" s="5">
        <f t="shared" si="61"/>
        <v>1.7791178083644364E-2</v>
      </c>
      <c r="HW10" s="3">
        <f t="shared" si="62"/>
        <v>2007</v>
      </c>
      <c r="HX10" s="3">
        <v>1757</v>
      </c>
      <c r="HY10" s="4">
        <f>Yihnurda!C10 + Ztesh!C10 + Wundry!C10 + Anymna!C10 + Shomjind!C10 + Baluyde!C10 + Letan!C10</f>
        <v>524838024.57449174</v>
      </c>
      <c r="HZ10" s="6">
        <f t="shared" si="63"/>
        <v>2.0085124885492613E-2</v>
      </c>
      <c r="IA10" s="5">
        <f t="shared" si="64"/>
        <v>8.3559270341847972E-2</v>
      </c>
      <c r="IH10" s="3">
        <f t="shared" si="65"/>
        <v>2007</v>
      </c>
      <c r="II10" s="3">
        <v>1757</v>
      </c>
      <c r="IJ10" s="4">
        <f>Iareva!C10 + 'United Mihili'!C10 + 'Mesjan Hyaa'!C10 + Desaki!C10 + 'Far Lands'!C10</f>
        <v>66132079.799231261</v>
      </c>
      <c r="IK10" s="6">
        <f t="shared" si="66"/>
        <v>1.9753931931483872E-2</v>
      </c>
      <c r="IL10" s="5">
        <f t="shared" si="67"/>
        <v>1.052886428854454E-2</v>
      </c>
      <c r="IS10" s="3">
        <f t="shared" si="68"/>
        <v>2007</v>
      </c>
      <c r="IT10" s="3">
        <v>1757</v>
      </c>
      <c r="IU10" s="4">
        <f>Verste!C10 + Quidic!C10 + Erkizil!C10 + Ashain!C10 + Ahokini!C10</f>
        <v>344962010.38208169</v>
      </c>
      <c r="IV10" s="6">
        <f t="shared" si="69"/>
        <v>1.0474482334158909E-2</v>
      </c>
      <c r="IW10" s="5">
        <f t="shared" si="70"/>
        <v>5.4921275771802523E-2</v>
      </c>
    </row>
    <row r="11" spans="1:257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6211960464.347785</v>
      </c>
      <c r="D11" s="5">
        <f t="shared" si="1"/>
        <v>1.1275767828846019E-2</v>
      </c>
      <c r="K11" s="3">
        <f t="shared" si="2"/>
        <v>2006</v>
      </c>
      <c r="L11" s="3">
        <v>1756</v>
      </c>
      <c r="M11" s="4">
        <f>Eldavpir!C11 + Iquir!C11 + Viussi!C11 + Umendel!C11 + 'Reerica'!C11 + Saa!C11 + Sattle!C11</f>
        <v>88677543.444073185</v>
      </c>
      <c r="N11" s="5">
        <f t="shared" si="3"/>
        <v>2.7023198946829304E-2</v>
      </c>
      <c r="O11" s="5">
        <f t="shared" si="4"/>
        <v>1.4275291021734431E-2</v>
      </c>
      <c r="V11" s="3">
        <f t="shared" si="5"/>
        <v>2006</v>
      </c>
      <c r="W11" s="3">
        <v>1756</v>
      </c>
      <c r="X11" s="4">
        <f>'Areoix Lie'!C11 + Jau!C11 + Terressin!C11 + Acetoa!C11 + 'Feio Lie'!C11</f>
        <v>662042839.25302243</v>
      </c>
      <c r="Y11" s="5">
        <f t="shared" si="6"/>
        <v>8.3671114107939926E-3</v>
      </c>
      <c r="Z11" s="5">
        <f t="shared" si="7"/>
        <v>0.10657550753142672</v>
      </c>
      <c r="AG11" s="3">
        <f t="shared" si="8"/>
        <v>2006</v>
      </c>
      <c r="AH11" s="3">
        <v>1756</v>
      </c>
      <c r="AI11" s="4">
        <f>Taniduna!C11 + Jathua!C11 + Deschon!C11 + Pelines!C11 + 'Candenat'!C11 + Othya!C11 + Yoprioq!C11 + Jshain!C11 + 'Fire Coast'!C11 + 'Rijan bu'!C11 + 'Rinew'!C11 + Enina!C11 + Trevilla!C11</f>
        <v>183619531.70483631</v>
      </c>
      <c r="AJ11" s="5">
        <f t="shared" si="9"/>
        <v>2.6741198654798334E-2</v>
      </c>
      <c r="AK11" s="5">
        <f t="shared" si="10"/>
        <v>2.9559030962718006E-2</v>
      </c>
      <c r="AR11" s="3">
        <f t="shared" si="11"/>
        <v>2006</v>
      </c>
      <c r="AS11" s="3">
        <v>1756</v>
      </c>
      <c r="AT11" s="4">
        <f>Gaeiya!C11 + 'Raledria'!C11 + Arbiya!C11 + Fincen!C11 + 'Curata'!C11</f>
        <v>282609514.53982627</v>
      </c>
      <c r="AU11" s="5">
        <f t="shared" si="12"/>
        <v>1.3061652204767221E-2</v>
      </c>
      <c r="AV11" s="5">
        <f t="shared" si="13"/>
        <v>4.5494416160856622E-2</v>
      </c>
      <c r="BC11" s="3">
        <f t="shared" si="14"/>
        <v>2006</v>
      </c>
      <c r="BD11" s="3">
        <v>1756</v>
      </c>
      <c r="BE11" s="4">
        <f>Etirha!C11 + Laselteh!C11 + Grazail!C11 + 'Disal Nila'!C11 + Pelan!C11 + Peka!C11 + Guise!C11</f>
        <v>102705331.9637042</v>
      </c>
      <c r="BF11" s="5">
        <f t="shared" si="15"/>
        <v>6.4182711380597517E-3</v>
      </c>
      <c r="BG11" s="5">
        <f t="shared" si="16"/>
        <v>1.653348126620564E-2</v>
      </c>
      <c r="BN11" s="3">
        <f t="shared" si="17"/>
        <v>2006</v>
      </c>
      <c r="BO11" s="3">
        <v>1756</v>
      </c>
      <c r="BP11" s="4">
        <f>Genaire!C11 + 'New Misos'!C11 + Phuris!C11 + Lasri!C11 + Slyiaduun!C11 + Aetintio!C11 + Metndria!C11 + Tomscilus!C11</f>
        <v>94003258.757899418</v>
      </c>
      <c r="BQ11" s="5">
        <f t="shared" si="18"/>
        <v>1.0786241528895506E-2</v>
      </c>
      <c r="BR11" s="5">
        <f t="shared" si="19"/>
        <v>1.5132623476503265E-2</v>
      </c>
      <c r="BY11" s="3">
        <f t="shared" si="20"/>
        <v>2006</v>
      </c>
      <c r="BZ11" s="3">
        <v>1756</v>
      </c>
      <c r="CA11" s="4">
        <f>Ealdorii!C11 + Ukhdari!C11 + Hkuqo!C11 + Acrana!C11 + Zenashan!C11</f>
        <v>254230444.41980314</v>
      </c>
      <c r="CB11" s="7">
        <f t="shared" si="21"/>
        <v>7.086783132126657E-3</v>
      </c>
      <c r="CC11" s="5">
        <f t="shared" si="22"/>
        <v>4.092595982844776E-2</v>
      </c>
      <c r="CJ11" s="3">
        <f t="shared" si="23"/>
        <v>2006</v>
      </c>
      <c r="CK11" s="3">
        <v>1756</v>
      </c>
      <c r="CL11" s="4">
        <f>Estijan!C11 + Ikzen!C11 + Urbiqu!C11 + Danocia!C11 + Koruch!C11 + 'New Kizura'!C11 + Lydroa!C11 + Fermori!C11 + Uularin!C11 + 'Niul Spijan'!C11</f>
        <v>273361621.83690912</v>
      </c>
      <c r="CM11" s="7">
        <f t="shared" si="24"/>
        <v>1.2222382560985066E-2</v>
      </c>
      <c r="CN11" s="5">
        <f t="shared" si="25"/>
        <v>4.4005692471130411E-2</v>
      </c>
      <c r="CU11" s="3">
        <f t="shared" si="26"/>
        <v>2006</v>
      </c>
      <c r="CV11" s="3">
        <v>1756</v>
      </c>
      <c r="CW11" s="4">
        <f>Praesyu!C11 + Lycroa!C11 + Emara!C11 + Eldjo!C11 + Easuhura!C11 + Ilicuhe!C11 + Tonder!C11</f>
        <v>239262503.8748675</v>
      </c>
      <c r="CX11" s="7">
        <f t="shared" si="27"/>
        <v>4.5694917773052134E-3</v>
      </c>
      <c r="CY11" s="5">
        <f t="shared" si="28"/>
        <v>3.8516424122153274E-2</v>
      </c>
      <c r="DF11" s="3">
        <f t="shared" si="29"/>
        <v>2006</v>
      </c>
      <c r="DG11" s="3">
        <v>1756</v>
      </c>
      <c r="DH11" s="4">
        <f>Verusa!C11 + Darewa!C11 + Siana!C11 + Yaxuto!C11 + 'Merela Sta'!C11 + Palina!C11</f>
        <v>167479238.31030816</v>
      </c>
      <c r="DI11" s="7">
        <f t="shared" si="30"/>
        <v>2.4464727889216844E-3</v>
      </c>
      <c r="DJ11" s="5">
        <f t="shared" si="31"/>
        <v>2.6960770158071568E-2</v>
      </c>
      <c r="DQ11" s="3">
        <f t="shared" si="32"/>
        <v>2006</v>
      </c>
      <c r="DR11" s="3">
        <v>1756</v>
      </c>
      <c r="DS11" s="4">
        <f>Sunsokua!C11 + Vayvele!C11 + Selaja!C11 + Sadain!C11</f>
        <v>183019739.12094599</v>
      </c>
      <c r="DT11" s="7">
        <f t="shared" si="33"/>
        <v>1.0891816647149281E-2</v>
      </c>
      <c r="DU11" s="5">
        <f t="shared" si="34"/>
        <v>2.946247648731001E-2</v>
      </c>
      <c r="EB11" s="3">
        <f t="shared" si="35"/>
        <v>2006</v>
      </c>
      <c r="EC11" s="3">
        <v>1756</v>
      </c>
      <c r="ED11" s="4">
        <f>Pelugrotoa!C11 + Lieri!C11 + 'Rtesania'!C11 + Ozinia!C11</f>
        <v>381839379.27458888</v>
      </c>
      <c r="EE11" s="7">
        <f t="shared" si="36"/>
        <v>6.9349065175838501E-3</v>
      </c>
      <c r="EF11" s="5">
        <f t="shared" si="37"/>
        <v>6.146841749332986E-2</v>
      </c>
      <c r="EM11" s="3">
        <f t="shared" si="38"/>
        <v>2006</v>
      </c>
      <c r="EN11" s="3">
        <v>1756</v>
      </c>
      <c r="EO11" s="4">
        <f>Ocaun!C11 + 'Dual Cenryia'!C11 + Byllu!C11 + Exilium!C11 + Inrea!C11 + Amcha!C11 + Isnti!C11 + Galca!C11 + Otiiric!C11 + Taing!C11 + 'Cruthi Anoso'!C11</f>
        <v>255710082.91135445</v>
      </c>
      <c r="EP11" s="7">
        <f t="shared" si="39"/>
        <v>1.8295544194806293E-2</v>
      </c>
      <c r="EQ11" s="5">
        <f t="shared" si="40"/>
        <v>4.1164151700408852E-2</v>
      </c>
      <c r="EX11" s="3">
        <f t="shared" si="41"/>
        <v>2006</v>
      </c>
      <c r="EY11" s="3">
        <v>1756</v>
      </c>
      <c r="EZ11" s="4">
        <f>Sivoso!C11 + Taoisia!C11 + Seytinemas!C11 + Trian!C11 + 'Chaenia'!C11</f>
        <v>136581810.1861679</v>
      </c>
      <c r="FA11" s="7">
        <f t="shared" si="42"/>
        <v>9.9030174964368171E-3</v>
      </c>
      <c r="FB11" s="5">
        <f t="shared" si="43"/>
        <v>2.1986909119922755E-2</v>
      </c>
      <c r="FI11" s="3">
        <f t="shared" si="44"/>
        <v>2006</v>
      </c>
      <c r="FJ11" s="3">
        <v>1756</v>
      </c>
      <c r="FK11" s="4">
        <f>Migoku!C11 + 'Welenu Fana'!C11 + Haiza!C11 + Ucrua!C11 + Ihner!C11 + Oscairia!C11 + Shinam!C11 + 'Ruylku'!C11 + Taval!C11 + 'Western Migoku'!C11 + 'Pruim Fijan'!C11 + 'Canldives'!C11</f>
        <v>169537257.07491904</v>
      </c>
      <c r="FL11" s="7">
        <f t="shared" si="45"/>
        <v>2.5225283745210957E-2</v>
      </c>
      <c r="FM11" s="5">
        <f t="shared" si="46"/>
        <v>2.7292069556453517E-2</v>
      </c>
      <c r="FT11" s="3">
        <f t="shared" si="47"/>
        <v>2006</v>
      </c>
      <c r="FU11" s="3">
        <v>1756</v>
      </c>
      <c r="FV11" s="4">
        <f>Vesozata!C11 + Etretes!C11 + Kusierna!C11 + Eparia!C11</f>
        <v>127196572.18972386</v>
      </c>
      <c r="FW11" s="7">
        <f t="shared" si="48"/>
        <v>2.0829154582257255E-2</v>
      </c>
      <c r="FX11" s="5">
        <f t="shared" si="49"/>
        <v>2.0476075615699956E-2</v>
      </c>
      <c r="GE11" s="3">
        <f t="shared" si="50"/>
        <v>2006</v>
      </c>
      <c r="GF11" s="3">
        <v>1756</v>
      </c>
      <c r="GG11" s="4">
        <f>Dahe!C11 + Kaastini!C11 + Suenan!C11 + Oyreain!C11 + Sanagara!C11 + 'North Ayre'!C11 + Stinebar!C11 + 'Cloja'!C11 + 'Pha Hii'!C11 + 'Prystr Hii'!C11</f>
        <v>1004322547.7325116</v>
      </c>
      <c r="GH11" s="7">
        <f t="shared" si="51"/>
        <v>3.8737238947080602E-3</v>
      </c>
      <c r="GI11" s="5">
        <f t="shared" si="52"/>
        <v>0.16167561810745665</v>
      </c>
      <c r="GP11" s="3">
        <f t="shared" si="53"/>
        <v>2006</v>
      </c>
      <c r="GQ11" s="3">
        <v>1756</v>
      </c>
      <c r="GR11" s="4">
        <f>Maalle!C11 + 'United Delet'!C11 + Ohtina!C11 + Astye!C11 + Prstreula!C11 + Veelmit!C11 + Aplasia!C11 + 'Elja and Munusia'!C11 + Walporein!C11 + 'Crila Republic'!C11 + 'Niretui and Anulan'!C11 + 'Rethern'!C11 + Tvecoca!C11</f>
        <v>180915599.0640496</v>
      </c>
      <c r="GS11" s="7">
        <f t="shared" si="54"/>
        <v>1.5437305085197819E-2</v>
      </c>
      <c r="GT11" s="5">
        <f t="shared" si="55"/>
        <v>2.912375249365734E-2</v>
      </c>
      <c r="HA11" s="3">
        <f t="shared" si="56"/>
        <v>2006</v>
      </c>
      <c r="HB11" s="3">
        <v>1756</v>
      </c>
      <c r="HC11" s="4">
        <f>Andsaudare!C11 + Nia!C11 + Umarcia!C11 + Mendereide!C11 + Iainoa!C11 + Isari!C11 + 'Rkmepuia'!C11 + Hiwush!C11 + Isuibul!C11 + Yutnitu!C11</f>
        <v>63758640.950441748</v>
      </c>
      <c r="HD11" s="7">
        <f t="shared" si="57"/>
        <v>1.4049892821618842E-2</v>
      </c>
      <c r="HE11" s="5">
        <f t="shared" si="58"/>
        <v>1.0263851696476627E-2</v>
      </c>
      <c r="HL11" s="3">
        <f t="shared" si="59"/>
        <v>2006</v>
      </c>
      <c r="HM11" s="3">
        <v>1756</v>
      </c>
      <c r="HN11" s="4">
        <f>Zhanshe!C11 + Volver!C11 + Finae!C11 + Myla!C11 + 'Nheyes Si'!C11 + Onphello!C11 + Hyelen!C11</f>
        <v>110355362.53244475</v>
      </c>
      <c r="HO11" s="7">
        <f t="shared" si="60"/>
        <v>1.1280233252965559E-2</v>
      </c>
      <c r="HP11" s="5">
        <f t="shared" si="61"/>
        <v>1.7764981468540518E-2</v>
      </c>
      <c r="HW11" s="3">
        <f t="shared" si="62"/>
        <v>2006</v>
      </c>
      <c r="HX11" s="3">
        <v>1756</v>
      </c>
      <c r="HY11" s="4">
        <f>Yihnurda!C11 + Ztesh!C11 + Wundry!C11 + Anymna!C11 + Shomjind!C11 + Baluyde!C11 + Letan!C11</f>
        <v>514504144.57656783</v>
      </c>
      <c r="HZ11" s="7">
        <f t="shared" si="63"/>
        <v>2.0421748015920067E-2</v>
      </c>
      <c r="IA11" s="5">
        <f t="shared" si="64"/>
        <v>8.2824761607781322E-2</v>
      </c>
      <c r="IH11" s="3">
        <f t="shared" si="65"/>
        <v>2006</v>
      </c>
      <c r="II11" s="3">
        <v>1756</v>
      </c>
      <c r="IJ11" s="4">
        <f>Iareva!C11 + 'United Mihili'!C11 + 'Mesjan Hyaa'!C11 + Desaki!C11 + 'Far Lands'!C11</f>
        <v>64851017.219391905</v>
      </c>
      <c r="IK11" s="7">
        <f t="shared" si="66"/>
        <v>1.8788553723513502E-2</v>
      </c>
      <c r="IL11" s="5">
        <f t="shared" si="67"/>
        <v>1.0439702182843952E-2</v>
      </c>
      <c r="IS11" s="3">
        <f t="shared" si="68"/>
        <v>2006</v>
      </c>
      <c r="IT11" s="3">
        <v>1756</v>
      </c>
      <c r="IU11" s="4">
        <f>Verste!C11 + Quidic!C11 + Erkizil!C11 + Ashain!C11 + Ahokini!C11</f>
        <v>341386167.00664437</v>
      </c>
      <c r="IV11" s="7">
        <f t="shared" si="69"/>
        <v>1.1012626608032955E-2</v>
      </c>
      <c r="IW11" s="5">
        <f t="shared" si="70"/>
        <v>5.4956268470470325E-2</v>
      </c>
    </row>
    <row r="12" spans="1:257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6142696840.9265118</v>
      </c>
      <c r="D12" s="5">
        <f t="shared" si="1"/>
        <v>1.1238076933805519E-2</v>
      </c>
      <c r="K12" s="3">
        <f t="shared" si="2"/>
        <v>2005</v>
      </c>
      <c r="L12" s="3">
        <v>1755</v>
      </c>
      <c r="M12" s="4">
        <f>Eldavpir!C12 + Iquir!C12 + Viussi!C12 + Umendel!C12 + 'Reerica'!C12 + Saa!C12 + Sattle!C12</f>
        <v>86344245.714223802</v>
      </c>
      <c r="N12" s="5">
        <f t="shared" si="3"/>
        <v>2.6662972453466424E-2</v>
      </c>
      <c r="O12" s="5">
        <f t="shared" si="4"/>
        <v>1.4056406811246829E-2</v>
      </c>
      <c r="V12" s="3">
        <f t="shared" si="5"/>
        <v>2005</v>
      </c>
      <c r="W12" s="3">
        <v>1755</v>
      </c>
      <c r="X12" s="4">
        <f>'Areoix Lie'!C12 + Jau!C12 + Terressin!C12 + Acetoa!C12 + 'Feio Lie'!C12</f>
        <v>656549417.13317728</v>
      </c>
      <c r="Y12" s="5">
        <f t="shared" si="6"/>
        <v>8.3968998269812415E-3</v>
      </c>
      <c r="Z12" s="5">
        <f t="shared" si="7"/>
        <v>0.10688292685369591</v>
      </c>
      <c r="AG12" s="3">
        <f t="shared" si="8"/>
        <v>2005</v>
      </c>
      <c r="AH12" s="3">
        <v>1755</v>
      </c>
      <c r="AI12" s="4">
        <f>Taniduna!C12 + Jathua!C12 + Deschon!C12 + Pelines!C12 + 'Candenat'!C12 + Othya!C12 + Yoprioq!C12 + Jshain!C12 + 'Fire Coast'!C12 + 'Rijan bu'!C12 + 'Rinew'!C12 + Enina!C12 + Trevilla!C12</f>
        <v>178837210.33636171</v>
      </c>
      <c r="AJ12" s="5">
        <f t="shared" si="9"/>
        <v>2.6647436145791459E-2</v>
      </c>
      <c r="AK12" s="5">
        <f t="shared" si="10"/>
        <v>2.9113793984563208E-2</v>
      </c>
      <c r="AR12" s="3">
        <f t="shared" si="11"/>
        <v>2005</v>
      </c>
      <c r="AS12" s="3">
        <v>1755</v>
      </c>
      <c r="AT12" s="4">
        <f>Gaeiya!C12 + 'Raledria'!C12 + Arbiya!C12 + Fincen!C12 + 'Curata'!C12</f>
        <v>278965760.79528004</v>
      </c>
      <c r="AU12" s="5">
        <f t="shared" si="12"/>
        <v>1.1812672127005121E-2</v>
      </c>
      <c r="AV12" s="5">
        <f t="shared" si="13"/>
        <v>4.5414215941218944E-2</v>
      </c>
      <c r="BC12" s="3">
        <f t="shared" si="14"/>
        <v>2005</v>
      </c>
      <c r="BD12" s="3">
        <v>1755</v>
      </c>
      <c r="BE12" s="4">
        <f>Etirha!C12 + Laselteh!C12 + Grazail!C12 + 'Disal Nila'!C12 + Pelan!C12 + Peka!C12 + Guise!C12</f>
        <v>102050345.17861526</v>
      </c>
      <c r="BF12" s="5">
        <f t="shared" si="15"/>
        <v>7.2592954919976985E-3</v>
      </c>
      <c r="BG12" s="5">
        <f t="shared" si="16"/>
        <v>1.6613280424111383E-2</v>
      </c>
      <c r="BN12" s="3">
        <f t="shared" si="17"/>
        <v>2005</v>
      </c>
      <c r="BO12" s="3">
        <v>1755</v>
      </c>
      <c r="BP12" s="4">
        <f>Genaire!C12 + 'New Misos'!C12 + Phuris!C12 + Lasri!C12 + Slyiaduun!C12 + Aetintio!C12 + Metndria!C12 + Tomscilus!C12</f>
        <v>93000136.819939226</v>
      </c>
      <c r="BQ12" s="5">
        <f t="shared" si="18"/>
        <v>1.1930116359792553E-2</v>
      </c>
      <c r="BR12" s="5">
        <f t="shared" si="19"/>
        <v>1.5139952243827791E-2</v>
      </c>
      <c r="BY12" s="3">
        <f t="shared" si="20"/>
        <v>2005</v>
      </c>
      <c r="BZ12" s="3">
        <v>1755</v>
      </c>
      <c r="CA12" s="4">
        <f>Ealdorii!C12 + Ukhdari!C12 + Hkuqo!C12 + Acrana!C12 + Zenashan!C12</f>
        <v>252441446.63394803</v>
      </c>
      <c r="CB12" s="6">
        <f t="shared" si="21"/>
        <v>7.300349931905396E-3</v>
      </c>
      <c r="CC12" s="5">
        <f t="shared" si="22"/>
        <v>4.109619165185302E-2</v>
      </c>
      <c r="CJ12" s="3">
        <f t="shared" si="23"/>
        <v>2005</v>
      </c>
      <c r="CK12" s="3">
        <v>1755</v>
      </c>
      <c r="CL12" s="4">
        <f>Estijan!C12 + Ikzen!C12 + Urbiqu!C12 + Danocia!C12 + Koruch!C12 + 'New Kizura'!C12 + Lydroa!C12 + Fermori!C12 + Uularin!C12 + 'Niul Spijan'!C12</f>
        <v>270060834.99683869</v>
      </c>
      <c r="CM12" s="6">
        <f t="shared" si="24"/>
        <v>1.1292109203020826E-2</v>
      </c>
      <c r="CN12" s="5">
        <f t="shared" si="25"/>
        <v>4.3964539027471362E-2</v>
      </c>
      <c r="CU12" s="3">
        <f t="shared" si="26"/>
        <v>2005</v>
      </c>
      <c r="CV12" s="3">
        <v>1755</v>
      </c>
      <c r="CW12" s="4">
        <f>Praesyu!C12 + Lycroa!C12 + Emara!C12 + Eldjo!C12 + Easuhura!C12 + Ilicuhe!C12 + Tonder!C12</f>
        <v>238174168.9682008</v>
      </c>
      <c r="CX12" s="6">
        <f t="shared" si="27"/>
        <v>5.3790594685591752E-3</v>
      </c>
      <c r="CY12" s="5">
        <f t="shared" si="28"/>
        <v>3.8773550955882211E-2</v>
      </c>
      <c r="DF12" s="3">
        <f t="shared" si="29"/>
        <v>2005</v>
      </c>
      <c r="DG12" s="3">
        <v>1755</v>
      </c>
      <c r="DH12" s="4">
        <f>Verusa!C12 + Darewa!C12 + Siana!C12 + Yaxuto!C12 + 'Merela Sta'!C12 + Palina!C12</f>
        <v>167070504.8663213</v>
      </c>
      <c r="DI12" s="6">
        <f t="shared" si="30"/>
        <v>2.3170878390572436E-3</v>
      </c>
      <c r="DJ12" s="5">
        <f t="shared" si="31"/>
        <v>2.7198233803952761E-2</v>
      </c>
      <c r="DQ12" s="3">
        <f t="shared" si="32"/>
        <v>2005</v>
      </c>
      <c r="DR12" s="3">
        <v>1755</v>
      </c>
      <c r="DS12" s="4">
        <f>Sunsokua!C12 + Vayvele!C12 + Selaja!C12 + Sadain!C12</f>
        <v>181047799.6824351</v>
      </c>
      <c r="DT12" s="6">
        <f t="shared" si="33"/>
        <v>1.0668038531176028E-2</v>
      </c>
      <c r="DU12" s="5">
        <f t="shared" si="34"/>
        <v>2.9473666757600787E-2</v>
      </c>
      <c r="EB12" s="3">
        <f t="shared" si="35"/>
        <v>2005</v>
      </c>
      <c r="EC12" s="3">
        <v>1755</v>
      </c>
      <c r="ED12" s="4">
        <f>Pelugrotoa!C12 + Lieri!C12 + 'Rtesania'!C12 + Ozinia!C12</f>
        <v>379209596.17454767</v>
      </c>
      <c r="EE12" s="6">
        <f t="shared" si="36"/>
        <v>5.9073021319631753E-3</v>
      </c>
      <c r="EF12" s="5">
        <f t="shared" si="37"/>
        <v>6.1733405700247927E-2</v>
      </c>
      <c r="EM12" s="3">
        <f t="shared" si="38"/>
        <v>2005</v>
      </c>
      <c r="EN12" s="3">
        <v>1755</v>
      </c>
      <c r="EO12" s="4">
        <f>Ocaun!C12 + 'Dual Cenryia'!C12 + Byllu!C12 + Exilium!C12 + Inrea!C12 + Amcha!C12 + Isnti!C12 + Galca!C12 + Otiiric!C12 + Taing!C12 + 'Cruthi Anoso'!C12</f>
        <v>251115783.00536638</v>
      </c>
      <c r="EP12" s="6">
        <f t="shared" si="39"/>
        <v>1.8640863125418423E-2</v>
      </c>
      <c r="EQ12" s="5">
        <f t="shared" si="40"/>
        <v>4.0880380313134616E-2</v>
      </c>
      <c r="EX12" s="3">
        <f t="shared" si="41"/>
        <v>2005</v>
      </c>
      <c r="EY12" s="3">
        <v>1755</v>
      </c>
      <c r="EZ12" s="4">
        <f>Sivoso!C12 + Taoisia!C12 + Seytinemas!C12 + Trian!C12 + 'Chaenia'!C12</f>
        <v>135242501.32924253</v>
      </c>
      <c r="FA12" s="6">
        <f t="shared" si="42"/>
        <v>1.007605112058641E-2</v>
      </c>
      <c r="FB12" s="5">
        <f t="shared" si="43"/>
        <v>2.2016795689504303E-2</v>
      </c>
      <c r="FI12" s="3">
        <f t="shared" si="44"/>
        <v>2005</v>
      </c>
      <c r="FJ12" s="3">
        <v>1755</v>
      </c>
      <c r="FK12" s="4">
        <f>Migoku!C12 + 'Welenu Fana'!C12 + Haiza!C12 + Ucrua!C12 + Ihner!C12 + Oscairia!C12 + Shinam!C12 + 'Ruylku'!C12 + Taval!C12 + 'Western Migoku'!C12 + 'Pruim Fijan'!C12 + 'Canldives'!C12</f>
        <v>165365856.42483282</v>
      </c>
      <c r="FL12" s="6">
        <f t="shared" si="45"/>
        <v>2.5853350560201584E-2</v>
      </c>
      <c r="FM12" s="5">
        <f t="shared" si="46"/>
        <v>2.6920725653114024E-2</v>
      </c>
      <c r="FT12" s="3">
        <f t="shared" si="47"/>
        <v>2005</v>
      </c>
      <c r="FU12" s="3">
        <v>1755</v>
      </c>
      <c r="FV12" s="4">
        <f>Vesozata!C12 + Etretes!C12 + Kusierna!C12 + Eparia!C12</f>
        <v>124601233.82915638</v>
      </c>
      <c r="FW12" s="6">
        <f t="shared" si="48"/>
        <v>2.0783033595436481E-2</v>
      </c>
      <c r="FX12" s="5">
        <f t="shared" si="49"/>
        <v>2.0284451122344921E-2</v>
      </c>
      <c r="GE12" s="3">
        <f t="shared" si="50"/>
        <v>2005</v>
      </c>
      <c r="GF12" s="3">
        <v>1755</v>
      </c>
      <c r="GG12" s="4">
        <f>Dahe!C12 + Kaastini!C12 + Suenan!C12 + Oyreain!C12 + Sanagara!C12 + 'North Ayre'!C12 + Stinebar!C12 + 'Cloja'!C12 + 'Pha Hii'!C12 + 'Prystr Hii'!C12</f>
        <v>1000447091.9271224</v>
      </c>
      <c r="GH12" s="6">
        <f t="shared" si="51"/>
        <v>4.03656263525914E-3</v>
      </c>
      <c r="GI12" s="5">
        <f t="shared" si="52"/>
        <v>0.16286773022258144</v>
      </c>
      <c r="GP12" s="3">
        <f t="shared" si="53"/>
        <v>2005</v>
      </c>
      <c r="GQ12" s="3">
        <v>1755</v>
      </c>
      <c r="GR12" s="4">
        <f>Maalle!C12 + 'United Delet'!C12 + Ohtina!C12 + Astye!C12 + Prstreula!C12 + Veelmit!C12 + Aplasia!C12 + 'Elja and Munusia'!C12 + Walporein!C12 + 'Crila Republic'!C12 + 'Niretui and Anulan'!C12 + 'Rethern'!C12 + Tvecoca!C12</f>
        <v>178165208.38661754</v>
      </c>
      <c r="GS12" s="6">
        <f t="shared" si="54"/>
        <v>1.5309964204129559E-2</v>
      </c>
      <c r="GT12" s="5">
        <f t="shared" si="55"/>
        <v>2.9004395463498835E-2</v>
      </c>
      <c r="HA12" s="3">
        <f t="shared" si="56"/>
        <v>2005</v>
      </c>
      <c r="HB12" s="3">
        <v>1755</v>
      </c>
      <c r="HC12" s="4">
        <f>Andsaudare!C12 + Nia!C12 + Umarcia!C12 + Mendereide!C12 + Iainoa!C12 + Isari!C12 + 'Rkmepuia'!C12 + Hiwush!C12 + Isuibul!C12 + Yutnitu!C12</f>
        <v>62875250.420895718</v>
      </c>
      <c r="HD12" s="6">
        <f t="shared" si="57"/>
        <v>1.4825053434345935E-2</v>
      </c>
      <c r="HE12" s="5">
        <f t="shared" si="58"/>
        <v>1.0235772991755224E-2</v>
      </c>
      <c r="HL12" s="3">
        <f t="shared" si="59"/>
        <v>2005</v>
      </c>
      <c r="HM12" s="3">
        <v>1755</v>
      </c>
      <c r="HN12" s="4">
        <f>Zhanshe!C12 + Volver!C12 + Finae!C12 + Myla!C12 + 'Nheyes Si'!C12 + Onphello!C12 + Hyelen!C12</f>
        <v>109124413.69240135</v>
      </c>
      <c r="HO12" s="6">
        <f t="shared" si="60"/>
        <v>1.0400931210903635E-2</v>
      </c>
      <c r="HP12" s="5">
        <f t="shared" si="61"/>
        <v>1.7764903025222708E-2</v>
      </c>
      <c r="HW12" s="3">
        <f t="shared" si="62"/>
        <v>2005</v>
      </c>
      <c r="HX12" s="3">
        <v>1755</v>
      </c>
      <c r="HY12" s="4">
        <f>Yihnurda!C12 + Ztesh!C12 + Wundry!C12 + Anymna!C12 + Shomjind!C12 + Baluyde!C12 + Letan!C12</f>
        <v>504207349.14456254</v>
      </c>
      <c r="HZ12" s="6">
        <f t="shared" si="63"/>
        <v>2.0582277029776237E-2</v>
      </c>
      <c r="IA12" s="5">
        <f t="shared" si="64"/>
        <v>8.208240813468376E-2</v>
      </c>
      <c r="IH12" s="3">
        <f t="shared" si="65"/>
        <v>2005</v>
      </c>
      <c r="II12" s="3">
        <v>1755</v>
      </c>
      <c r="IJ12" s="4">
        <f>Iareva!C12 + 'United Mihili'!C12 + 'Mesjan Hyaa'!C12 + Desaki!C12 + 'Far Lands'!C12</f>
        <v>63655031.24507194</v>
      </c>
      <c r="IK12" s="6">
        <f t="shared" si="66"/>
        <v>1.8139909901816881E-2</v>
      </c>
      <c r="IL12" s="5">
        <f t="shared" si="67"/>
        <v>1.0362717368853703E-2</v>
      </c>
      <c r="IS12" s="3">
        <f t="shared" si="68"/>
        <v>2005</v>
      </c>
      <c r="IT12" s="3">
        <v>1755</v>
      </c>
      <c r="IU12" s="4">
        <f>Verste!C12 + Quidic!C12 + Erkizil!C12 + Ashain!C12 + Ahokini!C12</f>
        <v>337667560.24798781</v>
      </c>
      <c r="IV12" s="6">
        <f t="shared" si="69"/>
        <v>1.1677659664070958E-2</v>
      </c>
      <c r="IW12" s="5">
        <f t="shared" si="70"/>
        <v>5.4970572208322903E-2</v>
      </c>
    </row>
    <row r="13" spans="1:257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6074431907.8172979</v>
      </c>
      <c r="D13" s="5">
        <f t="shared" si="1"/>
        <v>1.1334229231707431E-2</v>
      </c>
      <c r="K13" s="3">
        <f t="shared" si="2"/>
        <v>2004</v>
      </c>
      <c r="L13" s="3">
        <v>1754</v>
      </c>
      <c r="M13" s="4">
        <f>Eldavpir!C13 + Iquir!C13 + Viussi!C13 + Umendel!C13 + 'Reerica'!C13 + Saa!C13 + Sattle!C13</f>
        <v>84101840.653591275</v>
      </c>
      <c r="N13" s="5">
        <f t="shared" si="3"/>
        <v>2.6939807986953116E-2</v>
      </c>
      <c r="O13" s="5">
        <f t="shared" si="4"/>
        <v>1.3845219097008738E-2</v>
      </c>
      <c r="V13" s="3">
        <f t="shared" si="5"/>
        <v>2004</v>
      </c>
      <c r="W13" s="3">
        <v>1754</v>
      </c>
      <c r="X13" s="4">
        <f>'Areoix Lie'!C13 + Jau!C13 + Terressin!C13 + Acetoa!C13 + 'Feio Lie'!C13</f>
        <v>651082343.91223013</v>
      </c>
      <c r="Y13" s="5">
        <f t="shared" si="6"/>
        <v>8.6707474181360079E-3</v>
      </c>
      <c r="Z13" s="5">
        <f t="shared" si="7"/>
        <v>0.10718407149717825</v>
      </c>
      <c r="AG13" s="3">
        <f t="shared" si="8"/>
        <v>2004</v>
      </c>
      <c r="AH13" s="3">
        <v>1754</v>
      </c>
      <c r="AI13" s="4">
        <f>Taniduna!C13 + Jathua!C13 + Deschon!C13 + Pelines!C13 + 'Candenat'!C13 + Othya!C13 + Yoprioq!C13 + Jshain!C13 + 'Fire Coast'!C13 + 'Rijan bu'!C13 + 'Rinew'!C13 + Enina!C13 + Trevilla!C13</f>
        <v>174195350.84775248</v>
      </c>
      <c r="AJ13" s="5">
        <f t="shared" si="9"/>
        <v>2.6522370132894491E-2</v>
      </c>
      <c r="AK13" s="5">
        <f t="shared" si="10"/>
        <v>2.8676813484990637E-2</v>
      </c>
      <c r="AR13" s="3">
        <f t="shared" si="11"/>
        <v>2004</v>
      </c>
      <c r="AS13" s="3">
        <v>1754</v>
      </c>
      <c r="AT13" s="4">
        <f>Gaeiya!C13 + 'Raledria'!C13 + Arbiya!C13 + Fincen!C13 + 'Curata'!C13</f>
        <v>275708901.93423432</v>
      </c>
      <c r="AU13" s="5">
        <f t="shared" si="12"/>
        <v>1.0480092982656971E-2</v>
      </c>
      <c r="AV13" s="5">
        <f t="shared" si="13"/>
        <v>4.5388425801500792E-2</v>
      </c>
      <c r="BC13" s="3">
        <f t="shared" si="14"/>
        <v>2004</v>
      </c>
      <c r="BD13" s="3">
        <v>1754</v>
      </c>
      <c r="BE13" s="4">
        <f>Etirha!C13 + Laselteh!C13 + Grazail!C13 + 'Disal Nila'!C13 + Pelan!C13 + Peka!C13 + Guise!C13</f>
        <v>101314870.59523097</v>
      </c>
      <c r="BF13" s="5">
        <f t="shared" si="15"/>
        <v>7.8030217787502902E-3</v>
      </c>
      <c r="BG13" s="5">
        <f t="shared" si="16"/>
        <v>1.6678904650301044E-2</v>
      </c>
      <c r="BN13" s="3">
        <f t="shared" si="17"/>
        <v>2004</v>
      </c>
      <c r="BO13" s="3">
        <v>1754</v>
      </c>
      <c r="BP13" s="4">
        <f>Genaire!C13 + 'New Misos'!C13 + Phuris!C13 + Lasri!C13 + Slyiaduun!C13 + Aetintio!C13 + Metndria!C13 + Tomscilus!C13</f>
        <v>91903714.808378085</v>
      </c>
      <c r="BQ13" s="5">
        <f t="shared" si="18"/>
        <v>1.2598743767466824E-2</v>
      </c>
      <c r="BR13" s="5">
        <f t="shared" si="19"/>
        <v>1.5129598323442479E-2</v>
      </c>
      <c r="BY13" s="3">
        <f t="shared" si="20"/>
        <v>2004</v>
      </c>
      <c r="BZ13" s="3">
        <v>1754</v>
      </c>
      <c r="CA13" s="4">
        <f>Ealdorii!C13 + Ukhdari!C13 + Hkuqo!C13 + Acrana!C13 + Zenashan!C13</f>
        <v>250611892.1243434</v>
      </c>
      <c r="CB13" s="7">
        <f t="shared" si="21"/>
        <v>7.6523895457270693E-3</v>
      </c>
      <c r="CC13" s="5">
        <f t="shared" si="22"/>
        <v>4.1256844414014476E-2</v>
      </c>
      <c r="CJ13" s="3">
        <f t="shared" si="23"/>
        <v>2004</v>
      </c>
      <c r="CK13" s="3">
        <v>1754</v>
      </c>
      <c r="CL13" s="4">
        <f>Estijan!C13 + Ikzen!C13 + Urbiqu!C13 + Danocia!C13 + Koruch!C13 + 'New Kizura'!C13 + Lydroa!C13 + Fermori!C13 + Uularin!C13 + 'Niul Spijan'!C13</f>
        <v>267045329.96867567</v>
      </c>
      <c r="CM13" s="7">
        <f t="shared" si="24"/>
        <v>1.0476337739103551E-2</v>
      </c>
      <c r="CN13" s="5">
        <f t="shared" si="25"/>
        <v>4.3962190048588763E-2</v>
      </c>
      <c r="CU13" s="3">
        <f t="shared" si="26"/>
        <v>2004</v>
      </c>
      <c r="CV13" s="3">
        <v>1754</v>
      </c>
      <c r="CW13" s="4">
        <f>Praesyu!C13 + Lycroa!C13 + Emara!C13 + Eldjo!C13 + Easuhura!C13 + Ilicuhe!C13 + Tonder!C13</f>
        <v>236899870.47681206</v>
      </c>
      <c r="CX13" s="7">
        <f t="shared" si="27"/>
        <v>6.2525435344694012E-3</v>
      </c>
      <c r="CY13" s="5">
        <f t="shared" si="28"/>
        <v>3.899951041873418E-2</v>
      </c>
      <c r="DF13" s="3">
        <f t="shared" si="29"/>
        <v>2004</v>
      </c>
      <c r="DG13" s="3">
        <v>1754</v>
      </c>
      <c r="DH13" s="4">
        <f>Verusa!C13 + Darewa!C13 + Siana!C13 + Yaxuto!C13 + 'Merela Sta'!C13 + Palina!C13</f>
        <v>166684282.74181825</v>
      </c>
      <c r="DI13" s="7">
        <f t="shared" si="30"/>
        <v>2.5623503250397552E-3</v>
      </c>
      <c r="DJ13" s="5">
        <f t="shared" si="31"/>
        <v>2.7440308043836854E-2</v>
      </c>
      <c r="DQ13" s="3">
        <f t="shared" si="32"/>
        <v>2004</v>
      </c>
      <c r="DR13" s="3">
        <v>1754</v>
      </c>
      <c r="DS13" s="4">
        <f>Sunsokua!C13 + Vayvele!C13 + Selaja!C13 + Sadain!C13</f>
        <v>179136761.80514768</v>
      </c>
      <c r="DT13" s="7">
        <f t="shared" si="33"/>
        <v>1.054858450066222E-2</v>
      </c>
      <c r="DU13" s="5">
        <f t="shared" si="34"/>
        <v>2.9490290536406095E-2</v>
      </c>
      <c r="EB13" s="3">
        <f t="shared" si="35"/>
        <v>2004</v>
      </c>
      <c r="EC13" s="3">
        <v>1754</v>
      </c>
      <c r="ED13" s="4">
        <f>Pelugrotoa!C13 + Lieri!C13 + 'Rtesania'!C13 + Ozinia!C13</f>
        <v>376982645.78737479</v>
      </c>
      <c r="EE13" s="7">
        <f t="shared" si="36"/>
        <v>5.9845118709642058E-3</v>
      </c>
      <c r="EF13" s="5">
        <f t="shared" si="37"/>
        <v>6.2060559984585373E-2</v>
      </c>
      <c r="EM13" s="3">
        <f t="shared" si="38"/>
        <v>2004</v>
      </c>
      <c r="EN13" s="3">
        <v>1754</v>
      </c>
      <c r="EO13" s="4">
        <f>Ocaun!C13 + 'Dual Cenryia'!C13 + Byllu!C13 + Exilium!C13 + Inrea!C13 + Amcha!C13 + Isnti!C13 + Galca!C13 + Otiiric!C13 + Taing!C13 + 'Cruthi Anoso'!C13</f>
        <v>246520429.4228752</v>
      </c>
      <c r="EP13" s="7">
        <f t="shared" si="39"/>
        <v>1.8512593174941132E-2</v>
      </c>
      <c r="EQ13" s="5">
        <f t="shared" si="40"/>
        <v>4.0583289625096219E-2</v>
      </c>
      <c r="EX13" s="3">
        <f t="shared" si="41"/>
        <v>2004</v>
      </c>
      <c r="EY13" s="3">
        <v>1754</v>
      </c>
      <c r="EZ13" s="4">
        <f>Sivoso!C13 + Taoisia!C13 + Seytinemas!C13 + Trian!C13 + 'Chaenia'!C13</f>
        <v>133893384.739895</v>
      </c>
      <c r="FA13" s="7">
        <f t="shared" si="42"/>
        <v>1.0140795417997115E-2</v>
      </c>
      <c r="FB13" s="5">
        <f t="shared" si="43"/>
        <v>2.2042124559431664E-2</v>
      </c>
      <c r="FI13" s="3">
        <f t="shared" si="44"/>
        <v>2004</v>
      </c>
      <c r="FJ13" s="3">
        <v>1754</v>
      </c>
      <c r="FK13" s="4">
        <f>Migoku!C13 + 'Welenu Fana'!C13 + Haiza!C13 + Ucrua!C13 + Ihner!C13 + Oscairia!C13 + Shinam!C13 + 'Ruylku'!C13 + Taval!C13 + 'Western Migoku'!C13 + 'Pruim Fijan'!C13 + 'Canldives'!C13</f>
        <v>161198339.25046816</v>
      </c>
      <c r="FL13" s="7">
        <f t="shared" si="45"/>
        <v>2.6040252768717742E-2</v>
      </c>
      <c r="FM13" s="5">
        <f t="shared" si="46"/>
        <v>2.6537187624577546E-2</v>
      </c>
      <c r="FT13" s="3">
        <f t="shared" si="47"/>
        <v>2004</v>
      </c>
      <c r="FU13" s="3">
        <v>1754</v>
      </c>
      <c r="FV13" s="4">
        <f>Vesozata!C13 + Etretes!C13 + Kusierna!C13 + Eparia!C13</f>
        <v>122064366.00957376</v>
      </c>
      <c r="FW13" s="7">
        <f t="shared" si="48"/>
        <v>2.1007042740113183E-2</v>
      </c>
      <c r="FX13" s="5">
        <f t="shared" si="49"/>
        <v>2.0094778880060681E-2</v>
      </c>
      <c r="GE13" s="3">
        <f t="shared" si="50"/>
        <v>2004</v>
      </c>
      <c r="GF13" s="3">
        <v>1754</v>
      </c>
      <c r="GG13" s="4">
        <f>Dahe!C13 + Kaastini!C13 + Suenan!C13 + Oyreain!C13 + Sanagara!C13 + 'North Ayre'!C13 + Stinebar!C13 + 'Cloja'!C13 + 'Pha Hii'!C13 + 'Prystr Hii'!C13</f>
        <v>996424960.16408443</v>
      </c>
      <c r="GH13" s="7">
        <f t="shared" si="51"/>
        <v>4.3002336437169891E-3</v>
      </c>
      <c r="GI13" s="5">
        <f t="shared" si="52"/>
        <v>0.16403590908341023</v>
      </c>
      <c r="GP13" s="3">
        <f t="shared" si="53"/>
        <v>2004</v>
      </c>
      <c r="GQ13" s="3">
        <v>1754</v>
      </c>
      <c r="GR13" s="4">
        <f>Maalle!C13 + 'United Delet'!C13 + Ohtina!C13 + Astye!C13 + Prstreula!C13 + Veelmit!C13 + Aplasia!C13 + 'Elja and Munusia'!C13 + Walporein!C13 + 'Crila Republic'!C13 + 'Niretui and Anulan'!C13 + 'Rethern'!C13 + Tvecoca!C13</f>
        <v>175478636.73954564</v>
      </c>
      <c r="GS13" s="7">
        <f t="shared" si="54"/>
        <v>1.5475649269928029E-2</v>
      </c>
      <c r="GT13" s="5">
        <f t="shared" si="55"/>
        <v>2.888807371660862E-2</v>
      </c>
      <c r="HA13" s="3">
        <f t="shared" si="56"/>
        <v>2004</v>
      </c>
      <c r="HB13" s="3">
        <v>1754</v>
      </c>
      <c r="HC13" s="4">
        <f>Andsaudare!C13 + Nia!C13 + Umarcia!C13 + Mendereide!C13 + Iainoa!C13 + Isari!C13 + 'Rkmepuia'!C13 + Hiwush!C13 + Isuibul!C13 + Yutnitu!C13</f>
        <v>61956738.462570317</v>
      </c>
      <c r="HD13" s="7">
        <f t="shared" si="57"/>
        <v>1.5953183227871245E-2</v>
      </c>
      <c r="HE13" s="5">
        <f t="shared" si="58"/>
        <v>1.0199593871953204E-2</v>
      </c>
      <c r="HL13" s="3">
        <f t="shared" si="59"/>
        <v>2004</v>
      </c>
      <c r="HM13" s="3">
        <v>1754</v>
      </c>
      <c r="HN13" s="4">
        <f>Zhanshe!C13 + Volver!C13 + Finae!C13 + Myla!C13 + 'Nheyes Si'!C13 + Onphello!C13 + Hyelen!C13</f>
        <v>108001101.66329956</v>
      </c>
      <c r="HO13" s="7">
        <f t="shared" si="60"/>
        <v>1.0926109660639165E-2</v>
      </c>
      <c r="HP13" s="5">
        <f t="shared" si="61"/>
        <v>1.7779621749370662E-2</v>
      </c>
      <c r="HW13" s="3">
        <f t="shared" si="62"/>
        <v>2004</v>
      </c>
      <c r="HX13" s="3">
        <v>1754</v>
      </c>
      <c r="HY13" s="4">
        <f>Yihnurda!C13 + Ztesh!C13 + Wundry!C13 + Anymna!C13 + Shomjind!C13 + Baluyde!C13 + Letan!C13</f>
        <v>494038903.5678423</v>
      </c>
      <c r="HZ13" s="7">
        <f t="shared" si="63"/>
        <v>2.0786877637218735E-2</v>
      </c>
      <c r="IA13" s="5">
        <f t="shared" si="64"/>
        <v>8.1330881811689182E-2</v>
      </c>
      <c r="IH13" s="3">
        <f t="shared" si="65"/>
        <v>2004</v>
      </c>
      <c r="II13" s="3">
        <v>1754</v>
      </c>
      <c r="IJ13" s="4">
        <f>Iareva!C13 + 'United Mihili'!C13 + 'Mesjan Hyaa'!C13 + Desaki!C13 + 'Far Lands'!C13</f>
        <v>62520907.613974623</v>
      </c>
      <c r="IK13" s="7">
        <f t="shared" si="66"/>
        <v>1.765522952744349E-2</v>
      </c>
      <c r="IL13" s="5">
        <f t="shared" si="67"/>
        <v>1.0292469907106099E-2</v>
      </c>
      <c r="IS13" s="3">
        <f t="shared" si="68"/>
        <v>2004</v>
      </c>
      <c r="IT13" s="3">
        <v>1754</v>
      </c>
      <c r="IU13" s="4">
        <f>Verste!C13 + Quidic!C13 + Erkizil!C13 + Ashain!C13 + Ahokini!C13</f>
        <v>333769908.84637189</v>
      </c>
      <c r="IV13" s="7">
        <f t="shared" si="69"/>
        <v>1.223630170029409E-2</v>
      </c>
      <c r="IW13" s="5">
        <f t="shared" si="70"/>
        <v>5.4946687017239794E-2</v>
      </c>
    </row>
    <row r="14" spans="1:257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6006354508.9657803</v>
      </c>
      <c r="D14" s="5">
        <f t="shared" si="1"/>
        <v>1.1445243835614268E-2</v>
      </c>
      <c r="K14" s="3">
        <f t="shared" si="2"/>
        <v>2003</v>
      </c>
      <c r="L14" s="3">
        <v>1753</v>
      </c>
      <c r="M14" s="4">
        <f>Eldavpir!C14 + Iquir!C14 + Viussi!C14 + Umendel!C14 + 'Reerica'!C14 + Saa!C14 + Sattle!C14</f>
        <v>81895589.2054189</v>
      </c>
      <c r="N14" s="5">
        <f t="shared" si="3"/>
        <v>2.7044914111406602E-2</v>
      </c>
      <c r="O14" s="5">
        <f t="shared" si="4"/>
        <v>1.3634824431886607E-2</v>
      </c>
      <c r="V14" s="3">
        <f t="shared" si="5"/>
        <v>2003</v>
      </c>
      <c r="W14" s="3">
        <v>1753</v>
      </c>
      <c r="X14" s="4">
        <f>'Areoix Lie'!C14 + Jau!C14 + Terressin!C14 + Acetoa!C14 + 'Feio Lie'!C14</f>
        <v>645485502.16092408</v>
      </c>
      <c r="Y14" s="5">
        <f t="shared" si="6"/>
        <v>9.0418931284245736E-3</v>
      </c>
      <c r="Z14" s="5">
        <f t="shared" si="7"/>
        <v>0.10746710025147495</v>
      </c>
      <c r="AG14" s="3">
        <f t="shared" si="8"/>
        <v>2003</v>
      </c>
      <c r="AH14" s="3">
        <v>1753</v>
      </c>
      <c r="AI14" s="4">
        <f>Taniduna!C14 + Jathua!C14 + Deschon!C14 + Pelines!C14 + 'Candenat'!C14 + Othya!C14 + Yoprioq!C14 + Jshain!C14 + 'Fire Coast'!C14 + 'Rijan bu'!C14 + 'Rinew'!C14 + Enina!C14 + Trevilla!C14</f>
        <v>169694646.62051252</v>
      </c>
      <c r="AJ14" s="5">
        <f t="shared" si="9"/>
        <v>2.6150647394314257E-2</v>
      </c>
      <c r="AK14" s="5">
        <f t="shared" si="10"/>
        <v>2.8252519288897555E-2</v>
      </c>
      <c r="AR14" s="3">
        <f t="shared" si="11"/>
        <v>2003</v>
      </c>
      <c r="AS14" s="3">
        <v>1753</v>
      </c>
      <c r="AT14" s="4">
        <f>Gaeiya!C14 + 'Raledria'!C14 + Arbiya!C14 + Fincen!C14 + 'Curata'!C14</f>
        <v>272849414.69793642</v>
      </c>
      <c r="AU14" s="5">
        <f t="shared" si="12"/>
        <v>1.1179129442360908E-2</v>
      </c>
      <c r="AV14" s="5">
        <f t="shared" si="13"/>
        <v>4.542679162387931E-2</v>
      </c>
      <c r="BC14" s="3">
        <f t="shared" si="14"/>
        <v>2003</v>
      </c>
      <c r="BD14" s="3">
        <v>1753</v>
      </c>
      <c r="BE14" s="4">
        <f>Etirha!C14 + Laselteh!C14 + Grazail!C14 + 'Disal Nila'!C14 + Pelan!C14 + Peka!C14 + Guise!C14</f>
        <v>100530429.46469086</v>
      </c>
      <c r="BF14" s="5">
        <f t="shared" si="15"/>
        <v>8.7693800271460356E-3</v>
      </c>
      <c r="BG14" s="5">
        <f t="shared" si="16"/>
        <v>1.6737345308976935E-2</v>
      </c>
      <c r="BN14" s="3">
        <f t="shared" si="17"/>
        <v>2003</v>
      </c>
      <c r="BO14" s="3">
        <v>1753</v>
      </c>
      <c r="BP14" s="4">
        <f>Genaire!C14 + 'New Misos'!C14 + Phuris!C14 + Lasri!C14 + Slyiaduun!C14 + Aetintio!C14 + Metndria!C14 + Tomscilus!C14</f>
        <v>90760249.678408504</v>
      </c>
      <c r="BQ14" s="5">
        <f t="shared" si="18"/>
        <v>1.2034459759661015E-2</v>
      </c>
      <c r="BR14" s="5">
        <f t="shared" si="19"/>
        <v>1.5110704761586958E-2</v>
      </c>
      <c r="BY14" s="3">
        <f t="shared" si="20"/>
        <v>2003</v>
      </c>
      <c r="BZ14" s="3">
        <v>1753</v>
      </c>
      <c r="CA14" s="4">
        <f>Ealdorii!C14 + Ukhdari!C14 + Hkuqo!C14 + Acrana!C14 + Zenashan!C14</f>
        <v>248708676.44875532</v>
      </c>
      <c r="CB14" s="6">
        <f t="shared" si="21"/>
        <v>7.9629890734725702E-3</v>
      </c>
      <c r="CC14" s="5">
        <f t="shared" si="22"/>
        <v>4.1407591922438799E-2</v>
      </c>
      <c r="CJ14" s="3">
        <f t="shared" si="23"/>
        <v>2003</v>
      </c>
      <c r="CK14" s="3">
        <v>1753</v>
      </c>
      <c r="CL14" s="4">
        <f>Estijan!C14 + Ikzen!C14 + Urbiqu!C14 + Danocia!C14 + Koruch!C14 + 'New Kizura'!C14 + Lydroa!C14 + Fermori!C14 + Uularin!C14 + 'Niul Spijan'!C14</f>
        <v>264276678.23095974</v>
      </c>
      <c r="CM14" s="6">
        <f t="shared" si="24"/>
        <v>1.0043210205247515E-2</v>
      </c>
      <c r="CN14" s="5">
        <f t="shared" si="25"/>
        <v>4.399951382098239E-2</v>
      </c>
      <c r="CU14" s="3">
        <f t="shared" si="26"/>
        <v>2003</v>
      </c>
      <c r="CV14" s="3">
        <v>1753</v>
      </c>
      <c r="CW14" s="4">
        <f>Praesyu!C14 + Lycroa!C14 + Emara!C14 + Eldjo!C14 + Easuhura!C14 + Ilicuhe!C14 + Tonder!C14</f>
        <v>235427847.6104016</v>
      </c>
      <c r="CX14" s="6">
        <f t="shared" si="27"/>
        <v>6.2257251554778074E-3</v>
      </c>
      <c r="CY14" s="5">
        <f t="shared" si="28"/>
        <v>3.9196462223296133E-2</v>
      </c>
      <c r="DF14" s="3">
        <f t="shared" si="29"/>
        <v>2003</v>
      </c>
      <c r="DG14" s="3">
        <v>1753</v>
      </c>
      <c r="DH14" s="4">
        <f>Verusa!C14 + Darewa!C14 + Siana!C14 + Yaxuto!C14 + 'Merela Sta'!C14 + Palina!C14</f>
        <v>166258270.80757391</v>
      </c>
      <c r="DI14" s="6">
        <f t="shared" si="30"/>
        <v>2.8659742822289818E-3</v>
      </c>
      <c r="DJ14" s="5">
        <f t="shared" si="31"/>
        <v>2.7680395913927087E-2</v>
      </c>
      <c r="DQ14" s="3">
        <f t="shared" si="32"/>
        <v>2003</v>
      </c>
      <c r="DR14" s="3">
        <v>1753</v>
      </c>
      <c r="DS14" s="4">
        <f>Sunsokua!C14 + Vayvele!C14 + Selaja!C14 + Sadain!C14</f>
        <v>177266847.48528317</v>
      </c>
      <c r="DT14" s="6">
        <f t="shared" si="33"/>
        <v>1.07417858297631E-2</v>
      </c>
      <c r="DU14" s="5">
        <f t="shared" si="34"/>
        <v>2.9513217579927083E-2</v>
      </c>
      <c r="EB14" s="3">
        <f t="shared" si="35"/>
        <v>2003</v>
      </c>
      <c r="EC14" s="3">
        <v>1753</v>
      </c>
      <c r="ED14" s="4">
        <f>Pelugrotoa!C14 + Lieri!C14 + 'Rtesania'!C14 + Ozinia!C14</f>
        <v>374740009.7504977</v>
      </c>
      <c r="EE14" s="6">
        <f t="shared" si="36"/>
        <v>5.8855096440079977E-3</v>
      </c>
      <c r="EF14" s="5">
        <f t="shared" si="37"/>
        <v>6.2390591363050141E-2</v>
      </c>
      <c r="EM14" s="3">
        <f t="shared" si="38"/>
        <v>2003</v>
      </c>
      <c r="EN14" s="3">
        <v>1753</v>
      </c>
      <c r="EO14" s="4">
        <f>Ocaun!C14 + 'Dual Cenryia'!C14 + Byllu!C14 + Exilium!C14 + Inrea!C14 + Amcha!C14 + Isnti!C14 + Galca!C14 + Otiiric!C14 + Taing!C14 + 'Cruthi Anoso'!C14</f>
        <v>242039647.88929468</v>
      </c>
      <c r="EP14" s="6">
        <f t="shared" si="39"/>
        <v>1.8208764808527789E-2</v>
      </c>
      <c r="EQ14" s="5">
        <f t="shared" si="40"/>
        <v>4.0297263094943574E-2</v>
      </c>
      <c r="EX14" s="3">
        <f t="shared" si="41"/>
        <v>2003</v>
      </c>
      <c r="EY14" s="3">
        <v>1753</v>
      </c>
      <c r="EZ14" s="4">
        <f>Sivoso!C14 + Taoisia!C14 + Seytinemas!C14 + Trian!C14 + 'Chaenia'!C14</f>
        <v>132549230.11449093</v>
      </c>
      <c r="FA14" s="6">
        <f t="shared" si="42"/>
        <v>1.0130218003105417E-2</v>
      </c>
      <c r="FB14" s="5">
        <f t="shared" si="43"/>
        <v>2.2068166292321341E-2</v>
      </c>
      <c r="FI14" s="3">
        <f t="shared" si="44"/>
        <v>2003</v>
      </c>
      <c r="FJ14" s="3">
        <v>1753</v>
      </c>
      <c r="FK14" s="4">
        <f>Migoku!C14 + 'Welenu Fana'!C14 + Haiza!C14 + Ucrua!C14 + Ihner!C14 + Oscairia!C14 + Shinam!C14 + 'Ruylku'!C14 + Taval!C14 + 'Western Migoku'!C14 + 'Pruim Fijan'!C14 + 'Canldives'!C14</f>
        <v>157107227.33877409</v>
      </c>
      <c r="FL14" s="6">
        <f t="shared" si="45"/>
        <v>2.5475516852751214E-2</v>
      </c>
      <c r="FM14" s="5">
        <f t="shared" si="46"/>
        <v>2.6156835582091875E-2</v>
      </c>
      <c r="FT14" s="3">
        <f t="shared" si="47"/>
        <v>2003</v>
      </c>
      <c r="FU14" s="3">
        <v>1753</v>
      </c>
      <c r="FV14" s="4">
        <f>Vesozata!C14 + Etretes!C14 + Kusierna!C14 + Eparia!C14</f>
        <v>119552912.85943067</v>
      </c>
      <c r="FW14" s="6">
        <f t="shared" si="48"/>
        <v>2.1372880531513615E-2</v>
      </c>
      <c r="FX14" s="5">
        <f t="shared" si="49"/>
        <v>1.9904405023208695E-2</v>
      </c>
      <c r="GE14" s="3">
        <f t="shared" si="50"/>
        <v>2003</v>
      </c>
      <c r="GF14" s="3">
        <v>1753</v>
      </c>
      <c r="GG14" s="4">
        <f>Dahe!C14 + Kaastini!C14 + Suenan!C14 + Oyreain!C14 + Sanagara!C14 + 'North Ayre'!C14 + Stinebar!C14 + 'Cloja'!C14 + 'Pha Hii'!C14 + 'Prystr Hii'!C14</f>
        <v>992158447.03026688</v>
      </c>
      <c r="GH14" s="6">
        <f t="shared" si="51"/>
        <v>4.4356830761169046E-3</v>
      </c>
      <c r="GI14" s="5">
        <f t="shared" si="52"/>
        <v>0.16518479646002518</v>
      </c>
      <c r="GP14" s="3">
        <f t="shared" si="53"/>
        <v>2003</v>
      </c>
      <c r="GQ14" s="3">
        <v>1753</v>
      </c>
      <c r="GR14" s="4">
        <f>Maalle!C14 + 'United Delet'!C14 + Ohtina!C14 + Astye!C14 + Prstreula!C14 + Veelmit!C14 + Aplasia!C14 + 'Elja and Munusia'!C14 + Walporein!C14 + 'Crila Republic'!C14 + 'Niretui and Anulan'!C14 + 'Rethern'!C14 + Tvecoca!C14</f>
        <v>172804376.8116993</v>
      </c>
      <c r="GS14" s="6">
        <f t="shared" si="54"/>
        <v>1.5439574563171998E-2</v>
      </c>
      <c r="GT14" s="5">
        <f t="shared" si="55"/>
        <v>2.8770259323480072E-2</v>
      </c>
      <c r="HA14" s="3">
        <f t="shared" si="56"/>
        <v>2003</v>
      </c>
      <c r="HB14" s="3">
        <v>1753</v>
      </c>
      <c r="HC14" s="4">
        <f>Andsaudare!C14 + Nia!C14 + Umarcia!C14 + Mendereide!C14 + Iainoa!C14 + Isari!C14 + 'Rkmepuia'!C14 + Hiwush!C14 + Isuibul!C14 + Yutnitu!C14</f>
        <v>60983851.899279743</v>
      </c>
      <c r="HD14" s="6">
        <f t="shared" si="57"/>
        <v>1.6310966399266068E-2</v>
      </c>
      <c r="HE14" s="5">
        <f t="shared" si="58"/>
        <v>1.0153222192970492E-2</v>
      </c>
      <c r="HL14" s="3">
        <f t="shared" si="59"/>
        <v>2003</v>
      </c>
      <c r="HM14" s="3">
        <v>1753</v>
      </c>
      <c r="HN14" s="4">
        <f>Zhanshe!C14 + Volver!C14 + Finae!C14 + Myla!C14 + 'Nheyes Si'!C14 + Onphello!C14 + Hyelen!C14</f>
        <v>106833823.5912759</v>
      </c>
      <c r="HO14" s="6">
        <f t="shared" si="60"/>
        <v>1.2062163883587234E-2</v>
      </c>
      <c r="HP14" s="5">
        <f t="shared" si="61"/>
        <v>1.7786799535692302E-2</v>
      </c>
      <c r="HW14" s="3">
        <f t="shared" si="62"/>
        <v>2003</v>
      </c>
      <c r="HX14" s="3">
        <v>1753</v>
      </c>
      <c r="HY14" s="4">
        <f>Yihnurda!C14 + Ztesh!C14 + Wundry!C14 + Anymna!C14 + Shomjind!C14 + Baluyde!C14 + Letan!C14</f>
        <v>483978501.67449021</v>
      </c>
      <c r="HZ14" s="6">
        <f t="shared" si="63"/>
        <v>2.1095242208183283E-2</v>
      </c>
      <c r="IA14" s="5">
        <f t="shared" si="64"/>
        <v>8.0577744945298832E-2</v>
      </c>
      <c r="IH14" s="3">
        <f t="shared" si="65"/>
        <v>2003</v>
      </c>
      <c r="II14" s="3">
        <v>1753</v>
      </c>
      <c r="IJ14" s="4">
        <f>Iareva!C14 + 'United Mihili'!C14 + 'Mesjan Hyaa'!C14 + Desaki!C14 + 'Far Lands'!C14</f>
        <v>61436236.752801552</v>
      </c>
      <c r="IK14" s="6">
        <f t="shared" si="66"/>
        <v>1.6044865570649755E-2</v>
      </c>
      <c r="IL14" s="5">
        <f t="shared" si="67"/>
        <v>1.0228539900715936E-2</v>
      </c>
      <c r="IS14" s="3">
        <f t="shared" si="68"/>
        <v>2003</v>
      </c>
      <c r="IT14" s="3">
        <v>1753</v>
      </c>
      <c r="IU14" s="4">
        <f>Verste!C14 + Quidic!C14 + Erkizil!C14 + Ashain!C14 + Ahokini!C14</f>
        <v>329735169.82716894</v>
      </c>
      <c r="IV14" s="6">
        <f t="shared" si="69"/>
        <v>1.281011591819492E-2</v>
      </c>
      <c r="IW14" s="5">
        <f t="shared" si="70"/>
        <v>5.4897720295225341E-2</v>
      </c>
    </row>
    <row r="15" spans="1:257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5938388207.9354229</v>
      </c>
      <c r="D15" s="5">
        <f t="shared" si="1"/>
        <v>1.1659760981753366E-2</v>
      </c>
      <c r="K15" s="3">
        <f t="shared" si="2"/>
        <v>2002</v>
      </c>
      <c r="L15" s="3">
        <v>1752</v>
      </c>
      <c r="M15" s="4">
        <f>Eldavpir!C15 + Iquir!C15 + Viussi!C15 + Umendel!C15 + 'Reerica'!C15 + Saa!C15 + Sattle!C15</f>
        <v>79739053.356078878</v>
      </c>
      <c r="N15" s="5">
        <f t="shared" si="3"/>
        <v>2.7280023030087495E-2</v>
      </c>
      <c r="O15" s="5">
        <f t="shared" si="4"/>
        <v>1.342772660930523E-2</v>
      </c>
      <c r="V15" s="3">
        <f t="shared" si="5"/>
        <v>2002</v>
      </c>
      <c r="W15" s="3">
        <v>1752</v>
      </c>
      <c r="X15" s="4">
        <f>'Areoix Lie'!C15 + Jau!C15 + Terressin!C15 + Acetoa!C15 + 'Feio Lie'!C15</f>
        <v>639701390.55343533</v>
      </c>
      <c r="Y15" s="5">
        <f t="shared" si="6"/>
        <v>9.4366285084615097E-3</v>
      </c>
      <c r="Z15" s="5">
        <f t="shared" si="7"/>
        <v>0.10772306695924784</v>
      </c>
      <c r="AG15" s="3">
        <f t="shared" si="8"/>
        <v>2002</v>
      </c>
      <c r="AH15" s="3">
        <v>1752</v>
      </c>
      <c r="AI15" s="4">
        <f>Taniduna!C15 + Jathua!C15 + Deschon!C15 + Pelines!C15 + 'Candenat'!C15 + Othya!C15 + Yoprioq!C15 + Jshain!C15 + 'Fire Coast'!C15 + 'Rijan bu'!C15 + 'Rinew'!C15 + Enina!C15 + Trevilla!C15</f>
        <v>165370111.15416148</v>
      </c>
      <c r="AJ15" s="5">
        <f t="shared" si="9"/>
        <v>2.6090232428082928E-2</v>
      </c>
      <c r="AK15" s="5">
        <f t="shared" si="10"/>
        <v>2.7847642384372692E-2</v>
      </c>
      <c r="AR15" s="3">
        <f t="shared" si="11"/>
        <v>2002</v>
      </c>
      <c r="AS15" s="3">
        <v>1752</v>
      </c>
      <c r="AT15" s="4">
        <f>Gaeiya!C15 + 'Raledria'!C15 + Arbiya!C15 + Fincen!C15 + 'Curata'!C15</f>
        <v>269832917.58444995</v>
      </c>
      <c r="AU15" s="5">
        <f t="shared" si="12"/>
        <v>1.1073945935494304E-2</v>
      </c>
      <c r="AV15" s="5">
        <f t="shared" si="13"/>
        <v>4.5438746699630425E-2</v>
      </c>
      <c r="BC15" s="3">
        <f t="shared" si="14"/>
        <v>2002</v>
      </c>
      <c r="BD15" s="3">
        <v>1752</v>
      </c>
      <c r="BE15" s="4">
        <f>Etirha!C15 + Laselteh!C15 + Grazail!C15 + 'Disal Nila'!C15 + Pelan!C15 + Peka!C15 + Guise!C15</f>
        <v>99656503.711468309</v>
      </c>
      <c r="BF15" s="5">
        <f t="shared" si="15"/>
        <v>8.4165537750526126E-3</v>
      </c>
      <c r="BG15" s="5">
        <f t="shared" si="16"/>
        <v>1.6781742826832723E-2</v>
      </c>
      <c r="BN15" s="3">
        <f t="shared" si="17"/>
        <v>2002</v>
      </c>
      <c r="BO15" s="3">
        <v>1752</v>
      </c>
      <c r="BP15" s="4">
        <f>Genaire!C15 + 'New Misos'!C15 + Phuris!C15 + Lasri!C15 + Slyiaduun!C15 + Aetintio!C15 + Metndria!C15 + Tomscilus!C15</f>
        <v>89680987.443809316</v>
      </c>
      <c r="BQ15" s="5">
        <f t="shared" si="18"/>
        <v>1.1970599362340984E-2</v>
      </c>
      <c r="BR15" s="5">
        <f t="shared" si="19"/>
        <v>1.5101907168003819E-2</v>
      </c>
      <c r="BY15" s="3">
        <f t="shared" si="20"/>
        <v>2002</v>
      </c>
      <c r="BZ15" s="3">
        <v>1752</v>
      </c>
      <c r="CA15" s="4">
        <f>Ealdorii!C15 + Ukhdari!C15 + Hkuqo!C15 + Acrana!C15 + Zenashan!C15</f>
        <v>246743857.80510679</v>
      </c>
      <c r="CB15" s="7">
        <f t="shared" si="21"/>
        <v>8.6283046038126854E-3</v>
      </c>
      <c r="CC15" s="5">
        <f t="shared" si="22"/>
        <v>4.1550644579851623E-2</v>
      </c>
      <c r="CJ15" s="3">
        <f t="shared" si="23"/>
        <v>2002</v>
      </c>
      <c r="CK15" s="3">
        <v>1752</v>
      </c>
      <c r="CL15" s="4">
        <f>Estijan!C15 + Ikzen!C15 + Urbiqu!C15 + Danocia!C15 + Koruch!C15 + 'New Kizura'!C15 + Lydroa!C15 + Fermori!C15 + Uularin!C15 + 'Niul Spijan'!C15</f>
        <v>261648883.49406058</v>
      </c>
      <c r="CM15" s="7">
        <f t="shared" si="24"/>
        <v>9.8025622980248972E-3</v>
      </c>
      <c r="CN15" s="5">
        <f t="shared" si="25"/>
        <v>4.4060589225948743E-2</v>
      </c>
      <c r="CU15" s="3">
        <f t="shared" si="26"/>
        <v>2002</v>
      </c>
      <c r="CV15" s="3">
        <v>1752</v>
      </c>
      <c r="CW15" s="4">
        <f>Praesyu!C15 + Lycroa!C15 + Emara!C15 + Eldjo!C15 + Easuhura!C15 + Ilicuhe!C15 + Tonder!C15</f>
        <v>233971207.18020231</v>
      </c>
      <c r="CX15" s="7">
        <f t="shared" si="27"/>
        <v>5.1371943795859723E-3</v>
      </c>
      <c r="CY15" s="5">
        <f t="shared" si="28"/>
        <v>3.9399783070353731E-2</v>
      </c>
      <c r="DF15" s="3">
        <f t="shared" si="29"/>
        <v>2002</v>
      </c>
      <c r="DG15" s="3">
        <v>1752</v>
      </c>
      <c r="DH15" s="4">
        <f>Verusa!C15 + Darewa!C15 + Siana!C15 + Yaxuto!C15 + 'Merela Sta'!C15 + Palina!C15</f>
        <v>165783140.59021521</v>
      </c>
      <c r="DI15" s="7">
        <f t="shared" si="30"/>
        <v>3.0430106121260101E-3</v>
      </c>
      <c r="DJ15" s="5">
        <f t="shared" si="31"/>
        <v>2.791719483220724E-2</v>
      </c>
      <c r="DQ15" s="3">
        <f t="shared" si="32"/>
        <v>2002</v>
      </c>
      <c r="DR15" s="3">
        <v>1752</v>
      </c>
      <c r="DS15" s="4">
        <f>Sunsokua!C15 + Vayvele!C15 + Selaja!C15 + Sadain!C15</f>
        <v>175382921.70216045</v>
      </c>
      <c r="DT15" s="7">
        <f t="shared" si="33"/>
        <v>1.1051947551862453E-2</v>
      </c>
      <c r="DU15" s="5">
        <f t="shared" si="34"/>
        <v>2.9533758245679793E-2</v>
      </c>
      <c r="EB15" s="3">
        <f t="shared" si="35"/>
        <v>2002</v>
      </c>
      <c r="EC15" s="3">
        <v>1752</v>
      </c>
      <c r="ED15" s="4">
        <f>Pelugrotoa!C15 + Lieri!C15 + 'Rtesania'!C15 + Ozinia!C15</f>
        <v>372547378.56112629</v>
      </c>
      <c r="EE15" s="7">
        <f t="shared" si="36"/>
        <v>7.1156738627137957E-3</v>
      </c>
      <c r="EF15" s="5">
        <f t="shared" si="37"/>
        <v>6.2735436875496639E-2</v>
      </c>
      <c r="EM15" s="3">
        <f t="shared" si="38"/>
        <v>2002</v>
      </c>
      <c r="EN15" s="3">
        <v>1752</v>
      </c>
      <c r="EO15" s="4">
        <f>Ocaun!C15 + 'Dual Cenryia'!C15 + Byllu!C15 + Exilium!C15 + Inrea!C15 + Amcha!C15 + Isnti!C15 + Galca!C15 + Otiiric!C15 + Taing!C15 + 'Cruthi Anoso'!C15</f>
        <v>237711220.18853351</v>
      </c>
      <c r="EP15" s="7">
        <f t="shared" si="39"/>
        <v>1.8468317675430782E-2</v>
      </c>
      <c r="EQ15" s="5">
        <f t="shared" si="40"/>
        <v>4.0029585784048576E-2</v>
      </c>
      <c r="EX15" s="3">
        <f t="shared" si="41"/>
        <v>2002</v>
      </c>
      <c r="EY15" s="3">
        <v>1752</v>
      </c>
      <c r="EZ15" s="4">
        <f>Sivoso!C15 + Taoisia!C15 + Seytinemas!C15 + Trian!C15 + 'Chaenia'!C15</f>
        <v>131219943.4806765</v>
      </c>
      <c r="FA15" s="7">
        <f t="shared" si="42"/>
        <v>1.027257898255084E-2</v>
      </c>
      <c r="FB15" s="5">
        <f t="shared" si="43"/>
        <v>2.2096895468256571E-2</v>
      </c>
      <c r="FI15" s="3">
        <f t="shared" si="44"/>
        <v>2002</v>
      </c>
      <c r="FJ15" s="3">
        <v>1752</v>
      </c>
      <c r="FK15" s="4">
        <f>Migoku!C15 + 'Welenu Fana'!C15 + Haiza!C15 + Ucrua!C15 + Ihner!C15 + Oscairia!C15 + Shinam!C15 + 'Ruylku'!C15 + Taval!C15 + 'Western Migoku'!C15 + 'Pruim Fijan'!C15 + 'Canldives'!C15</f>
        <v>153204269.39196563</v>
      </c>
      <c r="FL15" s="7">
        <f t="shared" si="45"/>
        <v>2.4578463197144514E-2</v>
      </c>
      <c r="FM15" s="5">
        <f t="shared" si="46"/>
        <v>2.5798964976260719E-2</v>
      </c>
      <c r="FT15" s="3">
        <f t="shared" si="47"/>
        <v>2002</v>
      </c>
      <c r="FU15" s="3">
        <v>1752</v>
      </c>
      <c r="FV15" s="4">
        <f>Vesozata!C15 + Etretes!C15 + Kusierna!C15 + Eparia!C15</f>
        <v>117051191.72267073</v>
      </c>
      <c r="FW15" s="7">
        <f t="shared" si="48"/>
        <v>2.2327436196397904E-2</v>
      </c>
      <c r="FX15" s="5">
        <f t="shared" si="49"/>
        <v>1.9710936305285014E-2</v>
      </c>
      <c r="GE15" s="3">
        <f t="shared" si="50"/>
        <v>2002</v>
      </c>
      <c r="GF15" s="3">
        <v>1752</v>
      </c>
      <c r="GG15" s="4">
        <f>Dahe!C15 + Kaastini!C15 + Suenan!C15 + Oyreain!C15 + Sanagara!C15 + 'North Ayre'!C15 + Stinebar!C15 + 'Cloja'!C15 + 'Pha Hii'!C15 + 'Prystr Hii'!C15</f>
        <v>987776981.39093328</v>
      </c>
      <c r="GH15" s="7">
        <f t="shared" si="51"/>
        <v>4.670297127297756E-3</v>
      </c>
      <c r="GI15" s="5">
        <f t="shared" si="52"/>
        <v>0.16633755605114775</v>
      </c>
      <c r="GP15" s="3">
        <f t="shared" si="53"/>
        <v>2002</v>
      </c>
      <c r="GQ15" s="3">
        <v>1752</v>
      </c>
      <c r="GR15" s="4">
        <f>Maalle!C15 + 'United Delet'!C15 + Ohtina!C15 + Astye!C15 + Prstreula!C15 + Veelmit!C15 + Aplasia!C15 + 'Elja and Munusia'!C15 + Walporein!C15 + 'Crila Republic'!C15 + 'Niretui and Anulan'!C15 + 'Rethern'!C15 + Tvecoca!C15</f>
        <v>170176917.60343036</v>
      </c>
      <c r="GS15" s="7">
        <f t="shared" si="54"/>
        <v>1.5410246182961227E-2</v>
      </c>
      <c r="GT15" s="5">
        <f t="shared" si="55"/>
        <v>2.8657088698920734E-2</v>
      </c>
      <c r="HA15" s="3">
        <f t="shared" si="56"/>
        <v>2002</v>
      </c>
      <c r="HB15" s="3">
        <v>1752</v>
      </c>
      <c r="HC15" s="4">
        <f>Andsaudare!C15 + Nia!C15 + Umarcia!C15 + Mendereide!C15 + Iainoa!C15 + Isari!C15 + 'Rkmepuia'!C15 + Hiwush!C15 + Isuibul!C15 + Yutnitu!C15</f>
        <v>60005110.557197057</v>
      </c>
      <c r="HD15" s="7">
        <f t="shared" si="57"/>
        <v>1.6592215298603857E-2</v>
      </c>
      <c r="HE15" s="5">
        <f t="shared" si="58"/>
        <v>1.0104612304903322E-2</v>
      </c>
      <c r="HL15" s="3">
        <f t="shared" si="59"/>
        <v>2002</v>
      </c>
      <c r="HM15" s="3">
        <v>1752</v>
      </c>
      <c r="HN15" s="4">
        <f>Zhanshe!C15 + Volver!C15 + Finae!C15 + Myla!C15 + 'Nheyes Si'!C15 + Onphello!C15 + Hyelen!C15</f>
        <v>105560535.11705482</v>
      </c>
      <c r="HO15" s="7">
        <f t="shared" si="60"/>
        <v>1.2632634950524612E-2</v>
      </c>
      <c r="HP15" s="5">
        <f t="shared" si="61"/>
        <v>1.777595728349236E-2</v>
      </c>
      <c r="HW15" s="3">
        <f t="shared" si="62"/>
        <v>2002</v>
      </c>
      <c r="HX15" s="3">
        <v>1752</v>
      </c>
      <c r="HY15" s="4">
        <f>Yihnurda!C15 + Ztesh!C15 + Wundry!C15 + Anymna!C15 + Shomjind!C15 + Baluyde!C15 + Letan!C15</f>
        <v>473979783.34308559</v>
      </c>
      <c r="HZ15" s="7">
        <f t="shared" si="63"/>
        <v>2.1371431737037771E-2</v>
      </c>
      <c r="IA15" s="5">
        <f t="shared" si="64"/>
        <v>7.9816234093572733E-2</v>
      </c>
      <c r="IH15" s="3">
        <f t="shared" si="65"/>
        <v>2002</v>
      </c>
      <c r="II15" s="3">
        <v>1752</v>
      </c>
      <c r="IJ15" s="4">
        <f>Iareva!C15 + 'United Mihili'!C15 + 'Mesjan Hyaa'!C15 + Desaki!C15 + 'Far Lands'!C15</f>
        <v>60466066.838787287</v>
      </c>
      <c r="IK15" s="7">
        <f t="shared" si="66"/>
        <v>1.6535528966180026E-2</v>
      </c>
      <c r="IL15" s="5">
        <f t="shared" si="67"/>
        <v>1.018223543519552E-2</v>
      </c>
      <c r="IS15" s="3">
        <f t="shared" si="68"/>
        <v>2002</v>
      </c>
      <c r="IT15" s="3">
        <v>1752</v>
      </c>
      <c r="IU15" s="4">
        <f>Verste!C15 + Quidic!C15 + Erkizil!C15 + Ashain!C15 + Ahokini!C15</f>
        <v>325564648.93543953</v>
      </c>
      <c r="IV15" s="7">
        <f t="shared" si="69"/>
        <v>1.3503621089748371E-2</v>
      </c>
      <c r="IW15" s="5">
        <f t="shared" si="70"/>
        <v>5.4823739630290587E-2</v>
      </c>
    </row>
    <row r="16" spans="1:257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5869946040.1316977</v>
      </c>
      <c r="D16" s="5">
        <f t="shared" si="1"/>
        <v>1.1927712979379225E-2</v>
      </c>
      <c r="K16" s="3">
        <f t="shared" si="2"/>
        <v>2001</v>
      </c>
      <c r="L16" s="3">
        <v>1751</v>
      </c>
      <c r="M16" s="4">
        <f>Eldavpir!C16 + Iquir!C16 + Viussi!C16 + Umendel!C16 + 'Reerica'!C16 + Saa!C16 + Sattle!C16</f>
        <v>77621536.064605668</v>
      </c>
      <c r="N16" s="5">
        <f t="shared" si="3"/>
        <v>2.8192418421461137E-2</v>
      </c>
      <c r="O16" s="5">
        <f t="shared" si="4"/>
        <v>1.322355189194621E-2</v>
      </c>
      <c r="V16" s="3">
        <f t="shared" si="5"/>
        <v>2001</v>
      </c>
      <c r="W16" s="3">
        <v>1751</v>
      </c>
      <c r="X16" s="4">
        <f>'Areoix Lie'!C16 + Jau!C16 + Terressin!C16 + Acetoa!C16 + 'Feio Lie'!C16</f>
        <v>633721199.02034354</v>
      </c>
      <c r="Y16" s="5">
        <f t="shared" si="6"/>
        <v>9.9405457174910391E-3</v>
      </c>
      <c r="Z16" s="5">
        <f t="shared" si="7"/>
        <v>0.10796031082529771</v>
      </c>
      <c r="AG16" s="3">
        <f t="shared" si="8"/>
        <v>2001</v>
      </c>
      <c r="AH16" s="3">
        <v>1751</v>
      </c>
      <c r="AI16" s="4">
        <f>Taniduna!C16 + Jathua!C16 + Deschon!C16 + Pelines!C16 + 'Candenat'!C16 + Othya!C16 + Yoprioq!C16 + Jshain!C16 + 'Fire Coast'!C16 + 'Rijan bu'!C16 + 'Rinew'!C16 + Enina!C16 + Trevilla!C16</f>
        <v>161165271.75474504</v>
      </c>
      <c r="AJ16" s="5">
        <f t="shared" si="9"/>
        <v>2.6158287820417528E-2</v>
      </c>
      <c r="AK16" s="5">
        <f t="shared" si="10"/>
        <v>2.7456005669028116E-2</v>
      </c>
      <c r="AR16" s="3">
        <f t="shared" si="11"/>
        <v>2001</v>
      </c>
      <c r="AS16" s="3">
        <v>1751</v>
      </c>
      <c r="AT16" s="4">
        <f>Gaeiya!C16 + 'Raledria'!C16 + Arbiya!C16 + Fincen!C16 + 'Curata'!C16</f>
        <v>266877530.24313918</v>
      </c>
      <c r="AU16" s="5">
        <f t="shared" si="12"/>
        <v>1.2274388181041021E-2</v>
      </c>
      <c r="AV16" s="5">
        <f t="shared" si="13"/>
        <v>4.546507385562807E-2</v>
      </c>
      <c r="BC16" s="3">
        <f t="shared" si="14"/>
        <v>2001</v>
      </c>
      <c r="BD16" s="3">
        <v>1751</v>
      </c>
      <c r="BE16" s="4">
        <f>Etirha!C16 + Laselteh!C16 + Grazail!C16 + 'Disal Nila'!C16 + Pelan!C16 + Peka!C16 + Guise!C16</f>
        <v>98824739.973178461</v>
      </c>
      <c r="BF16" s="5">
        <f t="shared" si="15"/>
        <v>8.4459480440549229E-3</v>
      </c>
      <c r="BG16" s="5">
        <f t="shared" si="16"/>
        <v>1.683571523443872E-2</v>
      </c>
      <c r="BN16" s="3">
        <f t="shared" si="17"/>
        <v>2001</v>
      </c>
      <c r="BO16" s="3">
        <v>1751</v>
      </c>
      <c r="BP16" s="4">
        <f>Genaire!C16 + 'New Misos'!C16 + Phuris!C16 + Lasri!C16 + Slyiaduun!C16 + Aetintio!C16 + Metndria!C16 + Tomscilus!C16</f>
        <v>88620151.119329706</v>
      </c>
      <c r="BQ16" s="5">
        <f t="shared" si="18"/>
        <v>1.2828467907564447E-2</v>
      </c>
      <c r="BR16" s="5">
        <f t="shared" si="19"/>
        <v>1.5097268443943214E-2</v>
      </c>
      <c r="BY16" s="3">
        <f t="shared" si="20"/>
        <v>2001</v>
      </c>
      <c r="BZ16" s="3">
        <v>1751</v>
      </c>
      <c r="CA16" s="4">
        <f>Ealdorii!C16 + Ukhdari!C16 + Hkuqo!C16 + Acrana!C16 + Zenashan!C16</f>
        <v>244633088.99706846</v>
      </c>
      <c r="CB16" s="6">
        <f t="shared" si="21"/>
        <v>9.5069686105620811E-3</v>
      </c>
      <c r="CC16" s="5">
        <f t="shared" si="22"/>
        <v>4.1675526031169426E-2</v>
      </c>
      <c r="CJ16" s="3">
        <f t="shared" si="23"/>
        <v>2001</v>
      </c>
      <c r="CK16" s="3">
        <v>1751</v>
      </c>
      <c r="CL16" s="4">
        <f>Estijan!C16 + Ikzen!C16 + Urbiqu!C16 + Danocia!C16 + Koruch!C16 + 'New Kizura'!C16 + Lydroa!C16 + Fermori!C16 + Uularin!C16 + 'Niul Spijan'!C16</f>
        <v>259108951.85155973</v>
      </c>
      <c r="CM16" s="6">
        <f t="shared" si="24"/>
        <v>9.6199579153218896E-3</v>
      </c>
      <c r="CN16" s="5">
        <f t="shared" si="25"/>
        <v>4.414162414442678E-2</v>
      </c>
      <c r="CU16" s="3">
        <f t="shared" si="26"/>
        <v>2001</v>
      </c>
      <c r="CV16" s="3">
        <v>1751</v>
      </c>
      <c r="CW16" s="4">
        <f>Praesyu!C16 + Lycroa!C16 + Emara!C16 + Eldjo!C16 + Easuhura!C16 + Ilicuhe!C16 + Tonder!C16</f>
        <v>232775394.73068592</v>
      </c>
      <c r="CX16" s="6">
        <f t="shared" si="27"/>
        <v>5.101515843109845E-3</v>
      </c>
      <c r="CY16" s="5">
        <f t="shared" si="28"/>
        <v>3.9655457331165413E-2</v>
      </c>
      <c r="DF16" s="3">
        <f t="shared" si="29"/>
        <v>2001</v>
      </c>
      <c r="DG16" s="3">
        <v>1751</v>
      </c>
      <c r="DH16" s="4">
        <f>Verusa!C16 + Darewa!C16 + Siana!C16 + Yaxuto!C16 + 'Merela Sta'!C16 + Palina!C16</f>
        <v>165280191.21437564</v>
      </c>
      <c r="DI16" s="6">
        <f t="shared" si="30"/>
        <v>2.9107439483587018E-3</v>
      </c>
      <c r="DJ16" s="5">
        <f t="shared" si="31"/>
        <v>2.8157020538926016E-2</v>
      </c>
      <c r="DQ16" s="3">
        <f t="shared" si="32"/>
        <v>2001</v>
      </c>
      <c r="DR16" s="3">
        <v>1751</v>
      </c>
      <c r="DS16" s="4">
        <f>Sunsokua!C16 + Vayvele!C16 + Selaja!C16 + Sadain!C16</f>
        <v>173465786.92304441</v>
      </c>
      <c r="DT16" s="6">
        <f t="shared" si="33"/>
        <v>1.1521187420691708E-2</v>
      </c>
      <c r="DU16" s="5">
        <f t="shared" si="34"/>
        <v>2.9551513035570007E-2</v>
      </c>
      <c r="EB16" s="3">
        <f t="shared" si="35"/>
        <v>2001</v>
      </c>
      <c r="EC16" s="3">
        <v>1751</v>
      </c>
      <c r="ED16" s="4">
        <f>Pelugrotoa!C16 + Lieri!C16 + 'Rtesania'!C16 + Ozinia!C16</f>
        <v>369915182.76371354</v>
      </c>
      <c r="EE16" s="6">
        <f t="shared" si="36"/>
        <v>7.6643185878969332E-3</v>
      </c>
      <c r="EF16" s="5">
        <f t="shared" si="37"/>
        <v>6.3018497995496761E-2</v>
      </c>
      <c r="EM16" s="3">
        <f t="shared" si="38"/>
        <v>2001</v>
      </c>
      <c r="EN16" s="3">
        <v>1751</v>
      </c>
      <c r="EO16" s="4">
        <f>Ocaun!C16 + 'Dual Cenryia'!C16 + Byllu!C16 + Exilium!C16 + Inrea!C16 + Amcha!C16 + Isnti!C16 + Galca!C16 + Otiiric!C16 + Taing!C16 + 'Cruthi Anoso'!C16</f>
        <v>233400701.88053527</v>
      </c>
      <c r="EP16" s="6">
        <f t="shared" si="39"/>
        <v>1.7112464424276868E-2</v>
      </c>
      <c r="EQ16" s="5">
        <f t="shared" si="40"/>
        <v>3.9761984230318188E-2</v>
      </c>
      <c r="EX16" s="3">
        <f t="shared" si="41"/>
        <v>2001</v>
      </c>
      <c r="EY16" s="3">
        <v>1751</v>
      </c>
      <c r="EZ16" s="4">
        <f>Sivoso!C16 + Taoisia!C16 + Seytinemas!C16 + Trian!C16 + 'Chaenia'!C16</f>
        <v>129885682.54799965</v>
      </c>
      <c r="FA16" s="6">
        <f t="shared" si="42"/>
        <v>1.0660855106662304E-2</v>
      </c>
      <c r="FB16" s="5">
        <f t="shared" si="43"/>
        <v>2.2127236206260857E-2</v>
      </c>
      <c r="FI16" s="3">
        <f t="shared" si="44"/>
        <v>2001</v>
      </c>
      <c r="FJ16" s="3">
        <v>1751</v>
      </c>
      <c r="FK16" s="4">
        <f>Migoku!C16 + 'Welenu Fana'!C16 + Haiza!C16 + Ucrua!C16 + Ihner!C16 + Oscairia!C16 + Shinam!C16 + 'Ruylku'!C16 + Taval!C16 + 'Western Migoku'!C16 + 'Pruim Fijan'!C16 + 'Canldives'!C16</f>
        <v>149529074.53656557</v>
      </c>
      <c r="FL16" s="6">
        <f t="shared" si="45"/>
        <v>2.5327412923814435E-2</v>
      </c>
      <c r="FM16" s="5">
        <f t="shared" si="46"/>
        <v>2.5473671054940524E-2</v>
      </c>
      <c r="FT16" s="3">
        <f t="shared" si="47"/>
        <v>2001</v>
      </c>
      <c r="FU16" s="3">
        <v>1751</v>
      </c>
      <c r="FV16" s="4">
        <f>Vesozata!C16 + Etretes!C16 + Kusierna!C16 + Eparia!C16</f>
        <v>114494816.02309673</v>
      </c>
      <c r="FW16" s="6">
        <f t="shared" si="48"/>
        <v>2.2934810558679682E-2</v>
      </c>
      <c r="FX16" s="5">
        <f t="shared" si="49"/>
        <v>1.9505258692382788E-2</v>
      </c>
      <c r="GE16" s="3">
        <f t="shared" si="50"/>
        <v>2001</v>
      </c>
      <c r="GF16" s="3">
        <v>1751</v>
      </c>
      <c r="GG16" s="4">
        <f>Dahe!C16 + Kaastini!C16 + Suenan!C16 + Oyreain!C16 + Sanagara!C16 + 'North Ayre'!C16 + Stinebar!C16 + 'Cloja'!C16 + 'Pha Hii'!C16 + 'Prystr Hii'!C16</f>
        <v>983185214.30894458</v>
      </c>
      <c r="GH16" s="6">
        <f t="shared" si="51"/>
        <v>4.7876490580796988E-3</v>
      </c>
      <c r="GI16" s="5">
        <f t="shared" si="52"/>
        <v>0.16749476189169293</v>
      </c>
      <c r="GP16" s="3">
        <f t="shared" si="53"/>
        <v>2001</v>
      </c>
      <c r="GQ16" s="3">
        <v>1751</v>
      </c>
      <c r="GR16" s="4">
        <f>Maalle!C16 + 'United Delet'!C16 + Ohtina!C16 + Astye!C16 + Prstreula!C16 + Veelmit!C16 + Aplasia!C16 + 'Elja and Munusia'!C16 + Walporein!C16 + 'Crila Republic'!C16 + 'Niretui and Anulan'!C16 + 'Rethern'!C16 + Tvecoca!C16</f>
        <v>167594248.96798521</v>
      </c>
      <c r="GS16" s="6">
        <f t="shared" si="54"/>
        <v>1.5372162961198027E-2</v>
      </c>
      <c r="GT16" s="5">
        <f t="shared" si="55"/>
        <v>2.8551241838029755E-2</v>
      </c>
      <c r="HA16" s="3">
        <f t="shared" si="56"/>
        <v>2001</v>
      </c>
      <c r="HB16" s="3">
        <v>1751</v>
      </c>
      <c r="HC16" s="4">
        <f>Andsaudare!C16 + Nia!C16 + Umarcia!C16 + Mendereide!C16 + Iainoa!C16 + Isari!C16 + 'Rkmepuia'!C16 + Hiwush!C16 + Isuibul!C16 + Yutnitu!C16</f>
        <v>59025742.725731716</v>
      </c>
      <c r="HD16" s="6">
        <f t="shared" si="57"/>
        <v>1.6726866321648659E-2</v>
      </c>
      <c r="HE16" s="5">
        <f t="shared" si="58"/>
        <v>1.0055585234035203E-2</v>
      </c>
      <c r="HL16" s="3">
        <f t="shared" si="59"/>
        <v>2001</v>
      </c>
      <c r="HM16" s="3">
        <v>1751</v>
      </c>
      <c r="HN16" s="4">
        <f>Zhanshe!C16 + Volver!C16 + Finae!C16 + Myla!C16 + 'Nheyes Si'!C16 + Onphello!C16 + Hyelen!C16</f>
        <v>104243662.97676384</v>
      </c>
      <c r="HO16" s="6">
        <f t="shared" si="60"/>
        <v>1.240717330442247E-2</v>
      </c>
      <c r="HP16" s="5">
        <f t="shared" si="61"/>
        <v>1.7758879257844938E-2</v>
      </c>
      <c r="HW16" s="3">
        <f t="shared" si="62"/>
        <v>2001</v>
      </c>
      <c r="HX16" s="3">
        <v>1751</v>
      </c>
      <c r="HY16" s="4">
        <f>Yihnurda!C16 + Ztesh!C16 + Wundry!C16 + Anymna!C16 + Shomjind!C16 + Baluyde!C16 + Letan!C16</f>
        <v>464062111.60321194</v>
      </c>
      <c r="HZ16" s="6">
        <f t="shared" si="63"/>
        <v>2.1426669159386173E-2</v>
      </c>
      <c r="IA16" s="5">
        <f t="shared" si="64"/>
        <v>7.9057304518731192E-2</v>
      </c>
      <c r="IH16" s="3">
        <f t="shared" si="65"/>
        <v>2001</v>
      </c>
      <c r="II16" s="3">
        <v>1751</v>
      </c>
      <c r="IJ16" s="4">
        <f>Iareva!C16 + 'United Mihili'!C16 + 'Mesjan Hyaa'!C16 + Desaki!C16 + 'Far Lands'!C16</f>
        <v>59482492.363332815</v>
      </c>
      <c r="IK16" s="6">
        <f t="shared" si="66"/>
        <v>1.9405959053275357E-2</v>
      </c>
      <c r="IL16" s="5">
        <f t="shared" si="67"/>
        <v>1.0133396790475143E-2</v>
      </c>
      <c r="IS16" s="3">
        <f t="shared" si="68"/>
        <v>2001</v>
      </c>
      <c r="IT16" s="3">
        <v>1751</v>
      </c>
      <c r="IU16" s="4">
        <f>Verste!C16 + Quidic!C16 + Erkizil!C16 + Ashain!C16 + Ahokini!C16</f>
        <v>321226922.29296923</v>
      </c>
      <c r="IV16" s="6">
        <f t="shared" si="69"/>
        <v>1.4115765416696818E-2</v>
      </c>
      <c r="IW16" s="5">
        <f t="shared" si="70"/>
        <v>5.4723999181049067E-2</v>
      </c>
    </row>
    <row r="17" spans="1:257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5800756284.1114855</v>
      </c>
      <c r="D17" s="5">
        <f t="shared" si="1"/>
        <v>1.1879836063783468E-2</v>
      </c>
      <c r="K17" s="3">
        <f t="shared" si="2"/>
        <v>2000</v>
      </c>
      <c r="L17" s="3">
        <v>1750</v>
      </c>
      <c r="M17" s="4">
        <f>Eldavpir!C17 + Iquir!C17 + Viussi!C17 + Umendel!C17 + 'Reerica'!C17 + Saa!C17 + Sattle!C17</f>
        <v>75493200.177233964</v>
      </c>
      <c r="N17" s="5">
        <f t="shared" si="3"/>
        <v>2.8023107153851593E-2</v>
      </c>
      <c r="O17" s="5">
        <f t="shared" si="4"/>
        <v>1.3014372002494399E-2</v>
      </c>
      <c r="V17" s="3">
        <f t="shared" si="5"/>
        <v>2000</v>
      </c>
      <c r="W17" s="3">
        <v>1750</v>
      </c>
      <c r="X17" s="4">
        <f>'Areoix Lie'!C17 + Jau!C17 + Terressin!C17 + Acetoa!C17 + 'Feio Lie'!C17</f>
        <v>627483668.92244101</v>
      </c>
      <c r="Y17" s="5">
        <f t="shared" si="6"/>
        <v>1.0424848119452759E-2</v>
      </c>
      <c r="Z17" s="5">
        <f t="shared" si="7"/>
        <v>0.10817273441415649</v>
      </c>
      <c r="AG17" s="3">
        <f t="shared" si="8"/>
        <v>2000</v>
      </c>
      <c r="AH17" s="3">
        <v>1750</v>
      </c>
      <c r="AI17" s="4">
        <f>Taniduna!C17 + Jathua!C17 + Deschon!C17 + Pelines!C17 + 'Candenat'!C17 + Othya!C17 + Yoprioq!C17 + Jshain!C17 + 'Fire Coast'!C17 + 'Rijan bu'!C17 + 'Rinew'!C17 + Enina!C17 + Trevilla!C17</f>
        <v>157056931.34054744</v>
      </c>
      <c r="AJ17" s="5">
        <f t="shared" si="9"/>
        <v>2.6461920645391532E-2</v>
      </c>
      <c r="AK17" s="5">
        <f t="shared" si="10"/>
        <v>2.7075250820437494E-2</v>
      </c>
      <c r="AR17" s="3">
        <f t="shared" si="11"/>
        <v>2000</v>
      </c>
      <c r="AS17" s="3">
        <v>1750</v>
      </c>
      <c r="AT17" s="4">
        <f>Gaeiya!C17 + 'Raledria'!C17 + Arbiya!C17 + Fincen!C17 + 'Curata'!C17</f>
        <v>263641492.22691709</v>
      </c>
      <c r="AU17" s="5">
        <f t="shared" si="12"/>
        <v>1.1009535659986219E-2</v>
      </c>
      <c r="AV17" s="5">
        <f t="shared" si="13"/>
        <v>4.5449503360284624E-2</v>
      </c>
      <c r="BC17" s="3">
        <f t="shared" si="14"/>
        <v>2000</v>
      </c>
      <c r="BD17" s="3">
        <v>1750</v>
      </c>
      <c r="BE17" s="4">
        <f>Etirha!C17 + Laselteh!C17 + Grazail!C17 + 'Disal Nila'!C17 + Pelan!C17 + Peka!C17 + Guise!C17</f>
        <v>97997061.88006936</v>
      </c>
      <c r="BF17" s="5">
        <f t="shared" si="15"/>
        <v>9.7988325110972604E-3</v>
      </c>
      <c r="BG17" s="5">
        <f t="shared" si="16"/>
        <v>1.689384229923388E-2</v>
      </c>
      <c r="BN17" s="3">
        <f t="shared" si="17"/>
        <v>2000</v>
      </c>
      <c r="BO17" s="3">
        <v>1750</v>
      </c>
      <c r="BP17" s="4">
        <f>Genaire!C17 + 'New Misos'!C17 + Phuris!C17 + Lasri!C17 + Slyiaduun!C17 + Aetintio!C17 + Metndria!C17 + Tomscilus!C17</f>
        <v>87497689.813570291</v>
      </c>
      <c r="BQ17" s="5">
        <f t="shared" si="18"/>
        <v>1.3465682134532751E-2</v>
      </c>
      <c r="BR17" s="5">
        <f t="shared" si="19"/>
        <v>1.5083841748916452E-2</v>
      </c>
      <c r="BY17" s="3">
        <f t="shared" si="20"/>
        <v>2000</v>
      </c>
      <c r="BZ17" s="3">
        <v>1750</v>
      </c>
      <c r="CA17" s="4">
        <f>Ealdorii!C17 + Ukhdari!C17 + Hkuqo!C17 + Acrana!C17 + Zenashan!C17</f>
        <v>242329272.21272177</v>
      </c>
      <c r="CB17" s="7">
        <f t="shared" si="21"/>
        <v>6.8420320503327992E-3</v>
      </c>
      <c r="CC17" s="5">
        <f t="shared" si="22"/>
        <v>4.1775461740475424E-2</v>
      </c>
      <c r="CJ17" s="3">
        <f t="shared" si="23"/>
        <v>2000</v>
      </c>
      <c r="CK17" s="3">
        <v>1750</v>
      </c>
      <c r="CL17" s="4">
        <f>Estijan!C17 + Ikzen!C17 + Urbiqu!C17 + Danocia!C17 + Koruch!C17 + 'New Kizura'!C17 + Lydroa!C17 + Fermori!C17 + Uularin!C17 + 'Niul Spijan'!C17</f>
        <v>256640085.03414661</v>
      </c>
      <c r="CM17" s="7">
        <f t="shared" si="24"/>
        <v>9.5436242263866738E-3</v>
      </c>
      <c r="CN17" s="5">
        <f t="shared" si="25"/>
        <v>4.4242521572074069E-2</v>
      </c>
      <c r="CU17" s="3">
        <f t="shared" si="26"/>
        <v>2000</v>
      </c>
      <c r="CV17" s="3">
        <v>1750</v>
      </c>
      <c r="CW17" s="4">
        <f>Praesyu!C17 + Lycroa!C17 + Emara!C17 + Eldjo!C17 + Easuhura!C17 + Ilicuhe!C17 + Tonder!C17</f>
        <v>231593914.70564723</v>
      </c>
      <c r="CX17" s="7">
        <f t="shared" si="27"/>
        <v>3.4924904173664656E-3</v>
      </c>
      <c r="CY17" s="5">
        <f t="shared" si="28"/>
        <v>3.9924779349891436E-2</v>
      </c>
      <c r="DF17" s="3">
        <f t="shared" si="29"/>
        <v>2000</v>
      </c>
      <c r="DG17" s="3">
        <v>1750</v>
      </c>
      <c r="DH17" s="4">
        <f>Verusa!C17 + Darewa!C17 + Siana!C17 + Yaxuto!C17 + 'Merela Sta'!C17 + Palina!C17</f>
        <v>164800499.15876278</v>
      </c>
      <c r="DI17" s="7">
        <f t="shared" si="30"/>
        <v>2.518036183040087E-3</v>
      </c>
      <c r="DJ17" s="5">
        <f t="shared" si="31"/>
        <v>2.841017465432193E-2</v>
      </c>
      <c r="DQ17" s="3">
        <f t="shared" si="32"/>
        <v>2000</v>
      </c>
      <c r="DR17" s="3">
        <v>1750</v>
      </c>
      <c r="DS17" s="4">
        <f>Sunsokua!C17 + Vayvele!C17 + Selaja!C17 + Sadain!C17</f>
        <v>171490018.28164375</v>
      </c>
      <c r="DT17" s="7">
        <f t="shared" si="33"/>
        <v>1.1911971522054457E-2</v>
      </c>
      <c r="DU17" s="5">
        <f t="shared" si="34"/>
        <v>2.9563389648236401E-2</v>
      </c>
      <c r="EB17" s="3">
        <f t="shared" si="35"/>
        <v>2000</v>
      </c>
      <c r="EC17" s="3">
        <v>1750</v>
      </c>
      <c r="ED17" s="4">
        <f>Pelugrotoa!C17 + Lieri!C17 + 'Rtesania'!C17 + Ozinia!C17</f>
        <v>367101599.15367335</v>
      </c>
      <c r="EE17" s="7">
        <f t="shared" si="36"/>
        <v>6.409481591889519E-3</v>
      </c>
      <c r="EF17" s="5">
        <f t="shared" si="37"/>
        <v>6.3285127175430556E-2</v>
      </c>
      <c r="EM17" s="3">
        <f t="shared" si="38"/>
        <v>2000</v>
      </c>
      <c r="EN17" s="3">
        <v>1750</v>
      </c>
      <c r="EO17" s="4">
        <f>Ocaun!C17 + 'Dual Cenryia'!C17 + Byllu!C17 + Exilium!C17 + Inrea!C17 + Amcha!C17 + Isnti!C17 + Galca!C17 + Otiiric!C17 + Taing!C17 + 'Cruthi Anoso'!C17</f>
        <v>229473838.97477716</v>
      </c>
      <c r="EP17" s="7">
        <f t="shared" si="39"/>
        <v>1.7540445539191402E-2</v>
      </c>
      <c r="EQ17" s="5">
        <f t="shared" si="40"/>
        <v>3.9559296708140561E-2</v>
      </c>
      <c r="EX17" s="3">
        <f t="shared" si="41"/>
        <v>2000</v>
      </c>
      <c r="EY17" s="3">
        <v>1750</v>
      </c>
      <c r="EZ17" s="4">
        <f>Sivoso!C17 + Taoisia!C17 + Seytinemas!C17 + Trian!C17 + 'Chaenia'!C17</f>
        <v>128515596.39587691</v>
      </c>
      <c r="FA17" s="7">
        <f t="shared" si="42"/>
        <v>1.13690352301191E-2</v>
      </c>
      <c r="FB17" s="5">
        <f t="shared" si="43"/>
        <v>2.2154972576228813E-2</v>
      </c>
      <c r="FI17" s="3">
        <f t="shared" si="44"/>
        <v>2000</v>
      </c>
      <c r="FJ17" s="3">
        <v>1750</v>
      </c>
      <c r="FK17" s="4">
        <f>Migoku!C17 + 'Welenu Fana'!C17 + Haiza!C17 + Ucrua!C17 + Ihner!C17 + Oscairia!C17 + Shinam!C17 + 'Ruylku'!C17 + Taval!C17 + 'Western Migoku'!C17 + 'Pruim Fijan'!C17 + 'Canldives'!C17</f>
        <v>145835440.12557882</v>
      </c>
      <c r="FL17" s="7">
        <f t="shared" si="45"/>
        <v>2.4907156674382331E-2</v>
      </c>
      <c r="FM17" s="5">
        <f t="shared" si="46"/>
        <v>2.5140763201003325E-2</v>
      </c>
      <c r="FT17" s="3">
        <f t="shared" si="47"/>
        <v>2000</v>
      </c>
      <c r="FU17" s="3">
        <v>1750</v>
      </c>
      <c r="FV17" s="4">
        <f>Vesozata!C17 + Etretes!C17 + Kusierna!C17 + Eparia!C17</f>
        <v>111927773.73620217</v>
      </c>
      <c r="FW17" s="7">
        <f t="shared" si="48"/>
        <v>2.3029363152892876E-2</v>
      </c>
      <c r="FX17" s="5">
        <f t="shared" si="49"/>
        <v>1.9295376025842876E-2</v>
      </c>
      <c r="GE17" s="3">
        <f t="shared" si="50"/>
        <v>2000</v>
      </c>
      <c r="GF17" s="3">
        <v>1750</v>
      </c>
      <c r="GG17" s="4">
        <f>Dahe!C17 + Kaastini!C17 + Suenan!C17 + Oyreain!C17 + Sanagara!C17 + 'North Ayre'!C17 + Stinebar!C17 + 'Cloja'!C17 + 'Pha Hii'!C17 + 'Prystr Hii'!C17</f>
        <v>978500497.32459795</v>
      </c>
      <c r="GH17" s="7">
        <f t="shared" si="51"/>
        <v>4.9143820956525884E-3</v>
      </c>
      <c r="GI17" s="5">
        <f t="shared" si="52"/>
        <v>0.16868498681883115</v>
      </c>
      <c r="GP17" s="3">
        <f t="shared" si="53"/>
        <v>2000</v>
      </c>
      <c r="GQ17" s="3">
        <v>1750</v>
      </c>
      <c r="GR17" s="4">
        <f>Maalle!C17 + 'United Delet'!C17 + Ohtina!C17 + Astye!C17 + Prstreula!C17 + Veelmit!C17 + Aplasia!C17 + 'Elja and Munusia'!C17 + Walporein!C17 + 'Crila Republic'!C17 + 'Niretui and Anulan'!C17 + 'Rethern'!C17 + Tvecoca!C17</f>
        <v>165056966.3828668</v>
      </c>
      <c r="GS17" s="7">
        <f t="shared" si="54"/>
        <v>1.5604351117569392E-2</v>
      </c>
      <c r="GT17" s="5">
        <f t="shared" si="55"/>
        <v>2.8454387376171061E-2</v>
      </c>
      <c r="HA17" s="3">
        <f t="shared" si="56"/>
        <v>2000</v>
      </c>
      <c r="HB17" s="3">
        <v>1750</v>
      </c>
      <c r="HC17" s="4">
        <f>Andsaudare!C17 + Nia!C17 + Umarcia!C17 + Mendereide!C17 + Iainoa!C17 + Isari!C17 + 'Rkmepuia'!C17 + Hiwush!C17 + Isuibul!C17 + Yutnitu!C17</f>
        <v>58054670.020943962</v>
      </c>
      <c r="HD17" s="7">
        <f t="shared" si="57"/>
        <v>1.7025956636320397E-2</v>
      </c>
      <c r="HE17" s="5">
        <f t="shared" si="58"/>
        <v>1.000812086864572E-2</v>
      </c>
      <c r="HL17" s="3">
        <f t="shared" si="59"/>
        <v>2000</v>
      </c>
      <c r="HM17" s="3">
        <v>1750</v>
      </c>
      <c r="HN17" s="4">
        <f>Zhanshe!C17 + Volver!C17 + Finae!C17 + Myla!C17 + 'Nheyes Si'!C17 + Onphello!C17 + Hyelen!C17</f>
        <v>102966144.18141685</v>
      </c>
      <c r="HO17" s="7">
        <f t="shared" si="60"/>
        <v>1.5301754739460195E-2</v>
      </c>
      <c r="HP17" s="5">
        <f t="shared" si="61"/>
        <v>1.7750468928240518E-2</v>
      </c>
      <c r="HW17" s="3">
        <f t="shared" si="62"/>
        <v>2000</v>
      </c>
      <c r="HX17" s="3">
        <v>1750</v>
      </c>
      <c r="HY17" s="4">
        <f>Yihnurda!C17 + Ztesh!C17 + Wundry!C17 + Anymna!C17 + Shomjind!C17 + Baluyde!C17 + Letan!C17</f>
        <v>454327388.95012975</v>
      </c>
      <c r="HZ17" s="7">
        <f t="shared" si="63"/>
        <v>2.1601806068254133E-2</v>
      </c>
      <c r="IA17" s="5">
        <f t="shared" si="64"/>
        <v>7.8322095723026924E-2</v>
      </c>
      <c r="IH17" s="3">
        <f t="shared" si="65"/>
        <v>2000</v>
      </c>
      <c r="II17" s="3">
        <v>1750</v>
      </c>
      <c r="IJ17" s="4">
        <f>Iareva!C17 + 'United Mihili'!C17 + 'Mesjan Hyaa'!C17 + Desaki!C17 + 'Far Lands'!C17</f>
        <v>58350151.708524778</v>
      </c>
      <c r="IK17" s="7">
        <f t="shared" si="66"/>
        <v>2.0684435422342405E-2</v>
      </c>
      <c r="IL17" s="5">
        <f t="shared" si="67"/>
        <v>1.0059059345131995E-2</v>
      </c>
      <c r="IS17" s="3">
        <f t="shared" si="68"/>
        <v>2000</v>
      </c>
      <c r="IT17" s="3">
        <v>1750</v>
      </c>
      <c r="IU17" s="4">
        <f>Verste!C17 + Quidic!C17 + Erkizil!C17 + Ashain!C17 + Ahokini!C17</f>
        <v>316755673.51127625</v>
      </c>
      <c r="IV17" s="7">
        <f t="shared" si="69"/>
        <v>1.5041916401357094E-2</v>
      </c>
      <c r="IW17" s="5">
        <f t="shared" si="70"/>
        <v>5.4605926882134885E-2</v>
      </c>
    </row>
    <row r="18" spans="1:257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5732653302.6653147</v>
      </c>
      <c r="D18" s="5">
        <f t="shared" si="1"/>
        <v>1.1971402545189469E-2</v>
      </c>
      <c r="K18" s="3">
        <f t="shared" si="2"/>
        <v>1999</v>
      </c>
      <c r="L18" s="3">
        <v>1749</v>
      </c>
      <c r="M18" s="4">
        <f>Eldavpir!C18 + Iquir!C18 + Viussi!C18 + Umendel!C18 + 'Reerica'!C18 + Saa!C18 + Sattle!C18</f>
        <v>73435314.490392894</v>
      </c>
      <c r="N18" s="5">
        <f t="shared" si="3"/>
        <v>2.8182679718440327E-2</v>
      </c>
      <c r="O18" s="5">
        <f t="shared" si="4"/>
        <v>1.2810004480168058E-2</v>
      </c>
      <c r="V18" s="3">
        <f t="shared" si="5"/>
        <v>1999</v>
      </c>
      <c r="W18" s="3">
        <v>1749</v>
      </c>
      <c r="X18" s="4">
        <f>'Areoix Lie'!C18 + Jau!C18 + Terressin!C18 + Acetoa!C18 + 'Feio Lie'!C18</f>
        <v>621009736.73626411</v>
      </c>
      <c r="Y18" s="5">
        <f t="shared" si="6"/>
        <v>1.0690620068327864E-2</v>
      </c>
      <c r="Z18" s="5">
        <f t="shared" si="7"/>
        <v>0.10832850059980682</v>
      </c>
      <c r="AG18" s="3">
        <f t="shared" si="8"/>
        <v>1999</v>
      </c>
      <c r="AH18" s="3">
        <v>1749</v>
      </c>
      <c r="AI18" s="4">
        <f>Taniduna!C18 + Jathua!C18 + Deschon!C18 + Pelines!C18 + 'Candenat'!C18 + Othya!C18 + Yoprioq!C18 + Jshain!C18 + 'Fire Coast'!C18 + 'Rijan bu'!C18 + 'Rinew'!C18 + Enina!C18 + Trevilla!C18</f>
        <v>153008044.60607496</v>
      </c>
      <c r="AJ18" s="5">
        <f t="shared" si="9"/>
        <v>2.6214811496022485E-2</v>
      </c>
      <c r="AK18" s="5">
        <f t="shared" si="10"/>
        <v>2.6690615414495078E-2</v>
      </c>
      <c r="AR18" s="3">
        <f t="shared" si="11"/>
        <v>1999</v>
      </c>
      <c r="AS18" s="3">
        <v>1749</v>
      </c>
      <c r="AT18" s="4">
        <f>Gaeiya!C18 + 'Raledria'!C18 + Arbiya!C18 + Fincen!C18 + 'Curata'!C18</f>
        <v>260770529.78022817</v>
      </c>
      <c r="AU18" s="5">
        <f t="shared" si="12"/>
        <v>1.0510146987952594E-2</v>
      </c>
      <c r="AV18" s="5">
        <f t="shared" si="13"/>
        <v>4.548862734451195E-2</v>
      </c>
      <c r="BC18" s="3">
        <f t="shared" si="14"/>
        <v>1999</v>
      </c>
      <c r="BD18" s="3">
        <v>1749</v>
      </c>
      <c r="BE18" s="4">
        <f>Etirha!C18 + Laselteh!C18 + Grazail!C18 + 'Disal Nila'!C18 + Pelan!C18 + Peka!C18 + Guise!C18</f>
        <v>97046123.173243433</v>
      </c>
      <c r="BF18" s="5">
        <f t="shared" si="15"/>
        <v>1.1804019807023407E-2</v>
      </c>
      <c r="BG18" s="5">
        <f t="shared" si="16"/>
        <v>1.6928657298728188E-2</v>
      </c>
      <c r="BN18" s="3">
        <f t="shared" si="17"/>
        <v>1999</v>
      </c>
      <c r="BO18" s="3">
        <v>1749</v>
      </c>
      <c r="BP18" s="4">
        <f>Genaire!C18 + 'New Misos'!C18 + Phuris!C18 + Lasri!C18 + Slyiaduun!C18 + Aetintio!C18 + Metndria!C18 + Tomscilus!C18</f>
        <v>86335128.41725941</v>
      </c>
      <c r="BQ18" s="5">
        <f t="shared" si="18"/>
        <v>1.3994297075750946E-2</v>
      </c>
      <c r="BR18" s="5">
        <f t="shared" si="19"/>
        <v>1.5060238925859887E-2</v>
      </c>
      <c r="BY18" s="3">
        <f t="shared" si="20"/>
        <v>1999</v>
      </c>
      <c r="BZ18" s="3">
        <v>1749</v>
      </c>
      <c r="CA18" s="4">
        <f>Ealdorii!C18 + Ukhdari!C18 + Hkuqo!C18 + Acrana!C18 + Zenashan!C18</f>
        <v>240682514.73296413</v>
      </c>
      <c r="CB18" s="6">
        <f t="shared" si="21"/>
        <v>3.2689432502889955E-3</v>
      </c>
      <c r="CC18" s="5">
        <f t="shared" si="22"/>
        <v>4.1984488163807544E-2</v>
      </c>
      <c r="CJ18" s="3">
        <f t="shared" si="23"/>
        <v>1999</v>
      </c>
      <c r="CK18" s="3">
        <v>1749</v>
      </c>
      <c r="CL18" s="4">
        <f>Estijan!C18 + Ikzen!C18 + Urbiqu!C18 + Danocia!C18 + Koruch!C18 + 'New Kizura'!C18 + Lydroa!C18 + Fermori!C18 + Uularin!C18 + 'Niul Spijan'!C18</f>
        <v>254213962.502918</v>
      </c>
      <c r="CM18" s="6">
        <f t="shared" si="24"/>
        <v>9.4135751979653338E-3</v>
      </c>
      <c r="CN18" s="5">
        <f t="shared" si="25"/>
        <v>4.4344904371719965E-2</v>
      </c>
      <c r="CU18" s="3">
        <f t="shared" si="26"/>
        <v>1999</v>
      </c>
      <c r="CV18" s="3">
        <v>1749</v>
      </c>
      <c r="CW18" s="4">
        <f>Praesyu!C18 + Lycroa!C18 + Emara!C18 + Eldjo!C18 + Easuhura!C18 + Ilicuhe!C18 + Tonder!C18</f>
        <v>230787890.21064234</v>
      </c>
      <c r="CX18" s="6">
        <f t="shared" si="27"/>
        <v>2.7624906727703024E-3</v>
      </c>
      <c r="CY18" s="5">
        <f t="shared" si="28"/>
        <v>4.025847683887334E-2</v>
      </c>
      <c r="DF18" s="3">
        <f t="shared" si="29"/>
        <v>1999</v>
      </c>
      <c r="DG18" s="3">
        <v>1749</v>
      </c>
      <c r="DH18" s="4">
        <f>Verusa!C18 + Darewa!C18 + Siana!C18 + Yaxuto!C18 + 'Merela Sta'!C18 + Palina!C18</f>
        <v>164386567.83295363</v>
      </c>
      <c r="DI18" s="6">
        <f t="shared" si="30"/>
        <v>2.0020320629909986E-3</v>
      </c>
      <c r="DJ18" s="5">
        <f t="shared" si="31"/>
        <v>2.8675476983149227E-2</v>
      </c>
      <c r="DQ18" s="3">
        <f t="shared" si="32"/>
        <v>1999</v>
      </c>
      <c r="DR18" s="3">
        <v>1749</v>
      </c>
      <c r="DS18" s="4">
        <f>Sunsokua!C18 + Vayvele!C18 + Selaja!C18 + Sadain!C18</f>
        <v>169471281.20611048</v>
      </c>
      <c r="DT18" s="6">
        <f t="shared" si="33"/>
        <v>1.2200270107946424E-2</v>
      </c>
      <c r="DU18" s="5">
        <f t="shared" si="34"/>
        <v>2.9562450798710824E-2</v>
      </c>
      <c r="EB18" s="3">
        <f t="shared" si="35"/>
        <v>1999</v>
      </c>
      <c r="EC18" s="3">
        <v>1749</v>
      </c>
      <c r="ED18" s="4">
        <f>Pelugrotoa!C18 + Lieri!C18 + 'Rtesania'!C18 + Ozinia!C18</f>
        <v>364763653.23288679</v>
      </c>
      <c r="EE18" s="6">
        <f t="shared" si="36"/>
        <v>8.867260054150972E-3</v>
      </c>
      <c r="EF18" s="5">
        <f t="shared" si="37"/>
        <v>6.3629114473623447E-2</v>
      </c>
      <c r="EM18" s="3">
        <f t="shared" si="38"/>
        <v>1999</v>
      </c>
      <c r="EN18" s="3">
        <v>1749</v>
      </c>
      <c r="EO18" s="4">
        <f>Ocaun!C18 + 'Dual Cenryia'!C18 + Byllu!C18 + Exilium!C18 + Inrea!C18 + Amcha!C18 + Isnti!C18 + Galca!C18 + Otiiric!C18 + Taing!C18 + 'Cruthi Anoso'!C18</f>
        <v>225518150.14407581</v>
      </c>
      <c r="EP18" s="6">
        <f t="shared" si="39"/>
        <v>1.7454420423939947E-2</v>
      </c>
      <c r="EQ18" s="5">
        <f t="shared" si="40"/>
        <v>3.9339227097376424E-2</v>
      </c>
      <c r="EX18" s="3">
        <f t="shared" si="41"/>
        <v>1999</v>
      </c>
      <c r="EY18" s="3">
        <v>1749</v>
      </c>
      <c r="EZ18" s="4">
        <f>Sivoso!C18 + Taoisia!C18 + Seytinemas!C18 + Trian!C18 + 'Chaenia'!C18</f>
        <v>127070922.6001125</v>
      </c>
      <c r="FA18" s="6">
        <f t="shared" si="42"/>
        <v>1.217711149447624E-2</v>
      </c>
      <c r="FB18" s="5">
        <f t="shared" si="43"/>
        <v>2.2166162140144198E-2</v>
      </c>
      <c r="FI18" s="3">
        <f t="shared" si="44"/>
        <v>1999</v>
      </c>
      <c r="FJ18" s="3">
        <v>1749</v>
      </c>
      <c r="FK18" s="4">
        <f>Migoku!C18 + 'Welenu Fana'!C18 + Haiza!C18 + Ucrua!C18 + Ihner!C18 + Oscairia!C18 + Shinam!C18 + 'Ruylku'!C18 + Taval!C18 + 'Western Migoku'!C18 + 'Pruim Fijan'!C18 + 'Canldives'!C18</f>
        <v>142291366.76026881</v>
      </c>
      <c r="FL18" s="6">
        <f t="shared" si="45"/>
        <v>2.2493482500474286E-2</v>
      </c>
      <c r="FM18" s="5">
        <f t="shared" si="46"/>
        <v>2.4821205687445374E-2</v>
      </c>
      <c r="FT18" s="3">
        <f t="shared" si="47"/>
        <v>1999</v>
      </c>
      <c r="FU18" s="3">
        <v>1749</v>
      </c>
      <c r="FV18" s="4">
        <f>Vesozata!C18 + Etretes!C18 + Kusierna!C18 + Eparia!C18</f>
        <v>109408173.18405204</v>
      </c>
      <c r="FW18" s="6">
        <f t="shared" si="48"/>
        <v>2.3231900117321118E-2</v>
      </c>
      <c r="FX18" s="5">
        <f t="shared" si="49"/>
        <v>1.9085084586082379E-2</v>
      </c>
      <c r="GE18" s="3">
        <f t="shared" si="50"/>
        <v>1999</v>
      </c>
      <c r="GF18" s="3">
        <v>1749</v>
      </c>
      <c r="GG18" s="4">
        <f>Dahe!C18 + Kaastini!C18 + Suenan!C18 + Oyreain!C18 + Sanagara!C18 + 'North Ayre'!C18 + Stinebar!C18 + 'Cloja'!C18 + 'Pha Hii'!C18 + 'Prystr Hii'!C18</f>
        <v>973715288.34529066</v>
      </c>
      <c r="GH18" s="6">
        <f t="shared" si="51"/>
        <v>5.1095955331350263E-3</v>
      </c>
      <c r="GI18" s="5">
        <f t="shared" si="52"/>
        <v>0.16985420832838011</v>
      </c>
      <c r="GP18" s="3">
        <f t="shared" si="53"/>
        <v>1999</v>
      </c>
      <c r="GQ18" s="3">
        <v>1749</v>
      </c>
      <c r="GR18" s="4">
        <f>Maalle!C18 + 'United Delet'!C18 + Ohtina!C18 + Astye!C18 + Prstreula!C18 + Veelmit!C18 + Aplasia!C18 + 'Elja and Munusia'!C18 + Walporein!C18 + 'Crila Republic'!C18 + 'Niretui and Anulan'!C18 + 'Rethern'!C18 + Tvecoca!C18</f>
        <v>162520932.68529066</v>
      </c>
      <c r="GS18" s="6">
        <f t="shared" si="54"/>
        <v>1.6162867268451817E-2</v>
      </c>
      <c r="GT18" s="5">
        <f t="shared" si="55"/>
        <v>2.8350036903457759E-2</v>
      </c>
      <c r="HA18" s="3">
        <f t="shared" si="56"/>
        <v>1999</v>
      </c>
      <c r="HB18" s="3">
        <v>1749</v>
      </c>
      <c r="HC18" s="4">
        <f>Andsaudare!C18 + Nia!C18 + Umarcia!C18 + Mendereide!C18 + Iainoa!C18 + Isari!C18 + 'Rkmepuia'!C18 + Hiwush!C18 + Isuibul!C18 + Yutnitu!C18</f>
        <v>57082781.065836459</v>
      </c>
      <c r="HD18" s="6">
        <f t="shared" si="57"/>
        <v>1.7556744056940292E-2</v>
      </c>
      <c r="HE18" s="5">
        <f t="shared" si="58"/>
        <v>9.9574800798256265E-3</v>
      </c>
      <c r="HL18" s="3">
        <f t="shared" si="59"/>
        <v>1999</v>
      </c>
      <c r="HM18" s="3">
        <v>1749</v>
      </c>
      <c r="HN18" s="4">
        <f>Zhanshe!C18 + Volver!C18 + Finae!C18 + Myla!C18 + 'Nheyes Si'!C18 + Onphello!C18 + Hyelen!C18</f>
        <v>101414327.0222549</v>
      </c>
      <c r="HO18" s="6">
        <f t="shared" si="60"/>
        <v>1.6214106034626963E-2</v>
      </c>
      <c r="HP18" s="5">
        <f t="shared" si="61"/>
        <v>1.7690643698111616E-2</v>
      </c>
      <c r="HW18" s="3">
        <f t="shared" si="62"/>
        <v>1999</v>
      </c>
      <c r="HX18" s="3">
        <v>1749</v>
      </c>
      <c r="HY18" s="4">
        <f>Yihnurda!C18 + Ztesh!C18 + Wundry!C18 + Anymna!C18 + Shomjind!C18 + Baluyde!C18 + Letan!C18</f>
        <v>444720620.3546744</v>
      </c>
      <c r="HZ18" s="6">
        <f t="shared" si="63"/>
        <v>2.1801907168262101E-2</v>
      </c>
      <c r="IA18" s="5">
        <f t="shared" si="64"/>
        <v>7.7576751440368449E-2</v>
      </c>
      <c r="IH18" s="3">
        <f t="shared" si="65"/>
        <v>1999</v>
      </c>
      <c r="II18" s="3">
        <v>1749</v>
      </c>
      <c r="IJ18" s="4">
        <f>Iareva!C18 + 'United Mihili'!C18 + 'Mesjan Hyaa'!C18 + Desaki!C18 + 'Far Lands'!C18</f>
        <v>57167670.715367034</v>
      </c>
      <c r="IK18" s="6">
        <f t="shared" si="66"/>
        <v>2.0231801983744205E-2</v>
      </c>
      <c r="IL18" s="5">
        <f t="shared" si="67"/>
        <v>9.9722881704337064E-3</v>
      </c>
      <c r="IS18" s="3">
        <f t="shared" si="68"/>
        <v>1999</v>
      </c>
      <c r="IT18" s="3">
        <v>1749</v>
      </c>
      <c r="IU18" s="4">
        <f>Verste!C18 + Quidic!C18 + Erkizil!C18 + Ashain!C18 + Ahokini!C18</f>
        <v>312061667.98931295</v>
      </c>
      <c r="IV18" s="6">
        <f t="shared" si="69"/>
        <v>1.5897166699688152E-2</v>
      </c>
      <c r="IW18" s="5">
        <f t="shared" si="70"/>
        <v>5.4435817328116524E-2</v>
      </c>
    </row>
    <row r="19" spans="1:257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5664837255.5264215</v>
      </c>
      <c r="D19" s="5">
        <f t="shared" si="1"/>
        <v>1.2046776098881027E-2</v>
      </c>
      <c r="K19" s="3">
        <f t="shared" si="2"/>
        <v>1998</v>
      </c>
      <c r="L19" s="3">
        <v>1748</v>
      </c>
      <c r="M19" s="4">
        <f>Eldavpir!C19 + Iquir!C19 + Viussi!C19 + Umendel!C19 + 'Reerica'!C19 + Saa!C19 + Sattle!C19</f>
        <v>71422438.77372314</v>
      </c>
      <c r="N19" s="5">
        <f t="shared" si="3"/>
        <v>2.7937304543331872E-2</v>
      </c>
      <c r="O19" s="5">
        <f t="shared" si="4"/>
        <v>1.260803012549846E-2</v>
      </c>
      <c r="V19" s="3">
        <f t="shared" si="5"/>
        <v>1998</v>
      </c>
      <c r="W19" s="3">
        <v>1748</v>
      </c>
      <c r="X19" s="4">
        <f>'Areoix Lie'!C19 + Jau!C19 + Terressin!C19 + Acetoa!C19 + 'Feio Lie'!C19</f>
        <v>614440981.64706492</v>
      </c>
      <c r="Y19" s="5">
        <f t="shared" si="6"/>
        <v>1.0737046337050296E-2</v>
      </c>
      <c r="Z19" s="5">
        <f t="shared" si="7"/>
        <v>0.1084657782617916</v>
      </c>
      <c r="AG19" s="3">
        <f t="shared" si="8"/>
        <v>1998</v>
      </c>
      <c r="AH19" s="3">
        <v>1748</v>
      </c>
      <c r="AI19" s="4">
        <f>Taniduna!C19 + Jathua!C19 + Deschon!C19 + Pelines!C19 + 'Candenat'!C19 + Othya!C19 + Yoprioq!C19 + Jshain!C19 + 'Fire Coast'!C19 + 'Rijan bu'!C19 + 'Rinew'!C19 + Enina!C19 + Trevilla!C19</f>
        <v>149099431.12496969</v>
      </c>
      <c r="AJ19" s="5">
        <f t="shared" si="9"/>
        <v>2.6387176230310221E-2</v>
      </c>
      <c r="AK19" s="5">
        <f t="shared" si="10"/>
        <v>2.6320161444975915E-2</v>
      </c>
      <c r="AR19" s="3">
        <f t="shared" si="11"/>
        <v>1998</v>
      </c>
      <c r="AS19" s="3">
        <v>1748</v>
      </c>
      <c r="AT19" s="4">
        <f>Gaeiya!C19 + 'Raledria'!C19 + Arbiya!C19 + Fincen!C19 + 'Curata'!C19</f>
        <v>258058299.12496376</v>
      </c>
      <c r="AU19" s="5">
        <f t="shared" si="12"/>
        <v>9.742479348156103E-3</v>
      </c>
      <c r="AV19" s="5">
        <f t="shared" si="13"/>
        <v>4.5554406505360925E-2</v>
      </c>
      <c r="BC19" s="3">
        <f t="shared" si="14"/>
        <v>1998</v>
      </c>
      <c r="BD19" s="3">
        <v>1748</v>
      </c>
      <c r="BE19" s="4">
        <f>Etirha!C19 + Laselteh!C19 + Grazail!C19 + 'Disal Nila'!C19 + Pelan!C19 + Peka!C19 + Guise!C19</f>
        <v>95913952.972585127</v>
      </c>
      <c r="BF19" s="5">
        <f t="shared" si="15"/>
        <v>1.0534488794307264E-2</v>
      </c>
      <c r="BG19" s="5">
        <f t="shared" si="16"/>
        <v>1.6931457806491221E-2</v>
      </c>
      <c r="BN19" s="3">
        <f t="shared" si="17"/>
        <v>1998</v>
      </c>
      <c r="BO19" s="3">
        <v>1748</v>
      </c>
      <c r="BP19" s="4">
        <f>Genaire!C19 + 'New Misos'!C19 + Phuris!C19 + Lasri!C19 + Slyiaduun!C19 + Aetintio!C19 + Metndria!C19 + Tomscilus!C19</f>
        <v>85143603.53528665</v>
      </c>
      <c r="BQ19" s="5">
        <f t="shared" si="18"/>
        <v>1.3834989802771447E-2</v>
      </c>
      <c r="BR19" s="5">
        <f t="shared" si="19"/>
        <v>1.5030194107028135E-2</v>
      </c>
      <c r="BY19" s="3">
        <f t="shared" si="20"/>
        <v>1998</v>
      </c>
      <c r="BZ19" s="3">
        <v>1748</v>
      </c>
      <c r="CA19" s="4">
        <f>Ealdorii!C19 + Ukhdari!C19 + Hkuqo!C19 + Acrana!C19 + Zenashan!C19</f>
        <v>239898300.80180228</v>
      </c>
      <c r="CB19" s="7">
        <f t="shared" si="21"/>
        <v>3.5221292917565249E-3</v>
      </c>
      <c r="CC19" s="5">
        <f t="shared" si="22"/>
        <v>4.2348665986435129E-2</v>
      </c>
      <c r="CJ19" s="3">
        <f t="shared" si="23"/>
        <v>1998</v>
      </c>
      <c r="CK19" s="3">
        <v>1748</v>
      </c>
      <c r="CL19" s="4">
        <f>Estijan!C19 + Ikzen!C19 + Urbiqu!C19 + Danocia!C19 + Koruch!C19 + 'New Kizura'!C19 + Lydroa!C19 + Fermori!C19 + Uularin!C19 + 'Niul Spijan'!C19</f>
        <v>251843217.43747282</v>
      </c>
      <c r="CM19" s="7">
        <f t="shared" si="24"/>
        <v>8.2021099845924379E-3</v>
      </c>
      <c r="CN19" s="5">
        <f t="shared" si="25"/>
        <v>4.445727318852509E-2</v>
      </c>
      <c r="CU19" s="3">
        <f t="shared" si="26"/>
        <v>1998</v>
      </c>
      <c r="CV19" s="3">
        <v>1748</v>
      </c>
      <c r="CW19" s="4">
        <f>Praesyu!C19 + Lycroa!C19 + Emara!C19 + Eldjo!C19 + Easuhura!C19 + Ilicuhe!C19 + Tonder!C19</f>
        <v>230152097.18883964</v>
      </c>
      <c r="CX19" s="7">
        <f t="shared" si="27"/>
        <v>3.2524825650380833E-3</v>
      </c>
      <c r="CY19" s="5">
        <f t="shared" si="28"/>
        <v>4.0628192268773677E-2</v>
      </c>
      <c r="DF19" s="3">
        <f t="shared" si="29"/>
        <v>1998</v>
      </c>
      <c r="DG19" s="3">
        <v>1748</v>
      </c>
      <c r="DH19" s="4">
        <f>Verusa!C19 + Darewa!C19 + Siana!C19 + Yaxuto!C19 + 'Merela Sta'!C19 + Palina!C19</f>
        <v>164058118.22008306</v>
      </c>
      <c r="DI19" s="7">
        <f t="shared" si="30"/>
        <v>2.3523610402285894E-3</v>
      </c>
      <c r="DJ19" s="5">
        <f t="shared" si="31"/>
        <v>2.8960782246662702E-2</v>
      </c>
      <c r="DQ19" s="3">
        <f t="shared" si="32"/>
        <v>1998</v>
      </c>
      <c r="DR19" s="3">
        <v>1748</v>
      </c>
      <c r="DS19" s="4">
        <f>Sunsokua!C19 + Vayvele!C19 + Selaja!C19 + Sadain!C19</f>
        <v>167428606.97719154</v>
      </c>
      <c r="DT19" s="7">
        <f t="shared" si="33"/>
        <v>1.2521588422803143E-2</v>
      </c>
      <c r="DU19" s="5">
        <f t="shared" si="34"/>
        <v>2.9555766463344364E-2</v>
      </c>
      <c r="EB19" s="3">
        <f t="shared" si="35"/>
        <v>1998</v>
      </c>
      <c r="EC19" s="3">
        <v>1748</v>
      </c>
      <c r="ED19" s="4">
        <f>Pelugrotoa!C19 + Lieri!C19 + 'Rtesania'!C19 + Ozinia!C19</f>
        <v>361557627.72330236</v>
      </c>
      <c r="EE19" s="7">
        <f t="shared" si="36"/>
        <v>8.3995474037790313E-3</v>
      </c>
      <c r="EF19" s="5">
        <f t="shared" si="37"/>
        <v>6.3824892298640898E-2</v>
      </c>
      <c r="EM19" s="3">
        <f t="shared" si="38"/>
        <v>1998</v>
      </c>
      <c r="EN19" s="3">
        <v>1748</v>
      </c>
      <c r="EO19" s="4">
        <f>Ocaun!C19 + 'Dual Cenryia'!C19 + Byllu!C19 + Exilium!C19 + Inrea!C19 + Amcha!C19 + Isnti!C19 + Galca!C19 + Otiiric!C19 + Taing!C19 + 'Cruthi Anoso'!C19</f>
        <v>221649388.5299646</v>
      </c>
      <c r="EP19" s="7">
        <f t="shared" si="39"/>
        <v>1.7799986930757444E-2</v>
      </c>
      <c r="EQ19" s="5">
        <f t="shared" si="40"/>
        <v>3.9127229703506669E-2</v>
      </c>
      <c r="EX19" s="3">
        <f t="shared" si="41"/>
        <v>1998</v>
      </c>
      <c r="EY19" s="3">
        <v>1748</v>
      </c>
      <c r="EZ19" s="4">
        <f>Sivoso!C19 + Taoisia!C19 + Seytinemas!C19 + Trian!C19 + 'Chaenia'!C19</f>
        <v>125542181.45922376</v>
      </c>
      <c r="FA19" s="7">
        <f t="shared" si="42"/>
        <v>1.3115296824606486E-2</v>
      </c>
      <c r="FB19" s="5">
        <f t="shared" si="43"/>
        <v>2.2161657219145901E-2</v>
      </c>
      <c r="FI19" s="3">
        <f t="shared" si="44"/>
        <v>1998</v>
      </c>
      <c r="FJ19" s="3">
        <v>1748</v>
      </c>
      <c r="FK19" s="4">
        <f>Migoku!C19 + 'Welenu Fana'!C19 + Haiza!C19 + Ucrua!C19 + Ihner!C19 + Oscairia!C19 + Shinam!C19 + 'Ruylku'!C19 + Taval!C19 + 'Western Migoku'!C19 + 'Pruim Fijan'!C19 + 'Canldives'!C19</f>
        <v>139161147.91489911</v>
      </c>
      <c r="FL19" s="7">
        <f t="shared" si="45"/>
        <v>2.1348597156131195E-2</v>
      </c>
      <c r="FM19" s="5">
        <f t="shared" si="46"/>
        <v>2.4565780381270132E-2</v>
      </c>
      <c r="FT19" s="3">
        <f t="shared" si="47"/>
        <v>1998</v>
      </c>
      <c r="FU19" s="3">
        <v>1748</v>
      </c>
      <c r="FV19" s="4">
        <f>Vesozata!C19 + Etretes!C19 + Kusierna!C19 + Eparia!C19</f>
        <v>106924122.64659417</v>
      </c>
      <c r="FW19" s="7">
        <f t="shared" si="48"/>
        <v>2.3749074750118861E-2</v>
      </c>
      <c r="FX19" s="5">
        <f t="shared" si="49"/>
        <v>1.887505639147579E-2</v>
      </c>
      <c r="GE19" s="3">
        <f t="shared" si="50"/>
        <v>1998</v>
      </c>
      <c r="GF19" s="3">
        <v>1748</v>
      </c>
      <c r="GG19" s="4">
        <f>Dahe!C19 + Kaastini!C19 + Suenan!C19 + Oyreain!C19 + Sanagara!C19 + 'North Ayre'!C19 + Stinebar!C19 + 'Cloja'!C19 + 'Pha Hii'!C19 + 'Prystr Hii'!C19</f>
        <v>968765289.54915404</v>
      </c>
      <c r="GH19" s="7">
        <f t="shared" si="51"/>
        <v>5.4164528933408843E-3</v>
      </c>
      <c r="GI19" s="5">
        <f t="shared" si="52"/>
        <v>0.1710137901321101</v>
      </c>
      <c r="GP19" s="3">
        <f t="shared" si="53"/>
        <v>1998</v>
      </c>
      <c r="GQ19" s="3">
        <v>1748</v>
      </c>
      <c r="GR19" s="4">
        <f>Maalle!C19 + 'United Delet'!C19 + Ohtina!C19 + Astye!C19 + Prstreula!C19 + Veelmit!C19 + Aplasia!C19 + 'Elja and Munusia'!C19 + Walporein!C19 + 'Crila Republic'!C19 + 'Niretui and Anulan'!C19 + 'Rethern'!C19 + Tvecoca!C19</f>
        <v>159935909.80367479</v>
      </c>
      <c r="GS19" s="7">
        <f t="shared" si="54"/>
        <v>1.6927232506568971E-2</v>
      </c>
      <c r="GT19" s="5">
        <f t="shared" si="55"/>
        <v>2.8233098779253857E-2</v>
      </c>
      <c r="HA19" s="3">
        <f t="shared" si="56"/>
        <v>1998</v>
      </c>
      <c r="HB19" s="3">
        <v>1748</v>
      </c>
      <c r="HC19" s="4">
        <f>Andsaudare!C19 + Nia!C19 + Umarcia!C19 + Mendereide!C19 + Iainoa!C19 + Isari!C19 + 'Rkmepuia'!C19 + Hiwush!C19 + Isuibul!C19 + Yutnitu!C19</f>
        <v>56097884.8592273</v>
      </c>
      <c r="HD19" s="7">
        <f t="shared" si="57"/>
        <v>1.696614459170288E-2</v>
      </c>
      <c r="HE19" s="5">
        <f t="shared" si="58"/>
        <v>9.9028237403466658E-3</v>
      </c>
      <c r="HL19" s="3">
        <f t="shared" si="59"/>
        <v>1998</v>
      </c>
      <c r="HM19" s="3">
        <v>1748</v>
      </c>
      <c r="HN19" s="4">
        <f>Zhanshe!C19 + Volver!C19 + Finae!C19 + Myla!C19 + 'Nheyes Si'!C19 + Onphello!C19 + Hyelen!C19</f>
        <v>99796220.520874426</v>
      </c>
      <c r="HO19" s="7">
        <f t="shared" si="60"/>
        <v>1.7272749738730199E-2</v>
      </c>
      <c r="HP19" s="5">
        <f t="shared" si="61"/>
        <v>1.7616785093608232E-2</v>
      </c>
      <c r="HW19" s="3">
        <f t="shared" si="62"/>
        <v>1998</v>
      </c>
      <c r="HX19" s="3">
        <v>1748</v>
      </c>
      <c r="HY19" s="4">
        <f>Yihnurda!C19 + Ztesh!C19 + Wundry!C19 + Anymna!C19 + Shomjind!C19 + Baluyde!C19 + Letan!C19</f>
        <v>435231738.39745182</v>
      </c>
      <c r="HZ19" s="7">
        <f t="shared" si="63"/>
        <v>2.2032453847902696E-2</v>
      </c>
      <c r="IA19" s="5">
        <f t="shared" si="64"/>
        <v>7.683040461098059E-2</v>
      </c>
      <c r="IH19" s="3">
        <f t="shared" si="65"/>
        <v>1998</v>
      </c>
      <c r="II19" s="3">
        <v>1748</v>
      </c>
      <c r="IJ19" s="4">
        <f>Iareva!C19 + 'United Mihili'!C19 + 'Mesjan Hyaa'!C19 + Desaki!C19 + 'Far Lands'!C19</f>
        <v>56034001.884875484</v>
      </c>
      <c r="IK19" s="7">
        <f t="shared" si="66"/>
        <v>2.2751631532259099E-2</v>
      </c>
      <c r="IL19" s="5">
        <f t="shared" si="67"/>
        <v>9.8915466336143426E-3</v>
      </c>
      <c r="IS19" s="3">
        <f t="shared" si="68"/>
        <v>1998</v>
      </c>
      <c r="IT19" s="3">
        <v>1748</v>
      </c>
      <c r="IU19" s="4">
        <f>Verste!C19 + Quidic!C19 + Erkizil!C19 + Ashain!C19 + Ahokini!C19</f>
        <v>307178401.73046005</v>
      </c>
      <c r="IV19" s="7">
        <f t="shared" si="69"/>
        <v>1.6128120776916204E-2</v>
      </c>
      <c r="IW19" s="5">
        <f t="shared" si="70"/>
        <v>5.4225459245239097E-2</v>
      </c>
    </row>
    <row r="20" spans="1:257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5597406552.0593529</v>
      </c>
      <c r="D20" s="5">
        <f t="shared" si="1"/>
        <v>1.2335749880559587E-2</v>
      </c>
      <c r="K20" s="3">
        <f t="shared" si="2"/>
        <v>1997</v>
      </c>
      <c r="L20" s="3">
        <v>1747</v>
      </c>
      <c r="M20" s="4">
        <f>Eldavpir!C20 + Iquir!C20 + Viussi!C20 + Umendel!C20 + 'Reerica'!C20 + Saa!C20 + Sattle!C20</f>
        <v>69481318.031796739</v>
      </c>
      <c r="N20" s="5">
        <f t="shared" si="3"/>
        <v>2.8307508865868629E-2</v>
      </c>
      <c r="O20" s="5">
        <f t="shared" si="4"/>
        <v>1.241312693397869E-2</v>
      </c>
      <c r="V20" s="3">
        <f t="shared" si="5"/>
        <v>1997</v>
      </c>
      <c r="W20" s="3">
        <v>1747</v>
      </c>
      <c r="X20" s="4">
        <f>'Areoix Lie'!C20 + Jau!C20 + Terressin!C20 + Acetoa!C20 + 'Feio Lie'!C20</f>
        <v>607913783.18804336</v>
      </c>
      <c r="Y20" s="5">
        <f t="shared" si="6"/>
        <v>1.0507358503316494E-2</v>
      </c>
      <c r="Z20" s="5">
        <f t="shared" si="7"/>
        <v>0.10860633000909763</v>
      </c>
      <c r="AG20" s="3">
        <f t="shared" si="8"/>
        <v>1997</v>
      </c>
      <c r="AH20" s="3">
        <v>1747</v>
      </c>
      <c r="AI20" s="4">
        <f>Taniduna!C20 + Jathua!C20 + Deschon!C20 + Pelines!C20 + 'Candenat'!C20 + Othya!C20 + Yoprioq!C20 + Jshain!C20 + 'Fire Coast'!C20 + 'Rijan bu'!C20 + 'Rinew'!C20 + Enina!C20 + Trevilla!C20</f>
        <v>145266264.60063389</v>
      </c>
      <c r="AJ20" s="5">
        <f t="shared" si="9"/>
        <v>2.6542811027803072E-2</v>
      </c>
      <c r="AK20" s="5">
        <f t="shared" si="10"/>
        <v>2.595242336778069E-2</v>
      </c>
      <c r="AR20" s="3">
        <f t="shared" si="11"/>
        <v>1997</v>
      </c>
      <c r="AS20" s="3">
        <v>1747</v>
      </c>
      <c r="AT20" s="4">
        <f>Gaeiya!C20 + 'Raledria'!C20 + Arbiya!C20 + Fincen!C20 + 'Curata'!C20</f>
        <v>255568428.98355082</v>
      </c>
      <c r="AU20" s="5">
        <f t="shared" si="12"/>
        <v>1.0494867985990194E-2</v>
      </c>
      <c r="AV20" s="5">
        <f t="shared" si="13"/>
        <v>4.5658364566983994E-2</v>
      </c>
      <c r="BC20" s="3">
        <f t="shared" si="14"/>
        <v>1997</v>
      </c>
      <c r="BD20" s="3">
        <v>1747</v>
      </c>
      <c r="BE20" s="4">
        <f>Etirha!C20 + Laselteh!C20 + Grazail!C20 + 'Disal Nila'!C20 + Pelan!C20 + Peka!C20 + Guise!C20</f>
        <v>94914081.643093988</v>
      </c>
      <c r="BF20" s="5">
        <f t="shared" si="15"/>
        <v>1.2275703687158808E-2</v>
      </c>
      <c r="BG20" s="5">
        <f t="shared" si="16"/>
        <v>1.6956796109114849E-2</v>
      </c>
      <c r="BN20" s="3">
        <f t="shared" si="17"/>
        <v>1997</v>
      </c>
      <c r="BO20" s="3">
        <v>1747</v>
      </c>
      <c r="BP20" s="4">
        <f>Genaire!C20 + 'New Misos'!C20 + Phuris!C20 + Lasri!C20 + Slyiaduun!C20 + Aetintio!C20 + Metndria!C20 + Tomscilus!C20</f>
        <v>83981717.332374021</v>
      </c>
      <c r="BQ20" s="5">
        <f t="shared" si="18"/>
        <v>1.3584173798167842E-2</v>
      </c>
      <c r="BR20" s="5">
        <f t="shared" si="19"/>
        <v>1.5003683679449037E-2</v>
      </c>
      <c r="BY20" s="3">
        <f t="shared" si="20"/>
        <v>1997</v>
      </c>
      <c r="BZ20" s="3">
        <v>1747</v>
      </c>
      <c r="CA20" s="4">
        <f>Ealdorii!C20 + Ukhdari!C20 + Hkuqo!C20 + Acrana!C20 + Zenashan!C20</f>
        <v>239056313.55744228</v>
      </c>
      <c r="CB20" s="6">
        <f t="shared" si="21"/>
        <v>4.5014445476556572E-3</v>
      </c>
      <c r="CC20" s="5">
        <f t="shared" si="22"/>
        <v>4.2708406354634111E-2</v>
      </c>
      <c r="CJ20" s="3">
        <f t="shared" si="23"/>
        <v>1997</v>
      </c>
      <c r="CK20" s="3">
        <v>1747</v>
      </c>
      <c r="CL20" s="4">
        <f>Estijan!C20 + Ikzen!C20 + Urbiqu!C20 + Danocia!C20 + Koruch!C20 + 'New Kizura'!C20 + Lydroa!C20 + Fermori!C20 + Uularin!C20 + 'Niul Spijan'!C20</f>
        <v>249794376.48798567</v>
      </c>
      <c r="CM20" s="6">
        <f t="shared" si="24"/>
        <v>7.4819151986639043E-3</v>
      </c>
      <c r="CN20" s="5">
        <f t="shared" si="25"/>
        <v>4.4626806033248263E-2</v>
      </c>
      <c r="CU20" s="3">
        <f t="shared" si="26"/>
        <v>1997</v>
      </c>
      <c r="CV20" s="3">
        <v>1747</v>
      </c>
      <c r="CW20" s="4">
        <f>Praesyu!C20 + Lycroa!C20 + Emara!C20 + Eldjo!C20 + Easuhura!C20 + Ilicuhe!C20 + Tonder!C20</f>
        <v>229405958.30912337</v>
      </c>
      <c r="CX20" s="6">
        <f t="shared" si="27"/>
        <v>3.2661983935856039E-3</v>
      </c>
      <c r="CY20" s="5">
        <f t="shared" si="28"/>
        <v>4.0984330184971496E-2</v>
      </c>
      <c r="DF20" s="3">
        <f t="shared" si="29"/>
        <v>1997</v>
      </c>
      <c r="DG20" s="3">
        <v>1747</v>
      </c>
      <c r="DH20" s="4">
        <f>Verusa!C20 + Darewa!C20 + Siana!C20 + Yaxuto!C20 + 'Merela Sta'!C20 + Palina!C20</f>
        <v>163673099.99631828</v>
      </c>
      <c r="DI20" s="6">
        <f t="shared" si="30"/>
        <v>2.3284568347817177E-3</v>
      </c>
      <c r="DJ20" s="5">
        <f t="shared" si="31"/>
        <v>2.9240881196328502E-2</v>
      </c>
      <c r="DQ20" s="3">
        <f t="shared" si="32"/>
        <v>1997</v>
      </c>
      <c r="DR20" s="3">
        <v>1747</v>
      </c>
      <c r="DS20" s="4">
        <f>Sunsokua!C20 + Vayvele!C20 + Selaja!C20 + Sadain!C20</f>
        <v>165358061.39007244</v>
      </c>
      <c r="DT20" s="6">
        <f t="shared" si="33"/>
        <v>1.3082622780362475E-2</v>
      </c>
      <c r="DU20" s="5">
        <f t="shared" si="34"/>
        <v>2.9541906569076213E-2</v>
      </c>
      <c r="EB20" s="3">
        <f t="shared" si="35"/>
        <v>1997</v>
      </c>
      <c r="EC20" s="3">
        <v>1747</v>
      </c>
      <c r="ED20" s="4">
        <f>Pelugrotoa!C20 + Lieri!C20 + 'Rtesania'!C20 + Ozinia!C20</f>
        <v>358546003.56988162</v>
      </c>
      <c r="EE20" s="6">
        <f t="shared" si="36"/>
        <v>9.397262711386592E-3</v>
      </c>
      <c r="EF20" s="5">
        <f t="shared" si="37"/>
        <v>6.4055737283897712E-2</v>
      </c>
      <c r="EM20" s="3">
        <f t="shared" si="38"/>
        <v>1997</v>
      </c>
      <c r="EN20" s="3">
        <v>1747</v>
      </c>
      <c r="EO20" s="4">
        <f>Ocaun!C20 + 'Dual Cenryia'!C20 + Byllu!C20 + Exilium!C20 + Inrea!C20 + Amcha!C20 + Isnti!C20 + Galca!C20 + Otiiric!C20 + Taing!C20 + 'Cruthi Anoso'!C20</f>
        <v>217773031.41687283</v>
      </c>
      <c r="EP20" s="6">
        <f t="shared" si="39"/>
        <v>1.925934888362122E-2</v>
      </c>
      <c r="EQ20" s="5">
        <f t="shared" si="40"/>
        <v>3.8906059331486567E-2</v>
      </c>
      <c r="EX20" s="3">
        <f t="shared" si="41"/>
        <v>1997</v>
      </c>
      <c r="EY20" s="3">
        <v>1747</v>
      </c>
      <c r="EZ20" s="4">
        <f>Sivoso!C20 + Taoisia!C20 + Seytinemas!C20 + Trian!C20 + 'Chaenia'!C20</f>
        <v>123916973.56925605</v>
      </c>
      <c r="FA20" s="6">
        <f t="shared" si="42"/>
        <v>1.4070028051762919E-2</v>
      </c>
      <c r="FB20" s="5">
        <f t="shared" si="43"/>
        <v>2.2138283581289182E-2</v>
      </c>
      <c r="FI20" s="3">
        <f t="shared" si="44"/>
        <v>1997</v>
      </c>
      <c r="FJ20" s="3">
        <v>1747</v>
      </c>
      <c r="FK20" s="4">
        <f>Migoku!C20 + 'Welenu Fana'!C20 + Haiza!C20 + Ucrua!C20 + Ihner!C20 + Oscairia!C20 + Shinam!C20 + 'Ruylku'!C20 + Taval!C20 + 'Western Migoku'!C20 + 'Pruim Fijan'!C20 + 'Canldives'!C20</f>
        <v>136252351.35426134</v>
      </c>
      <c r="FL20" s="6">
        <f t="shared" si="45"/>
        <v>2.0861480803976363E-2</v>
      </c>
      <c r="FM20" s="5">
        <f t="shared" si="46"/>
        <v>2.4342050213260365E-2</v>
      </c>
      <c r="FT20" s="3">
        <f t="shared" si="47"/>
        <v>1997</v>
      </c>
      <c r="FU20" s="3">
        <v>1747</v>
      </c>
      <c r="FV20" s="4">
        <f>Vesozata!C20 + Etretes!C20 + Kusierna!C20 + Eparia!C20</f>
        <v>104443681.83941233</v>
      </c>
      <c r="FW20" s="6">
        <f t="shared" si="48"/>
        <v>2.504840888952356E-2</v>
      </c>
      <c r="FX20" s="5">
        <f t="shared" si="49"/>
        <v>1.8659298885657368E-2</v>
      </c>
      <c r="GE20" s="3">
        <f t="shared" si="50"/>
        <v>1997</v>
      </c>
      <c r="GF20" s="3">
        <v>1747</v>
      </c>
      <c r="GG20" s="4">
        <f>Dahe!C20 + Kaastini!C20 + Suenan!C20 + Oyreain!C20 + Sanagara!C20 + 'North Ayre'!C20 + Stinebar!C20 + 'Cloja'!C20 + 'Pha Hii'!C20 + 'Prystr Hii'!C20</f>
        <v>963546286.47789299</v>
      </c>
      <c r="GH20" s="6">
        <f t="shared" si="51"/>
        <v>5.6753377348825809E-3</v>
      </c>
      <c r="GI20" s="5">
        <f t="shared" si="52"/>
        <v>0.17214155832997208</v>
      </c>
      <c r="GP20" s="3">
        <f t="shared" si="53"/>
        <v>1997</v>
      </c>
      <c r="GQ20" s="3">
        <v>1747</v>
      </c>
      <c r="GR20" s="4">
        <f>Maalle!C20 + 'United Delet'!C20 + Ohtina!C20 + Astye!C20 + Prstreula!C20 + Veelmit!C20 + Aplasia!C20 + 'Elja and Munusia'!C20 + Walporein!C20 + 'Crila Republic'!C20 + 'Niretui and Anulan'!C20 + 'Rethern'!C20 + Tvecoca!C20</f>
        <v>157273701.29469088</v>
      </c>
      <c r="GS20" s="6">
        <f t="shared" si="54"/>
        <v>1.7627779823919075E-2</v>
      </c>
      <c r="GT20" s="5">
        <f t="shared" si="55"/>
        <v>2.8097601957611601E-2</v>
      </c>
      <c r="HA20" s="3">
        <f t="shared" si="56"/>
        <v>1997</v>
      </c>
      <c r="HB20" s="3">
        <v>1747</v>
      </c>
      <c r="HC20" s="4">
        <f>Andsaudare!C20 + Nia!C20 + Umarcia!C20 + Mendereide!C20 + Iainoa!C20 + Isari!C20 + 'Rkmepuia'!C20 + Hiwush!C20 + Isuibul!C20 + Yutnitu!C20</f>
        <v>55161998.418098554</v>
      </c>
      <c r="HD20" s="6">
        <f t="shared" si="57"/>
        <v>1.646794931026771E-2</v>
      </c>
      <c r="HE20" s="5">
        <f t="shared" si="58"/>
        <v>9.8549208289692297E-3</v>
      </c>
      <c r="HL20" s="3">
        <f t="shared" si="59"/>
        <v>1997</v>
      </c>
      <c r="HM20" s="3">
        <v>1747</v>
      </c>
      <c r="HN20" s="4">
        <f>Zhanshe!C20 + Volver!C20 + Finae!C20 + Myla!C20 + 'Nheyes Si'!C20 + Onphello!C20 + Hyelen!C20</f>
        <v>98101733.823603794</v>
      </c>
      <c r="HO20" s="6">
        <f t="shared" si="60"/>
        <v>1.7443410746396788E-2</v>
      </c>
      <c r="HP20" s="5">
        <f t="shared" si="61"/>
        <v>1.7526283451308532E-2</v>
      </c>
      <c r="HW20" s="3">
        <f t="shared" si="62"/>
        <v>1997</v>
      </c>
      <c r="HX20" s="3">
        <v>1747</v>
      </c>
      <c r="HY20" s="4">
        <f>Yihnurda!C20 + Ztesh!C20 + Wundry!C20 + Anymna!C20 + Shomjind!C20 + Baluyde!C20 + Letan!C20</f>
        <v>425849234.78586751</v>
      </c>
      <c r="HZ20" s="6">
        <f t="shared" si="63"/>
        <v>2.2243326027526229E-2</v>
      </c>
      <c r="IA20" s="5">
        <f t="shared" si="64"/>
        <v>7.6079739934057936E-2</v>
      </c>
      <c r="IH20" s="3">
        <f t="shared" si="65"/>
        <v>1997</v>
      </c>
      <c r="II20" s="3">
        <v>1747</v>
      </c>
      <c r="IJ20" s="4">
        <f>Iareva!C20 + 'United Mihili'!C20 + 'Mesjan Hyaa'!C20 + Desaki!C20 + 'Far Lands'!C20</f>
        <v>54787496.941879079</v>
      </c>
      <c r="IK20" s="6">
        <f t="shared" si="66"/>
        <v>2.5966256704514096E-2</v>
      </c>
      <c r="IL20" s="5">
        <f t="shared" si="67"/>
        <v>9.7880145800240473E-3</v>
      </c>
      <c r="IS20" s="3">
        <f t="shared" si="68"/>
        <v>1997</v>
      </c>
      <c r="IT20" s="3">
        <v>1747</v>
      </c>
      <c r="IU20" s="4">
        <f>Verste!C20 + Quidic!C20 + Erkizil!C20 + Ashain!C20 + Ahokini!C20</f>
        <v>302302825.25356752</v>
      </c>
      <c r="IV20" s="6">
        <f t="shared" si="69"/>
        <v>1.6273393851387485E-2</v>
      </c>
      <c r="IW20" s="5">
        <f t="shared" si="70"/>
        <v>5.4007659161785682E-2</v>
      </c>
    </row>
    <row r="21" spans="1:257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5529199727.1851387</v>
      </c>
      <c r="D21" s="5">
        <f t="shared" si="1"/>
        <v>1.2755837456237479E-2</v>
      </c>
      <c r="K21" s="3">
        <f t="shared" si="2"/>
        <v>1996</v>
      </c>
      <c r="L21" s="3">
        <v>1746</v>
      </c>
      <c r="M21" s="4">
        <f>Eldavpir!C21 + Iquir!C21 + Viussi!C21 + Umendel!C21 + 'Reerica'!C21 + Saa!C21 + Sattle!C21</f>
        <v>67568618.757270798</v>
      </c>
      <c r="N21" s="5">
        <f t="shared" si="3"/>
        <v>2.8898443984913629E-2</v>
      </c>
      <c r="O21" s="5">
        <f t="shared" si="4"/>
        <v>1.2220325199153064E-2</v>
      </c>
      <c r="V21" s="3">
        <f t="shared" si="5"/>
        <v>1996</v>
      </c>
      <c r="W21" s="3">
        <v>1746</v>
      </c>
      <c r="X21" s="4">
        <f>'Areoix Lie'!C21 + Jau!C21 + Terressin!C21 + Acetoa!C21 + 'Feio Lie'!C21</f>
        <v>601592633.71266997</v>
      </c>
      <c r="Y21" s="5">
        <f t="shared" si="6"/>
        <v>1.0206761484304255E-2</v>
      </c>
      <c r="Z21" s="5">
        <f t="shared" si="7"/>
        <v>0.10880284008458758</v>
      </c>
      <c r="AG21" s="3">
        <f t="shared" si="8"/>
        <v>1996</v>
      </c>
      <c r="AH21" s="3">
        <v>1746</v>
      </c>
      <c r="AI21" s="4">
        <f>Taniduna!C21 + Jathua!C21 + Deschon!C21 + Pelines!C21 + 'Candenat'!C21 + Othya!C21 + Yoprioq!C21 + Jshain!C21 + 'Fire Coast'!C21 + 'Rijan bu'!C21 + 'Rinew'!C21 + Enina!C21 + Trevilla!C21</f>
        <v>141510186.46284151</v>
      </c>
      <c r="AJ21" s="5">
        <f t="shared" si="9"/>
        <v>2.6696017212959323E-2</v>
      </c>
      <c r="AK21" s="5">
        <f t="shared" si="10"/>
        <v>2.5593249194288549E-2</v>
      </c>
      <c r="AR21" s="3">
        <f t="shared" si="11"/>
        <v>1996</v>
      </c>
      <c r="AS21" s="3">
        <v>1746</v>
      </c>
      <c r="AT21" s="4">
        <f>Gaeiya!C21 + 'Raledria'!C21 + Arbiya!C21 + Fincen!C21 + 'Curata'!C21</f>
        <v>252914128.5921841</v>
      </c>
      <c r="AU21" s="5">
        <f t="shared" si="12"/>
        <v>1.1703381581234617E-2</v>
      </c>
      <c r="AV21" s="5">
        <f t="shared" si="13"/>
        <v>4.5741543274100571E-2</v>
      </c>
      <c r="BC21" s="3">
        <f t="shared" si="14"/>
        <v>1996</v>
      </c>
      <c r="BD21" s="3">
        <v>1746</v>
      </c>
      <c r="BE21" s="4">
        <f>Etirha!C21 + Laselteh!C21 + Grazail!C21 + 'Disal Nila'!C21 + Pelan!C21 + Peka!C21 + Guise!C21</f>
        <v>93763073.930723265</v>
      </c>
      <c r="BF21" s="5">
        <f t="shared" si="15"/>
        <v>1.0841020453774027E-2</v>
      </c>
      <c r="BG21" s="5">
        <f t="shared" si="16"/>
        <v>1.6957801952735232E-2</v>
      </c>
      <c r="BN21" s="3">
        <f t="shared" si="17"/>
        <v>1996</v>
      </c>
      <c r="BO21" s="3">
        <v>1746</v>
      </c>
      <c r="BP21" s="4">
        <f>Genaire!C21 + 'New Misos'!C21 + Phuris!C21 + Lasri!C21 + Slyiaduun!C21 + Aetintio!C21 + Metndria!C21 + Tomscilus!C21</f>
        <v>82856184.521579817</v>
      </c>
      <c r="BQ21" s="5">
        <f t="shared" si="18"/>
        <v>1.2247988135916781E-2</v>
      </c>
      <c r="BR21" s="5">
        <f t="shared" si="19"/>
        <v>1.4985203756378157E-2</v>
      </c>
      <c r="BY21" s="3">
        <f t="shared" si="20"/>
        <v>1996</v>
      </c>
      <c r="BZ21" s="3">
        <v>1746</v>
      </c>
      <c r="CA21" s="4">
        <f>Ealdorii!C21 + Ukhdari!C21 + Hkuqo!C21 + Acrana!C21 + Zenashan!C21</f>
        <v>237985037.10972109</v>
      </c>
      <c r="CB21" s="7">
        <f t="shared" si="21"/>
        <v>1.0331253594467698E-2</v>
      </c>
      <c r="CC21" s="5">
        <f t="shared" si="22"/>
        <v>4.3041497658265447E-2</v>
      </c>
      <c r="CJ21" s="3">
        <f t="shared" si="23"/>
        <v>1996</v>
      </c>
      <c r="CK21" s="3">
        <v>1746</v>
      </c>
      <c r="CL21" s="4">
        <f>Estijan!C21 + Ikzen!C21 + Urbiqu!C21 + Danocia!C21 + Koruch!C21 + 'New Kizura'!C21 + Lydroa!C21 + Fermori!C21 + Uularin!C21 + 'Niul Spijan'!C21</f>
        <v>247939315.55459145</v>
      </c>
      <c r="CM21" s="7">
        <f t="shared" si="24"/>
        <v>6.3077443655500109E-3</v>
      </c>
      <c r="CN21" s="5">
        <f t="shared" si="25"/>
        <v>4.4841808541579833E-2</v>
      </c>
      <c r="CU21" s="3">
        <f t="shared" si="26"/>
        <v>1996</v>
      </c>
      <c r="CV21" s="3">
        <v>1746</v>
      </c>
      <c r="CW21" s="4">
        <f>Praesyu!C21 + Lycroa!C21 + Emara!C21 + Eldjo!C21 + Easuhura!C21 + Ilicuhe!C21 + Tonder!C21</f>
        <v>228659112.28390297</v>
      </c>
      <c r="CX21" s="7">
        <f t="shared" si="27"/>
        <v>3.2825353999073503E-3</v>
      </c>
      <c r="CY21" s="5">
        <f t="shared" si="28"/>
        <v>4.1354829553301574E-2</v>
      </c>
      <c r="DF21" s="3">
        <f t="shared" si="29"/>
        <v>1996</v>
      </c>
      <c r="DG21" s="3">
        <v>1746</v>
      </c>
      <c r="DH21" s="4">
        <f>Verusa!C21 + Darewa!C21 + Siana!C21 + Yaxuto!C21 + 'Merela Sta'!C21 + Palina!C21</f>
        <v>163292879.57480115</v>
      </c>
      <c r="DI21" s="7">
        <f t="shared" si="30"/>
        <v>1.8734812028764851E-3</v>
      </c>
      <c r="DJ21" s="5">
        <f t="shared" si="31"/>
        <v>2.9532823488351713E-2</v>
      </c>
      <c r="DQ21" s="3">
        <f t="shared" si="32"/>
        <v>1996</v>
      </c>
      <c r="DR21" s="3">
        <v>1746</v>
      </c>
      <c r="DS21" s="4">
        <f>Sunsokua!C21 + Vayvele!C21 + Selaja!C21 + Sadain!C21</f>
        <v>163222680.63018811</v>
      </c>
      <c r="DT21" s="7">
        <f t="shared" si="33"/>
        <v>1.4072467381733893E-2</v>
      </c>
      <c r="DU21" s="5">
        <f t="shared" si="34"/>
        <v>2.9520127447680962E-2</v>
      </c>
      <c r="EB21" s="3">
        <f t="shared" si="35"/>
        <v>1996</v>
      </c>
      <c r="EC21" s="3">
        <v>1746</v>
      </c>
      <c r="ED21" s="4">
        <f>Pelugrotoa!C21 + Lieri!C21 + 'Rtesania'!C21 + Ozinia!C21</f>
        <v>355208020.4842</v>
      </c>
      <c r="EE21" s="7">
        <f t="shared" si="36"/>
        <v>9.1858562059238882E-3</v>
      </c>
      <c r="EF21" s="5">
        <f t="shared" si="37"/>
        <v>6.4242211895107815E-2</v>
      </c>
      <c r="EM21" s="3">
        <f t="shared" si="38"/>
        <v>1996</v>
      </c>
      <c r="EN21" s="3">
        <v>1746</v>
      </c>
      <c r="EO21" s="4">
        <f>Ocaun!C21 + 'Dual Cenryia'!C21 + Byllu!C21 + Exilium!C21 + Inrea!C21 + Amcha!C21 + Isnti!C21 + Galca!C21 + Otiiric!C21 + Taing!C21 + 'Cruthi Anoso'!C21</f>
        <v>213658115.23376873</v>
      </c>
      <c r="EP21" s="7">
        <f t="shared" si="39"/>
        <v>2.0817961675172917E-2</v>
      </c>
      <c r="EQ21" s="5">
        <f t="shared" si="40"/>
        <v>3.8641779240363952E-2</v>
      </c>
      <c r="EX21" s="3">
        <f t="shared" si="41"/>
        <v>1996</v>
      </c>
      <c r="EY21" s="3">
        <v>1746</v>
      </c>
      <c r="EZ21" s="4">
        <f>Sivoso!C21 + Taoisia!C21 + Seytinemas!C21 + Trian!C21 + 'Chaenia'!C21</f>
        <v>122197649.21691458</v>
      </c>
      <c r="FA21" s="7">
        <f t="shared" si="42"/>
        <v>1.500397037550121E-2</v>
      </c>
      <c r="FB21" s="5">
        <f t="shared" si="43"/>
        <v>2.2100422347941517E-2</v>
      </c>
      <c r="FI21" s="3">
        <f t="shared" si="44"/>
        <v>1996</v>
      </c>
      <c r="FJ21" s="3">
        <v>1746</v>
      </c>
      <c r="FK21" s="4">
        <f>Migoku!C21 + 'Welenu Fana'!C21 + Haiza!C21 + Ucrua!C21 + Ihner!C21 + Oscairia!C21 + Shinam!C21 + 'Ruylku'!C21 + Taval!C21 + 'Western Migoku'!C21 + 'Pruim Fijan'!C21 + 'Canldives'!C21</f>
        <v>133468011.00474103</v>
      </c>
      <c r="FL21" s="7">
        <f t="shared" si="45"/>
        <v>2.1352299319046839E-2</v>
      </c>
      <c r="FM21" s="5">
        <f t="shared" si="46"/>
        <v>2.4138757431482454E-2</v>
      </c>
      <c r="FT21" s="3">
        <f t="shared" si="47"/>
        <v>1996</v>
      </c>
      <c r="FU21" s="3">
        <v>1746</v>
      </c>
      <c r="FV21" s="4">
        <f>Vesozata!C21 + Etretes!C21 + Kusierna!C21 + Eparia!C21</f>
        <v>101891462.81643459</v>
      </c>
      <c r="FW21" s="7">
        <f t="shared" si="48"/>
        <v>2.5411217377363113E-2</v>
      </c>
      <c r="FX21" s="5">
        <f t="shared" si="49"/>
        <v>1.8427886103565758E-2</v>
      </c>
      <c r="GE21" s="3">
        <f t="shared" si="50"/>
        <v>1996</v>
      </c>
      <c r="GF21" s="3">
        <v>1746</v>
      </c>
      <c r="GG21" s="4">
        <f>Dahe!C21 + Kaastini!C21 + Suenan!C21 + Oyreain!C21 + Sanagara!C21 + 'North Ayre'!C21 + Stinebar!C21 + 'Cloja'!C21 + 'Pha Hii'!C21 + 'Prystr Hii'!C21</f>
        <v>958108696.04113162</v>
      </c>
      <c r="GH21" s="7">
        <f t="shared" si="51"/>
        <v>6.0736385555558246E-3</v>
      </c>
      <c r="GI21" s="5">
        <f t="shared" si="52"/>
        <v>0.17328162181055726</v>
      </c>
      <c r="GP21" s="3">
        <f t="shared" si="53"/>
        <v>1996</v>
      </c>
      <c r="GQ21" s="3">
        <v>1746</v>
      </c>
      <c r="GR21" s="4">
        <f>Maalle!C21 + 'United Delet'!C21 + Ohtina!C21 + Astye!C21 + Prstreula!C21 + Veelmit!C21 + Aplasia!C21 + 'Elja and Munusia'!C21 + Walporein!C21 + 'Crila Republic'!C21 + 'Niretui and Anulan'!C21 + 'Rethern'!C21 + Tvecoca!C21</f>
        <v>154549339.56490856</v>
      </c>
      <c r="GS21" s="7">
        <f t="shared" si="54"/>
        <v>1.845114920005864E-2</v>
      </c>
      <c r="GT21" s="5">
        <f t="shared" si="55"/>
        <v>2.795148433597788E-2</v>
      </c>
      <c r="HA21" s="3">
        <f t="shared" si="56"/>
        <v>1996</v>
      </c>
      <c r="HB21" s="3">
        <v>1746</v>
      </c>
      <c r="HC21" s="4">
        <f>Andsaudare!C21 + Nia!C21 + Umarcia!C21 + Mendereide!C21 + Iainoa!C21 + Isari!C21 + 'Rkmepuia'!C21 + Hiwush!C21 + Isuibul!C21 + Yutnitu!C21</f>
        <v>54268310.629498117</v>
      </c>
      <c r="HD21" s="7">
        <f t="shared" si="57"/>
        <v>1.7099085036119149E-2</v>
      </c>
      <c r="HE21" s="5">
        <f t="shared" si="58"/>
        <v>9.8148580820258385E-3</v>
      </c>
      <c r="HL21" s="3">
        <f t="shared" si="59"/>
        <v>1996</v>
      </c>
      <c r="HM21" s="3">
        <v>1746</v>
      </c>
      <c r="HN21" s="4">
        <f>Zhanshe!C21 + Volver!C21 + Finae!C21 + Myla!C21 + 'Nheyes Si'!C21 + Onphello!C21 + Hyelen!C21</f>
        <v>96419842.899799541</v>
      </c>
      <c r="HO21" s="7">
        <f t="shared" si="60"/>
        <v>1.9272922822862956E-2</v>
      </c>
      <c r="HP21" s="5">
        <f t="shared" si="61"/>
        <v>1.7438299872897869E-2</v>
      </c>
      <c r="HW21" s="3">
        <f t="shared" si="62"/>
        <v>1996</v>
      </c>
      <c r="HX21" s="3">
        <v>1746</v>
      </c>
      <c r="HY21" s="4">
        <f>Yihnurda!C21 + Ztesh!C21 + Wundry!C21 + Anymna!C21 + Shomjind!C21 + Baluyde!C21 + Letan!C21</f>
        <v>416583042.35717803</v>
      </c>
      <c r="HZ21" s="7">
        <f t="shared" si="63"/>
        <v>2.2553343973399129E-2</v>
      </c>
      <c r="IA21" s="5">
        <f t="shared" si="64"/>
        <v>7.5342375553732507E-2</v>
      </c>
      <c r="IH21" s="3">
        <f t="shared" si="65"/>
        <v>1996</v>
      </c>
      <c r="II21" s="3">
        <v>1746</v>
      </c>
      <c r="IJ21" s="4">
        <f>Iareva!C21 + 'United Mihili'!C21 + 'Mesjan Hyaa'!C21 + Desaki!C21 + 'Far Lands'!C21</f>
        <v>53400876.085204706</v>
      </c>
      <c r="IK21" s="7">
        <f t="shared" si="66"/>
        <v>2.7439083810055137E-2</v>
      </c>
      <c r="IL21" s="5">
        <f t="shared" si="67"/>
        <v>9.6579756058822221E-3</v>
      </c>
      <c r="IS21" s="3">
        <f t="shared" si="68"/>
        <v>1996</v>
      </c>
      <c r="IT21" s="3">
        <v>1746</v>
      </c>
      <c r="IU21" s="4">
        <f>Verste!C21 + Quidic!C21 + Erkizil!C21 + Ashain!C21 + Ahokini!C21</f>
        <v>297462107.22680211</v>
      </c>
      <c r="IV21" s="7">
        <f t="shared" si="69"/>
        <v>1.6153165593384079E-2</v>
      </c>
      <c r="IW21" s="5">
        <f t="shared" si="70"/>
        <v>5.3798401559684142E-2</v>
      </c>
    </row>
    <row r="22" spans="1:257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5459558486.5479116</v>
      </c>
      <c r="D22" s="5">
        <f t="shared" si="1"/>
        <v>1.307628882847053E-2</v>
      </c>
      <c r="K22" s="3">
        <f t="shared" si="2"/>
        <v>1995</v>
      </c>
      <c r="L22" s="3">
        <v>1745</v>
      </c>
      <c r="M22" s="4">
        <f>Eldavpir!C22 + Iquir!C22 + Viussi!C22 + Umendel!C22 + 'Reerica'!C22 + Saa!C22 + Sattle!C22</f>
        <v>65670833.843987748</v>
      </c>
      <c r="N22" s="5">
        <f t="shared" si="3"/>
        <v>2.9488643734337357E-2</v>
      </c>
      <c r="O22" s="5">
        <f t="shared" si="4"/>
        <v>1.2028597917908107E-2</v>
      </c>
      <c r="V22" s="3">
        <f t="shared" si="5"/>
        <v>1995</v>
      </c>
      <c r="W22" s="3">
        <v>1745</v>
      </c>
      <c r="X22" s="4">
        <f>'Areoix Lie'!C22 + Jau!C22 + Terressin!C22 + Acetoa!C22 + 'Feio Lie'!C22</f>
        <v>595514360.67280471</v>
      </c>
      <c r="Y22" s="5">
        <f t="shared" si="6"/>
        <v>9.8962667560625189E-3</v>
      </c>
      <c r="Z22" s="5">
        <f t="shared" si="7"/>
        <v>0.10907738457974639</v>
      </c>
      <c r="AG22" s="3">
        <f t="shared" si="8"/>
        <v>1995</v>
      </c>
      <c r="AH22" s="3">
        <v>1745</v>
      </c>
      <c r="AI22" s="4">
        <f>Taniduna!C22 + Jathua!C22 + Deschon!C22 + Pelines!C22 + 'Candenat'!C22 + Othya!C22 + Yoprioq!C22 + Jshain!C22 + 'Fire Coast'!C22 + 'Rijan bu'!C22 + 'Rinew'!C22 + Enina!C22 + Trevilla!C22</f>
        <v>137830656.87444776</v>
      </c>
      <c r="AJ22" s="5">
        <f t="shared" si="9"/>
        <v>2.682556767626551E-2</v>
      </c>
      <c r="AK22" s="5">
        <f t="shared" si="10"/>
        <v>2.5245751504275639E-2</v>
      </c>
      <c r="AR22" s="3">
        <f t="shared" si="11"/>
        <v>1995</v>
      </c>
      <c r="AS22" s="3">
        <v>1745</v>
      </c>
      <c r="AT22" s="4">
        <f>Gaeiya!C22 + 'Raledria'!C22 + Arbiya!C22 + Fincen!C22 + 'Curata'!C22</f>
        <v>249988418.73681766</v>
      </c>
      <c r="AU22" s="5">
        <f t="shared" si="12"/>
        <v>1.0796046987620057E-2</v>
      </c>
      <c r="AV22" s="5">
        <f t="shared" si="13"/>
        <v>4.5789127335621925E-2</v>
      </c>
      <c r="BC22" s="3">
        <f t="shared" si="14"/>
        <v>1995</v>
      </c>
      <c r="BD22" s="3">
        <v>1745</v>
      </c>
      <c r="BE22" s="4">
        <f>Etirha!C22 + Laselteh!C22 + Grazail!C22 + 'Disal Nila'!C22 + Pelan!C22 + Peka!C22 + Guise!C22</f>
        <v>92757488.104936942</v>
      </c>
      <c r="BF22" s="5">
        <f t="shared" si="15"/>
        <v>9.6403514466427837E-3</v>
      </c>
      <c r="BG22" s="5">
        <f t="shared" si="16"/>
        <v>1.6989924795839609E-2</v>
      </c>
      <c r="BN22" s="3">
        <f t="shared" si="17"/>
        <v>1995</v>
      </c>
      <c r="BO22" s="3">
        <v>1745</v>
      </c>
      <c r="BP22" s="4">
        <f>Genaire!C22 + 'New Misos'!C22 + Phuris!C22 + Lasri!C22 + Slyiaduun!C22 + Aetintio!C22 + Metndria!C22 + Tomscilus!C22</f>
        <v>81853642.08444792</v>
      </c>
      <c r="BQ22" s="5">
        <f t="shared" si="18"/>
        <v>1.2430244281072023E-2</v>
      </c>
      <c r="BR22" s="5">
        <f t="shared" si="19"/>
        <v>1.4992721899789395E-2</v>
      </c>
      <c r="BY22" s="3">
        <f t="shared" si="20"/>
        <v>1995</v>
      </c>
      <c r="BZ22" s="3">
        <v>1745</v>
      </c>
      <c r="CA22" s="4">
        <f>Ealdorii!C22 + Ukhdari!C22 + Hkuqo!C22 + Acrana!C22 + Zenashan!C22</f>
        <v>235551494.8815439</v>
      </c>
      <c r="CB22" s="6">
        <f t="shared" si="21"/>
        <v>1.0947576233618212E-2</v>
      </c>
      <c r="CC22" s="5">
        <f t="shared" si="22"/>
        <v>4.314478825749947E-2</v>
      </c>
      <c r="CJ22" s="3">
        <f t="shared" si="23"/>
        <v>1995</v>
      </c>
      <c r="CK22" s="3">
        <v>1745</v>
      </c>
      <c r="CL22" s="4">
        <f>Estijan!C22 + Ikzen!C22 + Urbiqu!C22 + Danocia!C22 + Koruch!C22 + 'New Kizura'!C22 + Lydroa!C22 + Fermori!C22 + Uularin!C22 + 'Niul Spijan'!C22</f>
        <v>246385180.81852835</v>
      </c>
      <c r="CM22" s="6">
        <f t="shared" si="24"/>
        <v>5.0782809559238437E-3</v>
      </c>
      <c r="CN22" s="5">
        <f t="shared" si="25"/>
        <v>4.5129140282242519E-2</v>
      </c>
      <c r="CU22" s="3">
        <f t="shared" si="26"/>
        <v>1995</v>
      </c>
      <c r="CV22" s="3">
        <v>1745</v>
      </c>
      <c r="CW22" s="4">
        <f>Praesyu!C22 + Lycroa!C22 + Emara!C22 + Eldjo!C22 + Easuhura!C22 + Ilicuhe!C22 + Tonder!C22</f>
        <v>227910986.4030073</v>
      </c>
      <c r="CX22" s="6">
        <f t="shared" si="27"/>
        <v>3.1665724318675616E-3</v>
      </c>
      <c r="CY22" s="5">
        <f t="shared" si="28"/>
        <v>4.1745314564276388E-2</v>
      </c>
      <c r="DF22" s="3">
        <f t="shared" si="29"/>
        <v>1995</v>
      </c>
      <c r="DG22" s="3">
        <v>1745</v>
      </c>
      <c r="DH22" s="4">
        <f>Verusa!C22 + Darewa!C22 + Siana!C22 + Yaxuto!C22 + 'Merela Sta'!C22 + Palina!C22</f>
        <v>162987525.50945583</v>
      </c>
      <c r="DI22" s="6">
        <f t="shared" si="30"/>
        <v>2.3910375785993138E-3</v>
      </c>
      <c r="DJ22" s="5">
        <f t="shared" si="31"/>
        <v>2.9853609208702357E-2</v>
      </c>
      <c r="DQ22" s="3">
        <f t="shared" si="32"/>
        <v>1995</v>
      </c>
      <c r="DR22" s="3">
        <v>1745</v>
      </c>
      <c r="DS22" s="4">
        <f>Sunsokua!C22 + Vayvele!C22 + Selaja!C22 + Sadain!C22</f>
        <v>160957609.91481996</v>
      </c>
      <c r="DT22" s="6">
        <f t="shared" si="33"/>
        <v>1.5315815097719664E-2</v>
      </c>
      <c r="DU22" s="5">
        <f t="shared" si="34"/>
        <v>2.9481799730035264E-2</v>
      </c>
      <c r="EB22" s="3">
        <f t="shared" si="35"/>
        <v>1995</v>
      </c>
      <c r="EC22" s="3">
        <v>1745</v>
      </c>
      <c r="ED22" s="4">
        <f>Pelugrotoa!C22 + Lieri!C22 + 'Rtesania'!C22 + Ozinia!C22</f>
        <v>351974830.30491459</v>
      </c>
      <c r="EE22" s="6">
        <f t="shared" si="36"/>
        <v>9.2584627381022133E-3</v>
      </c>
      <c r="EF22" s="5">
        <f t="shared" si="37"/>
        <v>6.4469467846560047E-2</v>
      </c>
      <c r="EM22" s="3">
        <f t="shared" si="38"/>
        <v>1995</v>
      </c>
      <c r="EN22" s="3">
        <v>1745</v>
      </c>
      <c r="EO22" s="4">
        <f>Ocaun!C22 + 'Dual Cenryia'!C22 + Byllu!C22 + Exilium!C22 + Inrea!C22 + Amcha!C22 + Isnti!C22 + Galca!C22 + Otiiric!C22 + Taing!C22 + 'Cruthi Anoso'!C22</f>
        <v>209300897.17774317</v>
      </c>
      <c r="EP22" s="6">
        <f t="shared" si="39"/>
        <v>2.8145825476154469E-2</v>
      </c>
      <c r="EQ22" s="5">
        <f t="shared" si="40"/>
        <v>3.8336597674235098E-2</v>
      </c>
      <c r="EX22" s="3">
        <f t="shared" si="41"/>
        <v>1995</v>
      </c>
      <c r="EY22" s="3">
        <v>1745</v>
      </c>
      <c r="EZ22" s="4">
        <f>Sivoso!C22 + Taoisia!C22 + Seytinemas!C22 + Trian!C22 + 'Chaenia'!C22</f>
        <v>120391301.69284707</v>
      </c>
      <c r="FA22" s="6">
        <f t="shared" si="42"/>
        <v>1.606949749559046E-2</v>
      </c>
      <c r="FB22" s="5">
        <f t="shared" si="43"/>
        <v>2.2051472108868406E-2</v>
      </c>
      <c r="FI22" s="3">
        <f t="shared" si="44"/>
        <v>1995</v>
      </c>
      <c r="FJ22" s="3">
        <v>1745</v>
      </c>
      <c r="FK22" s="4">
        <f>Migoku!C22 + 'Welenu Fana'!C22 + Haiza!C22 + Ucrua!C22 + Ihner!C22 + Oscairia!C22 + Shinam!C22 + 'Ruylku'!C22 + Taval!C22 + 'Western Migoku'!C22 + 'Pruim Fijan'!C22 + 'Canldives'!C22</f>
        <v>130677740.76949398</v>
      </c>
      <c r="FL22" s="6">
        <f t="shared" si="45"/>
        <v>2.2156175052909555E-2</v>
      </c>
      <c r="FM22" s="5">
        <f t="shared" si="46"/>
        <v>2.3935587665463724E-2</v>
      </c>
      <c r="FT22" s="3">
        <f t="shared" si="47"/>
        <v>1995</v>
      </c>
      <c r="FU22" s="3">
        <v>1745</v>
      </c>
      <c r="FV22" s="4">
        <f>Vesozata!C22 + Etretes!C22 + Kusierna!C22 + Eparia!C22</f>
        <v>99366440.594473585</v>
      </c>
      <c r="FW22" s="6">
        <f t="shared" si="48"/>
        <v>2.5983762390709316E-2</v>
      </c>
      <c r="FX22" s="5">
        <f t="shared" si="49"/>
        <v>1.8200453542041483E-2</v>
      </c>
      <c r="GE22" s="3">
        <f t="shared" si="50"/>
        <v>1995</v>
      </c>
      <c r="GF22" s="3">
        <v>1745</v>
      </c>
      <c r="GG22" s="4">
        <f>Dahe!C22 + Kaastini!C22 + Suenan!C22 + Oyreain!C22 + Sanagara!C22 + 'North Ayre'!C22 + Stinebar!C22 + 'Cloja'!C22 + 'Pha Hii'!C22 + 'Prystr Hii'!C22</f>
        <v>952324620.50860548</v>
      </c>
      <c r="GH22" s="6">
        <f t="shared" si="51"/>
        <v>6.3655889128980576E-3</v>
      </c>
      <c r="GI22" s="5">
        <f t="shared" si="52"/>
        <v>0.17443253384959376</v>
      </c>
      <c r="GP22" s="3">
        <f t="shared" si="53"/>
        <v>1995</v>
      </c>
      <c r="GQ22" s="3">
        <v>1745</v>
      </c>
      <c r="GR22" s="4">
        <f>Maalle!C22 + 'United Delet'!C22 + Ohtina!C22 + Astye!C22 + Prstreula!C22 + Veelmit!C22 + Aplasia!C22 + 'Elja and Munusia'!C22 + Walporein!C22 + 'Crila Republic'!C22 + 'Niretui and Anulan'!C22 + 'Rethern'!C22 + Tvecoca!C22</f>
        <v>151749388.94840384</v>
      </c>
      <c r="GS22" s="6">
        <f t="shared" si="54"/>
        <v>1.9366843445482E-2</v>
      </c>
      <c r="GT22" s="5">
        <f t="shared" si="55"/>
        <v>2.7795175987638379E-2</v>
      </c>
      <c r="HA22" s="3">
        <f t="shared" si="56"/>
        <v>1995</v>
      </c>
      <c r="HB22" s="3">
        <v>1745</v>
      </c>
      <c r="HC22" s="4">
        <f>Andsaudare!C22 + Nia!C22 + Umarcia!C22 + Mendereide!C22 + Iainoa!C22 + Isari!C22 + 'Rkmepuia'!C22 + Hiwush!C22 + Isuibul!C22 + Yutnitu!C22</f>
        <v>53355972.32158649</v>
      </c>
      <c r="HD22" s="6">
        <f t="shared" si="57"/>
        <v>9.6533756288088284E-3</v>
      </c>
      <c r="HE22" s="5">
        <f t="shared" si="58"/>
        <v>9.7729463752523268E-3</v>
      </c>
      <c r="HL22" s="3">
        <f t="shared" si="59"/>
        <v>1995</v>
      </c>
      <c r="HM22" s="3">
        <v>1745</v>
      </c>
      <c r="HN22" s="4">
        <f>Zhanshe!C22 + Volver!C22 + Finae!C22 + Myla!C22 + 'Nheyes Si'!C22 + Onphello!C22 + Hyelen!C22</f>
        <v>94596688.228277519</v>
      </c>
      <c r="HO22" s="6">
        <f t="shared" si="60"/>
        <v>2.0465764502343272E-2</v>
      </c>
      <c r="HP22" s="5">
        <f t="shared" si="61"/>
        <v>1.7326801876261459E-2</v>
      </c>
      <c r="HW22" s="3">
        <f t="shared" si="62"/>
        <v>1995</v>
      </c>
      <c r="HX22" s="3">
        <v>1745</v>
      </c>
      <c r="HY22" s="4">
        <f>Yihnurda!C22 + Ztesh!C22 + Wundry!C22 + Anymna!C22 + Shomjind!C22 + Baluyde!C22 + Letan!C22</f>
        <v>407394924.49209094</v>
      </c>
      <c r="HZ22" s="6">
        <f t="shared" si="63"/>
        <v>2.2957075021294699E-2</v>
      </c>
      <c r="IA22" s="5">
        <f t="shared" si="64"/>
        <v>7.4620489091909603E-2</v>
      </c>
      <c r="IH22" s="3">
        <f t="shared" si="65"/>
        <v>1995</v>
      </c>
      <c r="II22" s="3">
        <v>1745</v>
      </c>
      <c r="IJ22" s="4">
        <f>Iareva!C22 + 'United Mihili'!C22 + 'Mesjan Hyaa'!C22 + Desaki!C22 + 'Far Lands'!C22</f>
        <v>51974736.922775112</v>
      </c>
      <c r="IK22" s="6">
        <f t="shared" si="66"/>
        <v>2.8367810854965654E-2</v>
      </c>
      <c r="IL22" s="5">
        <f t="shared" si="67"/>
        <v>9.5199524010665618E-3</v>
      </c>
      <c r="IS22" s="3">
        <f t="shared" si="68"/>
        <v>1995</v>
      </c>
      <c r="IT22" s="3">
        <v>1745</v>
      </c>
      <c r="IU22" s="4">
        <f>Verste!C22 + Quidic!C22 + Erkizil!C22 + Ashain!C22 + Ahokini!C22</f>
        <v>292733533.97772342</v>
      </c>
      <c r="IV22" s="6">
        <f t="shared" si="69"/>
        <v>1.646127436491409E-2</v>
      </c>
      <c r="IW22" s="5">
        <f t="shared" si="70"/>
        <v>5.3618536132363948E-2</v>
      </c>
    </row>
    <row r="23" spans="1:257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5389089199.6508856</v>
      </c>
      <c r="D23" s="5">
        <f t="shared" si="1"/>
        <v>1.3151345482118149E-2</v>
      </c>
      <c r="K23" s="3">
        <f t="shared" si="2"/>
        <v>1994</v>
      </c>
      <c r="L23" s="3">
        <v>1744</v>
      </c>
      <c r="M23" s="4">
        <f>Eldavpir!C23 + Iquir!C23 + Viussi!C23 + Umendel!C23 + 'Reerica'!C23 + Saa!C23 + Sattle!C23</f>
        <v>63789760.327782989</v>
      </c>
      <c r="N23" s="5">
        <f t="shared" si="3"/>
        <v>2.6577326381007033E-2</v>
      </c>
      <c r="O23" s="5">
        <f t="shared" si="4"/>
        <v>1.1836835124554145E-2</v>
      </c>
      <c r="V23" s="3">
        <f t="shared" si="5"/>
        <v>1994</v>
      </c>
      <c r="W23" s="3">
        <v>1744</v>
      </c>
      <c r="X23" s="4">
        <f>'Areoix Lie'!C23 + Jau!C23 + Terressin!C23 + Acetoa!C23 + 'Feio Lie'!C23</f>
        <v>589678742.53628612</v>
      </c>
      <c r="Y23" s="5">
        <f t="shared" si="6"/>
        <v>9.7457482774303099E-3</v>
      </c>
      <c r="Z23" s="5">
        <f t="shared" si="7"/>
        <v>0.10942085400525316</v>
      </c>
      <c r="AG23" s="3">
        <f t="shared" si="8"/>
        <v>1994</v>
      </c>
      <c r="AH23" s="3">
        <v>1744</v>
      </c>
      <c r="AI23" s="4">
        <f>Taniduna!C23 + Jathua!C23 + Deschon!C23 + Pelines!C23 + 'Candenat'!C23 + Othya!C23 + Yoprioq!C23 + Jshain!C23 + 'Fire Coast'!C23 + 'Rijan bu'!C23 + 'Rinew'!C23 + Enina!C23 + Trevilla!C23</f>
        <v>134229864.55855626</v>
      </c>
      <c r="AJ23" s="5">
        <f t="shared" si="9"/>
        <v>2.4181094492947947E-2</v>
      </c>
      <c r="AK23" s="5">
        <f t="shared" si="10"/>
        <v>2.4907708814181792E-2</v>
      </c>
      <c r="AR23" s="3">
        <f t="shared" si="11"/>
        <v>1994</v>
      </c>
      <c r="AS23" s="3">
        <v>1744</v>
      </c>
      <c r="AT23" s="4">
        <f>Gaeiya!C23 + 'Raledria'!C23 + Arbiya!C23 + Fincen!C23 + 'Curata'!C23</f>
        <v>247318358.12163544</v>
      </c>
      <c r="AU23" s="5">
        <f t="shared" si="12"/>
        <v>9.4681339005213538E-3</v>
      </c>
      <c r="AV23" s="5">
        <f t="shared" si="13"/>
        <v>4.5892422440819342E-2</v>
      </c>
      <c r="BC23" s="3">
        <f t="shared" si="14"/>
        <v>1994</v>
      </c>
      <c r="BD23" s="3">
        <v>1744</v>
      </c>
      <c r="BE23" s="4">
        <f>Etirha!C23 + Laselteh!C23 + Grazail!C23 + 'Disal Nila'!C23 + Pelan!C23 + Peka!C23 + Guise!C23</f>
        <v>91871811.553521261</v>
      </c>
      <c r="BF23" s="5">
        <f t="shared" si="15"/>
        <v>1.3557885803976264E-2</v>
      </c>
      <c r="BG23" s="5">
        <f t="shared" si="16"/>
        <v>1.7047743718822259E-2</v>
      </c>
      <c r="BN23" s="3">
        <f t="shared" si="17"/>
        <v>1994</v>
      </c>
      <c r="BO23" s="3">
        <v>1744</v>
      </c>
      <c r="BP23" s="4">
        <f>Genaire!C23 + 'New Misos'!C23 + Phuris!C23 + Lasri!C23 + Slyiaduun!C23 + Aetintio!C23 + Metndria!C23 + Tomscilus!C23</f>
        <v>80848673.325214908</v>
      </c>
      <c r="BQ23" s="5">
        <f t="shared" si="18"/>
        <v>1.2851897500886993E-2</v>
      </c>
      <c r="BR23" s="5">
        <f t="shared" si="19"/>
        <v>1.5002288945310541E-2</v>
      </c>
      <c r="BY23" s="3">
        <f t="shared" si="20"/>
        <v>1994</v>
      </c>
      <c r="BZ23" s="3">
        <v>1744</v>
      </c>
      <c r="CA23" s="4">
        <f>Ealdorii!C23 + Ukhdari!C23 + Hkuqo!C23 + Acrana!C23 + Zenashan!C23</f>
        <v>233000701.93462801</v>
      </c>
      <c r="CB23" s="7">
        <f t="shared" si="21"/>
        <v>8.715646404730824E-3</v>
      </c>
      <c r="CC23" s="5">
        <f t="shared" si="22"/>
        <v>4.3235636543132776E-2</v>
      </c>
      <c r="CJ23" s="3">
        <f t="shared" si="23"/>
        <v>1994</v>
      </c>
      <c r="CK23" s="3">
        <v>1744</v>
      </c>
      <c r="CL23" s="4">
        <f>Estijan!C23 + Ikzen!C23 + Urbiqu!C23 + Danocia!C23 + Koruch!C23 + 'New Kizura'!C23 + Lydroa!C23 + Fermori!C23 + Uularin!C23 + 'Niul Spijan'!C23</f>
        <v>245140289.55455381</v>
      </c>
      <c r="CM23" s="7">
        <f t="shared" si="24"/>
        <v>3.0478002519516759E-3</v>
      </c>
      <c r="CN23" s="5">
        <f t="shared" si="25"/>
        <v>4.5488259791735201E-2</v>
      </c>
      <c r="CU23" s="3">
        <f t="shared" si="26"/>
        <v>1994</v>
      </c>
      <c r="CV23" s="3">
        <v>1744</v>
      </c>
      <c r="CW23" s="4">
        <f>Praesyu!C23 + Lycroa!C23 + Emara!C23 + Eldjo!C23 + Easuhura!C23 + Ilicuhe!C23 + Tonder!C23</f>
        <v>227191567.84750861</v>
      </c>
      <c r="CX23" s="7">
        <f t="shared" si="27"/>
        <v>4.0868781587980758E-3</v>
      </c>
      <c r="CY23" s="5">
        <f t="shared" si="28"/>
        <v>4.2157692966415639E-2</v>
      </c>
      <c r="DF23" s="3">
        <f t="shared" si="29"/>
        <v>1994</v>
      </c>
      <c r="DG23" s="3">
        <v>1744</v>
      </c>
      <c r="DH23" s="4">
        <f>Verusa!C23 + Darewa!C23 + Siana!C23 + Yaxuto!C23 + 'Merela Sta'!C23 + Palina!C23</f>
        <v>162598745.79801965</v>
      </c>
      <c r="DI23" s="7">
        <f t="shared" si="30"/>
        <v>3.0851281900213688E-3</v>
      </c>
      <c r="DJ23" s="5">
        <f t="shared" si="31"/>
        <v>3.017184161816306E-2</v>
      </c>
      <c r="DQ23" s="3">
        <f t="shared" si="32"/>
        <v>1994</v>
      </c>
      <c r="DR23" s="3">
        <v>1744</v>
      </c>
      <c r="DS23" s="4">
        <f>Sunsokua!C23 + Vayvele!C23 + Selaja!C23 + Sadain!C23</f>
        <v>158529599.87560964</v>
      </c>
      <c r="DT23" s="7">
        <f t="shared" si="33"/>
        <v>1.6698552856483063E-2</v>
      </c>
      <c r="DU23" s="5">
        <f t="shared" si="34"/>
        <v>2.9416770441632226E-2</v>
      </c>
      <c r="EB23" s="3">
        <f t="shared" si="35"/>
        <v>1994</v>
      </c>
      <c r="EC23" s="3">
        <v>1744</v>
      </c>
      <c r="ED23" s="4">
        <f>Pelugrotoa!C23 + Lieri!C23 + 'Rtesania'!C23 + Ozinia!C23</f>
        <v>348745978.65646076</v>
      </c>
      <c r="EE23" s="7">
        <f t="shared" si="36"/>
        <v>9.5907563663135634E-3</v>
      </c>
      <c r="EF23" s="5">
        <f t="shared" si="37"/>
        <v>6.4713343152503974E-2</v>
      </c>
      <c r="EM23" s="3">
        <f t="shared" si="38"/>
        <v>1994</v>
      </c>
      <c r="EN23" s="3">
        <v>1744</v>
      </c>
      <c r="EO23" s="4">
        <f>Ocaun!C23 + 'Dual Cenryia'!C23 + Byllu!C23 + Exilium!C23 + Inrea!C23 + Amcha!C23 + Isnti!C23 + Galca!C23 + Otiiric!C23 + Taing!C23 + 'Cruthi Anoso'!C23</f>
        <v>203571217.22573918</v>
      </c>
      <c r="EP23" s="7">
        <f t="shared" si="39"/>
        <v>3.0281756713685919E-2</v>
      </c>
      <c r="EQ23" s="5">
        <f t="shared" si="40"/>
        <v>3.7774698039684862E-2</v>
      </c>
      <c r="EX23" s="3">
        <f t="shared" si="41"/>
        <v>1994</v>
      </c>
      <c r="EY23" s="3">
        <v>1744</v>
      </c>
      <c r="EZ23" s="4">
        <f>Sivoso!C23 + Taoisia!C23 + Seytinemas!C23 + Trian!C23 + 'Chaenia'!C23</f>
        <v>118487270.79160208</v>
      </c>
      <c r="FA23" s="7">
        <f t="shared" si="42"/>
        <v>1.8186205471177507E-2</v>
      </c>
      <c r="FB23" s="5">
        <f t="shared" si="43"/>
        <v>2.198651133836825E-2</v>
      </c>
      <c r="FI23" s="3">
        <f t="shared" si="44"/>
        <v>1994</v>
      </c>
      <c r="FJ23" s="3">
        <v>1744</v>
      </c>
      <c r="FK23" s="4">
        <f>Migoku!C23 + 'Welenu Fana'!C23 + Haiza!C23 + Ucrua!C23 + Ihner!C23 + Oscairia!C23 + Shinam!C23 + 'Ruylku'!C23 + Taval!C23 + 'Western Migoku'!C23 + 'Pruim Fijan'!C23 + 'Canldives'!C23</f>
        <v>127845180.56913343</v>
      </c>
      <c r="FL23" s="7">
        <f t="shared" si="45"/>
        <v>2.0581284193899645E-2</v>
      </c>
      <c r="FM23" s="5">
        <f t="shared" si="46"/>
        <v>2.3722966132647325E-2</v>
      </c>
      <c r="FT23" s="3">
        <f t="shared" si="47"/>
        <v>1994</v>
      </c>
      <c r="FU23" s="3">
        <v>1744</v>
      </c>
      <c r="FV23" s="4">
        <f>Vesozata!C23 + Etretes!C23 + Kusierna!C23 + Eparia!C23</f>
        <v>96849915.405029014</v>
      </c>
      <c r="FW23" s="7">
        <f t="shared" si="48"/>
        <v>2.6433221665729121E-2</v>
      </c>
      <c r="FX23" s="5">
        <f t="shared" si="49"/>
        <v>1.7971481231244625E-2</v>
      </c>
      <c r="GE23" s="3">
        <f t="shared" si="50"/>
        <v>1994</v>
      </c>
      <c r="GF23" s="3">
        <v>1744</v>
      </c>
      <c r="GG23" s="4">
        <f>Dahe!C23 + Kaastini!C23 + Suenan!C23 + Oyreain!C23 + Sanagara!C23 + 'North Ayre'!C23 + Stinebar!C23 + 'Cloja'!C23 + 'Pha Hii'!C23 + 'Prystr Hii'!C23</f>
        <v>946300858.25701869</v>
      </c>
      <c r="GH23" s="7">
        <f t="shared" si="51"/>
        <v>6.9075238570268154E-3</v>
      </c>
      <c r="GI23" s="5">
        <f t="shared" si="52"/>
        <v>0.17559569404015835</v>
      </c>
      <c r="GP23" s="3">
        <f t="shared" si="53"/>
        <v>1994</v>
      </c>
      <c r="GQ23" s="3">
        <v>1744</v>
      </c>
      <c r="GR23" s="4">
        <f>Maalle!C23 + 'United Delet'!C23 + Ohtina!C23 + Astye!C23 + Prstreula!C23 + Veelmit!C23 + Aplasia!C23 + 'Elja and Munusia'!C23 + Walporein!C23 + 'Crila Republic'!C23 + 'Niretui and Anulan'!C23 + 'Rethern'!C23 + Tvecoca!C23</f>
        <v>148866318.26819834</v>
      </c>
      <c r="GS23" s="7">
        <f t="shared" si="54"/>
        <v>2.0273308921313626E-2</v>
      </c>
      <c r="GT23" s="5">
        <f t="shared" si="55"/>
        <v>2.7623650816142022E-2</v>
      </c>
      <c r="HA23" s="3">
        <f t="shared" si="56"/>
        <v>1994</v>
      </c>
      <c r="HB23" s="3">
        <v>1744</v>
      </c>
      <c r="HC23" s="4">
        <f>Andsaudare!C23 + Nia!C23 + Umarcia!C23 + Mendereide!C23 + Iainoa!C23 + Isari!C23 + 'Rkmepuia'!C23 + Hiwush!C23 + Isuibul!C23 + Yutnitu!C23</f>
        <v>52845831.658173345</v>
      </c>
      <c r="HD23" s="7">
        <f t="shared" si="57"/>
        <v>1.1866767803796223E-2</v>
      </c>
      <c r="HE23" s="5">
        <f t="shared" si="58"/>
        <v>9.8060784856923103E-3</v>
      </c>
      <c r="HL23" s="3">
        <f t="shared" si="59"/>
        <v>1994</v>
      </c>
      <c r="HM23" s="3">
        <v>1744</v>
      </c>
      <c r="HN23" s="4">
        <f>Zhanshe!C23 + Volver!C23 + Finae!C23 + Myla!C23 + 'Nheyes Si'!C23 + Onphello!C23 + Hyelen!C23</f>
        <v>92699521.648734644</v>
      </c>
      <c r="HO23" s="7">
        <f t="shared" si="60"/>
        <v>2.0783339092803346E-2</v>
      </c>
      <c r="HP23" s="5">
        <f t="shared" si="61"/>
        <v>1.7201333697490082E-2</v>
      </c>
      <c r="HW23" s="3">
        <f t="shared" si="62"/>
        <v>1994</v>
      </c>
      <c r="HX23" s="3">
        <v>1744</v>
      </c>
      <c r="HY23" s="4">
        <f>Yihnurda!C23 + Ztesh!C23 + Wundry!C23 + Anymna!C23 + Shomjind!C23 + Baluyde!C23 + Letan!C23</f>
        <v>398252218.43605733</v>
      </c>
      <c r="HZ23" s="7">
        <f t="shared" si="63"/>
        <v>2.3416344429549145E-2</v>
      </c>
      <c r="IA23" s="5">
        <f t="shared" si="64"/>
        <v>7.3899726592363102E-2</v>
      </c>
      <c r="IH23" s="3">
        <f t="shared" si="65"/>
        <v>1994</v>
      </c>
      <c r="II23" s="3">
        <v>1744</v>
      </c>
      <c r="IJ23" s="4">
        <f>Iareva!C23 + 'United Mihili'!C23 + 'Mesjan Hyaa'!C23 + Desaki!C23 + 'Far Lands'!C23</f>
        <v>50540999.411061198</v>
      </c>
      <c r="IK23" s="7">
        <f t="shared" si="66"/>
        <v>2.8705864495743381E-2</v>
      </c>
      <c r="IL23" s="5">
        <f t="shared" si="67"/>
        <v>9.3783935538375076E-3</v>
      </c>
      <c r="IS23" s="3">
        <f t="shared" si="68"/>
        <v>1994</v>
      </c>
      <c r="IT23" s="3">
        <v>1744</v>
      </c>
      <c r="IU23" s="4">
        <f>Verste!C23 + Quidic!C23 + Erkizil!C23 + Ashain!C23 + Ahokini!C23</f>
        <v>287992805.39302748</v>
      </c>
      <c r="IV23" s="7">
        <f t="shared" si="69"/>
        <v>1.6647783999271609E-2</v>
      </c>
      <c r="IW23" s="5">
        <f t="shared" si="70"/>
        <v>5.3439977466263527E-2</v>
      </c>
    </row>
    <row r="24" spans="1:257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5319135412.1791487</v>
      </c>
      <c r="D24" s="5">
        <f t="shared" si="1"/>
        <v>1.2968056891963235E-2</v>
      </c>
      <c r="K24" s="3">
        <f t="shared" si="2"/>
        <v>1993</v>
      </c>
      <c r="L24" s="3">
        <v>1743</v>
      </c>
      <c r="M24" s="4">
        <f>Eldavpir!C24 + Iquir!C24 + Viussi!C24 + Umendel!C24 + 'Reerica'!C24 + Saa!C24 + Sattle!C24</f>
        <v>62138290.69521828</v>
      </c>
      <c r="N24" s="5">
        <f t="shared" si="3"/>
        <v>2.5430092429005138E-2</v>
      </c>
      <c r="O24" s="5">
        <f t="shared" si="4"/>
        <v>1.1682028352378682E-2</v>
      </c>
      <c r="V24" s="3">
        <f t="shared" si="5"/>
        <v>1993</v>
      </c>
      <c r="W24" s="3">
        <v>1743</v>
      </c>
      <c r="X24" s="4">
        <f>'Areoix Lie'!C24 + Jau!C24 + Terressin!C24 + Acetoa!C24 + 'Feio Lie'!C24</f>
        <v>583987348.83731377</v>
      </c>
      <c r="Y24" s="5">
        <f t="shared" si="6"/>
        <v>9.8731339444449034E-3</v>
      </c>
      <c r="Z24" s="5">
        <f t="shared" si="7"/>
        <v>0.10978990072337061</v>
      </c>
      <c r="AG24" s="3">
        <f t="shared" si="8"/>
        <v>1993</v>
      </c>
      <c r="AH24" s="3">
        <v>1743</v>
      </c>
      <c r="AI24" s="4">
        <f>Taniduna!C24 + Jathua!C24 + Deschon!C24 + Pelines!C24 + 'Candenat'!C24 + Othya!C24 + Yoprioq!C24 + Jshain!C24 + 'Fire Coast'!C24 + 'Rijan bu'!C24 + 'Rinew'!C24 + Enina!C24 + Trevilla!C24</f>
        <v>131060674.01586908</v>
      </c>
      <c r="AJ24" s="5">
        <f t="shared" si="9"/>
        <v>2.5344349855110256E-2</v>
      </c>
      <c r="AK24" s="5">
        <f t="shared" si="10"/>
        <v>2.4639469361088517E-2</v>
      </c>
      <c r="AR24" s="3">
        <f t="shared" si="11"/>
        <v>1993</v>
      </c>
      <c r="AS24" s="3">
        <v>1743</v>
      </c>
      <c r="AT24" s="4">
        <f>Gaeiya!C24 + 'Raledria'!C24 + Arbiya!C24 + Fincen!C24 + 'Curata'!C24</f>
        <v>244998677.83444819</v>
      </c>
      <c r="AU24" s="5">
        <f t="shared" si="12"/>
        <v>8.8626693429299745E-3</v>
      </c>
      <c r="AV24" s="5">
        <f t="shared" si="13"/>
        <v>4.6059868540567366E-2</v>
      </c>
      <c r="BC24" s="3">
        <f t="shared" si="14"/>
        <v>1993</v>
      </c>
      <c r="BD24" s="3">
        <v>1743</v>
      </c>
      <c r="BE24" s="4">
        <f>Etirha!C24 + Laselteh!C24 + Grazail!C24 + 'Disal Nila'!C24 + Pelan!C24 + Peka!C24 + Guise!C24</f>
        <v>90642885.6607894</v>
      </c>
      <c r="BF24" s="5">
        <f t="shared" si="15"/>
        <v>1.1952457754558861E-2</v>
      </c>
      <c r="BG24" s="5">
        <f t="shared" si="16"/>
        <v>1.7040905830907345E-2</v>
      </c>
      <c r="BN24" s="3">
        <f t="shared" si="17"/>
        <v>1993</v>
      </c>
      <c r="BO24" s="3">
        <v>1743</v>
      </c>
      <c r="BP24" s="4">
        <f>Genaire!C24 + 'New Misos'!C24 + Phuris!C24 + Lasri!C24 + Slyiaduun!C24 + Aetintio!C24 + Metndria!C24 + Tomscilus!C24</f>
        <v>79822798.895575061</v>
      </c>
      <c r="BQ24" s="5">
        <f t="shared" si="18"/>
        <v>1.3602746532580321E-2</v>
      </c>
      <c r="BR24" s="5">
        <f t="shared" si="19"/>
        <v>1.5006724347119634E-2</v>
      </c>
      <c r="BY24" s="3">
        <f t="shared" si="20"/>
        <v>1993</v>
      </c>
      <c r="BZ24" s="3">
        <v>1743</v>
      </c>
      <c r="CA24" s="4">
        <f>Ealdorii!C24 + Ukhdari!C24 + Hkuqo!C24 + Acrana!C24 + Zenashan!C24</f>
        <v>230987496.59043184</v>
      </c>
      <c r="CB24" s="6">
        <f t="shared" si="21"/>
        <v>6.7337021620736239E-3</v>
      </c>
      <c r="CC24" s="5">
        <f t="shared" si="22"/>
        <v>4.3425759769443559E-2</v>
      </c>
      <c r="CJ24" s="3">
        <f t="shared" si="23"/>
        <v>1993</v>
      </c>
      <c r="CK24" s="3">
        <v>1743</v>
      </c>
      <c r="CL24" s="4">
        <f>Estijan!C24 + Ikzen!C24 + Urbiqu!C24 + Danocia!C24 + Koruch!C24 + 'New Kizura'!C24 + Lydroa!C24 + Fermori!C24 + Uularin!C24 + 'Niul Spijan'!C24</f>
        <v>244395421.12846264</v>
      </c>
      <c r="CM24" s="6">
        <f t="shared" si="24"/>
        <v>-8.2408355086028477E-4</v>
      </c>
      <c r="CN24" s="5">
        <f t="shared" si="25"/>
        <v>4.5946455991489506E-2</v>
      </c>
      <c r="CU24" s="3">
        <f t="shared" si="26"/>
        <v>1993</v>
      </c>
      <c r="CV24" s="3">
        <v>1743</v>
      </c>
      <c r="CW24" s="4">
        <f>Praesyu!C24 + Lycroa!C24 + Emara!C24 + Eldjo!C24 + Easuhura!C24 + Ilicuhe!C24 + Tonder!C24</f>
        <v>226266842.82948858</v>
      </c>
      <c r="CX24" s="6">
        <f t="shared" si="27"/>
        <v>5.6724589569875153E-3</v>
      </c>
      <c r="CY24" s="5">
        <f t="shared" si="28"/>
        <v>4.2538274605946037E-2</v>
      </c>
      <c r="DF24" s="3">
        <f t="shared" si="29"/>
        <v>1993</v>
      </c>
      <c r="DG24" s="3">
        <v>1743</v>
      </c>
      <c r="DH24" s="4">
        <f>Verusa!C24 + Darewa!C24 + Siana!C24 + Yaxuto!C24 + 'Merela Sta'!C24 + Palina!C24</f>
        <v>162098650.68123853</v>
      </c>
      <c r="DI24" s="6">
        <f t="shared" si="30"/>
        <v>3.6615041918073056E-3</v>
      </c>
      <c r="DJ24" s="5">
        <f t="shared" si="31"/>
        <v>3.0474623810118381E-2</v>
      </c>
      <c r="DQ24" s="3">
        <f t="shared" si="32"/>
        <v>1993</v>
      </c>
      <c r="DR24" s="3">
        <v>1743</v>
      </c>
      <c r="DS24" s="4">
        <f>Sunsokua!C24 + Vayvele!C24 + Selaja!C24 + Sadain!C24</f>
        <v>155925863.60058254</v>
      </c>
      <c r="DT24" s="6">
        <f t="shared" si="33"/>
        <v>1.8056699275421684E-2</v>
      </c>
      <c r="DU24" s="5">
        <f t="shared" si="34"/>
        <v>2.931413688840508E-2</v>
      </c>
      <c r="EB24" s="3">
        <f t="shared" si="35"/>
        <v>1993</v>
      </c>
      <c r="EC24" s="3">
        <v>1743</v>
      </c>
      <c r="ED24" s="4">
        <f>Pelugrotoa!C24 + Lieri!C24 + 'Rtesania'!C24 + Ozinia!C24</f>
        <v>345433014.77091175</v>
      </c>
      <c r="EE24" s="6">
        <f t="shared" si="36"/>
        <v>9.9384569889145822E-3</v>
      </c>
      <c r="EF24" s="5">
        <f t="shared" si="37"/>
        <v>6.4941571891548144E-2</v>
      </c>
      <c r="EM24" s="3">
        <f t="shared" si="38"/>
        <v>1993</v>
      </c>
      <c r="EN24" s="3">
        <v>1743</v>
      </c>
      <c r="EO24" s="4">
        <f>Ocaun!C24 + 'Dual Cenryia'!C24 + Byllu!C24 + Exilium!C24 + Inrea!C24 + Amcha!C24 + Isnti!C24 + Galca!C24 + Otiiric!C24 + Taing!C24 + 'Cruthi Anoso'!C24</f>
        <v>197587908.25829539</v>
      </c>
      <c r="EP24" s="6">
        <f t="shared" si="39"/>
        <v>2.3270140263212152E-2</v>
      </c>
      <c r="EQ24" s="5">
        <f t="shared" si="40"/>
        <v>3.7146621198227286E-2</v>
      </c>
      <c r="EX24" s="3">
        <f t="shared" si="41"/>
        <v>1993</v>
      </c>
      <c r="EY24" s="3">
        <v>1743</v>
      </c>
      <c r="EZ24" s="4">
        <f>Sivoso!C24 + Taoisia!C24 + Seytinemas!C24 + Trian!C24 + 'Chaenia'!C24</f>
        <v>116370925.23441792</v>
      </c>
      <c r="FA24" s="6">
        <f t="shared" si="42"/>
        <v>2.1301694237754354E-2</v>
      </c>
      <c r="FB24" s="5">
        <f t="shared" si="43"/>
        <v>2.1877789568576327E-2</v>
      </c>
      <c r="FI24" s="3">
        <f t="shared" si="44"/>
        <v>1993</v>
      </c>
      <c r="FJ24" s="3">
        <v>1743</v>
      </c>
      <c r="FK24" s="4">
        <f>Migoku!C24 + 'Welenu Fana'!C24 + Haiza!C24 + Ucrua!C24 + Ihner!C24 + Oscairia!C24 + Shinam!C24 + 'Ruylku'!C24 + Taval!C24 + 'Western Migoku'!C24 + 'Pruim Fijan'!C24 + 'Canldives'!C24</f>
        <v>125267024.34104621</v>
      </c>
      <c r="FL24" s="6">
        <f t="shared" si="45"/>
        <v>1.904505674760959E-2</v>
      </c>
      <c r="FM24" s="5">
        <f t="shared" si="46"/>
        <v>2.3550260452896928E-2</v>
      </c>
      <c r="FT24" s="3">
        <f t="shared" si="47"/>
        <v>1993</v>
      </c>
      <c r="FU24" s="3">
        <v>1743</v>
      </c>
      <c r="FV24" s="4">
        <f>Vesozata!C24 + Etretes!C24 + Kusierna!C24 + Eparia!C24</f>
        <v>94355787.946787059</v>
      </c>
      <c r="FW24" s="6">
        <f t="shared" si="48"/>
        <v>2.7300749236017361E-2</v>
      </c>
      <c r="FX24" s="5">
        <f t="shared" si="49"/>
        <v>1.7738933235416785E-2</v>
      </c>
      <c r="GE24" s="3">
        <f t="shared" si="50"/>
        <v>1993</v>
      </c>
      <c r="GF24" s="3">
        <v>1743</v>
      </c>
      <c r="GG24" s="4">
        <f>Dahe!C24 + Kaastini!C24 + Suenan!C24 + Oyreain!C24 + Sanagara!C24 + 'North Ayre'!C24 + Stinebar!C24 + 'Cloja'!C24 + 'Pha Hii'!C24 + 'Prystr Hii'!C24</f>
        <v>939809104.44700003</v>
      </c>
      <c r="GH24" s="6">
        <f t="shared" si="51"/>
        <v>7.3096702692164927E-3</v>
      </c>
      <c r="GI24" s="5">
        <f t="shared" si="52"/>
        <v>0.17668456085835538</v>
      </c>
      <c r="GP24" s="3">
        <f t="shared" si="53"/>
        <v>1993</v>
      </c>
      <c r="GQ24" s="3">
        <v>1743</v>
      </c>
      <c r="GR24" s="4">
        <f>Maalle!C24 + 'United Delet'!C24 + Ohtina!C24 + Astye!C24 + Prstreula!C24 + Veelmit!C24 + Aplasia!C24 + 'Elja and Munusia'!C24 + Walporein!C24 + 'Crila Republic'!C24 + 'Niretui and Anulan'!C24 + 'Rethern'!C24 + Tvecoca!C24</f>
        <v>145908274.74021408</v>
      </c>
      <c r="GS24" s="6">
        <f t="shared" si="54"/>
        <v>2.1023895457211506E-2</v>
      </c>
      <c r="GT24" s="5">
        <f t="shared" si="55"/>
        <v>2.7430825394316901E-2</v>
      </c>
      <c r="HA24" s="3">
        <f t="shared" si="56"/>
        <v>1993</v>
      </c>
      <c r="HB24" s="3">
        <v>1743</v>
      </c>
      <c r="HC24" s="4">
        <f>Andsaudare!C24 + Nia!C24 + Umarcia!C24 + Mendereide!C24 + Iainoa!C24 + Isari!C24 + 'Rkmepuia'!C24 + Hiwush!C24 + Isuibul!C24 + Yutnitu!C24</f>
        <v>52226076.929942518</v>
      </c>
      <c r="HD24" s="6">
        <f t="shared" si="57"/>
        <v>1.5721834003970491E-2</v>
      </c>
      <c r="HE24" s="5">
        <f t="shared" si="58"/>
        <v>9.8185274265365028E-3</v>
      </c>
      <c r="HL24" s="3">
        <f t="shared" si="59"/>
        <v>1993</v>
      </c>
      <c r="HM24" s="3">
        <v>1743</v>
      </c>
      <c r="HN24" s="4">
        <f>Zhanshe!C24 + Volver!C24 + Finae!C24 + Myla!C24 + 'Nheyes Si'!C24 + Onphello!C24 + Hyelen!C24</f>
        <v>90812142.105609909</v>
      </c>
      <c r="HO24" s="6">
        <f t="shared" si="60"/>
        <v>2.1803592046827549E-2</v>
      </c>
      <c r="HP24" s="5">
        <f t="shared" si="61"/>
        <v>1.7072726123437024E-2</v>
      </c>
      <c r="HW24" s="3">
        <f t="shared" si="62"/>
        <v>1993</v>
      </c>
      <c r="HX24" s="3">
        <v>1743</v>
      </c>
      <c r="HY24" s="4">
        <f>Yihnurda!C24 + Ztesh!C24 + Wundry!C24 + Anymna!C24 + Shomjind!C24 + Baluyde!C24 + Letan!C24</f>
        <v>389139982.57282335</v>
      </c>
      <c r="HZ24" s="6">
        <f t="shared" si="63"/>
        <v>2.3862804860520906E-2</v>
      </c>
      <c r="IA24" s="5">
        <f t="shared" si="64"/>
        <v>7.3158502729938985E-2</v>
      </c>
      <c r="IH24" s="3">
        <f t="shared" si="65"/>
        <v>1993</v>
      </c>
      <c r="II24" s="3">
        <v>1743</v>
      </c>
      <c r="IJ24" s="4">
        <f>Iareva!C24 + 'United Mihili'!C24 + 'Mesjan Hyaa'!C24 + Desaki!C24 + 'Far Lands'!C24</f>
        <v>49130661.305052109</v>
      </c>
      <c r="IK24" s="6">
        <f t="shared" si="66"/>
        <v>2.945573661680238E-2</v>
      </c>
      <c r="IL24" s="5">
        <f t="shared" si="67"/>
        <v>9.2365878094696242E-3</v>
      </c>
      <c r="IS24" s="3">
        <f t="shared" si="68"/>
        <v>1993</v>
      </c>
      <c r="IT24" s="3">
        <v>1743</v>
      </c>
      <c r="IU24" s="4">
        <f>Verste!C24 + Quidic!C24 + Erkizil!C24 + Ashain!C24 + Ahokini!C24</f>
        <v>283276873.19607025</v>
      </c>
      <c r="IV24" s="6">
        <f t="shared" si="69"/>
        <v>1.689294123146352E-2</v>
      </c>
      <c r="IW24" s="5">
        <f t="shared" si="70"/>
        <v>5.3256187565267697E-2</v>
      </c>
    </row>
    <row r="25" spans="1:257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5251039631.4959555</v>
      </c>
      <c r="D25" s="5">
        <f t="shared" si="1"/>
        <v>1.3484154449169311E-2</v>
      </c>
      <c r="K25" s="3">
        <f t="shared" si="2"/>
        <v>1992</v>
      </c>
      <c r="L25" s="3">
        <v>1742</v>
      </c>
      <c r="M25" s="4">
        <f>Eldavpir!C25 + Iquir!C25 + Viussi!C25 + Umendel!C25 + 'Reerica'!C25 + Saa!C25 + Sattle!C25</f>
        <v>60597295.860537052</v>
      </c>
      <c r="N25" s="5">
        <f t="shared" si="3"/>
        <v>2.845727478117346E-2</v>
      </c>
      <c r="O25" s="5">
        <f t="shared" si="4"/>
        <v>1.1540056848375689E-2</v>
      </c>
      <c r="V25" s="3">
        <f t="shared" si="5"/>
        <v>1992</v>
      </c>
      <c r="W25" s="3">
        <v>1742</v>
      </c>
      <c r="X25" s="4">
        <f>'Areoix Lie'!C25 + Jau!C25 + Terressin!C25 + Acetoa!C25 + 'Feio Lie'!C25</f>
        <v>578277933.34428883</v>
      </c>
      <c r="Y25" s="5">
        <f t="shared" si="6"/>
        <v>1.0217999668047657E-2</v>
      </c>
      <c r="Z25" s="5">
        <f t="shared" si="7"/>
        <v>0.11012637000028595</v>
      </c>
      <c r="AG25" s="3">
        <f t="shared" si="8"/>
        <v>1992</v>
      </c>
      <c r="AH25" s="3">
        <v>1742</v>
      </c>
      <c r="AI25" s="4">
        <f>Taniduna!C25 + Jathua!C25 + Deschon!C25 + Pelines!C25 + 'Candenat'!C25 + Othya!C25 + Yoprioq!C25 + Jshain!C25 + 'Fire Coast'!C25 + 'Rijan bu'!C25 + 'Rinew'!C25 + Enina!C25 + Trevilla!C25</f>
        <v>127821130.56397985</v>
      </c>
      <c r="AJ25" s="5">
        <f t="shared" si="9"/>
        <v>2.7056239535804608E-2</v>
      </c>
      <c r="AK25" s="5">
        <f t="shared" si="10"/>
        <v>2.4342061674283193E-2</v>
      </c>
      <c r="AR25" s="3">
        <f t="shared" si="11"/>
        <v>1992</v>
      </c>
      <c r="AS25" s="3">
        <v>1742</v>
      </c>
      <c r="AT25" s="4">
        <f>Gaeiya!C25 + 'Raledria'!C25 + Arbiya!C25 + Fincen!C25 + 'Curata'!C25</f>
        <v>242846410.39797348</v>
      </c>
      <c r="AU25" s="5">
        <f t="shared" si="12"/>
        <v>1.0959181905269236E-2</v>
      </c>
      <c r="AV25" s="5">
        <f t="shared" si="13"/>
        <v>4.6247300999476472E-2</v>
      </c>
      <c r="BC25" s="3">
        <f t="shared" si="14"/>
        <v>1992</v>
      </c>
      <c r="BD25" s="3">
        <v>1742</v>
      </c>
      <c r="BE25" s="4">
        <f>Etirha!C25 + Laselteh!C25 + Grazail!C25 + 'Disal Nila'!C25 + Pelan!C25 + Peka!C25 + Guise!C25</f>
        <v>89572276.806282654</v>
      </c>
      <c r="BF25" s="5">
        <f t="shared" si="15"/>
        <v>1.2859526031812129E-2</v>
      </c>
      <c r="BG25" s="5">
        <f t="shared" si="16"/>
        <v>1.70580081454774E-2</v>
      </c>
      <c r="BN25" s="3">
        <f t="shared" si="17"/>
        <v>1992</v>
      </c>
      <c r="BO25" s="3">
        <v>1742</v>
      </c>
      <c r="BP25" s="4">
        <f>Genaire!C25 + 'New Misos'!C25 + Phuris!C25 + Lasri!C25 + Slyiaduun!C25 + Aetintio!C25 + Metndria!C25 + Tomscilus!C25</f>
        <v>78751561.367251396</v>
      </c>
      <c r="BQ25" s="5">
        <f t="shared" si="18"/>
        <v>1.3672219442504966E-2</v>
      </c>
      <c r="BR25" s="5">
        <f t="shared" si="19"/>
        <v>1.4997327556793942E-2</v>
      </c>
      <c r="BY25" s="3">
        <f t="shared" si="20"/>
        <v>1992</v>
      </c>
      <c r="BZ25" s="3">
        <v>1742</v>
      </c>
      <c r="CA25" s="4">
        <f>Ealdorii!C25 + Ukhdari!C25 + Hkuqo!C25 + Acrana!C25 + Zenashan!C25</f>
        <v>229442499.13791528</v>
      </c>
      <c r="CB25" s="7">
        <f t="shared" si="21"/>
        <v>9.9399862628277904E-3</v>
      </c>
      <c r="CC25" s="5">
        <f t="shared" si="22"/>
        <v>4.3694680527968134E-2</v>
      </c>
      <c r="CJ25" s="3">
        <f t="shared" si="23"/>
        <v>1992</v>
      </c>
      <c r="CK25" s="3">
        <v>1742</v>
      </c>
      <c r="CL25" s="4">
        <f>Estijan!C25 + Ikzen!C25 + Urbiqu!C25 + Danocia!C25 + Koruch!C25 + 'New Kizura'!C25 + Lydroa!C25 + Fermori!C25 + Uularin!C25 + 'Niul Spijan'!C25</f>
        <v>244596989.48408642</v>
      </c>
      <c r="CM25" s="7">
        <f t="shared" si="24"/>
        <v>-3.3822207865575736E-4</v>
      </c>
      <c r="CN25" s="5">
        <f t="shared" si="25"/>
        <v>4.6580678617808069E-2</v>
      </c>
      <c r="CU25" s="3">
        <f t="shared" si="26"/>
        <v>1992</v>
      </c>
      <c r="CV25" s="3">
        <v>1742</v>
      </c>
      <c r="CW25" s="4">
        <f>Praesyu!C25 + Lycroa!C25 + Emara!C25 + Eldjo!C25 + Easuhura!C25 + Ilicuhe!C25 + Tonder!C25</f>
        <v>224990592.9254109</v>
      </c>
      <c r="CX25" s="7">
        <f t="shared" si="27"/>
        <v>6.8750593689708758E-3</v>
      </c>
      <c r="CY25" s="5">
        <f t="shared" si="28"/>
        <v>4.2846866280709044E-2</v>
      </c>
      <c r="DF25" s="3">
        <f t="shared" si="29"/>
        <v>1992</v>
      </c>
      <c r="DG25" s="3">
        <v>1742</v>
      </c>
      <c r="DH25" s="4">
        <f>Verusa!C25 + Darewa!C25 + Siana!C25 + Yaxuto!C25 + 'Merela Sta'!C25 + Palina!C25</f>
        <v>161507291.05802214</v>
      </c>
      <c r="DI25" s="7">
        <f t="shared" si="30"/>
        <v>3.8848025844893746E-3</v>
      </c>
      <c r="DJ25" s="5">
        <f t="shared" si="31"/>
        <v>3.0757202838328366E-2</v>
      </c>
      <c r="DQ25" s="3">
        <f t="shared" si="32"/>
        <v>1992</v>
      </c>
      <c r="DR25" s="3">
        <v>1742</v>
      </c>
      <c r="DS25" s="4">
        <f>Sunsokua!C25 + Vayvele!C25 + Selaja!C25 + Sadain!C25</f>
        <v>153160294.22679421</v>
      </c>
      <c r="DT25" s="7">
        <f t="shared" si="33"/>
        <v>1.9213301431412023E-2</v>
      </c>
      <c r="DU25" s="5">
        <f t="shared" si="34"/>
        <v>2.9167613458510645E-2</v>
      </c>
      <c r="EB25" s="3">
        <f t="shared" si="35"/>
        <v>1992</v>
      </c>
      <c r="EC25" s="3">
        <v>1742</v>
      </c>
      <c r="ED25" s="4">
        <f>Pelugrotoa!C25 + Lieri!C25 + 'Rtesania'!C25 + Ozinia!C25</f>
        <v>342033727.28354609</v>
      </c>
      <c r="EE25" s="7">
        <f t="shared" si="36"/>
        <v>1.0541855774076448E-2</v>
      </c>
      <c r="EF25" s="5">
        <f t="shared" si="37"/>
        <v>6.5136382752096073E-2</v>
      </c>
      <c r="EM25" s="3">
        <f t="shared" si="38"/>
        <v>1992</v>
      </c>
      <c r="EN25" s="3">
        <v>1742</v>
      </c>
      <c r="EO25" s="4">
        <f>Ocaun!C25 + 'Dual Cenryia'!C25 + Byllu!C25 + Exilium!C25 + Inrea!C25 + Amcha!C25 + Isnti!C25 + Galca!C25 + Otiiric!C25 + Taing!C25 + 'Cruthi Anoso'!C25</f>
        <v>193094570.51827052</v>
      </c>
      <c r="EP25" s="7">
        <f t="shared" si="39"/>
        <v>2.128288174077253E-2</v>
      </c>
      <c r="EQ25" s="5">
        <f t="shared" si="40"/>
        <v>3.6772636290932033E-2</v>
      </c>
      <c r="EX25" s="3">
        <f t="shared" si="41"/>
        <v>1992</v>
      </c>
      <c r="EY25" s="3">
        <v>1742</v>
      </c>
      <c r="EZ25" s="4">
        <f>Sivoso!C25 + Taoisia!C25 + Seytinemas!C25 + Trian!C25 + 'Chaenia'!C25</f>
        <v>113943730.72226325</v>
      </c>
      <c r="FA25" s="7">
        <f t="shared" si="42"/>
        <v>2.395901657492713E-2</v>
      </c>
      <c r="FB25" s="5">
        <f t="shared" si="43"/>
        <v>2.1699270757513232E-2</v>
      </c>
      <c r="FI25" s="3">
        <f t="shared" si="44"/>
        <v>1992</v>
      </c>
      <c r="FJ25" s="3">
        <v>1742</v>
      </c>
      <c r="FK25" s="4">
        <f>Migoku!C25 + 'Welenu Fana'!C25 + Haiza!C25 + Ucrua!C25 + Ihner!C25 + Oscairia!C25 + Shinam!C25 + 'Ruylku'!C25 + Taval!C25 + 'Western Migoku'!C25 + 'Pruim Fijan'!C25 + 'Canldives'!C25</f>
        <v>122925893.71940944</v>
      </c>
      <c r="FL25" s="7">
        <f t="shared" si="45"/>
        <v>1.66345788696463E-2</v>
      </c>
      <c r="FM25" s="5">
        <f t="shared" si="46"/>
        <v>2.3409820215809223E-2</v>
      </c>
      <c r="FT25" s="3">
        <f t="shared" si="47"/>
        <v>1992</v>
      </c>
      <c r="FU25" s="3">
        <v>1742</v>
      </c>
      <c r="FV25" s="4">
        <f>Vesozata!C25 + Etretes!C25 + Kusierna!C25 + Eparia!C25</f>
        <v>91848261.589371502</v>
      </c>
      <c r="FW25" s="7">
        <f t="shared" si="48"/>
        <v>2.9060606449285944E-2</v>
      </c>
      <c r="FX25" s="5">
        <f t="shared" si="49"/>
        <v>1.7491443225539909E-2</v>
      </c>
      <c r="GE25" s="3">
        <f t="shared" si="50"/>
        <v>1992</v>
      </c>
      <c r="GF25" s="3">
        <v>1742</v>
      </c>
      <c r="GG25" s="4">
        <f>Dahe!C25 + Kaastini!C25 + Suenan!C25 + Oyreain!C25 + Sanagara!C25 + 'North Ayre'!C25 + Stinebar!C25 + 'Cloja'!C25 + 'Pha Hii'!C25 + 'Prystr Hii'!C25</f>
        <v>932989260.58738613</v>
      </c>
      <c r="GH25" s="7">
        <f t="shared" si="51"/>
        <v>7.5484365236177676E-3</v>
      </c>
      <c r="GI25" s="5">
        <f t="shared" si="52"/>
        <v>0.17767705560462305</v>
      </c>
      <c r="GP25" s="3">
        <f t="shared" si="53"/>
        <v>1992</v>
      </c>
      <c r="GQ25" s="3">
        <v>1742</v>
      </c>
      <c r="GR25" s="4">
        <f>Maalle!C25 + 'United Delet'!C25 + Ohtina!C25 + Astye!C25 + Prstreula!C25 + Veelmit!C25 + Aplasia!C25 + 'Elja and Munusia'!C25 + Walporein!C25 + 'Crila Republic'!C25 + 'Niretui and Anulan'!C25 + 'Rethern'!C25 + Tvecoca!C25</f>
        <v>142903878.53741345</v>
      </c>
      <c r="GS25" s="7">
        <f t="shared" si="54"/>
        <v>2.1849320111367518E-2</v>
      </c>
      <c r="GT25" s="5">
        <f t="shared" si="55"/>
        <v>2.7214397255787216E-2</v>
      </c>
      <c r="HA25" s="3">
        <f t="shared" si="56"/>
        <v>1992</v>
      </c>
      <c r="HB25" s="3">
        <v>1742</v>
      </c>
      <c r="HC25" s="4">
        <f>Andsaudare!C25 + Nia!C25 + Umarcia!C25 + Mendereide!C25 + Iainoa!C25 + Isari!C25 + 'Rkmepuia'!C25 + Hiwush!C25 + Isuibul!C25 + Yutnitu!C25</f>
        <v>51417696.441620812</v>
      </c>
      <c r="HD25" s="7">
        <f t="shared" si="57"/>
        <v>1.0348515392669859E-2</v>
      </c>
      <c r="HE25" s="5">
        <f t="shared" si="58"/>
        <v>9.7919078982408193E-3</v>
      </c>
      <c r="HL25" s="3">
        <f t="shared" si="59"/>
        <v>1992</v>
      </c>
      <c r="HM25" s="3">
        <v>1742</v>
      </c>
      <c r="HN25" s="4">
        <f>Zhanshe!C25 + Volver!C25 + Finae!C25 + Myla!C25 + 'Nheyes Si'!C25 + Onphello!C25 + Hyelen!C25</f>
        <v>88874361.777980655</v>
      </c>
      <c r="HO25" s="7">
        <f t="shared" si="60"/>
        <v>2.1747718781881389E-2</v>
      </c>
      <c r="HP25" s="5">
        <f t="shared" si="61"/>
        <v>1.692509826909485E-2</v>
      </c>
      <c r="HW25" s="3">
        <f t="shared" si="62"/>
        <v>1992</v>
      </c>
      <c r="HX25" s="3">
        <v>1742</v>
      </c>
      <c r="HY25" s="4">
        <f>Yihnurda!C25 + Ztesh!C25 + Wundry!C25 + Anymna!C25 + Shomjind!C25 + Baluyde!C25 + Letan!C25</f>
        <v>380070435.9270432</v>
      </c>
      <c r="HZ25" s="7">
        <f t="shared" si="63"/>
        <v>2.4287470934289457E-2</v>
      </c>
      <c r="IA25" s="5">
        <f t="shared" si="64"/>
        <v>7.2380035688050195E-2</v>
      </c>
      <c r="IH25" s="3">
        <f t="shared" si="65"/>
        <v>1992</v>
      </c>
      <c r="II25" s="3">
        <v>1742</v>
      </c>
      <c r="IJ25" s="4">
        <f>Iareva!C25 + 'United Mihili'!C25 + 'Mesjan Hyaa'!C25 + Desaki!C25 + 'Far Lands'!C25</f>
        <v>47724889.529019326</v>
      </c>
      <c r="IK25" s="7">
        <f t="shared" si="66"/>
        <v>2.9322611187820518E-2</v>
      </c>
      <c r="IL25" s="5">
        <f t="shared" si="67"/>
        <v>9.0886553669797965E-3</v>
      </c>
      <c r="IS25" s="3">
        <f t="shared" si="68"/>
        <v>1992</v>
      </c>
      <c r="IT25" s="3">
        <v>1742</v>
      </c>
      <c r="IU25" s="4">
        <f>Verste!C25 + Quidic!C25 + Erkizil!C25 + Ashain!C25 + Ahokini!C25</f>
        <v>278570989.83598042</v>
      </c>
      <c r="IV25" s="7">
        <f t="shared" si="69"/>
        <v>1.7106178110597819E-2</v>
      </c>
      <c r="IW25" s="5">
        <f t="shared" si="70"/>
        <v>5.3050635566545712E-2</v>
      </c>
    </row>
    <row r="26" spans="1:257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5181175856.0250072</v>
      </c>
      <c r="D26" s="5">
        <f t="shared" si="1"/>
        <v>1.4085256761843133E-2</v>
      </c>
      <c r="K26" s="3">
        <f t="shared" si="2"/>
        <v>1991</v>
      </c>
      <c r="L26" s="3">
        <v>1741</v>
      </c>
      <c r="M26" s="4">
        <f>Eldavpir!C26 + Iquir!C26 + Viussi!C26 + Umendel!C26 + 'Reerica'!C26 + Saa!C26 + Sattle!C26</f>
        <v>58920576.815823913</v>
      </c>
      <c r="N26" s="5">
        <f t="shared" si="3"/>
        <v>2.8625587412882129E-2</v>
      </c>
      <c r="O26" s="5">
        <f t="shared" si="4"/>
        <v>1.1372047282916917E-2</v>
      </c>
      <c r="V26" s="3">
        <f t="shared" si="5"/>
        <v>1991</v>
      </c>
      <c r="W26" s="3">
        <v>1741</v>
      </c>
      <c r="X26" s="4">
        <f>'Areoix Lie'!C26 + Jau!C26 + Terressin!C26 + Acetoa!C26 + 'Feio Lie'!C26</f>
        <v>572428855.48892212</v>
      </c>
      <c r="Y26" s="5">
        <f t="shared" si="6"/>
        <v>1.0578796868944884E-2</v>
      </c>
      <c r="Z26" s="5">
        <f t="shared" si="7"/>
        <v>0.11048242163470763</v>
      </c>
      <c r="AG26" s="3">
        <f t="shared" si="8"/>
        <v>1991</v>
      </c>
      <c r="AH26" s="3">
        <v>1741</v>
      </c>
      <c r="AI26" s="4">
        <f>Taniduna!C26 + Jathua!C26 + Deschon!C26 + Pelines!C26 + 'Candenat'!C26 + Othya!C26 + Yoprioq!C26 + Jshain!C26 + 'Fire Coast'!C26 + 'Rijan bu'!C26 + 'Rinew'!C26 + Enina!C26 + Trevilla!C26</f>
        <v>124453876.66575179</v>
      </c>
      <c r="AJ26" s="5">
        <f t="shared" si="9"/>
        <v>2.6681419961254216E-2</v>
      </c>
      <c r="AK26" s="5">
        <f t="shared" si="10"/>
        <v>2.4020392305547544E-2</v>
      </c>
      <c r="AR26" s="3">
        <f t="shared" si="11"/>
        <v>1991</v>
      </c>
      <c r="AS26" s="3">
        <v>1741</v>
      </c>
      <c r="AT26" s="4">
        <f>Gaeiya!C26 + 'Raledria'!C26 + Arbiya!C26 + Fincen!C26 + 'Curata'!C26</f>
        <v>240213862.97743633</v>
      </c>
      <c r="AU26" s="5">
        <f t="shared" si="12"/>
        <v>1.2406356539571948E-2</v>
      </c>
      <c r="AV26" s="5">
        <f t="shared" si="13"/>
        <v>4.6362808299220355E-2</v>
      </c>
      <c r="BC26" s="3">
        <f t="shared" si="14"/>
        <v>1991</v>
      </c>
      <c r="BD26" s="3">
        <v>1741</v>
      </c>
      <c r="BE26" s="4">
        <f>Etirha!C26 + Laselteh!C26 + Grazail!C26 + 'Disal Nila'!C26 + Pelan!C26 + Peka!C26 + Guise!C26</f>
        <v>88435044.055131242</v>
      </c>
      <c r="BF26" s="5">
        <f t="shared" si="15"/>
        <v>1.1137855912647888E-2</v>
      </c>
      <c r="BG26" s="5">
        <f t="shared" si="16"/>
        <v>1.7068527784536252E-2</v>
      </c>
      <c r="BN26" s="3">
        <f t="shared" si="17"/>
        <v>1991</v>
      </c>
      <c r="BO26" s="3">
        <v>1741</v>
      </c>
      <c r="BP26" s="4">
        <f>Genaire!C26 + 'New Misos'!C26 + Phuris!C26 + Lasri!C26 + Slyiaduun!C26 + Aetintio!C26 + Metndria!C26 + Tomscilus!C26</f>
        <v>77689375.181419924</v>
      </c>
      <c r="BQ26" s="5">
        <f t="shared" si="18"/>
        <v>1.3910194485963685E-2</v>
      </c>
      <c r="BR26" s="5">
        <f t="shared" si="19"/>
        <v>1.4994545126484692E-2</v>
      </c>
      <c r="BY26" s="3">
        <f t="shared" si="20"/>
        <v>1991</v>
      </c>
      <c r="BZ26" s="3">
        <v>1741</v>
      </c>
      <c r="CA26" s="4">
        <f>Ealdorii!C26 + Ukhdari!C26 + Hkuqo!C26 + Acrana!C26 + Zenashan!C26</f>
        <v>227184290.41208884</v>
      </c>
      <c r="CB26" s="6">
        <f t="shared" si="21"/>
        <v>1.2600887666842682E-2</v>
      </c>
      <c r="CC26" s="5">
        <f t="shared" si="22"/>
        <v>4.3848017655664824E-2</v>
      </c>
      <c r="CJ26" s="3">
        <f t="shared" si="23"/>
        <v>1991</v>
      </c>
      <c r="CK26" s="3">
        <v>1741</v>
      </c>
      <c r="CL26" s="4">
        <f>Estijan!C26 + Ikzen!C26 + Urbiqu!C26 + Danocia!C26 + Koruch!C26 + 'New Kizura'!C26 + Lydroa!C26 + Fermori!C26 + Uularin!C26 + 'Niul Spijan'!C26</f>
        <v>244679745.57624018</v>
      </c>
      <c r="CM26" s="6">
        <f t="shared" si="24"/>
        <v>2.8940415772417175E-3</v>
      </c>
      <c r="CN26" s="5">
        <f t="shared" si="25"/>
        <v>4.722475213646931E-2</v>
      </c>
      <c r="CU26" s="3">
        <f t="shared" si="26"/>
        <v>1991</v>
      </c>
      <c r="CV26" s="3">
        <v>1741</v>
      </c>
      <c r="CW26" s="4">
        <f>Praesyu!C26 + Lycroa!C26 + Emara!C26 + Eldjo!C26 + Easuhura!C26 + Ilicuhe!C26 + Tonder!C26</f>
        <v>223454331.13262045</v>
      </c>
      <c r="CX26" s="6">
        <f t="shared" si="27"/>
        <v>6.1553702739538581E-3</v>
      </c>
      <c r="CY26" s="5">
        <f t="shared" si="28"/>
        <v>4.3128111714790238E-2</v>
      </c>
      <c r="DF26" s="3">
        <f t="shared" si="29"/>
        <v>1991</v>
      </c>
      <c r="DG26" s="3">
        <v>1741</v>
      </c>
      <c r="DH26" s="4">
        <f>Verusa!C26 + Darewa!C26 + Siana!C26 + Yaxuto!C26 + 'Merela Sta'!C26 + Palina!C26</f>
        <v>160882295.10221049</v>
      </c>
      <c r="DI26" s="6">
        <f t="shared" si="30"/>
        <v>3.975917472508278E-3</v>
      </c>
      <c r="DJ26" s="5">
        <f t="shared" si="31"/>
        <v>3.1051309504410301E-2</v>
      </c>
      <c r="DQ26" s="3">
        <f t="shared" si="32"/>
        <v>1991</v>
      </c>
      <c r="DR26" s="3">
        <v>1741</v>
      </c>
      <c r="DS26" s="4">
        <f>Sunsokua!C26 + Vayvele!C26 + Selaja!C26 + Sadain!C26</f>
        <v>150273052.76696405</v>
      </c>
      <c r="DT26" s="6">
        <f t="shared" si="33"/>
        <v>2.0217675512511801E-2</v>
      </c>
      <c r="DU26" s="5">
        <f t="shared" si="34"/>
        <v>2.900365803878608E-2</v>
      </c>
      <c r="EB26" s="3">
        <f t="shared" si="35"/>
        <v>1991</v>
      </c>
      <c r="EC26" s="3">
        <v>1741</v>
      </c>
      <c r="ED26" s="4">
        <f>Pelugrotoa!C26 + Lieri!C26 + 'Rtesania'!C26 + Ozinia!C26</f>
        <v>338465670.99543619</v>
      </c>
      <c r="EE26" s="6">
        <f t="shared" si="36"/>
        <v>1.0670167845353991E-2</v>
      </c>
      <c r="EF26" s="5">
        <f t="shared" si="37"/>
        <v>6.5326034166905633E-2</v>
      </c>
      <c r="EM26" s="3">
        <f t="shared" si="38"/>
        <v>1991</v>
      </c>
      <c r="EN26" s="3">
        <v>1741</v>
      </c>
      <c r="EO26" s="4">
        <f>Ocaun!C26 + 'Dual Cenryia'!C26 + Byllu!C26 + Exilium!C26 + Inrea!C26 + Amcha!C26 + Isnti!C26 + Galca!C26 + Otiiric!C26 + Taing!C26 + 'Cruthi Anoso'!C26</f>
        <v>189070603.22908929</v>
      </c>
      <c r="EP26" s="6">
        <f t="shared" si="39"/>
        <v>2.499109381629273E-2</v>
      </c>
      <c r="EQ26" s="5">
        <f t="shared" si="40"/>
        <v>3.649183283544135E-2</v>
      </c>
      <c r="EX26" s="3">
        <f t="shared" si="41"/>
        <v>1991</v>
      </c>
      <c r="EY26" s="3">
        <v>1741</v>
      </c>
      <c r="EZ26" s="4">
        <f>Sivoso!C26 + Taoisia!C26 + Seytinemas!C26 + Trian!C26 + 'Chaenia'!C26</f>
        <v>111277628.1841799</v>
      </c>
      <c r="FA26" s="6">
        <f t="shared" si="42"/>
        <v>1.9666710819364178E-2</v>
      </c>
      <c r="FB26" s="5">
        <f t="shared" si="43"/>
        <v>2.1477292274258375E-2</v>
      </c>
      <c r="FI26" s="3">
        <f t="shared" si="44"/>
        <v>1991</v>
      </c>
      <c r="FJ26" s="3">
        <v>1741</v>
      </c>
      <c r="FK26" s="4">
        <f>Migoku!C26 + 'Welenu Fana'!C26 + Haiza!C26 + Ucrua!C26 + Ihner!C26 + Oscairia!C26 + Shinam!C26 + 'Ruylku'!C26 + Taval!C26 + 'Western Migoku'!C26 + 'Pruim Fijan'!C26 + 'Canldives'!C26</f>
        <v>120914531.41018046</v>
      </c>
      <c r="FL26" s="6">
        <f t="shared" si="45"/>
        <v>1.6925975325979625E-2</v>
      </c>
      <c r="FM26" s="5">
        <f t="shared" si="46"/>
        <v>2.3337276087545496E-2</v>
      </c>
      <c r="FT26" s="3">
        <f t="shared" si="47"/>
        <v>1991</v>
      </c>
      <c r="FU26" s="3">
        <v>1741</v>
      </c>
      <c r="FV26" s="4">
        <f>Vesozata!C26 + Etretes!C26 + Kusierna!C26 + Eparia!C26</f>
        <v>89254472.490486845</v>
      </c>
      <c r="FW26" s="6">
        <f t="shared" si="48"/>
        <v>3.3211241143032574E-2</v>
      </c>
      <c r="FX26" s="5">
        <f t="shared" si="49"/>
        <v>1.7226682701127767E-2</v>
      </c>
      <c r="GE26" s="3">
        <f t="shared" si="50"/>
        <v>1991</v>
      </c>
      <c r="GF26" s="3">
        <v>1741</v>
      </c>
      <c r="GG26" s="4">
        <f>Dahe!C26 + Kaastini!C26 + Suenan!C26 + Oyreain!C26 + Sanagara!C26 + 'North Ayre'!C26 + Stinebar!C26 + 'Cloja'!C26 + 'Pha Hii'!C26 + 'Prystr Hii'!C26</f>
        <v>925999412.79896581</v>
      </c>
      <c r="GH26" s="6">
        <f t="shared" si="51"/>
        <v>8.005095816750225E-3</v>
      </c>
      <c r="GI26" s="5">
        <f t="shared" si="52"/>
        <v>0.17872379524083393</v>
      </c>
      <c r="GP26" s="3">
        <f t="shared" si="53"/>
        <v>1991</v>
      </c>
      <c r="GQ26" s="3">
        <v>1741</v>
      </c>
      <c r="GR26" s="4">
        <f>Maalle!C26 + 'United Delet'!C26 + Ohtina!C26 + Astye!C26 + Prstreula!C26 + Veelmit!C26 + Aplasia!C26 + 'Elja and Munusia'!C26 + Walporein!C26 + 'Crila Republic'!C26 + 'Niretui and Anulan'!C26 + 'Rethern'!C26 + Tvecoca!C26</f>
        <v>139848288.51463041</v>
      </c>
      <c r="GS26" s="6">
        <f t="shared" si="54"/>
        <v>2.2378865346986469E-2</v>
      </c>
      <c r="GT26" s="5">
        <f t="shared" si="55"/>
        <v>2.6991612020272532E-2</v>
      </c>
      <c r="HA26" s="3">
        <f t="shared" si="56"/>
        <v>1991</v>
      </c>
      <c r="HB26" s="3">
        <v>1741</v>
      </c>
      <c r="HC26" s="4">
        <f>Andsaudare!C26 + Nia!C26 + Umarcia!C26 + Mendereide!C26 + Iainoa!C26 + Isari!C26 + 'Rkmepuia'!C26 + Hiwush!C26 + Isuibul!C26 + Yutnitu!C26</f>
        <v>50891049.63116359</v>
      </c>
      <c r="HD26" s="6">
        <f t="shared" si="57"/>
        <v>1.7827049328420403E-2</v>
      </c>
      <c r="HE26" s="5">
        <f t="shared" si="58"/>
        <v>9.8222973018729284E-3</v>
      </c>
      <c r="HL26" s="3">
        <f t="shared" si="59"/>
        <v>1991</v>
      </c>
      <c r="HM26" s="3">
        <v>1741</v>
      </c>
      <c r="HN26" s="4">
        <f>Zhanshe!C26 + Volver!C26 + Finae!C26 + Myla!C26 + 'Nheyes Si'!C26 + Onphello!C26 + Hyelen!C26</f>
        <v>86982686.767273515</v>
      </c>
      <c r="HO26" s="6">
        <f t="shared" si="60"/>
        <v>2.1288707973547396E-2</v>
      </c>
      <c r="HP26" s="5">
        <f t="shared" si="61"/>
        <v>1.6788213560851136E-2</v>
      </c>
      <c r="HW26" s="3">
        <f t="shared" si="62"/>
        <v>1991</v>
      </c>
      <c r="HX26" s="3">
        <v>1741</v>
      </c>
      <c r="HY26" s="4">
        <f>Yihnurda!C26 + Ztesh!C26 + Wundry!C26 + Anymna!C26 + Shomjind!C26 + Baluyde!C26 + Letan!C26</f>
        <v>371058366.63253069</v>
      </c>
      <c r="HZ26" s="6">
        <f t="shared" si="63"/>
        <v>2.4535404467022653E-2</v>
      </c>
      <c r="IA26" s="5">
        <f t="shared" si="64"/>
        <v>7.1616632390703344E-2</v>
      </c>
      <c r="IH26" s="3">
        <f t="shared" si="65"/>
        <v>1991</v>
      </c>
      <c r="II26" s="3">
        <v>1741</v>
      </c>
      <c r="IJ26" s="4">
        <f>Iareva!C26 + 'United Mihili'!C26 + 'Mesjan Hyaa'!C26 + Desaki!C26 + 'Far Lands'!C26</f>
        <v>46365336.785855338</v>
      </c>
      <c r="IK26" s="6">
        <f t="shared" si="66"/>
        <v>2.8738871809207953E-2</v>
      </c>
      <c r="IL26" s="5">
        <f t="shared" si="67"/>
        <v>8.9488058452867839E-3</v>
      </c>
      <c r="IS26" s="3">
        <f t="shared" si="68"/>
        <v>1991</v>
      </c>
      <c r="IT26" s="3">
        <v>1741</v>
      </c>
      <c r="IU26" s="4">
        <f>Verste!C26 + Quidic!C26 + Erkizil!C26 + Ashain!C26 + Ahokini!C26</f>
        <v>273885849.70888776</v>
      </c>
      <c r="IV26" s="6">
        <f t="shared" si="69"/>
        <v>1.7142713380694039E-2</v>
      </c>
      <c r="IW26" s="5">
        <f t="shared" si="70"/>
        <v>5.2861716590915465E-2</v>
      </c>
    </row>
    <row r="27" spans="1:257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5109211302.9721336</v>
      </c>
      <c r="D27" s="5">
        <f t="shared" si="1"/>
        <v>1.4217724359724543E-2</v>
      </c>
      <c r="K27" s="3">
        <f t="shared" si="2"/>
        <v>1990</v>
      </c>
      <c r="L27" s="3">
        <v>1740</v>
      </c>
      <c r="M27" s="4">
        <f>Eldavpir!C27 + Iquir!C27 + Viussi!C27 + Umendel!C27 + 'Reerica'!C27 + Saa!C27 + Sattle!C27</f>
        <v>57280878.034559004</v>
      </c>
      <c r="N27" s="5">
        <f t="shared" si="3"/>
        <v>2.9954425674871051E-2</v>
      </c>
      <c r="O27" s="5">
        <f t="shared" si="4"/>
        <v>1.1211295567524784E-2</v>
      </c>
      <c r="V27" s="3">
        <f t="shared" si="5"/>
        <v>1990</v>
      </c>
      <c r="W27" s="3">
        <v>1740</v>
      </c>
      <c r="X27" s="4">
        <f>'Areoix Lie'!C27 + Jau!C27 + Terressin!C27 + Acetoa!C27 + 'Feio Lie'!C27</f>
        <v>566436637.36312938</v>
      </c>
      <c r="Y27" s="5">
        <f t="shared" si="6"/>
        <v>1.1160968549788998E-2</v>
      </c>
      <c r="Z27" s="5">
        <f t="shared" si="7"/>
        <v>0.11086576846677323</v>
      </c>
      <c r="AG27" s="3">
        <f t="shared" si="8"/>
        <v>1990</v>
      </c>
      <c r="AH27" s="3">
        <v>1740</v>
      </c>
      <c r="AI27" s="4">
        <f>Taniduna!C27 + Jathua!C27 + Deschon!C27 + Pelines!C27 + 'Candenat'!C27 + Othya!C27 + Yoprioq!C27 + Jshain!C27 + 'Fire Coast'!C27 + 'Rijan bu'!C27 + 'Rinew'!C27 + Enina!C27 + Trevilla!C27</f>
        <v>121219566.50432861</v>
      </c>
      <c r="AJ27" s="5">
        <f t="shared" si="9"/>
        <v>2.7063987892222769E-2</v>
      </c>
      <c r="AK27" s="5">
        <f t="shared" si="10"/>
        <v>2.3725690584339834E-2</v>
      </c>
      <c r="AR27" s="3">
        <f t="shared" si="11"/>
        <v>1990</v>
      </c>
      <c r="AS27" s="3">
        <v>1740</v>
      </c>
      <c r="AT27" s="4">
        <f>Gaeiya!C27 + 'Raledria'!C27 + Arbiya!C27 + Fincen!C27 + 'Curata'!C27</f>
        <v>237270204.22757202</v>
      </c>
      <c r="AU27" s="5">
        <f t="shared" si="12"/>
        <v>1.4221887681420058E-2</v>
      </c>
      <c r="AV27" s="5">
        <f t="shared" si="13"/>
        <v>4.6439692969744088E-2</v>
      </c>
      <c r="BC27" s="3">
        <f t="shared" si="14"/>
        <v>1990</v>
      </c>
      <c r="BD27" s="3">
        <v>1740</v>
      </c>
      <c r="BE27" s="4">
        <f>Etirha!C27 + Laselteh!C27 + Grazail!C27 + 'Disal Nila'!C27 + Pelan!C27 + Peka!C27 + Guise!C27</f>
        <v>87460916.963998169</v>
      </c>
      <c r="BF27" s="5">
        <f t="shared" si="15"/>
        <v>8.4972185446274048E-3</v>
      </c>
      <c r="BG27" s="5">
        <f t="shared" si="16"/>
        <v>1.7118281428900844E-2</v>
      </c>
      <c r="BN27" s="3">
        <f t="shared" si="17"/>
        <v>1990</v>
      </c>
      <c r="BO27" s="3">
        <v>1740</v>
      </c>
      <c r="BP27" s="4">
        <f>Genaire!C27 + 'New Misos'!C27 + Phuris!C27 + Lasri!C27 + Slyiaduun!C27 + Aetintio!C27 + Metndria!C27 + Tomscilus!C27</f>
        <v>76623527.018393576</v>
      </c>
      <c r="BQ27" s="5">
        <f t="shared" si="18"/>
        <v>1.442274043001493E-2</v>
      </c>
      <c r="BR27" s="5">
        <f t="shared" si="19"/>
        <v>1.4997134092657332E-2</v>
      </c>
      <c r="BY27" s="3">
        <f t="shared" si="20"/>
        <v>1990</v>
      </c>
      <c r="BZ27" s="3">
        <v>1740</v>
      </c>
      <c r="CA27" s="4">
        <f>Ealdorii!C27 + Ukhdari!C27 + Hkuqo!C27 + Acrana!C27 + Zenashan!C27</f>
        <v>224357190.65539184</v>
      </c>
      <c r="CB27" s="7">
        <f t="shared" si="21"/>
        <v>1.1417294056733505E-2</v>
      </c>
      <c r="CC27" s="5">
        <f t="shared" si="22"/>
        <v>4.3912294354488457E-2</v>
      </c>
      <c r="CJ27" s="3">
        <f t="shared" si="23"/>
        <v>1990</v>
      </c>
      <c r="CK27" s="3">
        <v>1740</v>
      </c>
      <c r="CL27" s="4">
        <f>Estijan!C27 + Ikzen!C27 + Urbiqu!C27 + Danocia!C27 + Koruch!C27 + 'New Kizura'!C27 + Lydroa!C27 + Fermori!C27 + Uularin!C27 + 'Niul Spijan'!C27</f>
        <v>243973675.61525714</v>
      </c>
      <c r="CM27" s="7">
        <f t="shared" si="24"/>
        <v>5.8948933853863496E-3</v>
      </c>
      <c r="CN27" s="5">
        <f t="shared" si="25"/>
        <v>4.7751729405541052E-2</v>
      </c>
      <c r="CU27" s="3">
        <f t="shared" si="26"/>
        <v>1990</v>
      </c>
      <c r="CV27" s="3">
        <v>1740</v>
      </c>
      <c r="CW27" s="4">
        <f>Praesyu!C27 + Lycroa!C27 + Emara!C27 + Eldjo!C27 + Easuhura!C27 + Ilicuhe!C27 + Tonder!C27</f>
        <v>222087301.55838534</v>
      </c>
      <c r="CX27" s="7">
        <f t="shared" si="27"/>
        <v>5.280193171005523E-3</v>
      </c>
      <c r="CY27" s="5">
        <f t="shared" si="28"/>
        <v>4.346802048081131E-2</v>
      </c>
      <c r="DF27" s="3">
        <f t="shared" si="29"/>
        <v>1990</v>
      </c>
      <c r="DG27" s="3">
        <v>1740</v>
      </c>
      <c r="DH27" s="4">
        <f>Verusa!C27 + Darewa!C27 + Siana!C27 + Yaxuto!C27 + 'Merela Sta'!C27 + Palina!C27</f>
        <v>160245173.51693937</v>
      </c>
      <c r="DI27" s="7">
        <f t="shared" si="30"/>
        <v>2.5977998994800478E-3</v>
      </c>
      <c r="DJ27" s="5">
        <f t="shared" si="31"/>
        <v>3.1363974596964009E-2</v>
      </c>
      <c r="DQ27" s="3">
        <f t="shared" si="32"/>
        <v>1990</v>
      </c>
      <c r="DR27" s="3">
        <v>1740</v>
      </c>
      <c r="DS27" s="4">
        <f>Sunsokua!C27 + Vayvele!C27 + Selaja!C27 + Sadain!C27</f>
        <v>147295088.4638159</v>
      </c>
      <c r="DT27" s="7">
        <f t="shared" si="33"/>
        <v>2.1349402054499891E-2</v>
      </c>
      <c r="DU27" s="5">
        <f t="shared" si="34"/>
        <v>2.8829320168874462E-2</v>
      </c>
      <c r="EB27" s="3">
        <f t="shared" si="35"/>
        <v>1990</v>
      </c>
      <c r="EC27" s="3">
        <v>1740</v>
      </c>
      <c r="ED27" s="4">
        <f>Pelugrotoa!C27 + Lieri!C27 + 'Rtesania'!C27 + Ozinia!C27</f>
        <v>334892313.79710215</v>
      </c>
      <c r="EE27" s="7">
        <f t="shared" si="36"/>
        <v>9.5135838146256386E-3</v>
      </c>
      <c r="EF27" s="5">
        <f t="shared" si="37"/>
        <v>6.5546773061096214E-2</v>
      </c>
      <c r="EM27" s="3">
        <f t="shared" si="38"/>
        <v>1990</v>
      </c>
      <c r="EN27" s="3">
        <v>1740</v>
      </c>
      <c r="EO27" s="4">
        <f>Ocaun!C27 + 'Dual Cenryia'!C27 + Byllu!C27 + Exilium!C27 + Inrea!C27 + Amcha!C27 + Isnti!C27 + Galca!C27 + Otiiric!C27 + Taing!C27 + 'Cruthi Anoso'!C27</f>
        <v>184460727.87338391</v>
      </c>
      <c r="EP27" s="7">
        <f t="shared" si="39"/>
        <v>2.530416112275595E-2</v>
      </c>
      <c r="EQ27" s="5">
        <f t="shared" si="40"/>
        <v>3.6103562161556968E-2</v>
      </c>
      <c r="EX27" s="3">
        <f t="shared" si="41"/>
        <v>1990</v>
      </c>
      <c r="EY27" s="3">
        <v>1740</v>
      </c>
      <c r="EZ27" s="4">
        <f>Sivoso!C27 + Taoisia!C27 + Seytinemas!C27 + Trian!C27 + 'Chaenia'!C27</f>
        <v>109131373.02948879</v>
      </c>
      <c r="FA27" s="7">
        <f t="shared" si="42"/>
        <v>1.9407779124567193E-2</v>
      </c>
      <c r="FB27" s="5">
        <f t="shared" si="43"/>
        <v>2.1359729820922619E-2</v>
      </c>
      <c r="FI27" s="3">
        <f t="shared" si="44"/>
        <v>1990</v>
      </c>
      <c r="FJ27" s="3">
        <v>1740</v>
      </c>
      <c r="FK27" s="4">
        <f>Migoku!C27 + 'Welenu Fana'!C27 + Haiza!C27 + Ucrua!C27 + Ihner!C27 + Oscairia!C27 + Shinam!C27 + 'Ruylku'!C27 + Taval!C27 + 'Western Migoku'!C27 + 'Pruim Fijan'!C27 + 'Canldives'!C27</f>
        <v>118901999.1070843</v>
      </c>
      <c r="FL27" s="7">
        <f t="shared" si="45"/>
        <v>1.9628368796481676E-2</v>
      </c>
      <c r="FM27" s="5">
        <f t="shared" si="46"/>
        <v>2.3272084878915959E-2</v>
      </c>
      <c r="FT27" s="3">
        <f t="shared" si="47"/>
        <v>1990</v>
      </c>
      <c r="FU27" s="3">
        <v>1740</v>
      </c>
      <c r="FV27" s="4">
        <f>Vesozata!C27 + Etretes!C27 + Kusierna!C27 + Eparia!C27</f>
        <v>86385502.728121117</v>
      </c>
      <c r="FW27" s="7">
        <f t="shared" si="48"/>
        <v>2.7827936824660317E-2</v>
      </c>
      <c r="FX27" s="5">
        <f t="shared" si="49"/>
        <v>1.6907796058046941E-2</v>
      </c>
      <c r="GE27" s="3">
        <f t="shared" si="50"/>
        <v>1990</v>
      </c>
      <c r="GF27" s="3">
        <v>1740</v>
      </c>
      <c r="GG27" s="4">
        <f>Dahe!C27 + Kaastini!C27 + Suenan!C27 + Oyreain!C27 + Sanagara!C27 + 'North Ayre'!C27 + Stinebar!C27 + 'Cloja'!C27 + 'Pha Hii'!C27 + 'Prystr Hii'!C27</f>
        <v>918645567.01339078</v>
      </c>
      <c r="GH27" s="7">
        <f t="shared" si="51"/>
        <v>8.5033430728800111E-3</v>
      </c>
      <c r="GI27" s="5">
        <f t="shared" si="52"/>
        <v>0.17980183487008958</v>
      </c>
      <c r="GP27" s="3">
        <f t="shared" si="53"/>
        <v>1990</v>
      </c>
      <c r="GQ27" s="3">
        <v>1740</v>
      </c>
      <c r="GR27" s="4">
        <f>Maalle!C27 + 'United Delet'!C27 + Ohtina!C27 + Astye!C27 + Prstreula!C27 + Veelmit!C27 + Aplasia!C27 + 'Elja and Munusia'!C27 + Walporein!C27 + 'Crila Republic'!C27 + 'Niretui and Anulan'!C27 + 'Rethern'!C27 + Tvecoca!C27</f>
        <v>136787147.36260429</v>
      </c>
      <c r="GS27" s="7">
        <f t="shared" si="54"/>
        <v>2.3022128213681669E-2</v>
      </c>
      <c r="GT27" s="5">
        <f t="shared" si="55"/>
        <v>2.6772654183050207E-2</v>
      </c>
      <c r="HA27" s="3">
        <f t="shared" si="56"/>
        <v>1990</v>
      </c>
      <c r="HB27" s="3">
        <v>1740</v>
      </c>
      <c r="HC27" s="4">
        <f>Andsaudare!C27 + Nia!C27 + Umarcia!C27 + Mendereide!C27 + Iainoa!C27 + Isari!C27 + 'Rkmepuia'!C27 + Hiwush!C27 + Isuibul!C27 + Yutnitu!C27</f>
        <v>49999702.468845144</v>
      </c>
      <c r="HD27" s="7">
        <f t="shared" si="57"/>
        <v>2.2118356881855445E-2</v>
      </c>
      <c r="HE27" s="5">
        <f t="shared" si="58"/>
        <v>9.7861880247073138E-3</v>
      </c>
      <c r="HL27" s="3">
        <f t="shared" si="59"/>
        <v>1990</v>
      </c>
      <c r="HM27" s="3">
        <v>1740</v>
      </c>
      <c r="HN27" s="4">
        <f>Zhanshe!C27 + Volver!C27 + Finae!C27 + Myla!C27 + 'Nheyes Si'!C27 + Onphello!C27 + Hyelen!C27</f>
        <v>85169537.358212397</v>
      </c>
      <c r="HO27" s="7">
        <f t="shared" si="60"/>
        <v>1.4900599338839554E-2</v>
      </c>
      <c r="HP27" s="5">
        <f t="shared" si="61"/>
        <v>1.6669801327000806E-2</v>
      </c>
      <c r="HW27" s="3">
        <f t="shared" si="62"/>
        <v>1990</v>
      </c>
      <c r="HX27" s="3">
        <v>1740</v>
      </c>
      <c r="HY27" s="4">
        <f>Yihnurda!C27 + Ztesh!C27 + Wundry!C27 + Anymna!C27 + Shomjind!C27 + Baluyde!C27 + Letan!C27</f>
        <v>362172322.22009969</v>
      </c>
      <c r="HZ27" s="7">
        <f t="shared" si="63"/>
        <v>2.4773420853011253E-2</v>
      </c>
      <c r="IA27" s="5">
        <f t="shared" si="64"/>
        <v>7.0886150668580991E-2</v>
      </c>
      <c r="IH27" s="3">
        <f t="shared" si="65"/>
        <v>1990</v>
      </c>
      <c r="II27" s="3">
        <v>1740</v>
      </c>
      <c r="IJ27" s="4">
        <f>Iareva!C27 + 'United Mihili'!C27 + 'Mesjan Hyaa'!C27 + Desaki!C27 + 'Far Lands'!C27</f>
        <v>45070073.7149304</v>
      </c>
      <c r="IK27" s="7">
        <f t="shared" si="66"/>
        <v>2.8770325325054281E-2</v>
      </c>
      <c r="IL27" s="5">
        <f t="shared" si="67"/>
        <v>8.8213368056850976E-3</v>
      </c>
      <c r="IS27" s="3">
        <f t="shared" si="68"/>
        <v>1990</v>
      </c>
      <c r="IT27" s="3">
        <v>1740</v>
      </c>
      <c r="IU27" s="4">
        <f>Verste!C27 + Quidic!C27 + Erkizil!C27 + Ashain!C27 + Ahokini!C27</f>
        <v>269269834.12049311</v>
      </c>
      <c r="IV27" s="7">
        <f t="shared" si="69"/>
        <v>1.7184601790904096E-2</v>
      </c>
      <c r="IW27" s="5">
        <f t="shared" si="70"/>
        <v>5.2702818136304772E-2</v>
      </c>
    </row>
    <row r="28" spans="1:257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5037588261.6304874</v>
      </c>
      <c r="D28" s="5">
        <f t="shared" si="1"/>
        <v>1.4780844277549917E-2</v>
      </c>
      <c r="K28" s="3">
        <f t="shared" si="2"/>
        <v>1989</v>
      </c>
      <c r="L28" s="3">
        <v>1739</v>
      </c>
      <c r="M28" s="4">
        <f>Eldavpir!C28 + Iquir!C28 + Viussi!C28 + Umendel!C28 + 'Reerica'!C28 + Saa!C28 + Sattle!C28</f>
        <v>55614963.736891635</v>
      </c>
      <c r="N28" s="5">
        <f t="shared" si="3"/>
        <v>3.0503191025261826E-2</v>
      </c>
      <c r="O28" s="5">
        <f t="shared" si="4"/>
        <v>1.103999788162343E-2</v>
      </c>
      <c r="V28" s="3">
        <f t="shared" si="5"/>
        <v>1989</v>
      </c>
      <c r="W28" s="3">
        <v>1739</v>
      </c>
      <c r="X28" s="4">
        <f>'Areoix Lie'!C28 + Jau!C28 + Terressin!C28 + Acetoa!C28 + 'Feio Lie'!C28</f>
        <v>560184436.48543417</v>
      </c>
      <c r="Y28" s="5">
        <f t="shared" si="6"/>
        <v>1.142788491909873E-2</v>
      </c>
      <c r="Z28" s="5">
        <f t="shared" si="7"/>
        <v>0.11120091746126995</v>
      </c>
      <c r="AG28" s="3">
        <f t="shared" si="8"/>
        <v>1989</v>
      </c>
      <c r="AH28" s="3">
        <v>1739</v>
      </c>
      <c r="AI28" s="4">
        <f>Taniduna!C28 + Jathua!C28 + Deschon!C28 + Pelines!C28 + 'Candenat'!C28 + Othya!C28 + Yoprioq!C28 + Jshain!C28 + 'Fire Coast'!C28 + 'Rijan bu'!C28 + 'Rinew'!C28 + Enina!C28 + Trevilla!C28</f>
        <v>118025330.39163384</v>
      </c>
      <c r="AJ28" s="5">
        <f t="shared" si="9"/>
        <v>2.7248555783934706E-2</v>
      </c>
      <c r="AK28" s="5">
        <f t="shared" si="10"/>
        <v>2.3428935486965195E-2</v>
      </c>
      <c r="AR28" s="3">
        <f t="shared" si="11"/>
        <v>1989</v>
      </c>
      <c r="AS28" s="3">
        <v>1739</v>
      </c>
      <c r="AT28" s="4">
        <f>Gaeiya!C28 + 'Raledria'!C28 + Arbiya!C28 + Fincen!C28 + 'Curata'!C28</f>
        <v>233943091.85141703</v>
      </c>
      <c r="AU28" s="5">
        <f t="shared" si="12"/>
        <v>1.6122671766430778E-2</v>
      </c>
      <c r="AV28" s="5">
        <f t="shared" si="13"/>
        <v>4.643950233751299E-2</v>
      </c>
      <c r="BC28" s="3">
        <f t="shared" si="14"/>
        <v>1989</v>
      </c>
      <c r="BD28" s="3">
        <v>1739</v>
      </c>
      <c r="BE28" s="4">
        <f>Etirha!C28 + Laselteh!C28 + Grazail!C28 + 'Disal Nila'!C28 + Pelan!C28 + Peka!C28 + Guise!C28</f>
        <v>86724004.147690073</v>
      </c>
      <c r="BF28" s="5">
        <f t="shared" si="15"/>
        <v>8.7181870229802276E-3</v>
      </c>
      <c r="BG28" s="5">
        <f t="shared" si="16"/>
        <v>1.7215381576187135E-2</v>
      </c>
      <c r="BN28" s="3">
        <f t="shared" si="17"/>
        <v>1989</v>
      </c>
      <c r="BO28" s="3">
        <v>1739</v>
      </c>
      <c r="BP28" s="4">
        <f>Genaire!C28 + 'New Misos'!C28 + Phuris!C28 + Lasri!C28 + Slyiaduun!C28 + Aetintio!C28 + Metndria!C28 + Tomscilus!C28</f>
        <v>75534118.040288389</v>
      </c>
      <c r="BQ28" s="5">
        <f t="shared" si="18"/>
        <v>1.4670425548172451E-2</v>
      </c>
      <c r="BR28" s="5">
        <f t="shared" si="19"/>
        <v>1.4994103153607217E-2</v>
      </c>
      <c r="BY28" s="3">
        <f t="shared" si="20"/>
        <v>1989</v>
      </c>
      <c r="BZ28" s="3">
        <v>1739</v>
      </c>
      <c r="CA28" s="4">
        <f>Ealdorii!C28 + Ukhdari!C28 + Hkuqo!C28 + Acrana!C28 + Zenashan!C28</f>
        <v>221824554.48780072</v>
      </c>
      <c r="CB28" s="6">
        <f t="shared" si="21"/>
        <v>1.4690380657564728E-2</v>
      </c>
      <c r="CC28" s="5">
        <f t="shared" si="22"/>
        <v>4.4033879500903081E-2</v>
      </c>
      <c r="CJ28" s="3">
        <f t="shared" si="23"/>
        <v>1989</v>
      </c>
      <c r="CK28" s="3">
        <v>1739</v>
      </c>
      <c r="CL28" s="4">
        <f>Estijan!C28 + Ikzen!C28 + Urbiqu!C28 + Danocia!C28 + Koruch!C28 + 'New Kizura'!C28 + Lydroa!C28 + Fermori!C28 + Uularin!C28 + 'Niul Spijan'!C28</f>
        <v>242543905.15310434</v>
      </c>
      <c r="CM28" s="6">
        <f t="shared" si="24"/>
        <v>1.0407413089787265E-2</v>
      </c>
      <c r="CN28" s="5">
        <f t="shared" si="25"/>
        <v>4.8146829902807803E-2</v>
      </c>
      <c r="CU28" s="3">
        <f t="shared" si="26"/>
        <v>1989</v>
      </c>
      <c r="CV28" s="3">
        <v>1739</v>
      </c>
      <c r="CW28" s="4">
        <f>Praesyu!C28 + Lycroa!C28 + Emara!C28 + Eldjo!C28 + Easuhura!C28 + Ilicuhe!C28 + Tonder!C28</f>
        <v>220920797.07434031</v>
      </c>
      <c r="CX28" s="6">
        <f t="shared" si="27"/>
        <v>3.9455206054649699E-3</v>
      </c>
      <c r="CY28" s="5">
        <f t="shared" si="28"/>
        <v>4.3854476706049042E-2</v>
      </c>
      <c r="DF28" s="3">
        <f t="shared" si="29"/>
        <v>1989</v>
      </c>
      <c r="DG28" s="3">
        <v>1739</v>
      </c>
      <c r="DH28" s="4">
        <f>Verusa!C28 + Darewa!C28 + Siana!C28 + Yaxuto!C28 + 'Merela Sta'!C28 + Palina!C28</f>
        <v>159829967.24409875</v>
      </c>
      <c r="DI28" s="6">
        <f t="shared" si="30"/>
        <v>2.535667714362231E-3</v>
      </c>
      <c r="DJ28" s="5">
        <f t="shared" si="31"/>
        <v>3.17274773052547E-2</v>
      </c>
      <c r="DQ28" s="3">
        <f t="shared" si="32"/>
        <v>1989</v>
      </c>
      <c r="DR28" s="3">
        <v>1739</v>
      </c>
      <c r="DS28" s="4">
        <f>Sunsokua!C28 + Vayvele!C28 + Selaja!C28 + Sadain!C28</f>
        <v>144216159.68788332</v>
      </c>
      <c r="DT28" s="6">
        <f t="shared" si="33"/>
        <v>2.2406938355441573E-2</v>
      </c>
      <c r="DU28" s="5">
        <f t="shared" si="34"/>
        <v>2.862801646302187E-2</v>
      </c>
      <c r="EB28" s="3">
        <f t="shared" si="35"/>
        <v>1989</v>
      </c>
      <c r="EC28" s="3">
        <v>1739</v>
      </c>
      <c r="ED28" s="4">
        <f>Pelugrotoa!C28 + Lieri!C28 + 'Rtesania'!C28 + Ozinia!C28</f>
        <v>331736312.58298904</v>
      </c>
      <c r="EE28" s="6">
        <f t="shared" si="36"/>
        <v>9.8466123463335758E-3</v>
      </c>
      <c r="EF28" s="5">
        <f t="shared" si="37"/>
        <v>6.5852208508128021E-2</v>
      </c>
      <c r="EM28" s="3">
        <f t="shared" si="38"/>
        <v>1989</v>
      </c>
      <c r="EN28" s="3">
        <v>1739</v>
      </c>
      <c r="EO28" s="4">
        <f>Ocaun!C28 + 'Dual Cenryia'!C28 + Byllu!C28 + Exilium!C28 + Inrea!C28 + Amcha!C28 + Isnti!C28 + Galca!C28 + Otiiric!C28 + Taing!C28 + 'Cruthi Anoso'!C28</f>
        <v>179908299.28105509</v>
      </c>
      <c r="EP28" s="6">
        <f t="shared" si="39"/>
        <v>2.5358949840655769E-2</v>
      </c>
      <c r="EQ28" s="5">
        <f t="shared" si="40"/>
        <v>3.5713180581142853E-2</v>
      </c>
      <c r="EX28" s="3">
        <f t="shared" si="41"/>
        <v>1989</v>
      </c>
      <c r="EY28" s="3">
        <v>1739</v>
      </c>
      <c r="EZ28" s="4">
        <f>Sivoso!C28 + Taoisia!C28 + Seytinemas!C28 + Trian!C28 + 'Chaenia'!C28</f>
        <v>107053698.49463686</v>
      </c>
      <c r="FA28" s="6">
        <f t="shared" si="42"/>
        <v>2.0831466853976219E-2</v>
      </c>
      <c r="FB28" s="5">
        <f t="shared" si="43"/>
        <v>2.125098220313611E-2</v>
      </c>
      <c r="FI28" s="3">
        <f t="shared" si="44"/>
        <v>1989</v>
      </c>
      <c r="FJ28" s="3">
        <v>1739</v>
      </c>
      <c r="FK28" s="4">
        <f>Migoku!C28 + 'Welenu Fana'!C28 + Haiza!C28 + Ucrua!C28 + Ihner!C28 + Oscairia!C28 + Shinam!C28 + 'Ruylku'!C28 + Taval!C28 + 'Western Migoku'!C28 + 'Pruim Fijan'!C28 + 'Canldives'!C28</f>
        <v>116613074.67095122</v>
      </c>
      <c r="FL28" s="6">
        <f t="shared" si="45"/>
        <v>2.0118805823039994E-2</v>
      </c>
      <c r="FM28" s="5">
        <f t="shared" si="46"/>
        <v>2.3148591868682761E-2</v>
      </c>
      <c r="FT28" s="3">
        <f t="shared" si="47"/>
        <v>1989</v>
      </c>
      <c r="FU28" s="3">
        <v>1739</v>
      </c>
      <c r="FV28" s="4">
        <f>Vesozata!C28 + Etretes!C28 + Kusierna!C28 + Eparia!C28</f>
        <v>84046657.648747906</v>
      </c>
      <c r="FW28" s="6">
        <f t="shared" si="48"/>
        <v>2.5010423358067815E-2</v>
      </c>
      <c r="FX28" s="5">
        <f t="shared" si="49"/>
        <v>1.6683907712129097E-2</v>
      </c>
      <c r="GE28" s="3">
        <f t="shared" si="50"/>
        <v>1989</v>
      </c>
      <c r="GF28" s="3">
        <v>1739</v>
      </c>
      <c r="GG28" s="4">
        <f>Dahe!C28 + Kaastini!C28 + Suenan!C28 + Oyreain!C28 + Sanagara!C28 + 'North Ayre'!C28 + Stinebar!C28 + 'Cloja'!C28 + 'Pha Hii'!C28 + 'Prystr Hii'!C28</f>
        <v>910899872.88917136</v>
      </c>
      <c r="GH28" s="6">
        <f t="shared" si="51"/>
        <v>8.9031749359141047E-3</v>
      </c>
      <c r="GI28" s="5">
        <f t="shared" si="52"/>
        <v>0.18082062796341866</v>
      </c>
      <c r="GP28" s="3">
        <f t="shared" si="53"/>
        <v>1989</v>
      </c>
      <c r="GQ28" s="3">
        <v>1739</v>
      </c>
      <c r="GR28" s="4">
        <f>Maalle!C28 + 'United Delet'!C28 + Ohtina!C28 + Astye!C28 + Prstreula!C28 + Veelmit!C28 + Aplasia!C28 + 'Elja and Munusia'!C28 + Walporein!C28 + 'Crila Republic'!C28 + 'Niretui and Anulan'!C28 + 'Rethern'!C28 + Tvecoca!C28</f>
        <v>133708884.28528024</v>
      </c>
      <c r="GS28" s="6">
        <f t="shared" si="54"/>
        <v>2.31104356071372E-2</v>
      </c>
      <c r="GT28" s="5">
        <f t="shared" si="55"/>
        <v>2.6542241513402974E-2</v>
      </c>
      <c r="HA28" s="3">
        <f t="shared" si="56"/>
        <v>1989</v>
      </c>
      <c r="HB28" s="3">
        <v>1739</v>
      </c>
      <c r="HC28" s="4">
        <f>Andsaudare!C28 + Nia!C28 + Umarcia!C28 + Mendereide!C28 + Iainoa!C28 + Isari!C28 + 'Rkmepuia'!C28 + Hiwush!C28 + Isuibul!C28 + Yutnitu!C28</f>
        <v>48917722.817715235</v>
      </c>
      <c r="HD28" s="6">
        <f t="shared" si="57"/>
        <v>2.353511027195453E-2</v>
      </c>
      <c r="HE28" s="5">
        <f t="shared" si="58"/>
        <v>9.7105440693325568E-3</v>
      </c>
      <c r="HL28" s="3">
        <f t="shared" si="59"/>
        <v>1989</v>
      </c>
      <c r="HM28" s="3">
        <v>1739</v>
      </c>
      <c r="HN28" s="4">
        <f>Zhanshe!C28 + Volver!C28 + Finae!C28 + Myla!C28 + 'Nheyes Si'!C28 + Onphello!C28 + Hyelen!C28</f>
        <v>83919092.582757741</v>
      </c>
      <c r="HO28" s="6">
        <f t="shared" si="60"/>
        <v>1.4277065704534381E-2</v>
      </c>
      <c r="HP28" s="5">
        <f t="shared" si="61"/>
        <v>1.6658585065782276E-2</v>
      </c>
      <c r="HW28" s="3">
        <f t="shared" si="62"/>
        <v>1989</v>
      </c>
      <c r="HX28" s="3">
        <v>1739</v>
      </c>
      <c r="HY28" s="4">
        <f>Yihnurda!C28 + Ztesh!C28 + Wundry!C28 + Anymna!C28 + Shomjind!C28 + Baluyde!C28 + Letan!C28</f>
        <v>353416974.76758426</v>
      </c>
      <c r="HZ28" s="6">
        <f t="shared" si="63"/>
        <v>2.4964254883610065E-2</v>
      </c>
      <c r="IA28" s="5">
        <f t="shared" si="64"/>
        <v>7.0155986637382664E-2</v>
      </c>
      <c r="IH28" s="3">
        <f t="shared" si="65"/>
        <v>1989</v>
      </c>
      <c r="II28" s="3">
        <v>1739</v>
      </c>
      <c r="IJ28" s="4">
        <f>Iareva!C28 + 'United Mihili'!C28 + 'Mesjan Hyaa'!C28 + Desaki!C28 + 'Far Lands'!C28</f>
        <v>43809655.66895593</v>
      </c>
      <c r="IK28" s="6">
        <f t="shared" si="66"/>
        <v>2.8870274916108645E-2</v>
      </c>
      <c r="IL28" s="5">
        <f t="shared" si="67"/>
        <v>8.6965534683805835E-3</v>
      </c>
      <c r="IS28" s="3">
        <f t="shared" si="68"/>
        <v>1989</v>
      </c>
      <c r="IT28" s="3">
        <v>1739</v>
      </c>
      <c r="IU28" s="4">
        <f>Verste!C28 + Quidic!C28 + Erkizil!C28 + Ashain!C28 + Ahokini!C28</f>
        <v>264720714.06350794</v>
      </c>
      <c r="IV28" s="6">
        <f t="shared" si="69"/>
        <v>1.7295732602435269E-2</v>
      </c>
      <c r="IW28" s="5">
        <f t="shared" si="70"/>
        <v>5.2549096971618581E-2</v>
      </c>
    </row>
    <row r="29" spans="1:257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4964213002.2831516</v>
      </c>
      <c r="D29" s="5">
        <f t="shared" si="1"/>
        <v>1.5159035170536477E-2</v>
      </c>
      <c r="K29" s="3">
        <f t="shared" si="2"/>
        <v>1988</v>
      </c>
      <c r="L29" s="3">
        <v>1738</v>
      </c>
      <c r="M29" s="4">
        <f>Eldavpir!C29 + Iquir!C29 + Viussi!C29 + Umendel!C29 + 'Reerica'!C29 + Saa!C29 + Sattle!C29</f>
        <v>53968744.804719664</v>
      </c>
      <c r="N29" s="5">
        <f t="shared" si="3"/>
        <v>3.0941050251172515E-2</v>
      </c>
      <c r="O29" s="5">
        <f t="shared" si="4"/>
        <v>1.0871561067161752E-2</v>
      </c>
      <c r="V29" s="3">
        <f t="shared" si="5"/>
        <v>1988</v>
      </c>
      <c r="W29" s="3">
        <v>1738</v>
      </c>
      <c r="X29" s="4">
        <f>'Areoix Lie'!C29 + Jau!C29 + Terressin!C29 + Acetoa!C29 + 'Feio Lie'!C29</f>
        <v>553855044.77191842</v>
      </c>
      <c r="Y29" s="5">
        <f t="shared" si="6"/>
        <v>1.1832408737547583E-2</v>
      </c>
      <c r="Z29" s="5">
        <f t="shared" si="7"/>
        <v>0.11156955684963321</v>
      </c>
      <c r="AG29" s="3">
        <f t="shared" si="8"/>
        <v>1988</v>
      </c>
      <c r="AH29" s="3">
        <v>1738</v>
      </c>
      <c r="AI29" s="4">
        <f>Taniduna!C29 + Jathua!C29 + Deschon!C29 + Pelines!C29 + 'Candenat'!C29 + Othya!C29 + Yoprioq!C29 + Jshain!C29 + 'Fire Coast'!C29 + 'Rijan bu'!C29 + 'Rinew'!C29 + Enina!C29 + Trevilla!C29</f>
        <v>114894617.98421703</v>
      </c>
      <c r="AJ29" s="5">
        <f t="shared" si="9"/>
        <v>2.8023575624510275E-2</v>
      </c>
      <c r="AK29" s="5">
        <f t="shared" si="10"/>
        <v>2.3144578593097122E-2</v>
      </c>
      <c r="AR29" s="3">
        <f t="shared" si="11"/>
        <v>1988</v>
      </c>
      <c r="AS29" s="3">
        <v>1738</v>
      </c>
      <c r="AT29" s="4">
        <f>Gaeiya!C29 + 'Raledria'!C29 + Arbiya!C29 + Fincen!C29 + 'Curata'!C29</f>
        <v>230231150.5802047</v>
      </c>
      <c r="AU29" s="5">
        <f t="shared" si="12"/>
        <v>1.567493940942739E-2</v>
      </c>
      <c r="AV29" s="5">
        <f t="shared" si="13"/>
        <v>4.6378177260789633E-2</v>
      </c>
      <c r="BC29" s="3">
        <f t="shared" si="14"/>
        <v>1988</v>
      </c>
      <c r="BD29" s="3">
        <v>1738</v>
      </c>
      <c r="BE29" s="4">
        <f>Etirha!C29 + Laselteh!C29 + Grazail!C29 + 'Disal Nila'!C29 + Pelan!C29 + Peka!C29 + Guise!C29</f>
        <v>85974462.702648148</v>
      </c>
      <c r="BF29" s="5">
        <f t="shared" si="15"/>
        <v>7.9971390424619215E-3</v>
      </c>
      <c r="BG29" s="5">
        <f t="shared" si="16"/>
        <v>1.7318850472996743E-2</v>
      </c>
      <c r="BN29" s="3">
        <f t="shared" si="17"/>
        <v>1988</v>
      </c>
      <c r="BO29" s="3">
        <v>1738</v>
      </c>
      <c r="BP29" s="4">
        <f>Genaire!C29 + 'New Misos'!C29 + Phuris!C29 + Lasri!C29 + Slyiaduun!C29 + Aetintio!C29 + Metndria!C29 + Tomscilus!C29</f>
        <v>74442021.900343969</v>
      </c>
      <c r="BQ29" s="5">
        <f t="shared" si="18"/>
        <v>1.54963404159052E-2</v>
      </c>
      <c r="BR29" s="5">
        <f t="shared" si="19"/>
        <v>1.4995734845806663E-2</v>
      </c>
      <c r="BY29" s="3">
        <f t="shared" si="20"/>
        <v>1988</v>
      </c>
      <c r="BZ29" s="3">
        <v>1738</v>
      </c>
      <c r="CA29" s="4">
        <f>Ealdorii!C29 + Ukhdari!C29 + Hkuqo!C29 + Acrana!C29 + Zenashan!C29</f>
        <v>218613045.63077506</v>
      </c>
      <c r="CB29" s="7">
        <f t="shared" si="21"/>
        <v>1.4729875625962332E-2</v>
      </c>
      <c r="CC29" s="5">
        <f t="shared" si="22"/>
        <v>4.4037805293654822E-2</v>
      </c>
      <c r="CJ29" s="3">
        <f t="shared" si="23"/>
        <v>1988</v>
      </c>
      <c r="CK29" s="3">
        <v>1738</v>
      </c>
      <c r="CL29" s="4">
        <f>Estijan!C29 + Ikzen!C29 + Urbiqu!C29 + Danocia!C29 + Koruch!C29 + 'New Kizura'!C29 + Lydroa!C29 + Fermori!C29 + Uularin!C29 + 'Niul Spijan'!C29</f>
        <v>240045650.90374222</v>
      </c>
      <c r="CM29" s="7">
        <f t="shared" si="24"/>
        <v>1.1248570706829251E-2</v>
      </c>
      <c r="CN29" s="5">
        <f t="shared" si="25"/>
        <v>4.8355227866600389E-2</v>
      </c>
      <c r="CU29" s="3">
        <f t="shared" si="26"/>
        <v>1988</v>
      </c>
      <c r="CV29" s="3">
        <v>1738</v>
      </c>
      <c r="CW29" s="4">
        <f>Praesyu!C29 + Lycroa!C29 + Emara!C29 + Eldjo!C29 + Easuhura!C29 + Ilicuhe!C29 + Tonder!C29</f>
        <v>220052575.104978</v>
      </c>
      <c r="CX29" s="7">
        <f t="shared" si="27"/>
        <v>2.4021922693253477E-3</v>
      </c>
      <c r="CY29" s="5">
        <f t="shared" si="28"/>
        <v>4.4327786701289999E-2</v>
      </c>
      <c r="DF29" s="3">
        <f t="shared" si="29"/>
        <v>1988</v>
      </c>
      <c r="DG29" s="3">
        <v>1738</v>
      </c>
      <c r="DH29" s="4">
        <f>Verusa!C29 + Darewa!C29 + Siana!C29 + Yaxuto!C29 + 'Merela Sta'!C29 + Palina!C29</f>
        <v>159425716.60167283</v>
      </c>
      <c r="DI29" s="7">
        <f t="shared" si="30"/>
        <v>3.2598615138231791E-3</v>
      </c>
      <c r="DJ29" s="5">
        <f t="shared" si="31"/>
        <v>3.2115003229786755E-2</v>
      </c>
      <c r="DQ29" s="3">
        <f t="shared" si="32"/>
        <v>1988</v>
      </c>
      <c r="DR29" s="3">
        <v>1738</v>
      </c>
      <c r="DS29" s="4">
        <f>Sunsokua!C29 + Vayvele!C29 + Selaja!C29 + Sadain!C29</f>
        <v>141055536.96638384</v>
      </c>
      <c r="DT29" s="7">
        <f t="shared" si="33"/>
        <v>2.3422618245039953E-2</v>
      </c>
      <c r="DU29" s="5">
        <f t="shared" si="34"/>
        <v>2.8414481187956534E-2</v>
      </c>
      <c r="EB29" s="3">
        <f t="shared" si="35"/>
        <v>1988</v>
      </c>
      <c r="EC29" s="3">
        <v>1738</v>
      </c>
      <c r="ED29" s="4">
        <f>Pelugrotoa!C29 + Lieri!C29 + 'Rtesania'!C29 + Ozinia!C29</f>
        <v>328501683.84702951</v>
      </c>
      <c r="EE29" s="7">
        <f t="shared" si="36"/>
        <v>1.131238293431228E-2</v>
      </c>
      <c r="EF29" s="5">
        <f t="shared" si="37"/>
        <v>6.6173970314316544E-2</v>
      </c>
      <c r="EM29" s="3">
        <f t="shared" si="38"/>
        <v>1988</v>
      </c>
      <c r="EN29" s="3">
        <v>1738</v>
      </c>
      <c r="EO29" s="4">
        <f>Ocaun!C29 + 'Dual Cenryia'!C29 + Byllu!C29 + Exilium!C29 + Inrea!C29 + Amcha!C29 + Isnti!C29 + Galca!C29 + Otiiric!C29 + Taing!C29 + 'Cruthi Anoso'!C29</f>
        <v>175458847.17640924</v>
      </c>
      <c r="EP29" s="7">
        <f t="shared" si="39"/>
        <v>2.7873686822130019E-2</v>
      </c>
      <c r="EQ29" s="5">
        <f t="shared" si="40"/>
        <v>3.5344745903471878E-2</v>
      </c>
      <c r="EX29" s="3">
        <f t="shared" si="41"/>
        <v>1988</v>
      </c>
      <c r="EY29" s="3">
        <v>1738</v>
      </c>
      <c r="EZ29" s="4">
        <f>Sivoso!C29 + Taoisia!C29 + Seytinemas!C29 + Trian!C29 + 'Chaenia'!C29</f>
        <v>104869120.87903953</v>
      </c>
      <c r="FA29" s="7">
        <f t="shared" si="42"/>
        <v>2.1394228336839228E-2</v>
      </c>
      <c r="FB29" s="5">
        <f t="shared" si="43"/>
        <v>2.1125024415916058E-2</v>
      </c>
      <c r="FI29" s="3">
        <f t="shared" si="44"/>
        <v>1988</v>
      </c>
      <c r="FJ29" s="3">
        <v>1738</v>
      </c>
      <c r="FK29" s="4">
        <f>Migoku!C29 + 'Welenu Fana'!C29 + Haiza!C29 + Ucrua!C29 + Ihner!C29 + Oscairia!C29 + Shinam!C29 + 'Ruylku'!C29 + Taval!C29 + 'Western Migoku'!C29 + 'Pruim Fijan'!C29 + 'Canldives'!C29</f>
        <v>114313229.01342541</v>
      </c>
      <c r="FL29" s="7">
        <f t="shared" si="45"/>
        <v>2.06393305481361E-2</v>
      </c>
      <c r="FM29" s="5">
        <f t="shared" si="46"/>
        <v>2.3027462552644342E-2</v>
      </c>
      <c r="FT29" s="3">
        <f t="shared" si="47"/>
        <v>1988</v>
      </c>
      <c r="FU29" s="3">
        <v>1738</v>
      </c>
      <c r="FV29" s="4">
        <f>Vesozata!C29 + Etretes!C29 + Kusierna!C29 + Eparia!C29</f>
        <v>81995905.342503831</v>
      </c>
      <c r="FW29" s="7">
        <f t="shared" si="48"/>
        <v>2.516882032428187E-2</v>
      </c>
      <c r="FX29" s="5">
        <f t="shared" si="49"/>
        <v>1.6517402719180684E-2</v>
      </c>
      <c r="GE29" s="3">
        <f t="shared" si="50"/>
        <v>1988</v>
      </c>
      <c r="GF29" s="3">
        <v>1738</v>
      </c>
      <c r="GG29" s="4">
        <f>Dahe!C29 + Kaastini!C29 + Suenan!C29 + Oyreain!C29 + Sanagara!C29 + 'North Ayre'!C29 + Stinebar!C29 + 'Cloja'!C29 + 'Pha Hii'!C29 + 'Prystr Hii'!C29</f>
        <v>902861538.66750598</v>
      </c>
      <c r="GH29" s="7">
        <f t="shared" si="51"/>
        <v>9.3513574826745056E-3</v>
      </c>
      <c r="GI29" s="5">
        <f t="shared" si="52"/>
        <v>0.18187405299737541</v>
      </c>
      <c r="GP29" s="3">
        <f t="shared" si="53"/>
        <v>1988</v>
      </c>
      <c r="GQ29" s="3">
        <v>1738</v>
      </c>
      <c r="GR29" s="4">
        <f>Maalle!C29 + 'United Delet'!C29 + Ohtina!C29 + Astye!C29 + Prstreula!C29 + Veelmit!C29 + Aplasia!C29 + 'Elja and Munusia'!C29 + Walporein!C29 + 'Crila Republic'!C29 + 'Niretui and Anulan'!C29 + 'Rethern'!C29 + Tvecoca!C29</f>
        <v>130688613.49843854</v>
      </c>
      <c r="GS29" s="7">
        <f t="shared" si="54"/>
        <v>2.307267415504094E-2</v>
      </c>
      <c r="GT29" s="5">
        <f t="shared" si="55"/>
        <v>2.6326149469882123E-2</v>
      </c>
      <c r="HA29" s="3">
        <f t="shared" si="56"/>
        <v>1988</v>
      </c>
      <c r="HB29" s="3">
        <v>1738</v>
      </c>
      <c r="HC29" s="4">
        <f>Andsaudare!C29 + Nia!C29 + Umarcia!C29 + Mendereide!C29 + Iainoa!C29 + Isari!C29 + 'Rkmepuia'!C29 + Hiwush!C29 + Isuibul!C29 + Yutnitu!C29</f>
        <v>47792911.378211282</v>
      </c>
      <c r="HD29" s="7">
        <f t="shared" si="57"/>
        <v>2.3891920642398892E-2</v>
      </c>
      <c r="HE29" s="5">
        <f t="shared" si="58"/>
        <v>9.6274900686635044E-3</v>
      </c>
      <c r="HL29" s="3">
        <f t="shared" si="59"/>
        <v>1988</v>
      </c>
      <c r="HM29" s="3">
        <v>1738</v>
      </c>
      <c r="HN29" s="4">
        <f>Zhanshe!C29 + Volver!C29 + Finae!C29 + Myla!C29 + 'Nheyes Si'!C29 + Onphello!C29 + Hyelen!C29</f>
        <v>82737839.018834651</v>
      </c>
      <c r="HO29" s="7">
        <f t="shared" si="60"/>
        <v>1.4795437918058716E-2</v>
      </c>
      <c r="HP29" s="5">
        <f t="shared" si="61"/>
        <v>1.6666859174008383E-2</v>
      </c>
      <c r="HW29" s="3">
        <f t="shared" si="62"/>
        <v>1988</v>
      </c>
      <c r="HX29" s="3">
        <v>1738</v>
      </c>
      <c r="HY29" s="4">
        <f>Yihnurda!C29 + Ztesh!C29 + Wundry!C29 + Anymna!C29 + Shomjind!C29 + Baluyde!C29 + Letan!C29</f>
        <v>344809073.17857301</v>
      </c>
      <c r="HZ29" s="7">
        <f t="shared" si="63"/>
        <v>2.5001155322515834E-2</v>
      </c>
      <c r="IA29" s="5">
        <f t="shared" si="64"/>
        <v>6.9458960165485986E-2</v>
      </c>
      <c r="IH29" s="3">
        <f t="shared" si="65"/>
        <v>1988</v>
      </c>
      <c r="II29" s="3">
        <v>1738</v>
      </c>
      <c r="IJ29" s="4">
        <f>Iareva!C29 + 'United Mihili'!C29 + 'Mesjan Hyaa'!C29 + Desaki!C29 + 'Far Lands'!C29</f>
        <v>42580349.279240333</v>
      </c>
      <c r="IK29" s="7">
        <f t="shared" si="66"/>
        <v>2.8150391653041902E-2</v>
      </c>
      <c r="IL29" s="5">
        <f t="shared" si="67"/>
        <v>8.5774621797365842E-3</v>
      </c>
      <c r="IS29" s="3">
        <f t="shared" si="68"/>
        <v>1988</v>
      </c>
      <c r="IT29" s="3">
        <v>1738</v>
      </c>
      <c r="IU29" s="4">
        <f>Verste!C29 + Quidic!C29 + Erkizil!C29 + Ashain!C29 + Ahokini!C29</f>
        <v>260220018.21073425</v>
      </c>
      <c r="IV29" s="7">
        <f t="shared" si="69"/>
        <v>1.7761181143901E-2</v>
      </c>
      <c r="IW29" s="5">
        <f t="shared" si="70"/>
        <v>5.2419188719551979E-2</v>
      </c>
    </row>
    <row r="30" spans="1:257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4890084046.2393303</v>
      </c>
      <c r="D30" s="5">
        <f t="shared" si="1"/>
        <v>1.5236054786111923E-2</v>
      </c>
      <c r="K30" s="3">
        <f t="shared" si="2"/>
        <v>1987</v>
      </c>
      <c r="L30" s="3">
        <v>1737</v>
      </c>
      <c r="M30" s="4">
        <f>Eldavpir!C30 + Iquir!C30 + Viussi!C30 + Umendel!C30 + 'Reerica'!C30 + Saa!C30 + Sattle!C30</f>
        <v>52349011.412021115</v>
      </c>
      <c r="N30" s="5">
        <f t="shared" si="3"/>
        <v>3.1181192777345813E-2</v>
      </c>
      <c r="O30" s="5">
        <f t="shared" si="4"/>
        <v>1.0705135314040173E-2</v>
      </c>
      <c r="V30" s="3">
        <f t="shared" si="5"/>
        <v>1987</v>
      </c>
      <c r="W30" s="3">
        <v>1737</v>
      </c>
      <c r="X30" s="4">
        <f>'Areoix Lie'!C30 + Jau!C30 + Terressin!C30 + Acetoa!C30 + 'Feio Lie'!C30</f>
        <v>547378241.68229342</v>
      </c>
      <c r="Y30" s="5">
        <f t="shared" si="6"/>
        <v>1.2302853040077008E-2</v>
      </c>
      <c r="Z30" s="5">
        <f t="shared" si="7"/>
        <v>0.1119363668408213</v>
      </c>
      <c r="AG30" s="3">
        <f t="shared" si="8"/>
        <v>1987</v>
      </c>
      <c r="AH30" s="3">
        <v>1737</v>
      </c>
      <c r="AI30" s="4">
        <f>Taniduna!C30 + Jathua!C30 + Deschon!C30 + Pelines!C30 + 'Candenat'!C30 + Othya!C30 + Yoprioq!C30 + Jshain!C30 + 'Fire Coast'!C30 + 'Rijan bu'!C30 + 'Rinew'!C30 + Enina!C30 + Trevilla!C30</f>
        <v>111762629.4848541</v>
      </c>
      <c r="AJ30" s="5">
        <f t="shared" si="9"/>
        <v>2.7909858943748679E-2</v>
      </c>
      <c r="AK30" s="5">
        <f t="shared" si="10"/>
        <v>2.2854950636442339E-2</v>
      </c>
      <c r="AR30" s="3">
        <f t="shared" si="11"/>
        <v>1987</v>
      </c>
      <c r="AS30" s="3">
        <v>1737</v>
      </c>
      <c r="AT30" s="4">
        <f>Gaeiya!C30 + 'Raledria'!C30 + Arbiya!C30 + Fincen!C30 + 'Curata'!C30</f>
        <v>226677986.87055773</v>
      </c>
      <c r="AU30" s="5">
        <f t="shared" si="12"/>
        <v>1.4498497147858485E-2</v>
      </c>
      <c r="AV30" s="5">
        <f t="shared" si="13"/>
        <v>4.6354619823943954E-2</v>
      </c>
      <c r="BC30" s="3">
        <f t="shared" si="14"/>
        <v>1987</v>
      </c>
      <c r="BD30" s="3">
        <v>1737</v>
      </c>
      <c r="BE30" s="4">
        <f>Etirha!C30 + Laselteh!C30 + Grazail!C30 + 'Disal Nila'!C30 + Pelan!C30 + Peka!C30 + Guise!C30</f>
        <v>85292367.778264567</v>
      </c>
      <c r="BF30" s="5">
        <f t="shared" si="15"/>
        <v>9.0024178476623574E-3</v>
      </c>
      <c r="BG30" s="5">
        <f t="shared" si="16"/>
        <v>1.7441902219218052E-2</v>
      </c>
      <c r="BN30" s="3">
        <f t="shared" si="17"/>
        <v>1987</v>
      </c>
      <c r="BO30" s="3">
        <v>1737</v>
      </c>
      <c r="BP30" s="4">
        <f>Genaire!C30 + 'New Misos'!C30 + Phuris!C30 + Lasri!C30 + Slyiaduun!C30 + Aetintio!C30 + Metndria!C30 + Tomscilus!C30</f>
        <v>73306046.450010449</v>
      </c>
      <c r="BQ30" s="5">
        <f t="shared" si="18"/>
        <v>1.5987208140702286E-2</v>
      </c>
      <c r="BR30" s="5">
        <f t="shared" si="19"/>
        <v>1.4990753892335597E-2</v>
      </c>
      <c r="BY30" s="3">
        <f t="shared" si="20"/>
        <v>1987</v>
      </c>
      <c r="BZ30" s="3">
        <v>1737</v>
      </c>
      <c r="CA30" s="4">
        <f>Ealdorii!C30 + Ukhdari!C30 + Hkuqo!C30 + Acrana!C30 + Zenashan!C30</f>
        <v>215439646.43390238</v>
      </c>
      <c r="CB30" s="6">
        <f t="shared" si="21"/>
        <v>1.3409003479883583E-2</v>
      </c>
      <c r="CC30" s="5">
        <f t="shared" si="22"/>
        <v>4.4056430195629062E-2</v>
      </c>
      <c r="CJ30" s="3">
        <f t="shared" si="23"/>
        <v>1987</v>
      </c>
      <c r="CK30" s="3">
        <v>1737</v>
      </c>
      <c r="CL30" s="4">
        <f>Estijan!C30 + Ikzen!C30 + Urbiqu!C30 + Danocia!C30 + Koruch!C30 + 'New Kizura'!C30 + Lydroa!C30 + Fermori!C30 + Uularin!C30 + 'Niul Spijan'!C30</f>
        <v>237375515.63208467</v>
      </c>
      <c r="CM30" s="6">
        <f t="shared" si="24"/>
        <v>1.1311302821290793E-2</v>
      </c>
      <c r="CN30" s="5">
        <f t="shared" si="25"/>
        <v>4.8542215918484247E-2</v>
      </c>
      <c r="CU30" s="3">
        <f t="shared" si="26"/>
        <v>1987</v>
      </c>
      <c r="CV30" s="3">
        <v>1737</v>
      </c>
      <c r="CW30" s="4">
        <f>Praesyu!C30 + Lycroa!C30 + Emara!C30 + Eldjo!C30 + Easuhura!C30 + Ilicuhe!C30 + Tonder!C30</f>
        <v>219525233.28665495</v>
      </c>
      <c r="CX30" s="6">
        <f t="shared" si="27"/>
        <v>2.4386173884672056E-3</v>
      </c>
      <c r="CY30" s="5">
        <f t="shared" si="28"/>
        <v>4.4891914169753099E-2</v>
      </c>
      <c r="DF30" s="3">
        <f t="shared" si="29"/>
        <v>1987</v>
      </c>
      <c r="DG30" s="3">
        <v>1737</v>
      </c>
      <c r="DH30" s="4">
        <f>Verusa!C30 + Darewa!C30 + Siana!C30 + Yaxuto!C30 + 'Merela Sta'!C30 + Palina!C30</f>
        <v>158907699.50779718</v>
      </c>
      <c r="DI30" s="6">
        <f t="shared" si="30"/>
        <v>3.233808741105587E-3</v>
      </c>
      <c r="DJ30" s="5">
        <f t="shared" si="31"/>
        <v>3.2495903547916226E-2</v>
      </c>
      <c r="DQ30" s="3">
        <f t="shared" si="32"/>
        <v>1987</v>
      </c>
      <c r="DR30" s="3">
        <v>1737</v>
      </c>
      <c r="DS30" s="4">
        <f>Sunsokua!C30 + Vayvele!C30 + Selaja!C30 + Sadain!C30</f>
        <v>137827261.63338581</v>
      </c>
      <c r="DT30" s="6">
        <f t="shared" si="33"/>
        <v>2.4340670946787397E-2</v>
      </c>
      <c r="DU30" s="5">
        <f t="shared" si="34"/>
        <v>2.8185049649480046E-2</v>
      </c>
      <c r="EB30" s="3">
        <f t="shared" si="35"/>
        <v>1987</v>
      </c>
      <c r="EC30" s="3">
        <v>1737</v>
      </c>
      <c r="ED30" s="4">
        <f>Pelugrotoa!C30 + Lieri!C30 + 'Rtesania'!C30 + Ozinia!C30</f>
        <v>324827115.13319486</v>
      </c>
      <c r="EE30" s="6">
        <f t="shared" si="36"/>
        <v>1.1089217670801569E-2</v>
      </c>
      <c r="EF30" s="5">
        <f t="shared" si="37"/>
        <v>6.6425671228084487E-2</v>
      </c>
      <c r="EM30" s="3">
        <f t="shared" si="38"/>
        <v>1987</v>
      </c>
      <c r="EN30" s="3">
        <v>1737</v>
      </c>
      <c r="EO30" s="4">
        <f>Ocaun!C30 + 'Dual Cenryia'!C30 + Byllu!C30 + Exilium!C30 + Inrea!C30 + Amcha!C30 + Isnti!C30 + Galca!C30 + Otiiric!C30 + Taing!C30 + 'Cruthi Anoso'!C30</f>
        <v>170700786.90201142</v>
      </c>
      <c r="EP30" s="6">
        <f t="shared" si="39"/>
        <v>2.6488107856251237E-2</v>
      </c>
      <c r="EQ30" s="5">
        <f t="shared" si="40"/>
        <v>3.4907536412035117E-2</v>
      </c>
      <c r="EX30" s="3">
        <f t="shared" si="41"/>
        <v>1987</v>
      </c>
      <c r="EY30" s="3">
        <v>1737</v>
      </c>
      <c r="EZ30" s="4">
        <f>Sivoso!C30 + Taoisia!C30 + Seytinemas!C30 + Trian!C30 + 'Chaenia'!C30</f>
        <v>102672521.5099369</v>
      </c>
      <c r="FA30" s="6">
        <f t="shared" si="42"/>
        <v>2.1782517281082017E-2</v>
      </c>
      <c r="FB30" s="5">
        <f t="shared" si="43"/>
        <v>2.099606479951938E-2</v>
      </c>
      <c r="FI30" s="3">
        <f t="shared" si="44"/>
        <v>1987</v>
      </c>
      <c r="FJ30" s="3">
        <v>1737</v>
      </c>
      <c r="FK30" s="4">
        <f>Migoku!C30 + 'Welenu Fana'!C30 + Haiza!C30 + Ucrua!C30 + Ihner!C30 + Oscairia!C30 + Shinam!C30 + 'Ruylku'!C30 + Taval!C30 + 'Western Migoku'!C30 + 'Pruim Fijan'!C30 + 'Canldives'!C30</f>
        <v>112001591.15172771</v>
      </c>
      <c r="FL30" s="6">
        <f t="shared" si="45"/>
        <v>2.1070139075661218E-2</v>
      </c>
      <c r="FM30" s="5">
        <f t="shared" si="46"/>
        <v>2.2903817213092974E-2</v>
      </c>
      <c r="FT30" s="3">
        <f t="shared" si="47"/>
        <v>1987</v>
      </c>
      <c r="FU30" s="3">
        <v>1737</v>
      </c>
      <c r="FV30" s="4">
        <f>Vesozata!C30 + Etretes!C30 + Kusierna!C30 + Eparia!C30</f>
        <v>79982831.819413751</v>
      </c>
      <c r="FW30" s="6">
        <f t="shared" si="48"/>
        <v>2.5733770629339115E-2</v>
      </c>
      <c r="FX30" s="5">
        <f t="shared" si="49"/>
        <v>1.6356126206240513E-2</v>
      </c>
      <c r="GE30" s="3">
        <f t="shared" si="50"/>
        <v>1987</v>
      </c>
      <c r="GF30" s="3">
        <v>1737</v>
      </c>
      <c r="GG30" s="4">
        <f>Dahe!C30 + Kaastini!C30 + Suenan!C30 + Oyreain!C30 + Sanagara!C30 + 'North Ayre'!C30 + Stinebar!C30 + 'Cloja'!C30 + 'Pha Hii'!C30 + 'Prystr Hii'!C30</f>
        <v>894496779.51515865</v>
      </c>
      <c r="GH30" s="6">
        <f t="shared" si="51"/>
        <v>9.8625495208614876E-3</v>
      </c>
      <c r="GI30" s="5">
        <f t="shared" si="52"/>
        <v>0.18292053286958582</v>
      </c>
      <c r="GP30" s="3">
        <f t="shared" si="53"/>
        <v>1987</v>
      </c>
      <c r="GQ30" s="3">
        <v>1737</v>
      </c>
      <c r="GR30" s="4">
        <f>Maalle!C30 + 'United Delet'!C30 + Ohtina!C30 + Astye!C30 + Prstreula!C30 + Veelmit!C30 + Aplasia!C30 + 'Elja and Munusia'!C30 + Walporein!C30 + 'Crila Republic'!C30 + 'Niretui and Anulan'!C30 + 'Rethern'!C30 + Tvecoca!C30</f>
        <v>127741280.55602178</v>
      </c>
      <c r="GS30" s="6">
        <f t="shared" si="54"/>
        <v>2.2983307319333526E-2</v>
      </c>
      <c r="GT30" s="5">
        <f t="shared" si="55"/>
        <v>2.6122512281616085E-2</v>
      </c>
      <c r="HA30" s="3">
        <f t="shared" si="56"/>
        <v>1987</v>
      </c>
      <c r="HB30" s="3">
        <v>1737</v>
      </c>
      <c r="HC30" s="4">
        <f>Andsaudare!C30 + Nia!C30 + Umarcia!C30 + Mendereide!C30 + Iainoa!C30 + Isari!C30 + 'Rkmepuia'!C30 + Hiwush!C30 + Isuibul!C30 + Yutnitu!C30</f>
        <v>46677691.672989845</v>
      </c>
      <c r="HD30" s="6">
        <f t="shared" si="57"/>
        <v>2.4269603721621465E-2</v>
      </c>
      <c r="HE30" s="5">
        <f t="shared" si="58"/>
        <v>9.5453761595134246E-3</v>
      </c>
      <c r="HL30" s="3">
        <f t="shared" si="59"/>
        <v>1987</v>
      </c>
      <c r="HM30" s="3">
        <v>1737</v>
      </c>
      <c r="HN30" s="4">
        <f>Zhanshe!C30 + Volver!C30 + Finae!C30 + Myla!C30 + 'Nheyes Si'!C30 + Onphello!C30 + Hyelen!C30</f>
        <v>81531544.119451836</v>
      </c>
      <c r="HO30" s="6">
        <f t="shared" si="60"/>
        <v>1.5001249137173994E-2</v>
      </c>
      <c r="HP30" s="5">
        <f t="shared" si="61"/>
        <v>1.6672830844728086E-2</v>
      </c>
      <c r="HW30" s="3">
        <f t="shared" si="62"/>
        <v>1987</v>
      </c>
      <c r="HX30" s="3">
        <v>1737</v>
      </c>
      <c r="HY30" s="4">
        <f>Yihnurda!C30 + Ztesh!C30 + Wundry!C30 + Anymna!C30 + Shomjind!C30 + Baluyde!C30 + Letan!C30</f>
        <v>336398716.61420625</v>
      </c>
      <c r="HZ30" s="6">
        <f t="shared" si="63"/>
        <v>2.5054631536096706E-2</v>
      </c>
      <c r="IA30" s="5">
        <f t="shared" si="64"/>
        <v>6.8792011227886821E-2</v>
      </c>
      <c r="IH30" s="3">
        <f t="shared" si="65"/>
        <v>1987</v>
      </c>
      <c r="II30" s="3">
        <v>1737</v>
      </c>
      <c r="IJ30" s="4">
        <f>Iareva!C30 + 'United Mihili'!C30 + 'Mesjan Hyaa'!C30 + Desaki!C30 + 'Far Lands'!C30</f>
        <v>41414514.476603374</v>
      </c>
      <c r="IK30" s="6">
        <f t="shared" si="66"/>
        <v>2.7786423816140628E-2</v>
      </c>
      <c r="IL30" s="5">
        <f t="shared" si="67"/>
        <v>8.469080303119287E-3</v>
      </c>
      <c r="IS30" s="3">
        <f t="shared" si="68"/>
        <v>1987</v>
      </c>
      <c r="IT30" s="3">
        <v>1737</v>
      </c>
      <c r="IU30" s="4">
        <f>Verste!C30 + Quidic!C30 + Erkizil!C30 + Ashain!C30 + Ahokini!C30</f>
        <v>255678859.6694786</v>
      </c>
      <c r="IV30" s="6">
        <f t="shared" si="69"/>
        <v>1.837849574936861E-2</v>
      </c>
      <c r="IW30" s="5">
        <f t="shared" si="70"/>
        <v>5.2285166727575133E-2</v>
      </c>
    </row>
    <row r="31" spans="1:257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4816696593.0593987</v>
      </c>
      <c r="D31" s="5">
        <f t="shared" si="1"/>
        <v>1.5547970986555373E-2</v>
      </c>
      <c r="K31" s="3">
        <f t="shared" si="2"/>
        <v>1986</v>
      </c>
      <c r="L31" s="3">
        <v>1736</v>
      </c>
      <c r="M31" s="4">
        <f>Eldavpir!C31 + Iquir!C31 + Viussi!C31 + Umendel!C31 + 'Reerica'!C31 + Saa!C31 + Sattle!C31</f>
        <v>50766064.954138853</v>
      </c>
      <c r="N31" s="5">
        <f t="shared" si="3"/>
        <v>3.1586833593909909E-2</v>
      </c>
      <c r="O31" s="5">
        <f t="shared" si="4"/>
        <v>1.0539601981011225E-2</v>
      </c>
      <c r="V31" s="3">
        <f t="shared" si="5"/>
        <v>1986</v>
      </c>
      <c r="W31" s="3">
        <v>1736</v>
      </c>
      <c r="X31" s="4">
        <f>'Areoix Lie'!C31 + Jau!C31 + Terressin!C31 + Acetoa!C31 + 'Feio Lie'!C31</f>
        <v>540725771.97470641</v>
      </c>
      <c r="Y31" s="5">
        <f t="shared" si="6"/>
        <v>1.2763996282569684E-2</v>
      </c>
      <c r="Z31" s="5">
        <f t="shared" si="7"/>
        <v>0.11226070846020554</v>
      </c>
      <c r="AG31" s="3">
        <f t="shared" si="8"/>
        <v>1986</v>
      </c>
      <c r="AH31" s="3">
        <v>1736</v>
      </c>
      <c r="AI31" s="4">
        <f>Taniduna!C31 + Jathua!C31 + Deschon!C31 + Pelines!C31 + 'Candenat'!C31 + Othya!C31 + Yoprioq!C31 + Jshain!C31 + 'Fire Coast'!C31 + 'Rijan bu'!C31 + 'Rinew'!C31 + Enina!C31 + Trevilla!C31</f>
        <v>108728045.0833483</v>
      </c>
      <c r="AJ31" s="5">
        <f t="shared" si="9"/>
        <v>2.6825626681037135E-2</v>
      </c>
      <c r="AK31" s="5">
        <f t="shared" si="10"/>
        <v>2.2573156308001541E-2</v>
      </c>
      <c r="AR31" s="3">
        <f t="shared" si="11"/>
        <v>1986</v>
      </c>
      <c r="AS31" s="3">
        <v>1736</v>
      </c>
      <c r="AT31" s="4">
        <f>Gaeiya!C31 + 'Raledria'!C31 + Arbiya!C31 + Fincen!C31 + 'Curata'!C31</f>
        <v>223438464.9241333</v>
      </c>
      <c r="AU31" s="5">
        <f t="shared" si="12"/>
        <v>1.3798644797273522E-2</v>
      </c>
      <c r="AV31" s="5">
        <f t="shared" si="13"/>
        <v>4.6388320419869532E-2</v>
      </c>
      <c r="BC31" s="3">
        <f t="shared" si="14"/>
        <v>1986</v>
      </c>
      <c r="BD31" s="3">
        <v>1736</v>
      </c>
      <c r="BE31" s="4">
        <f>Etirha!C31 + Laselteh!C31 + Grazail!C31 + 'Disal Nila'!C31 + Pelan!C31 + Peka!C31 + Guise!C31</f>
        <v>84531380.965572551</v>
      </c>
      <c r="BF31" s="5">
        <f t="shared" si="15"/>
        <v>8.6038026329030882E-3</v>
      </c>
      <c r="BG31" s="5">
        <f t="shared" si="16"/>
        <v>1.7549658636871114E-2</v>
      </c>
      <c r="BN31" s="3">
        <f t="shared" si="17"/>
        <v>1986</v>
      </c>
      <c r="BO31" s="3">
        <v>1736</v>
      </c>
      <c r="BP31" s="4">
        <f>Genaire!C31 + 'New Misos'!C31 + Phuris!C31 + Lasri!C31 + Slyiaduun!C31 + Aetintio!C31 + Metndria!C31 + Tomscilus!C31</f>
        <v>72152528.951780289</v>
      </c>
      <c r="BQ31" s="5">
        <f t="shared" si="18"/>
        <v>1.6674167476230413E-2</v>
      </c>
      <c r="BR31" s="5">
        <f t="shared" si="19"/>
        <v>1.4979670726146258E-2</v>
      </c>
      <c r="BY31" s="3">
        <f t="shared" si="20"/>
        <v>1986</v>
      </c>
      <c r="BZ31" s="3">
        <v>1736</v>
      </c>
      <c r="CA31" s="4">
        <f>Ealdorii!C31 + Ukhdari!C31 + Hkuqo!C31 + Acrana!C31 + Zenashan!C31</f>
        <v>212589039.26659155</v>
      </c>
      <c r="CB31" s="7">
        <f t="shared" si="21"/>
        <v>9.3383537323886556E-3</v>
      </c>
      <c r="CC31" s="5">
        <f t="shared" si="22"/>
        <v>4.4135858499561906E-2</v>
      </c>
      <c r="CJ31" s="3">
        <f t="shared" si="23"/>
        <v>1986</v>
      </c>
      <c r="CK31" s="3">
        <v>1736</v>
      </c>
      <c r="CL31" s="4">
        <f>Estijan!C31 + Ikzen!C31 + Urbiqu!C31 + Danocia!C31 + Koruch!C31 + 'New Kizura'!C31 + Lydroa!C31 + Fermori!C31 + Uularin!C31 + 'Niul Spijan'!C31</f>
        <v>234720520.74358293</v>
      </c>
      <c r="CM31" s="7">
        <f t="shared" si="24"/>
        <v>1.2773423061340574E-2</v>
      </c>
      <c r="CN31" s="5">
        <f t="shared" si="25"/>
        <v>4.8730601192901089E-2</v>
      </c>
      <c r="CU31" s="3">
        <f t="shared" si="26"/>
        <v>1986</v>
      </c>
      <c r="CV31" s="3">
        <v>1736</v>
      </c>
      <c r="CW31" s="4">
        <f>Praesyu!C31 + Lycroa!C31 + Emara!C31 + Eldjo!C31 + Easuhura!C31 + Ilicuhe!C31 + Tonder!C31</f>
        <v>218991197.54440191</v>
      </c>
      <c r="CX31" s="7">
        <f t="shared" si="27"/>
        <v>2.1541717066335497E-3</v>
      </c>
      <c r="CY31" s="5">
        <f t="shared" si="28"/>
        <v>4.5465018049913396E-2</v>
      </c>
      <c r="DF31" s="3">
        <f t="shared" si="29"/>
        <v>1986</v>
      </c>
      <c r="DG31" s="3">
        <v>1736</v>
      </c>
      <c r="DH31" s="4">
        <f>Verusa!C31 + Darewa!C31 + Siana!C31 + Yaxuto!C31 + 'Merela Sta'!C31 + Palina!C31</f>
        <v>158395478.82382509</v>
      </c>
      <c r="DI31" s="7">
        <f t="shared" si="30"/>
        <v>3.69280625549143E-3</v>
      </c>
      <c r="DJ31" s="5">
        <f t="shared" si="31"/>
        <v>3.2884670180817387E-2</v>
      </c>
      <c r="DQ31" s="3">
        <f t="shared" si="32"/>
        <v>1986</v>
      </c>
      <c r="DR31" s="3">
        <v>1736</v>
      </c>
      <c r="DS31" s="4">
        <f>Sunsokua!C31 + Vayvele!C31 + Selaja!C31 + Sadain!C31</f>
        <v>134552171.50168753</v>
      </c>
      <c r="DT31" s="7">
        <f t="shared" si="33"/>
        <v>2.5066759193940011E-2</v>
      </c>
      <c r="DU31" s="5">
        <f t="shared" si="34"/>
        <v>2.7934533326340296E-2</v>
      </c>
      <c r="EB31" s="3">
        <f t="shared" si="35"/>
        <v>1986</v>
      </c>
      <c r="EC31" s="3">
        <v>1736</v>
      </c>
      <c r="ED31" s="4">
        <f>Pelugrotoa!C31 + Lieri!C31 + 'Rtesania'!C31 + Ozinia!C31</f>
        <v>321264542.68940157</v>
      </c>
      <c r="EE31" s="7">
        <f t="shared" si="36"/>
        <v>1.3530135670661395E-2</v>
      </c>
      <c r="EF31" s="5">
        <f t="shared" si="37"/>
        <v>6.6698106572111379E-2</v>
      </c>
      <c r="EM31" s="3">
        <f t="shared" si="38"/>
        <v>1986</v>
      </c>
      <c r="EN31" s="3">
        <v>1736</v>
      </c>
      <c r="EO31" s="4">
        <f>Ocaun!C31 + 'Dual Cenryia'!C31 + Byllu!C31 + Exilium!C31 + Inrea!C31 + Amcha!C31 + Isnti!C31 + Galca!C31 + Otiiric!C31 + Taing!C31 + 'Cruthi Anoso'!C31</f>
        <v>166295922.56895027</v>
      </c>
      <c r="EP31" s="7">
        <f t="shared" si="39"/>
        <v>2.8110569587734606E-2</v>
      </c>
      <c r="EQ31" s="5">
        <f t="shared" si="40"/>
        <v>3.4524890525297725E-2</v>
      </c>
      <c r="EX31" s="3">
        <f t="shared" si="41"/>
        <v>1986</v>
      </c>
      <c r="EY31" s="3">
        <v>1736</v>
      </c>
      <c r="EZ31" s="4">
        <f>Sivoso!C31 + Taoisia!C31 + Seytinemas!C31 + Trian!C31 + 'Chaenia'!C31</f>
        <v>100483732.86239417</v>
      </c>
      <c r="FA31" s="7">
        <f t="shared" si="42"/>
        <v>2.221294972501052E-2</v>
      </c>
      <c r="FB31" s="5">
        <f t="shared" si="43"/>
        <v>2.0861545028014808E-2</v>
      </c>
      <c r="FI31" s="3">
        <f t="shared" si="44"/>
        <v>1986</v>
      </c>
      <c r="FJ31" s="3">
        <v>1736</v>
      </c>
      <c r="FK31" s="4">
        <f>Migoku!C31 + 'Welenu Fana'!C31 + Haiza!C31 + Ucrua!C31 + Ihner!C31 + Oscairia!C31 + Shinam!C31 + 'Ruylku'!C31 + Taval!C31 + 'Western Migoku'!C31 + 'Pruim Fijan'!C31 + 'Canldives'!C31</f>
        <v>109690399.18562186</v>
      </c>
      <c r="FL31" s="7">
        <f t="shared" si="45"/>
        <v>2.1691251326077621E-2</v>
      </c>
      <c r="FM31" s="5">
        <f t="shared" si="46"/>
        <v>2.2772951766087953E-2</v>
      </c>
      <c r="FT31" s="3">
        <f t="shared" si="47"/>
        <v>1986</v>
      </c>
      <c r="FU31" s="3">
        <v>1736</v>
      </c>
      <c r="FV31" s="4">
        <f>Vesozata!C31 + Etretes!C31 + Kusierna!C31 + Eparia!C31</f>
        <v>77976209.918817699</v>
      </c>
      <c r="FW31" s="7">
        <f t="shared" si="48"/>
        <v>2.5970663875321737E-2</v>
      </c>
      <c r="FX31" s="5">
        <f t="shared" si="49"/>
        <v>1.6188731927017624E-2</v>
      </c>
      <c r="GE31" s="3">
        <f t="shared" si="50"/>
        <v>1986</v>
      </c>
      <c r="GF31" s="3">
        <v>1736</v>
      </c>
      <c r="GG31" s="4">
        <f>Dahe!C31 + Kaastini!C31 + Suenan!C31 + Oyreain!C31 + Sanagara!C31 + 'North Ayre'!C31 + Stinebar!C31 + 'Cloja'!C31 + 'Pha Hii'!C31 + 'Prystr Hii'!C31</f>
        <v>885760918.59190226</v>
      </c>
      <c r="GH31" s="7">
        <f t="shared" si="51"/>
        <v>1.0423927407243053E-2</v>
      </c>
      <c r="GI31" s="5">
        <f t="shared" si="52"/>
        <v>0.18389385785026116</v>
      </c>
      <c r="GP31" s="3">
        <f t="shared" si="53"/>
        <v>1986</v>
      </c>
      <c r="GQ31" s="3">
        <v>1736</v>
      </c>
      <c r="GR31" s="4">
        <f>Maalle!C31 + 'United Delet'!C31 + Ohtina!C31 + Astye!C31 + Prstreula!C31 + Veelmit!C31 + Aplasia!C31 + 'Elja and Munusia'!C31 + Walporein!C31 + 'Crila Republic'!C31 + 'Niretui and Anulan'!C31 + 'Rethern'!C31 + Tvecoca!C31</f>
        <v>124871324.52899955</v>
      </c>
      <c r="GS31" s="7">
        <f t="shared" si="54"/>
        <v>2.2927766795462778E-2</v>
      </c>
      <c r="GT31" s="5">
        <f t="shared" si="55"/>
        <v>2.5924681390339686E-2</v>
      </c>
      <c r="HA31" s="3">
        <f t="shared" si="56"/>
        <v>1986</v>
      </c>
      <c r="HB31" s="3">
        <v>1736</v>
      </c>
      <c r="HC31" s="4">
        <f>Andsaudare!C31 + Nia!C31 + Umarcia!C31 + Mendereide!C31 + Iainoa!C31 + Isari!C31 + 'Rkmepuia'!C31 + Hiwush!C31 + Isuibul!C31 + Yutnitu!C31</f>
        <v>45571684.938603356</v>
      </c>
      <c r="HD31" s="7">
        <f t="shared" si="57"/>
        <v>2.4635992067249198E-2</v>
      </c>
      <c r="HE31" s="5">
        <f t="shared" si="58"/>
        <v>9.461190684974783E-3</v>
      </c>
      <c r="HL31" s="3">
        <f t="shared" si="59"/>
        <v>1986</v>
      </c>
      <c r="HM31" s="3">
        <v>1736</v>
      </c>
      <c r="HN31" s="4">
        <f>Zhanshe!C31 + Volver!C31 + Finae!C31 + Myla!C31 + 'Nheyes Si'!C31 + Onphello!C31 + Hyelen!C31</f>
        <v>80326545.596628249</v>
      </c>
      <c r="HO31" s="7">
        <f t="shared" si="60"/>
        <v>1.5877123172432544E-2</v>
      </c>
      <c r="HP31" s="5">
        <f t="shared" si="61"/>
        <v>1.6676687859553889E-2</v>
      </c>
      <c r="HW31" s="3">
        <f t="shared" si="62"/>
        <v>1986</v>
      </c>
      <c r="HX31" s="3">
        <v>1736</v>
      </c>
      <c r="HY31" s="4">
        <f>Yihnurda!C31 + Ztesh!C31 + Wundry!C31 + Anymna!C31 + Shomjind!C31 + Baluyde!C31 + Letan!C31</f>
        <v>328176378.37516582</v>
      </c>
      <c r="HZ31" s="7">
        <f t="shared" si="63"/>
        <v>2.5140012145071711E-2</v>
      </c>
      <c r="IA31" s="5">
        <f t="shared" si="64"/>
        <v>6.8133080843840232E-2</v>
      </c>
      <c r="IH31" s="3">
        <f t="shared" si="65"/>
        <v>1986</v>
      </c>
      <c r="II31" s="3">
        <v>1736</v>
      </c>
      <c r="IJ31" s="4">
        <f>Iareva!C31 + 'United Mihili'!C31 + 'Mesjan Hyaa'!C31 + Desaki!C31 + 'Far Lands'!C31</f>
        <v>40294864.299561873</v>
      </c>
      <c r="IK31" s="7">
        <f t="shared" si="66"/>
        <v>2.7280803159350147E-2</v>
      </c>
      <c r="IL31" s="5">
        <f t="shared" si="67"/>
        <v>8.3656637948972355E-3</v>
      </c>
      <c r="IS31" s="3">
        <f t="shared" si="68"/>
        <v>1986</v>
      </c>
      <c r="IT31" s="3">
        <v>1736</v>
      </c>
      <c r="IU31" s="4">
        <f>Verste!C31 + Quidic!C31 + Erkizil!C31 + Ashain!C31 + Ahokini!C31</f>
        <v>251064668.72254467</v>
      </c>
      <c r="IV31" s="7">
        <f t="shared" si="69"/>
        <v>1.9206183663931394E-2</v>
      </c>
      <c r="IW31" s="5">
        <f t="shared" si="70"/>
        <v>5.212382882582129E-2</v>
      </c>
    </row>
    <row r="32" spans="1:257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4742953292.8712492</v>
      </c>
      <c r="D32" s="5">
        <f t="shared" si="1"/>
        <v>1.5839009997982274E-2</v>
      </c>
      <c r="K32" s="3">
        <f t="shared" si="2"/>
        <v>1985</v>
      </c>
      <c r="L32" s="3">
        <v>1735</v>
      </c>
      <c r="M32" s="4">
        <f>Eldavpir!C32 + Iquir!C32 + Viussi!C32 + Umendel!C32 + 'Reerica'!C32 + Saa!C32 + Sattle!C32</f>
        <v>49211625.52770929</v>
      </c>
      <c r="N32" s="5">
        <f t="shared" si="3"/>
        <v>3.2416220751892003E-2</v>
      </c>
      <c r="O32" s="5">
        <f t="shared" si="4"/>
        <v>1.0375734798332363E-2</v>
      </c>
      <c r="V32" s="3">
        <f t="shared" si="5"/>
        <v>1985</v>
      </c>
      <c r="W32" s="3">
        <v>1735</v>
      </c>
      <c r="X32" s="4">
        <f>'Areoix Lie'!C32 + Jau!C32 + Terressin!C32 + Acetoa!C32 + 'Feio Lie'!C32</f>
        <v>533910934.78785098</v>
      </c>
      <c r="Y32" s="5">
        <f t="shared" si="6"/>
        <v>1.3367461419655544E-2</v>
      </c>
      <c r="Z32" s="5">
        <f t="shared" si="7"/>
        <v>0.11256930056434025</v>
      </c>
      <c r="AG32" s="3">
        <f t="shared" si="8"/>
        <v>1985</v>
      </c>
      <c r="AH32" s="3">
        <v>1735</v>
      </c>
      <c r="AI32" s="4">
        <f>Taniduna!C32 + Jathua!C32 + Deschon!C32 + Pelines!C32 + 'Candenat'!C32 + Othya!C32 + Yoprioq!C32 + Jshain!C32 + 'Fire Coast'!C32 + 'Rijan bu'!C32 + 'Rinew'!C32 + Enina!C32 + Trevilla!C32</f>
        <v>105887545.32235929</v>
      </c>
      <c r="AJ32" s="5">
        <f t="shared" si="9"/>
        <v>2.7334772266751687E-2</v>
      </c>
      <c r="AK32" s="5">
        <f t="shared" si="10"/>
        <v>2.2325234676358784E-2</v>
      </c>
      <c r="AR32" s="3">
        <f t="shared" si="11"/>
        <v>1985</v>
      </c>
      <c r="AS32" s="3">
        <v>1735</v>
      </c>
      <c r="AT32" s="4">
        <f>Gaeiya!C32 + 'Raledria'!C32 + Arbiya!C32 + Fincen!C32 + 'Curata'!C32</f>
        <v>220397281.12756914</v>
      </c>
      <c r="AU32" s="5">
        <f t="shared" si="12"/>
        <v>1.2643355258694386E-2</v>
      </c>
      <c r="AV32" s="5">
        <f t="shared" si="13"/>
        <v>4.6468364227585907E-2</v>
      </c>
      <c r="BC32" s="3">
        <f t="shared" si="14"/>
        <v>1985</v>
      </c>
      <c r="BD32" s="3">
        <v>1735</v>
      </c>
      <c r="BE32" s="4">
        <f>Etirha!C32 + Laselteh!C32 + Grazail!C32 + 'Disal Nila'!C32 + Pelan!C32 + Peka!C32 + Guise!C32</f>
        <v>83810293.739631131</v>
      </c>
      <c r="BF32" s="5">
        <f t="shared" si="15"/>
        <v>9.5898896091440537E-3</v>
      </c>
      <c r="BG32" s="5">
        <f t="shared" si="16"/>
        <v>1.7670486838991147E-2</v>
      </c>
      <c r="BN32" s="3">
        <f t="shared" si="17"/>
        <v>1985</v>
      </c>
      <c r="BO32" s="3">
        <v>1735</v>
      </c>
      <c r="BP32" s="4">
        <f>Genaire!C32 + 'New Misos'!C32 + Phuris!C32 + Lasri!C32 + Slyiaduun!C32 + Aetintio!C32 + Metndria!C32 + Tomscilus!C32</f>
        <v>70969177.008687198</v>
      </c>
      <c r="BQ32" s="5">
        <f t="shared" si="18"/>
        <v>1.850933845783892E-2</v>
      </c>
      <c r="BR32" s="5">
        <f t="shared" si="19"/>
        <v>1.4963077354220471E-2</v>
      </c>
      <c r="BY32" s="3">
        <f t="shared" si="20"/>
        <v>1985</v>
      </c>
      <c r="BZ32" s="3">
        <v>1735</v>
      </c>
      <c r="CA32" s="4">
        <f>Ealdorii!C32 + Ukhdari!C32 + Hkuqo!C32 + Acrana!C32 + Zenashan!C32</f>
        <v>210622174.89355054</v>
      </c>
      <c r="CB32" s="6">
        <f t="shared" si="21"/>
        <v>8.8701009520616853E-3</v>
      </c>
      <c r="CC32" s="5">
        <f t="shared" si="22"/>
        <v>4.440738963424324E-2</v>
      </c>
      <c r="CJ32" s="3">
        <f t="shared" si="23"/>
        <v>1985</v>
      </c>
      <c r="CK32" s="3">
        <v>1735</v>
      </c>
      <c r="CL32" s="4">
        <f>Estijan!C32 + Ikzen!C32 + Urbiqu!C32 + Danocia!C32 + Koruch!C32 + 'New Kizura'!C32 + Lydroa!C32 + Fermori!C32 + Uularin!C32 + 'Niul Spijan'!C32</f>
        <v>231760150.2951037</v>
      </c>
      <c r="CM32" s="6">
        <f t="shared" si="24"/>
        <v>1.1618586629367534E-2</v>
      </c>
      <c r="CN32" s="5">
        <f t="shared" si="25"/>
        <v>4.8864101327635613E-2</v>
      </c>
      <c r="CU32" s="3">
        <f t="shared" si="26"/>
        <v>1985</v>
      </c>
      <c r="CV32" s="3">
        <v>1735</v>
      </c>
      <c r="CW32" s="4">
        <f>Praesyu!C32 + Lycroa!C32 + Emara!C32 + Eldjo!C32 + Easuhura!C32 + Ilicuhe!C32 + Tonder!C32</f>
        <v>218520466.93720543</v>
      </c>
      <c r="CX32" s="6">
        <f t="shared" si="27"/>
        <v>2.4591531865143074E-3</v>
      </c>
      <c r="CY32" s="5">
        <f t="shared" si="28"/>
        <v>4.6072658414251295E-2</v>
      </c>
      <c r="DF32" s="3">
        <f t="shared" si="29"/>
        <v>1985</v>
      </c>
      <c r="DG32" s="3">
        <v>1735</v>
      </c>
      <c r="DH32" s="4">
        <f>Verusa!C32 + Darewa!C32 + Siana!C32 + Yaxuto!C32 + 'Merela Sta'!C32 + Palina!C32</f>
        <v>157812707.07195374</v>
      </c>
      <c r="DI32" s="6">
        <f t="shared" si="30"/>
        <v>4.3687507482717356E-3</v>
      </c>
      <c r="DJ32" s="5">
        <f t="shared" si="31"/>
        <v>3.3273089007464889E-2</v>
      </c>
      <c r="DQ32" s="3">
        <f t="shared" si="32"/>
        <v>1985</v>
      </c>
      <c r="DR32" s="3">
        <v>1735</v>
      </c>
      <c r="DS32" s="4">
        <f>Sunsokua!C32 + Vayvele!C32 + Selaja!C32 + Sadain!C32</f>
        <v>131261862.01520422</v>
      </c>
      <c r="DT32" s="6">
        <f t="shared" si="33"/>
        <v>2.5389454886867151E-2</v>
      </c>
      <c r="DU32" s="5">
        <f t="shared" si="34"/>
        <v>2.7675132751674648E-2</v>
      </c>
      <c r="EB32" s="3">
        <f t="shared" si="35"/>
        <v>1985</v>
      </c>
      <c r="EC32" s="3">
        <v>1735</v>
      </c>
      <c r="ED32" s="4">
        <f>Pelugrotoa!C32 + Lieri!C32 + 'Rtesania'!C32 + Ozinia!C32</f>
        <v>316975816.88266045</v>
      </c>
      <c r="EE32" s="6">
        <f t="shared" si="36"/>
        <v>1.3677275153145124E-2</v>
      </c>
      <c r="EF32" s="5">
        <f t="shared" si="37"/>
        <v>6.6830895711977867E-2</v>
      </c>
      <c r="EM32" s="3">
        <f t="shared" si="38"/>
        <v>1985</v>
      </c>
      <c r="EN32" s="3">
        <v>1735</v>
      </c>
      <c r="EO32" s="4">
        <f>Ocaun!C32 + 'Dual Cenryia'!C32 + Byllu!C32 + Exilium!C32 + Inrea!C32 + Amcha!C32 + Isnti!C32 + Galca!C32 + Otiiric!C32 + Taing!C32 + 'Cruthi Anoso'!C32</f>
        <v>161749064.24280202</v>
      </c>
      <c r="EP32" s="6">
        <f t="shared" si="39"/>
        <v>2.864728975152046E-2</v>
      </c>
      <c r="EQ32" s="5">
        <f t="shared" si="40"/>
        <v>3.4103027007648168E-2</v>
      </c>
      <c r="EX32" s="3">
        <f t="shared" si="41"/>
        <v>1985</v>
      </c>
      <c r="EY32" s="3">
        <v>1735</v>
      </c>
      <c r="EZ32" s="4">
        <f>Sivoso!C32 + Taoisia!C32 + Seytinemas!C32 + Trian!C32 + 'Chaenia'!C32</f>
        <v>98300195.560451165</v>
      </c>
      <c r="FA32" s="6">
        <f t="shared" si="42"/>
        <v>2.2709751757701981E-2</v>
      </c>
      <c r="FB32" s="5">
        <f t="shared" si="43"/>
        <v>2.072552468694943E-2</v>
      </c>
      <c r="FI32" s="3">
        <f t="shared" si="44"/>
        <v>1985</v>
      </c>
      <c r="FJ32" s="3">
        <v>1735</v>
      </c>
      <c r="FK32" s="4">
        <f>Migoku!C32 + 'Welenu Fana'!C32 + Haiza!C32 + Ucrua!C32 + Ihner!C32 + Oscairia!C32 + Shinam!C32 + 'Ruylku'!C32 + Taval!C32 + 'Western Migoku'!C32 + 'Pruim Fijan'!C32 + 'Canldives'!C32</f>
        <v>107361591.91267622</v>
      </c>
      <c r="FL32" s="6">
        <f t="shared" si="45"/>
        <v>2.2114370823645983E-2</v>
      </c>
      <c r="FM32" s="5">
        <f t="shared" si="46"/>
        <v>2.263602133169702E-2</v>
      </c>
      <c r="FT32" s="3">
        <f t="shared" si="47"/>
        <v>1985</v>
      </c>
      <c r="FU32" s="3">
        <v>1735</v>
      </c>
      <c r="FV32" s="4">
        <f>Vesozata!C32 + Etretes!C32 + Kusierna!C32 + Eparia!C32</f>
        <v>76002377.713495269</v>
      </c>
      <c r="FW32" s="6">
        <f t="shared" si="48"/>
        <v>2.6381430828955998E-2</v>
      </c>
      <c r="FX32" s="5">
        <f t="shared" si="49"/>
        <v>1.602427285710958E-2</v>
      </c>
      <c r="GE32" s="3">
        <f t="shared" si="50"/>
        <v>1985</v>
      </c>
      <c r="GF32" s="3">
        <v>1735</v>
      </c>
      <c r="GG32" s="4">
        <f>Dahe!C32 + Kaastini!C32 + Suenan!C32 + Oyreain!C32 + Sanagara!C32 + 'North Ayre'!C32 + Stinebar!C32 + 'Cloja'!C32 + 'Pha Hii'!C32 + 'Prystr Hii'!C32</f>
        <v>876623063.41534567</v>
      </c>
      <c r="GH32" s="6">
        <f t="shared" si="51"/>
        <v>1.1006902002645926E-2</v>
      </c>
      <c r="GI32" s="5">
        <f t="shared" si="52"/>
        <v>0.18482641706232425</v>
      </c>
      <c r="GP32" s="3">
        <f t="shared" si="53"/>
        <v>1985</v>
      </c>
      <c r="GQ32" s="3">
        <v>1735</v>
      </c>
      <c r="GR32" s="4">
        <f>Maalle!C32 + 'United Delet'!C32 + Ohtina!C32 + Astye!C32 + Prstreula!C32 + Veelmit!C32 + Aplasia!C32 + 'Elja and Munusia'!C32 + Walporein!C32 + 'Crila Republic'!C32 + 'Niretui and Anulan'!C32 + 'Rethern'!C32 + Tvecoca!C32</f>
        <v>122072475.28355335</v>
      </c>
      <c r="GS32" s="6">
        <f t="shared" si="54"/>
        <v>2.2564004528523862E-2</v>
      </c>
      <c r="GT32" s="5">
        <f t="shared" si="55"/>
        <v>2.5737650730617703E-2</v>
      </c>
      <c r="HA32" s="3">
        <f t="shared" si="56"/>
        <v>1985</v>
      </c>
      <c r="HB32" s="3">
        <v>1735</v>
      </c>
      <c r="HC32" s="4">
        <f>Andsaudare!C32 + Nia!C32 + Umarcia!C32 + Mendereide!C32 + Iainoa!C32 + Isari!C32 + 'Rkmepuia'!C32 + Hiwush!C32 + Isuibul!C32 + Yutnitu!C32</f>
        <v>44475975.16720102</v>
      </c>
      <c r="HD32" s="6">
        <f t="shared" si="57"/>
        <v>2.4952940595004691E-2</v>
      </c>
      <c r="HE32" s="5">
        <f t="shared" si="58"/>
        <v>9.3772745420135743E-3</v>
      </c>
      <c r="HL32" s="3">
        <f t="shared" si="59"/>
        <v>1985</v>
      </c>
      <c r="HM32" s="3">
        <v>1735</v>
      </c>
      <c r="HN32" s="4">
        <f>Zhanshe!C32 + Volver!C32 + Finae!C32 + Myla!C32 + 'Nheyes Si'!C32 + Onphello!C32 + Hyelen!C32</f>
        <v>79071123.627413169</v>
      </c>
      <c r="HO32" s="6">
        <f t="shared" si="60"/>
        <v>1.8748473910658654E-2</v>
      </c>
      <c r="HP32" s="5">
        <f t="shared" si="61"/>
        <v>1.6671284481392344E-2</v>
      </c>
      <c r="HW32" s="3">
        <f t="shared" si="62"/>
        <v>1985</v>
      </c>
      <c r="HX32" s="3">
        <v>1735</v>
      </c>
      <c r="HY32" s="4">
        <f>Yihnurda!C32 + Ztesh!C32 + Wundry!C32 + Anymna!C32 + Shomjind!C32 + Baluyde!C32 + Letan!C32</f>
        <v>320128347.82291597</v>
      </c>
      <c r="HZ32" s="6">
        <f t="shared" si="63"/>
        <v>2.5178416740082352E-2</v>
      </c>
      <c r="IA32" s="5">
        <f t="shared" si="64"/>
        <v>6.7495572495743339E-2</v>
      </c>
      <c r="IH32" s="3">
        <f t="shared" si="65"/>
        <v>1985</v>
      </c>
      <c r="II32" s="3">
        <v>1735</v>
      </c>
      <c r="IJ32" s="4">
        <f>Iareva!C32 + 'United Mihili'!C32 + 'Mesjan Hyaa'!C32 + Desaki!C32 + 'Far Lands'!C32</f>
        <v>39224780.776236698</v>
      </c>
      <c r="IK32" s="6">
        <f t="shared" si="66"/>
        <v>2.7261931606797823E-2</v>
      </c>
      <c r="IL32" s="5">
        <f t="shared" si="67"/>
        <v>8.2701174466955647E-3</v>
      </c>
      <c r="IS32" s="3">
        <f t="shared" si="68"/>
        <v>1985</v>
      </c>
      <c r="IT32" s="3">
        <v>1735</v>
      </c>
      <c r="IU32" s="4">
        <f>Verste!C32 + Quidic!C32 + Erkizil!C32 + Ashain!C32 + Ahokini!C32</f>
        <v>246333541.48224992</v>
      </c>
      <c r="IV32" s="6">
        <f t="shared" si="69"/>
        <v>2.0064811262365468E-2</v>
      </c>
      <c r="IW32" s="5">
        <f t="shared" si="70"/>
        <v>5.1936741998386111E-2</v>
      </c>
    </row>
    <row r="33" spans="1:257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4669000940.2972918</v>
      </c>
      <c r="D33" s="5">
        <f t="shared" si="1"/>
        <v>1.6010655521446523E-2</v>
      </c>
      <c r="K33" s="3">
        <f t="shared" si="2"/>
        <v>1984</v>
      </c>
      <c r="L33" s="3">
        <v>1734</v>
      </c>
      <c r="M33" s="4">
        <f>Eldavpir!C33 + Iquir!C33 + Viussi!C33 + Umendel!C33 + 'Reerica'!C33 + Saa!C33 + Sattle!C33</f>
        <v>47666459.068096839</v>
      </c>
      <c r="N33" s="5">
        <f t="shared" si="3"/>
        <v>3.1893323904131209E-2</v>
      </c>
      <c r="O33" s="5">
        <f t="shared" si="4"/>
        <v>1.0209134604513861E-2</v>
      </c>
      <c r="V33" s="3">
        <f t="shared" si="5"/>
        <v>1984</v>
      </c>
      <c r="W33" s="3">
        <v>1734</v>
      </c>
      <c r="X33" s="4">
        <f>'Areoix Lie'!C33 + Jau!C33 + Terressin!C33 + Acetoa!C33 + 'Feio Lie'!C33</f>
        <v>526868046.5029732</v>
      </c>
      <c r="Y33" s="5">
        <f t="shared" si="6"/>
        <v>1.3856432975416279E-2</v>
      </c>
      <c r="Z33" s="5">
        <f t="shared" si="7"/>
        <v>0.11284385101653581</v>
      </c>
      <c r="AG33" s="3">
        <f t="shared" si="8"/>
        <v>1984</v>
      </c>
      <c r="AH33" s="3">
        <v>1734</v>
      </c>
      <c r="AI33" s="4">
        <f>Taniduna!C33 + Jathua!C33 + Deschon!C33 + Pelines!C33 + 'Candenat'!C33 + Othya!C33 + Yoprioq!C33 + Jshain!C33 + 'Fire Coast'!C33 + 'Rijan bu'!C33 + 'Rinew'!C33 + Enina!C33 + Trevilla!C33</f>
        <v>103070146.34453078</v>
      </c>
      <c r="AJ33" s="5">
        <f t="shared" si="9"/>
        <v>2.645170346686682E-2</v>
      </c>
      <c r="AK33" s="5">
        <f t="shared" si="10"/>
        <v>2.2075417774057662E-2</v>
      </c>
      <c r="AR33" s="3">
        <f t="shared" si="11"/>
        <v>1984</v>
      </c>
      <c r="AS33" s="3">
        <v>1734</v>
      </c>
      <c r="AT33" s="4">
        <f>Gaeiya!C33 + 'Raledria'!C33 + Arbiya!C33 + Fincen!C33 + 'Curata'!C33</f>
        <v>217645511.60390073</v>
      </c>
      <c r="AU33" s="5">
        <f t="shared" si="12"/>
        <v>1.1405916104581165E-2</v>
      </c>
      <c r="AV33" s="5">
        <f t="shared" si="13"/>
        <v>4.6615007019048166E-2</v>
      </c>
      <c r="BC33" s="3">
        <f t="shared" si="14"/>
        <v>1984</v>
      </c>
      <c r="BD33" s="3">
        <v>1734</v>
      </c>
      <c r="BE33" s="4">
        <f>Etirha!C33 + Laselteh!C33 + Grazail!C33 + 'Disal Nila'!C33 + Pelan!C33 + Peka!C33 + Guise!C33</f>
        <v>83014196.756742209</v>
      </c>
      <c r="BF33" s="5">
        <f t="shared" si="15"/>
        <v>1.1552369409130542E-2</v>
      </c>
      <c r="BG33" s="5">
        <f t="shared" si="16"/>
        <v>1.7779862933901314E-2</v>
      </c>
      <c r="BN33" s="3">
        <f t="shared" si="17"/>
        <v>1984</v>
      </c>
      <c r="BO33" s="3">
        <v>1734</v>
      </c>
      <c r="BP33" s="4">
        <f>Genaire!C33 + 'New Misos'!C33 + Phuris!C33 + Lasri!C33 + Slyiaduun!C33 + Aetintio!C33 + Metndria!C33 + Tomscilus!C33</f>
        <v>69679456.367227957</v>
      </c>
      <c r="BQ33" s="5">
        <f t="shared" si="18"/>
        <v>1.8930456527519627E-2</v>
      </c>
      <c r="BR33" s="5">
        <f t="shared" si="19"/>
        <v>1.4923847148077726E-2</v>
      </c>
      <c r="BY33" s="3">
        <f t="shared" si="20"/>
        <v>1984</v>
      </c>
      <c r="BZ33" s="3">
        <v>1734</v>
      </c>
      <c r="CA33" s="4">
        <f>Ealdorii!C33 + Ukhdari!C33 + Hkuqo!C33 + Acrana!C33 + Zenashan!C33</f>
        <v>208770360.71818194</v>
      </c>
      <c r="CB33" s="7">
        <f t="shared" si="21"/>
        <v>9.4754654921824586E-3</v>
      </c>
      <c r="CC33" s="5">
        <f t="shared" si="22"/>
        <v>4.4714139788733648E-2</v>
      </c>
      <c r="CJ33" s="3">
        <f t="shared" si="23"/>
        <v>1984</v>
      </c>
      <c r="CK33" s="3">
        <v>1734</v>
      </c>
      <c r="CL33" s="4">
        <f>Estijan!C33 + Ikzen!C33 + Urbiqu!C33 + Danocia!C33 + Koruch!C33 + 'New Kizura'!C33 + Lydroa!C33 + Fermori!C33 + Uularin!C33 + 'Niul Spijan'!C33</f>
        <v>229098351.25440907</v>
      </c>
      <c r="CM33" s="7">
        <f t="shared" si="24"/>
        <v>1.1449134635817948E-2</v>
      </c>
      <c r="CN33" s="5">
        <f t="shared" si="25"/>
        <v>4.9067959973428832E-2</v>
      </c>
      <c r="CU33" s="3">
        <f t="shared" si="26"/>
        <v>1984</v>
      </c>
      <c r="CV33" s="3">
        <v>1734</v>
      </c>
      <c r="CW33" s="4">
        <f>Praesyu!C33 + Lycroa!C33 + Emara!C33 + Eldjo!C33 + Easuhura!C33 + Ilicuhe!C33 + Tonder!C33</f>
        <v>217984409.88103604</v>
      </c>
      <c r="CX33" s="7">
        <f t="shared" si="27"/>
        <v>1.5165001485357703E-3</v>
      </c>
      <c r="CY33" s="5">
        <f t="shared" si="28"/>
        <v>4.6687591771432842E-2</v>
      </c>
      <c r="DF33" s="3">
        <f t="shared" si="29"/>
        <v>1984</v>
      </c>
      <c r="DG33" s="3">
        <v>1734</v>
      </c>
      <c r="DH33" s="4">
        <f>Verusa!C33 + Darewa!C33 + Siana!C33 + Yaxuto!C33 + 'Merela Sta'!C33 + Palina!C33</f>
        <v>157126261.59901989</v>
      </c>
      <c r="DI33" s="7">
        <f t="shared" si="30"/>
        <v>4.4755089170675751E-3</v>
      </c>
      <c r="DJ33" s="5">
        <f t="shared" si="31"/>
        <v>3.365307987901478E-2</v>
      </c>
      <c r="DQ33" s="3">
        <f t="shared" si="32"/>
        <v>1984</v>
      </c>
      <c r="DR33" s="3">
        <v>1734</v>
      </c>
      <c r="DS33" s="4">
        <f>Sunsokua!C33 + Vayvele!C33 + Selaja!C33 + Sadain!C33</f>
        <v>128011714.36826074</v>
      </c>
      <c r="DT33" s="7">
        <f t="shared" si="33"/>
        <v>2.5629929652296261E-2</v>
      </c>
      <c r="DU33" s="5">
        <f t="shared" si="34"/>
        <v>2.7417367442232683E-2</v>
      </c>
      <c r="EB33" s="3">
        <f t="shared" si="35"/>
        <v>1984</v>
      </c>
      <c r="EC33" s="3">
        <v>1734</v>
      </c>
      <c r="ED33" s="4">
        <f>Pelugrotoa!C33 + Lieri!C33 + 'Rtesania'!C33 + Ozinia!C33</f>
        <v>312698947.33979523</v>
      </c>
      <c r="EE33" s="7">
        <f t="shared" si="36"/>
        <v>1.4869327780689603E-2</v>
      </c>
      <c r="EF33" s="5">
        <f t="shared" si="37"/>
        <v>6.6973417083930717E-2</v>
      </c>
      <c r="EM33" s="3">
        <f t="shared" si="38"/>
        <v>1984</v>
      </c>
      <c r="EN33" s="3">
        <v>1734</v>
      </c>
      <c r="EO33" s="4">
        <f>Ocaun!C33 + 'Dual Cenryia'!C33 + Byllu!C33 + Exilium!C33 + Inrea!C33 + Amcha!C33 + Isnti!C33 + Galca!C33 + Otiiric!C33 + Taing!C33 + 'Cruthi Anoso'!C33</f>
        <v>157244437.28605366</v>
      </c>
      <c r="EP33" s="7">
        <f t="shared" si="39"/>
        <v>2.7860835176230104E-2</v>
      </c>
      <c r="EQ33" s="5">
        <f t="shared" si="40"/>
        <v>3.3678390580071577E-2</v>
      </c>
      <c r="EX33" s="3">
        <f t="shared" si="41"/>
        <v>1984</v>
      </c>
      <c r="EY33" s="3">
        <v>1734</v>
      </c>
      <c r="EZ33" s="4">
        <f>Sivoso!C33 + Taoisia!C33 + Seytinemas!C33 + Trian!C33 + 'Chaenia'!C33</f>
        <v>96117393.416368067</v>
      </c>
      <c r="FA33" s="7">
        <f t="shared" si="42"/>
        <v>2.3101811977675982E-2</v>
      </c>
      <c r="FB33" s="5">
        <f t="shared" si="43"/>
        <v>2.0586287012023589E-2</v>
      </c>
      <c r="FI33" s="3">
        <f t="shared" si="44"/>
        <v>1984</v>
      </c>
      <c r="FJ33" s="3">
        <v>1734</v>
      </c>
      <c r="FK33" s="4">
        <f>Migoku!C33 + 'Welenu Fana'!C33 + Haiza!C33 + Ucrua!C33 + Ihner!C33 + Oscairia!C33 + Shinam!C33 + 'Ruylku'!C33 + Taval!C33 + 'Western Migoku'!C33 + 'Pruim Fijan'!C33 + 'Canldives'!C33</f>
        <v>105038726.56262673</v>
      </c>
      <c r="FL33" s="7">
        <f t="shared" si="45"/>
        <v>2.190635415839479E-2</v>
      </c>
      <c r="FM33" s="5">
        <f t="shared" si="46"/>
        <v>2.249704549340668E-2</v>
      </c>
      <c r="FT33" s="3">
        <f t="shared" si="47"/>
        <v>1984</v>
      </c>
      <c r="FU33" s="3">
        <v>1734</v>
      </c>
      <c r="FV33" s="4">
        <f>Vesozata!C33 + Etretes!C33 + Kusierna!C33 + Eparia!C33</f>
        <v>74048862.762561888</v>
      </c>
      <c r="FW33" s="7">
        <f t="shared" si="48"/>
        <v>2.5147227637700682E-2</v>
      </c>
      <c r="FX33" s="5">
        <f t="shared" si="49"/>
        <v>1.5859680413310633E-2</v>
      </c>
      <c r="GE33" s="3">
        <f t="shared" si="50"/>
        <v>1984</v>
      </c>
      <c r="GF33" s="3">
        <v>1734</v>
      </c>
      <c r="GG33" s="4">
        <f>Dahe!C33 + Kaastini!C33 + Suenan!C33 + Oyreain!C33 + Sanagara!C33 + 'North Ayre'!C33 + Stinebar!C33 + 'Cloja'!C33 + 'Pha Hii'!C33 + 'Prystr Hii'!C33</f>
        <v>867079207.54931843</v>
      </c>
      <c r="GH33" s="7">
        <f t="shared" si="51"/>
        <v>1.1549988773267308E-2</v>
      </c>
      <c r="GI33" s="5">
        <f t="shared" si="52"/>
        <v>0.18570979501539969</v>
      </c>
      <c r="GP33" s="3">
        <f t="shared" si="53"/>
        <v>1984</v>
      </c>
      <c r="GQ33" s="3">
        <v>1734</v>
      </c>
      <c r="GR33" s="4">
        <f>Maalle!C33 + 'United Delet'!C33 + Ohtina!C33 + Astye!C33 + Prstreula!C33 + Veelmit!C33 + Aplasia!C33 + 'Elja and Munusia'!C33 + Walporein!C33 + 'Crila Republic'!C33 + 'Niretui and Anulan'!C33 + 'Rethern'!C33 + Tvecoca!C33</f>
        <v>119378811.24598905</v>
      </c>
      <c r="GS33" s="7">
        <f t="shared" si="54"/>
        <v>2.2375913253503289E-2</v>
      </c>
      <c r="GT33" s="5">
        <f t="shared" si="55"/>
        <v>2.5568384494347045E-2</v>
      </c>
      <c r="HA33" s="3">
        <f t="shared" si="56"/>
        <v>1984</v>
      </c>
      <c r="HB33" s="3">
        <v>1734</v>
      </c>
      <c r="HC33" s="4">
        <f>Andsaudare!C33 + Nia!C33 + Umarcia!C33 + Mendereide!C33 + Iainoa!C33 + Isari!C33 + 'Rkmepuia'!C33 + Hiwush!C33 + Isuibul!C33 + Yutnitu!C33</f>
        <v>43393187.536377884</v>
      </c>
      <c r="HD33" s="7">
        <f t="shared" si="57"/>
        <v>2.5267226978821018E-2</v>
      </c>
      <c r="HE33" s="5">
        <f t="shared" si="58"/>
        <v>9.2938913680353404E-3</v>
      </c>
      <c r="HL33" s="3">
        <f t="shared" si="59"/>
        <v>1984</v>
      </c>
      <c r="HM33" s="3">
        <v>1734</v>
      </c>
      <c r="HN33" s="4">
        <f>Zhanshe!C33 + Volver!C33 + Finae!C33 + Myla!C33 + 'Nheyes Si'!C33 + Onphello!C33 + Hyelen!C33</f>
        <v>77615943.142357513</v>
      </c>
      <c r="HO33" s="7">
        <f t="shared" si="60"/>
        <v>1.9260590469190885E-2</v>
      </c>
      <c r="HP33" s="5">
        <f t="shared" si="61"/>
        <v>1.662367263036264E-2</v>
      </c>
      <c r="HW33" s="3">
        <f t="shared" si="62"/>
        <v>1984</v>
      </c>
      <c r="HX33" s="3">
        <v>1734</v>
      </c>
      <c r="HY33" s="4">
        <f>Yihnurda!C33 + Ztesh!C33 + Wundry!C33 + Anymna!C33 + Shomjind!C33 + Baluyde!C33 + Letan!C33</f>
        <v>312265984.72573912</v>
      </c>
      <c r="HZ33" s="7">
        <f t="shared" si="63"/>
        <v>2.5128019137833774E-2</v>
      </c>
      <c r="IA33" s="5">
        <f t="shared" si="64"/>
        <v>6.6880685765262668E-2</v>
      </c>
      <c r="IH33" s="3">
        <f t="shared" si="65"/>
        <v>1984</v>
      </c>
      <c r="II33" s="3">
        <v>1734</v>
      </c>
      <c r="IJ33" s="4">
        <f>Iareva!C33 + 'United Mihili'!C33 + 'Mesjan Hyaa'!C33 + Desaki!C33 + 'Far Lands'!C33</f>
        <v>38183816.190757722</v>
      </c>
      <c r="IK33" s="7">
        <f t="shared" si="66"/>
        <v>2.9176151881140866E-2</v>
      </c>
      <c r="IL33" s="5">
        <f t="shared" si="67"/>
        <v>8.1781556009552711E-3</v>
      </c>
      <c r="IS33" s="3">
        <f t="shared" si="68"/>
        <v>1984</v>
      </c>
      <c r="IT33" s="3">
        <v>1734</v>
      </c>
      <c r="IU33" s="4">
        <f>Verste!C33 + Quidic!C33 + Erkizil!C33 + Ashain!C33 + Ahokini!C33</f>
        <v>241488127.77631614</v>
      </c>
      <c r="IV33" s="7">
        <f t="shared" si="69"/>
        <v>2.0830149229487026E-2</v>
      </c>
      <c r="IW33" s="5">
        <f t="shared" si="70"/>
        <v>5.1721584738198774E-2</v>
      </c>
    </row>
    <row r="34" spans="1:257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4595425170.9112473</v>
      </c>
      <c r="D34" s="5">
        <f t="shared" si="1"/>
        <v>1.6370005623381999E-2</v>
      </c>
      <c r="K34" s="3">
        <f t="shared" si="2"/>
        <v>1983</v>
      </c>
      <c r="L34" s="3">
        <v>1733</v>
      </c>
      <c r="M34" s="4">
        <f>Eldavpir!C34 + Iquir!C34 + Viussi!C34 + Umendel!C34 + 'Reerica'!C34 + Saa!C34 + Sattle!C34</f>
        <v>46193204.243004993</v>
      </c>
      <c r="N34" s="5">
        <f t="shared" si="3"/>
        <v>3.2133444263332069E-2</v>
      </c>
      <c r="O34" s="5">
        <f t="shared" si="4"/>
        <v>1.0051997916407186E-2</v>
      </c>
      <c r="V34" s="3">
        <f t="shared" si="5"/>
        <v>1983</v>
      </c>
      <c r="W34" s="3">
        <v>1733</v>
      </c>
      <c r="X34" s="4">
        <f>'Areoix Lie'!C34 + Jau!C34 + Terressin!C34 + Acetoa!C34 + 'Feio Lie'!C34</f>
        <v>519667311.23532611</v>
      </c>
      <c r="Y34" s="5">
        <f t="shared" si="6"/>
        <v>1.4367783297046877E-2</v>
      </c>
      <c r="Z34" s="5">
        <f t="shared" si="7"/>
        <v>0.11308361944935749</v>
      </c>
      <c r="AG34" s="3">
        <f t="shared" si="8"/>
        <v>1983</v>
      </c>
      <c r="AH34" s="3">
        <v>1733</v>
      </c>
      <c r="AI34" s="4">
        <f>Taniduna!C34 + Jathua!C34 + Deschon!C34 + Pelines!C34 + 'Candenat'!C34 + Othya!C34 + Yoprioq!C34 + Jshain!C34 + 'Fire Coast'!C34 + 'Rijan bu'!C34 + 'Rinew'!C34 + Enina!C34 + Trevilla!C34</f>
        <v>100414024.34854823</v>
      </c>
      <c r="AJ34" s="5">
        <f t="shared" si="9"/>
        <v>2.7211526488978274E-2</v>
      </c>
      <c r="AK34" s="5">
        <f t="shared" si="10"/>
        <v>2.185086702840092E-2</v>
      </c>
      <c r="AR34" s="3">
        <f t="shared" si="11"/>
        <v>1983</v>
      </c>
      <c r="AS34" s="3">
        <v>1733</v>
      </c>
      <c r="AT34" s="4">
        <f>Gaeiya!C34 + 'Raledria'!C34 + Arbiya!C34 + Fincen!C34 + 'Curata'!C34</f>
        <v>215191060.42226848</v>
      </c>
      <c r="AU34" s="5">
        <f t="shared" si="12"/>
        <v>1.2972676940178104E-2</v>
      </c>
      <c r="AV34" s="5">
        <f t="shared" si="13"/>
        <v>4.6827236309800971E-2</v>
      </c>
      <c r="BC34" s="3">
        <f t="shared" si="14"/>
        <v>1983</v>
      </c>
      <c r="BD34" s="3">
        <v>1733</v>
      </c>
      <c r="BE34" s="4">
        <f>Etirha!C34 + Laselteh!C34 + Grazail!C34 + 'Disal Nila'!C34 + Pelan!C34 + Peka!C34 + Guise!C34</f>
        <v>82066138.409850776</v>
      </c>
      <c r="BF34" s="5">
        <f t="shared" si="15"/>
        <v>1.100091351714225E-2</v>
      </c>
      <c r="BG34" s="5">
        <f t="shared" si="16"/>
        <v>1.7858225377996421E-2</v>
      </c>
      <c r="BN34" s="3">
        <f t="shared" si="17"/>
        <v>1983</v>
      </c>
      <c r="BO34" s="3">
        <v>1733</v>
      </c>
      <c r="BP34" s="4">
        <f>Genaire!C34 + 'New Misos'!C34 + Phuris!C34 + Lasri!C34 + Slyiaduun!C34 + Aetintio!C34 + Metndria!C34 + Tomscilus!C34</f>
        <v>68384899.009391844</v>
      </c>
      <c r="BQ34" s="5">
        <f t="shared" si="18"/>
        <v>1.923743014486097E-2</v>
      </c>
      <c r="BR34" s="5">
        <f t="shared" si="19"/>
        <v>1.4881082047046258E-2</v>
      </c>
      <c r="BY34" s="3">
        <f t="shared" si="20"/>
        <v>1983</v>
      </c>
      <c r="BZ34" s="3">
        <v>1733</v>
      </c>
      <c r="CA34" s="4">
        <f>Ealdorii!C34 + Ukhdari!C34 + Hkuqo!C34 + Acrana!C34 + Zenashan!C34</f>
        <v>206810732.75653443</v>
      </c>
      <c r="CB34" s="6">
        <f t="shared" si="21"/>
        <v>9.9543391120944756E-3</v>
      </c>
      <c r="CC34" s="5">
        <f t="shared" si="22"/>
        <v>4.5003612302433597E-2</v>
      </c>
      <c r="CJ34" s="3">
        <f t="shared" si="23"/>
        <v>1983</v>
      </c>
      <c r="CK34" s="3">
        <v>1733</v>
      </c>
      <c r="CL34" s="4">
        <f>Estijan!C34 + Ikzen!C34 + Urbiqu!C34 + Danocia!C34 + Koruch!C34 + 'New Kizura'!C34 + Lydroa!C34 + Fermori!C34 + Uularin!C34 + 'Niul Spijan'!C34</f>
        <v>226505064.27779797</v>
      </c>
      <c r="CM34" s="6">
        <f t="shared" si="24"/>
        <v>1.1432214334201598E-2</v>
      </c>
      <c r="CN34" s="5">
        <f t="shared" si="25"/>
        <v>4.9289250907959679E-2</v>
      </c>
      <c r="CU34" s="3">
        <f t="shared" si="26"/>
        <v>1983</v>
      </c>
      <c r="CV34" s="3">
        <v>1733</v>
      </c>
      <c r="CW34" s="4">
        <f>Praesyu!C34 + Lycroa!C34 + Emara!C34 + Eldjo!C34 + Easuhura!C34 + Ilicuhe!C34 + Tonder!C34</f>
        <v>217654337.04657546</v>
      </c>
      <c r="CX34" s="6">
        <f t="shared" si="27"/>
        <v>1.0020966674865251E-3</v>
      </c>
      <c r="CY34" s="5">
        <f t="shared" si="28"/>
        <v>4.736326432303016E-2</v>
      </c>
      <c r="DF34" s="3">
        <f t="shared" si="29"/>
        <v>1983</v>
      </c>
      <c r="DG34" s="3">
        <v>1733</v>
      </c>
      <c r="DH34" s="4">
        <f>Verusa!C34 + Darewa!C34 + Siana!C34 + Yaxuto!C34 + 'Merela Sta'!C34 + Palina!C34</f>
        <v>156426174.85857755</v>
      </c>
      <c r="DI34" s="6">
        <f t="shared" si="30"/>
        <v>4.976591220754569E-3</v>
      </c>
      <c r="DJ34" s="5">
        <f t="shared" si="31"/>
        <v>3.4039543467870047E-2</v>
      </c>
      <c r="DQ34" s="3">
        <f t="shared" si="32"/>
        <v>1983</v>
      </c>
      <c r="DR34" s="3">
        <v>1733</v>
      </c>
      <c r="DS34" s="4">
        <f>Sunsokua!C34 + Vayvele!C34 + Selaja!C34 + Sadain!C34</f>
        <v>124812771.80713575</v>
      </c>
      <c r="DT34" s="6">
        <f t="shared" si="33"/>
        <v>2.5722798838524241E-2</v>
      </c>
      <c r="DU34" s="5">
        <f t="shared" si="34"/>
        <v>2.7160222866252453E-2</v>
      </c>
      <c r="EB34" s="3">
        <f t="shared" si="35"/>
        <v>1983</v>
      </c>
      <c r="EC34" s="3">
        <v>1733</v>
      </c>
      <c r="ED34" s="4">
        <f>Pelugrotoa!C34 + Lieri!C34 + 'Rtesania'!C34 + Ozinia!C34</f>
        <v>308117448.01037931</v>
      </c>
      <c r="EE34" s="6">
        <f t="shared" si="36"/>
        <v>1.5878022914996955E-2</v>
      </c>
      <c r="EF34" s="5">
        <f t="shared" si="37"/>
        <v>6.7048735764591139E-2</v>
      </c>
      <c r="EM34" s="3">
        <f t="shared" si="38"/>
        <v>1983</v>
      </c>
      <c r="EN34" s="3">
        <v>1733</v>
      </c>
      <c r="EO34" s="4">
        <f>Ocaun!C34 + 'Dual Cenryia'!C34 + Byllu!C34 + Exilium!C34 + Inrea!C34 + Amcha!C34 + Isnti!C34 + Galca!C34 + Otiiric!C34 + Taing!C34 + 'Cruthi Anoso'!C34</f>
        <v>152982224.73774242</v>
      </c>
      <c r="EP34" s="6">
        <f t="shared" si="39"/>
        <v>2.877946670521549E-2</v>
      </c>
      <c r="EQ34" s="5">
        <f t="shared" si="40"/>
        <v>3.3290113329689341E-2</v>
      </c>
      <c r="EX34" s="3">
        <f t="shared" si="41"/>
        <v>1983</v>
      </c>
      <c r="EY34" s="3">
        <v>1733</v>
      </c>
      <c r="EZ34" s="4">
        <f>Sivoso!C34 + Taoisia!C34 + Seytinemas!C34 + Trian!C34 + 'Chaenia'!C34</f>
        <v>93947046.414248109</v>
      </c>
      <c r="FA34" s="6">
        <f t="shared" si="42"/>
        <v>2.3606087291146598E-2</v>
      </c>
      <c r="FB34" s="5">
        <f t="shared" si="43"/>
        <v>2.0443602696204696E-2</v>
      </c>
      <c r="FI34" s="3">
        <f t="shared" si="44"/>
        <v>1983</v>
      </c>
      <c r="FJ34" s="3">
        <v>1733</v>
      </c>
      <c r="FK34" s="4">
        <f>Migoku!C34 + 'Welenu Fana'!C34 + Haiza!C34 + Ucrua!C34 + Ihner!C34 + Oscairia!C34 + Shinam!C34 + 'Ruylku'!C34 + Taval!C34 + 'Western Migoku'!C34 + 'Pruim Fijan'!C34 + 'Canldives'!C34</f>
        <v>102787037.32019833</v>
      </c>
      <c r="FL34" s="6">
        <f t="shared" si="45"/>
        <v>2.1811345520022271E-2</v>
      </c>
      <c r="FM34" s="5">
        <f t="shared" si="46"/>
        <v>2.2367252973856222E-2</v>
      </c>
      <c r="FT34" s="3">
        <f t="shared" si="47"/>
        <v>1983</v>
      </c>
      <c r="FU34" s="3">
        <v>1733</v>
      </c>
      <c r="FV34" s="4">
        <f>Vesozata!C34 + Etretes!C34 + Kusierna!C34 + Eparia!C34</f>
        <v>72232417.711548105</v>
      </c>
      <c r="FW34" s="6">
        <f t="shared" si="48"/>
        <v>2.5124837376844126E-2</v>
      </c>
      <c r="FX34" s="5">
        <f t="shared" si="49"/>
        <v>1.571833182461E-2</v>
      </c>
      <c r="GE34" s="3">
        <f t="shared" si="50"/>
        <v>1983</v>
      </c>
      <c r="GF34" s="3">
        <v>1733</v>
      </c>
      <c r="GG34" s="4">
        <f>Dahe!C34 + Kaastini!C34 + Suenan!C34 + Oyreain!C34 + Sanagara!C34 + 'North Ayre'!C34 + Stinebar!C34 + 'Cloja'!C34 + 'Pha Hii'!C34 + 'Prystr Hii'!C34</f>
        <v>857178802.00942683</v>
      </c>
      <c r="GH34" s="6">
        <f t="shared" si="51"/>
        <v>1.199648471865219E-2</v>
      </c>
      <c r="GI34" s="5">
        <f t="shared" si="52"/>
        <v>0.18652872588053762</v>
      </c>
      <c r="GP34" s="3">
        <f t="shared" si="53"/>
        <v>1983</v>
      </c>
      <c r="GQ34" s="3">
        <v>1733</v>
      </c>
      <c r="GR34" s="4">
        <f>Maalle!C34 + 'United Delet'!C34 + Ohtina!C34 + Astye!C34 + Prstreula!C34 + Veelmit!C34 + Aplasia!C34 + 'Elja and Munusia'!C34 + Walporein!C34 + 'Crila Republic'!C34 + 'Niretui and Anulan'!C34 + 'Rethern'!C34 + Tvecoca!C34</f>
        <v>116766063.92857035</v>
      </c>
      <c r="GS34" s="6">
        <f t="shared" si="54"/>
        <v>2.2144687172085259E-2</v>
      </c>
      <c r="GT34" s="5">
        <f t="shared" si="55"/>
        <v>2.5409197100562577E-2</v>
      </c>
      <c r="HA34" s="3">
        <f t="shared" si="56"/>
        <v>1983</v>
      </c>
      <c r="HB34" s="3">
        <v>1733</v>
      </c>
      <c r="HC34" s="4">
        <f>Andsaudare!C34 + Nia!C34 + Umarcia!C34 + Mendereide!C34 + Iainoa!C34 + Isari!C34 + 'Rkmepuia'!C34 + Hiwush!C34 + Isuibul!C34 + Yutnitu!C34</f>
        <v>42323782.907062784</v>
      </c>
      <c r="HD34" s="6">
        <f t="shared" si="57"/>
        <v>2.5491427186143438E-2</v>
      </c>
      <c r="HE34" s="5">
        <f t="shared" si="58"/>
        <v>9.2099819566140856E-3</v>
      </c>
      <c r="HL34" s="3">
        <f t="shared" si="59"/>
        <v>1983</v>
      </c>
      <c r="HM34" s="3">
        <v>1733</v>
      </c>
      <c r="HN34" s="4">
        <f>Zhanshe!C34 + Volver!C34 + Finae!C34 + Myla!C34 + 'Nheyes Si'!C34 + Onphello!C34 + Hyelen!C34</f>
        <v>76149263.366131887</v>
      </c>
      <c r="HO34" s="6">
        <f t="shared" si="60"/>
        <v>1.9830900920174598E-2</v>
      </c>
      <c r="HP34" s="5">
        <f t="shared" si="61"/>
        <v>1.657066768231848E-2</v>
      </c>
      <c r="HW34" s="3">
        <f t="shared" si="62"/>
        <v>1983</v>
      </c>
      <c r="HX34" s="3">
        <v>1733</v>
      </c>
      <c r="HY34" s="4">
        <f>Yihnurda!C34 + Ztesh!C34 + Wundry!C34 + Anymna!C34 + Shomjind!C34 + Baluyde!C34 + Letan!C34</f>
        <v>304611696.19416416</v>
      </c>
      <c r="HZ34" s="6">
        <f t="shared" si="63"/>
        <v>2.4926149985128512E-2</v>
      </c>
      <c r="IA34" s="5">
        <f t="shared" si="64"/>
        <v>6.6285857100304241E-2</v>
      </c>
      <c r="IH34" s="3">
        <f t="shared" si="65"/>
        <v>1983</v>
      </c>
      <c r="II34" s="3">
        <v>1733</v>
      </c>
      <c r="IJ34" s="4">
        <f>Iareva!C34 + 'United Mihili'!C34 + 'Mesjan Hyaa'!C34 + Desaki!C34 + 'Far Lands'!C34</f>
        <v>37101341.807196826</v>
      </c>
      <c r="IK34" s="6">
        <f t="shared" si="66"/>
        <v>3.0583036283651256E-2</v>
      </c>
      <c r="IL34" s="5">
        <f t="shared" si="67"/>
        <v>8.0735384490745257E-3</v>
      </c>
      <c r="IS34" s="3">
        <f t="shared" si="68"/>
        <v>1983</v>
      </c>
      <c r="IT34" s="3">
        <v>1733</v>
      </c>
      <c r="IU34" s="4">
        <f>Verste!C34 + Quidic!C34 + Erkizil!C34 + Ashain!C34 + Ahokini!C34</f>
        <v>236560536.49922967</v>
      </c>
      <c r="IV34" s="6">
        <f t="shared" si="69"/>
        <v>2.1354600109497641E-2</v>
      </c>
      <c r="IW34" s="5">
        <f t="shared" si="70"/>
        <v>5.1477399304996417E-2</v>
      </c>
    </row>
    <row r="35" spans="1:257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4521409669.2008162</v>
      </c>
      <c r="D35" s="5">
        <f t="shared" si="1"/>
        <v>1.6876660305443464E-2</v>
      </c>
      <c r="K35" s="3">
        <f t="shared" si="2"/>
        <v>1982</v>
      </c>
      <c r="L35" s="3">
        <v>1732</v>
      </c>
      <c r="M35" s="4">
        <f>Eldavpir!C35 + Iquir!C35 + Viussi!C35 + Umendel!C35 + 'Reerica'!C35 + Saa!C35 + Sattle!C35</f>
        <v>44755069.705133542</v>
      </c>
      <c r="N35" s="5">
        <f t="shared" si="3"/>
        <v>3.2763009075584743E-2</v>
      </c>
      <c r="O35" s="5">
        <f t="shared" si="4"/>
        <v>9.898477019235517E-3</v>
      </c>
      <c r="V35" s="3">
        <f t="shared" si="5"/>
        <v>1982</v>
      </c>
      <c r="W35" s="3">
        <v>1732</v>
      </c>
      <c r="X35" s="4">
        <f>'Areoix Lie'!C35 + Jau!C35 + Terressin!C35 + Acetoa!C35 + 'Feio Lie'!C35</f>
        <v>512306601.01036257</v>
      </c>
      <c r="Y35" s="5">
        <f t="shared" si="6"/>
        <v>1.4768199913371697E-2</v>
      </c>
      <c r="Z35" s="5">
        <f t="shared" si="7"/>
        <v>0.1133068309425975</v>
      </c>
      <c r="AG35" s="3">
        <f t="shared" si="8"/>
        <v>1982</v>
      </c>
      <c r="AH35" s="3">
        <v>1732</v>
      </c>
      <c r="AI35" s="4">
        <f>Taniduna!C35 + Jathua!C35 + Deschon!C35 + Pelines!C35 + 'Candenat'!C35 + Othya!C35 + Yoprioq!C35 + Jshain!C35 + 'Fire Coast'!C35 + 'Rijan bu'!C35 + 'Rinew'!C35 + Enina!C35 + Trevilla!C35</f>
        <v>97753989.085154265</v>
      </c>
      <c r="AJ35" s="5">
        <f t="shared" si="9"/>
        <v>2.9246809644607977E-2</v>
      </c>
      <c r="AK35" s="5">
        <f t="shared" si="10"/>
        <v>2.1620245949187086E-2</v>
      </c>
      <c r="AR35" s="3">
        <f t="shared" si="11"/>
        <v>1982</v>
      </c>
      <c r="AS35" s="3">
        <v>1732</v>
      </c>
      <c r="AT35" s="4">
        <f>Gaeiya!C35 + 'Raledria'!C35 + Arbiya!C35 + Fincen!C35 + 'Curata'!C35</f>
        <v>212435207.10971433</v>
      </c>
      <c r="AU35" s="5">
        <f t="shared" si="12"/>
        <v>1.6160614945521404E-2</v>
      </c>
      <c r="AV35" s="5">
        <f t="shared" si="13"/>
        <v>4.698428646198375E-2</v>
      </c>
      <c r="BC35" s="3">
        <f t="shared" si="14"/>
        <v>1982</v>
      </c>
      <c r="BD35" s="3">
        <v>1732</v>
      </c>
      <c r="BE35" s="4">
        <f>Etirha!C35 + Laselteh!C35 + Grazail!C35 + 'Disal Nila'!C35 + Pelan!C35 + Peka!C35 + Guise!C35</f>
        <v>81173159.502253294</v>
      </c>
      <c r="BF35" s="5">
        <f t="shared" si="15"/>
        <v>1.2877423613402121E-2</v>
      </c>
      <c r="BG35" s="5">
        <f t="shared" si="16"/>
        <v>1.7953064517730617E-2</v>
      </c>
      <c r="BN35" s="3">
        <f t="shared" si="17"/>
        <v>1982</v>
      </c>
      <c r="BO35" s="3">
        <v>1732</v>
      </c>
      <c r="BP35" s="4">
        <f>Genaire!C35 + 'New Misos'!C35 + Phuris!C35 + Lasri!C35 + Slyiaduun!C35 + Aetintio!C35 + Metndria!C35 + Tomscilus!C35</f>
        <v>67094179.419679001</v>
      </c>
      <c r="BQ35" s="5">
        <f t="shared" si="18"/>
        <v>1.9290261153846536E-2</v>
      </c>
      <c r="BR35" s="5">
        <f t="shared" si="19"/>
        <v>1.4839217042577402E-2</v>
      </c>
      <c r="BY35" s="3">
        <f t="shared" si="20"/>
        <v>1982</v>
      </c>
      <c r="BZ35" s="3">
        <v>1732</v>
      </c>
      <c r="CA35" s="4">
        <f>Ealdorii!C35 + Ukhdari!C35 + Hkuqo!C35 + Acrana!C35 + Zenashan!C35</f>
        <v>204772359.25175878</v>
      </c>
      <c r="CB35" s="7">
        <f t="shared" si="21"/>
        <v>1.1341568545527909E-2</v>
      </c>
      <c r="CC35" s="5">
        <f t="shared" si="22"/>
        <v>4.5289494700433419E-2</v>
      </c>
      <c r="CJ35" s="3">
        <f t="shared" si="23"/>
        <v>1982</v>
      </c>
      <c r="CK35" s="3">
        <v>1732</v>
      </c>
      <c r="CL35" s="4">
        <f>Estijan!C35 + Ikzen!C35 + Urbiqu!C35 + Danocia!C35 + Koruch!C35 + 'New Kizura'!C35 + Lydroa!C35 + Fermori!C35 + Uularin!C35 + 'Niul Spijan'!C35</f>
        <v>223944878.428556</v>
      </c>
      <c r="CM35" s="7">
        <f t="shared" si="24"/>
        <v>1.0795091746062566E-2</v>
      </c>
      <c r="CN35" s="5">
        <f t="shared" si="25"/>
        <v>4.9529880018180143E-2</v>
      </c>
      <c r="CU35" s="3">
        <f t="shared" si="26"/>
        <v>1982</v>
      </c>
      <c r="CV35" s="3">
        <v>1732</v>
      </c>
      <c r="CW35" s="4">
        <f>Praesyu!C35 + Lycroa!C35 + Emara!C35 + Eldjo!C35 + Easuhura!C35 + Ilicuhe!C35 + Tonder!C35</f>
        <v>217436444.70994151</v>
      </c>
      <c r="CX35" s="7">
        <f t="shared" si="27"/>
        <v>2.2629101884174651E-3</v>
      </c>
      <c r="CY35" s="5">
        <f t="shared" si="28"/>
        <v>4.8090409986754103E-2</v>
      </c>
      <c r="DF35" s="3">
        <f t="shared" si="29"/>
        <v>1982</v>
      </c>
      <c r="DG35" s="3">
        <v>1732</v>
      </c>
      <c r="DH35" s="4">
        <f>Verusa!C35 + Darewa!C35 + Siana!C35 + Yaxuto!C35 + 'Merela Sta'!C35 + Palina!C35</f>
        <v>155651560.66825914</v>
      </c>
      <c r="DI35" s="7">
        <f t="shared" si="30"/>
        <v>5.5435581173416985E-3</v>
      </c>
      <c r="DJ35" s="5">
        <f t="shared" si="31"/>
        <v>3.4425449595628307E-2</v>
      </c>
      <c r="DQ35" s="3">
        <f t="shared" si="32"/>
        <v>1982</v>
      </c>
      <c r="DR35" s="3">
        <v>1732</v>
      </c>
      <c r="DS35" s="4">
        <f>Sunsokua!C35 + Vayvele!C35 + Selaja!C35 + Sadain!C35</f>
        <v>121682750.88402764</v>
      </c>
      <c r="DT35" s="7">
        <f t="shared" si="33"/>
        <v>2.5576292999843677E-2</v>
      </c>
      <c r="DU35" s="5">
        <f t="shared" si="34"/>
        <v>2.6912569261952266E-2</v>
      </c>
      <c r="EB35" s="3">
        <f t="shared" si="35"/>
        <v>1982</v>
      </c>
      <c r="EC35" s="3">
        <v>1732</v>
      </c>
      <c r="ED35" s="4">
        <f>Pelugrotoa!C35 + Lieri!C35 + 'Rtesania'!C35 + Ozinia!C35</f>
        <v>303301617.9700945</v>
      </c>
      <c r="EE35" s="7">
        <f t="shared" si="36"/>
        <v>1.6856038863718649E-2</v>
      </c>
      <c r="EF35" s="5">
        <f t="shared" si="37"/>
        <v>6.7081207004121068E-2</v>
      </c>
      <c r="EM35" s="3">
        <f t="shared" si="38"/>
        <v>1982</v>
      </c>
      <c r="EN35" s="3">
        <v>1732</v>
      </c>
      <c r="EO35" s="4">
        <f>Ocaun!C35 + 'Dual Cenryia'!C35 + Byllu!C35 + Exilium!C35 + Inrea!C35 + Amcha!C35 + Isnti!C35 + Galca!C35 + Otiiric!C35 + Taing!C35 + 'Cruthi Anoso'!C35</f>
        <v>148702642.00323281</v>
      </c>
      <c r="EP35" s="7">
        <f t="shared" si="39"/>
        <v>2.9156510835223588E-2</v>
      </c>
      <c r="EQ35" s="5">
        <f t="shared" si="40"/>
        <v>3.2888557525802969E-2</v>
      </c>
      <c r="EX35" s="3">
        <f t="shared" si="41"/>
        <v>1982</v>
      </c>
      <c r="EY35" s="3">
        <v>1732</v>
      </c>
      <c r="EZ35" s="4">
        <f>Sivoso!C35 + Taoisia!C35 + Seytinemas!C35 + Trian!C35 + 'Chaenia'!C35</f>
        <v>91780468.659450769</v>
      </c>
      <c r="FA35" s="7">
        <f t="shared" si="42"/>
        <v>2.4473119314008491E-2</v>
      </c>
      <c r="FB35" s="5">
        <f t="shared" si="43"/>
        <v>2.0299082669868636E-2</v>
      </c>
      <c r="FI35" s="3">
        <f t="shared" si="44"/>
        <v>1982</v>
      </c>
      <c r="FJ35" s="3">
        <v>1732</v>
      </c>
      <c r="FK35" s="4">
        <f>Migoku!C35 + 'Welenu Fana'!C35 + Haiza!C35 + Ucrua!C35 + Ihner!C35 + Oscairia!C35 + Shinam!C35 + 'Ruylku'!C35 + Taval!C35 + 'Western Migoku'!C35 + 'Pruim Fijan'!C35 + 'Canldives'!C35</f>
        <v>100592969.30969948</v>
      </c>
      <c r="FL35" s="7">
        <f t="shared" si="45"/>
        <v>2.1951590404501158E-2</v>
      </c>
      <c r="FM35" s="5">
        <f t="shared" si="46"/>
        <v>2.2248143094602581E-2</v>
      </c>
      <c r="FT35" s="3">
        <f t="shared" si="47"/>
        <v>1982</v>
      </c>
      <c r="FU35" s="3">
        <v>1732</v>
      </c>
      <c r="FV35" s="4">
        <f>Vesozata!C35 + Etretes!C35 + Kusierna!C35 + Eparia!C35</f>
        <v>70462069.669857085</v>
      </c>
      <c r="FW35" s="7">
        <f t="shared" si="48"/>
        <v>2.5141415467858065E-2</v>
      </c>
      <c r="FX35" s="5">
        <f t="shared" si="49"/>
        <v>1.5584093197710978E-2</v>
      </c>
      <c r="GE35" s="3">
        <f t="shared" si="50"/>
        <v>1982</v>
      </c>
      <c r="GF35" s="3">
        <v>1732</v>
      </c>
      <c r="GG35" s="4">
        <f>Dahe!C35 + Kaastini!C35 + Suenan!C35 + Oyreain!C35 + Sanagara!C35 + 'North Ayre'!C35 + Stinebar!C35 + 'Cloja'!C35 + 'Pha Hii'!C35 + 'Prystr Hii'!C35</f>
        <v>847017568.69020486</v>
      </c>
      <c r="GH35" s="7">
        <f t="shared" si="51"/>
        <v>1.2307410121050889E-2</v>
      </c>
      <c r="GI35" s="5">
        <f t="shared" si="52"/>
        <v>0.18733484259565442</v>
      </c>
      <c r="GP35" s="3">
        <f t="shared" si="53"/>
        <v>1982</v>
      </c>
      <c r="GQ35" s="3">
        <v>1732</v>
      </c>
      <c r="GR35" s="4">
        <f>Maalle!C35 + 'United Delet'!C35 + Ohtina!C35 + Astye!C35 + Prstreula!C35 + Veelmit!C35 + Aplasia!C35 + 'Elja and Munusia'!C35 + Walporein!C35 + 'Crila Republic'!C35 + 'Niretui and Anulan'!C35 + 'Rethern'!C35 + Tvecoca!C35</f>
        <v>114236336.00407489</v>
      </c>
      <c r="GS35" s="7">
        <f t="shared" si="54"/>
        <v>2.1883327128720185E-2</v>
      </c>
      <c r="GT35" s="5">
        <f t="shared" si="55"/>
        <v>2.5265645973696248E-2</v>
      </c>
      <c r="HA35" s="3">
        <f t="shared" si="56"/>
        <v>1982</v>
      </c>
      <c r="HB35" s="3">
        <v>1732</v>
      </c>
      <c r="HC35" s="4">
        <f>Andsaudare!C35 + Nia!C35 + Umarcia!C35 + Mendereide!C35 + Iainoa!C35 + Isari!C35 + 'Rkmepuia'!C35 + Hiwush!C35 + Isuibul!C35 + Yutnitu!C35</f>
        <v>41271708.163563542</v>
      </c>
      <c r="HD35" s="7">
        <f t="shared" si="57"/>
        <v>2.5660175559398805E-2</v>
      </c>
      <c r="HE35" s="5">
        <f t="shared" si="58"/>
        <v>9.1280620830933336E-3</v>
      </c>
      <c r="HL35" s="3">
        <f t="shared" si="59"/>
        <v>1982</v>
      </c>
      <c r="HM35" s="3">
        <v>1732</v>
      </c>
      <c r="HN35" s="4">
        <f>Zhanshe!C35 + Volver!C35 + Finae!C35 + Myla!C35 + 'Nheyes Si'!C35 + Onphello!C35 + Hyelen!C35</f>
        <v>74668519.356908888</v>
      </c>
      <c r="HO35" s="7">
        <f t="shared" si="60"/>
        <v>2.0040357431269657E-2</v>
      </c>
      <c r="HP35" s="5">
        <f t="shared" si="61"/>
        <v>1.6514433510756602E-2</v>
      </c>
      <c r="HW35" s="3">
        <f t="shared" si="62"/>
        <v>1982</v>
      </c>
      <c r="HX35" s="3">
        <v>1732</v>
      </c>
      <c r="HY35" s="4">
        <f>Yihnurda!C35 + Ztesh!C35 + Wundry!C35 + Anymna!C35 + Shomjind!C35 + Baluyde!C35 + Letan!C35</f>
        <v>297203555.78651595</v>
      </c>
      <c r="HZ35" s="7">
        <f t="shared" si="63"/>
        <v>2.4473333113716675E-2</v>
      </c>
      <c r="IA35" s="5">
        <f t="shared" si="64"/>
        <v>6.5732498829076086E-2</v>
      </c>
      <c r="IH35" s="3">
        <f t="shared" si="65"/>
        <v>1982</v>
      </c>
      <c r="II35" s="3">
        <v>1732</v>
      </c>
      <c r="IJ35" s="4">
        <f>Iareva!C35 + 'United Mihili'!C35 + 'Mesjan Hyaa'!C35 + Desaki!C35 + 'Far Lands'!C35</f>
        <v>36000342.040352859</v>
      </c>
      <c r="IK35" s="7">
        <f t="shared" si="66"/>
        <v>3.2563028726287822E-2</v>
      </c>
      <c r="IL35" s="5">
        <f t="shared" si="67"/>
        <v>7.9621942434418055E-3</v>
      </c>
      <c r="IS35" s="3">
        <f t="shared" si="68"/>
        <v>1982</v>
      </c>
      <c r="IT35" s="3">
        <v>1732</v>
      </c>
      <c r="IU35" s="4">
        <f>Verste!C35 + Quidic!C35 + Erkizil!C35 + Ashain!C35 + Ahokini!C35</f>
        <v>231614501.44138816</v>
      </c>
      <c r="IV35" s="7">
        <f t="shared" si="69"/>
        <v>2.1517274558362602E-2</v>
      </c>
      <c r="IW35" s="5">
        <f t="shared" si="70"/>
        <v>5.122617024047E-2</v>
      </c>
    </row>
    <row r="36" spans="1:257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4446369796.5520239</v>
      </c>
      <c r="D36" s="5">
        <f t="shared" si="1"/>
        <v>1.7002245694723774E-2</v>
      </c>
      <c r="K36" s="3">
        <f t="shared" si="2"/>
        <v>1981</v>
      </c>
      <c r="L36" s="3">
        <v>1731</v>
      </c>
      <c r="M36" s="4">
        <f>Eldavpir!C36 + Iquir!C36 + Viussi!C36 + Umendel!C36 + 'Reerica'!C36 + Saa!C36 + Sattle!C36</f>
        <v>43335275.674903706</v>
      </c>
      <c r="N36" s="5">
        <f t="shared" si="3"/>
        <v>3.2515325862125827E-2</v>
      </c>
      <c r="O36" s="5">
        <f t="shared" si="4"/>
        <v>9.7462149253776473E-3</v>
      </c>
      <c r="V36" s="3">
        <f t="shared" si="5"/>
        <v>1981</v>
      </c>
      <c r="W36" s="3">
        <v>1731</v>
      </c>
      <c r="X36" s="4">
        <f>'Areoix Lie'!C36 + Jau!C36 + Terressin!C36 + Acetoa!C36 + 'Feio Lie'!C36</f>
        <v>504850862.54584736</v>
      </c>
      <c r="Y36" s="5">
        <f t="shared" si="6"/>
        <v>1.5182974800558644E-2</v>
      </c>
      <c r="Z36" s="5">
        <f t="shared" si="7"/>
        <v>0.11354225708741958</v>
      </c>
      <c r="AG36" s="3">
        <f t="shared" si="8"/>
        <v>1981</v>
      </c>
      <c r="AH36" s="3">
        <v>1731</v>
      </c>
      <c r="AI36" s="4">
        <f>Taniduna!C36 + Jathua!C36 + Deschon!C36 + Pelines!C36 + 'Candenat'!C36 + Othya!C36 + Yoprioq!C36 + Jshain!C36 + 'Fire Coast'!C36 + 'Rijan bu'!C36 + 'Rinew'!C36 + Enina!C36 + Trevilla!C36</f>
        <v>94976237.156283304</v>
      </c>
      <c r="AJ36" s="5">
        <f t="shared" si="9"/>
        <v>3.0045651865303832E-2</v>
      </c>
      <c r="AK36" s="5">
        <f t="shared" si="10"/>
        <v>2.1360399944676992E-2</v>
      </c>
      <c r="AR36" s="3">
        <f t="shared" si="11"/>
        <v>1981</v>
      </c>
      <c r="AS36" s="3">
        <v>1731</v>
      </c>
      <c r="AT36" s="4">
        <f>Gaeiya!C36 + 'Raledria'!C36 + Arbiya!C36 + Fincen!C36 + 'Curata'!C36</f>
        <v>209056721.92491287</v>
      </c>
      <c r="AU36" s="5">
        <f t="shared" si="12"/>
        <v>1.4679109995721173E-2</v>
      </c>
      <c r="AV36" s="5">
        <f t="shared" si="13"/>
        <v>4.7017394299283817E-2</v>
      </c>
      <c r="BC36" s="3">
        <f t="shared" si="14"/>
        <v>1981</v>
      </c>
      <c r="BD36" s="3">
        <v>1731</v>
      </c>
      <c r="BE36" s="4">
        <f>Etirha!C36 + Laselteh!C36 + Grazail!C36 + 'Disal Nila'!C36 + Pelan!C36 + Peka!C36 + Guise!C36</f>
        <v>80141147.990712538</v>
      </c>
      <c r="BF36" s="5">
        <f t="shared" si="15"/>
        <v>1.4281536618793661E-2</v>
      </c>
      <c r="BG36" s="5">
        <f t="shared" si="16"/>
        <v>1.8023950246526657E-2</v>
      </c>
      <c r="BN36" s="3">
        <f t="shared" si="17"/>
        <v>1981</v>
      </c>
      <c r="BO36" s="3">
        <v>1731</v>
      </c>
      <c r="BP36" s="4">
        <f>Genaire!C36 + 'New Misos'!C36 + Phuris!C36 + Lasri!C36 + Slyiaduun!C36 + Aetintio!C36 + Metndria!C36 + Tomscilus!C36</f>
        <v>65824409.372584149</v>
      </c>
      <c r="BQ36" s="5">
        <f t="shared" si="18"/>
        <v>1.9246818326466578E-2</v>
      </c>
      <c r="BR36" s="5">
        <f t="shared" si="19"/>
        <v>1.4804078919308119E-2</v>
      </c>
      <c r="BY36" s="3">
        <f t="shared" si="20"/>
        <v>1981</v>
      </c>
      <c r="BZ36" s="3">
        <v>1731</v>
      </c>
      <c r="CA36" s="4">
        <f>Ealdorii!C36 + Ukhdari!C36 + Hkuqo!C36 + Acrana!C36 + Zenashan!C36</f>
        <v>202475964.22468269</v>
      </c>
      <c r="CB36" s="6">
        <f t="shared" si="21"/>
        <v>1.3070095764552408E-2</v>
      </c>
      <c r="CC36" s="5">
        <f t="shared" si="22"/>
        <v>4.5537364971688685E-2</v>
      </c>
      <c r="CJ36" s="3">
        <f t="shared" si="23"/>
        <v>1981</v>
      </c>
      <c r="CK36" s="3">
        <v>1731</v>
      </c>
      <c r="CL36" s="4">
        <f>Estijan!C36 + Ikzen!C36 + Urbiqu!C36 + Danocia!C36 + Koruch!C36 + 'New Kizura'!C36 + Lydroa!C36 + Fermori!C36 + Uularin!C36 + 'Niul Spijan'!C36</f>
        <v>221553191.40075192</v>
      </c>
      <c r="CM36" s="6">
        <f t="shared" si="24"/>
        <v>1.0227905421112718E-2</v>
      </c>
      <c r="CN36" s="5">
        <f t="shared" si="25"/>
        <v>4.9827882416023352E-2</v>
      </c>
      <c r="CU36" s="3">
        <f t="shared" si="26"/>
        <v>1981</v>
      </c>
      <c r="CV36" s="3">
        <v>1731</v>
      </c>
      <c r="CW36" s="4">
        <f>Praesyu!C36 + Lycroa!C36 + Emara!C36 + Eldjo!C36 + Easuhura!C36 + Ilicuhe!C36 + Tonder!C36</f>
        <v>216945516.49034402</v>
      </c>
      <c r="CX36" s="6">
        <f t="shared" si="27"/>
        <v>3.4843350597072221E-3</v>
      </c>
      <c r="CY36" s="5">
        <f t="shared" si="28"/>
        <v>4.8791604481160405E-2</v>
      </c>
      <c r="DF36" s="3">
        <f t="shared" si="29"/>
        <v>1981</v>
      </c>
      <c r="DG36" s="3">
        <v>1731</v>
      </c>
      <c r="DH36" s="4">
        <f>Verusa!C36 + Darewa!C36 + Siana!C36 + Yaxuto!C36 + 'Merela Sta'!C36 + Palina!C36</f>
        <v>154793454.15894496</v>
      </c>
      <c r="DI36" s="6">
        <f t="shared" si="30"/>
        <v>6.0291351961758053E-3</v>
      </c>
      <c r="DJ36" s="5">
        <f t="shared" si="31"/>
        <v>3.4813445853959533E-2</v>
      </c>
      <c r="DQ36" s="3">
        <f t="shared" si="32"/>
        <v>1981</v>
      </c>
      <c r="DR36" s="3">
        <v>1731</v>
      </c>
      <c r="DS36" s="4">
        <f>Sunsokua!C36 + Vayvele!C36 + Selaja!C36 + Sadain!C36</f>
        <v>118648170.51113933</v>
      </c>
      <c r="DT36" s="6">
        <f t="shared" si="33"/>
        <v>2.5418392479711879E-2</v>
      </c>
      <c r="DU36" s="5">
        <f t="shared" si="34"/>
        <v>2.6684278622787085E-2</v>
      </c>
      <c r="EB36" s="3">
        <f t="shared" si="35"/>
        <v>1981</v>
      </c>
      <c r="EC36" s="3">
        <v>1731</v>
      </c>
      <c r="ED36" s="4">
        <f>Pelugrotoa!C36 + Lieri!C36 + 'Rtesania'!C36 + Ozinia!C36</f>
        <v>298273901.49447072</v>
      </c>
      <c r="EE36" s="6">
        <f t="shared" si="36"/>
        <v>1.7640979643282911E-2</v>
      </c>
      <c r="EF36" s="5">
        <f t="shared" si="37"/>
        <v>6.7082567384694314E-2</v>
      </c>
      <c r="EM36" s="3">
        <f t="shared" si="38"/>
        <v>1981</v>
      </c>
      <c r="EN36" s="3">
        <v>1731</v>
      </c>
      <c r="EO36" s="4">
        <f>Ocaun!C36 + 'Dual Cenryia'!C36 + Byllu!C36 + Exilium!C36 + Inrea!C36 + Amcha!C36 + Isnti!C36 + Galca!C36 + Otiiric!C36 + Taing!C36 + 'Cruthi Anoso'!C36</f>
        <v>144489822.9158085</v>
      </c>
      <c r="EP36" s="6">
        <f t="shared" si="39"/>
        <v>2.7951977480859768E-2</v>
      </c>
      <c r="EQ36" s="5">
        <f t="shared" si="40"/>
        <v>3.2496132694103487E-2</v>
      </c>
      <c r="EX36" s="3">
        <f t="shared" si="41"/>
        <v>1981</v>
      </c>
      <c r="EY36" s="3">
        <v>1731</v>
      </c>
      <c r="EZ36" s="4">
        <f>Sivoso!C36 + Taoisia!C36 + Seytinemas!C36 + Trian!C36 + 'Chaenia'!C36</f>
        <v>89587971.542784214</v>
      </c>
      <c r="FA36" s="6">
        <f t="shared" si="42"/>
        <v>2.4117926339223605E-2</v>
      </c>
      <c r="FB36" s="5">
        <f t="shared" si="43"/>
        <v>2.0148565153590235E-2</v>
      </c>
      <c r="FI36" s="3">
        <f t="shared" si="44"/>
        <v>1981</v>
      </c>
      <c r="FJ36" s="3">
        <v>1731</v>
      </c>
      <c r="FK36" s="4">
        <f>Migoku!C36 + 'Welenu Fana'!C36 + Haiza!C36 + Ucrua!C36 + Ihner!C36 + Oscairia!C36 + Shinam!C36 + 'Ruylku'!C36 + Taval!C36 + 'Western Migoku'!C36 + 'Pruim Fijan'!C36 + 'Canldives'!C36</f>
        <v>98432225.414790466</v>
      </c>
      <c r="FL36" s="6">
        <f t="shared" si="45"/>
        <v>2.1678177730144788E-2</v>
      </c>
      <c r="FM36" s="5">
        <f t="shared" si="46"/>
        <v>2.2137660590246137E-2</v>
      </c>
      <c r="FT36" s="3">
        <f t="shared" si="47"/>
        <v>1981</v>
      </c>
      <c r="FU36" s="3">
        <v>1731</v>
      </c>
      <c r="FV36" s="4">
        <f>Vesozata!C36 + Etretes!C36 + Kusierna!C36 + Eparia!C36</f>
        <v>68733999.628431097</v>
      </c>
      <c r="FW36" s="6">
        <f t="shared" si="48"/>
        <v>2.5483084505277732E-2</v>
      </c>
      <c r="FX36" s="5">
        <f t="shared" si="49"/>
        <v>1.5458453249149785E-2</v>
      </c>
      <c r="GE36" s="3">
        <f t="shared" si="50"/>
        <v>1981</v>
      </c>
      <c r="GF36" s="3">
        <v>1731</v>
      </c>
      <c r="GG36" s="4">
        <f>Dahe!C36 + Kaastini!C36 + Suenan!C36 + Oyreain!C36 + Sanagara!C36 + 'North Ayre'!C36 + Stinebar!C36 + 'Cloja'!C36 + 'Pha Hii'!C36 + 'Prystr Hii'!C36</f>
        <v>836719715.98915708</v>
      </c>
      <c r="GH36" s="6">
        <f t="shared" si="51"/>
        <v>1.2492933770392388E-2</v>
      </c>
      <c r="GI36" s="5">
        <f t="shared" si="52"/>
        <v>0.18818041554663281</v>
      </c>
      <c r="GP36" s="3">
        <f t="shared" si="53"/>
        <v>1981</v>
      </c>
      <c r="GQ36" s="3">
        <v>1731</v>
      </c>
      <c r="GR36" s="4">
        <f>Maalle!C36 + 'United Delet'!C36 + Ohtina!C36 + Astye!C36 + Prstreula!C36 + Veelmit!C36 + Aplasia!C36 + 'Elja and Munusia'!C36 + Walporein!C36 + 'Crila Republic'!C36 + 'Niretui and Anulan'!C36 + 'Rethern'!C36 + Tvecoca!C36</f>
        <v>111789998.88867475</v>
      </c>
      <c r="GS36" s="6">
        <f t="shared" si="54"/>
        <v>2.1800938364350951E-2</v>
      </c>
      <c r="GT36" s="5">
        <f t="shared" si="55"/>
        <v>2.5141858190779201E-2</v>
      </c>
      <c r="HA36" s="3">
        <f t="shared" si="56"/>
        <v>1981</v>
      </c>
      <c r="HB36" s="3">
        <v>1731</v>
      </c>
      <c r="HC36" s="4">
        <f>Andsaudare!C36 + Nia!C36 + Umarcia!C36 + Mendereide!C36 + Iainoa!C36 + Isari!C36 + 'Rkmepuia'!C36 + Hiwush!C36 + Isuibul!C36 + Yutnitu!C36</f>
        <v>40239164.147183351</v>
      </c>
      <c r="HD36" s="6">
        <f t="shared" si="57"/>
        <v>2.6053746235977848E-2</v>
      </c>
      <c r="HE36" s="5">
        <f t="shared" si="58"/>
        <v>9.0498914818976962E-3</v>
      </c>
      <c r="HL36" s="3">
        <f t="shared" si="59"/>
        <v>1981</v>
      </c>
      <c r="HM36" s="3">
        <v>1731</v>
      </c>
      <c r="HN36" s="4">
        <f>Zhanshe!C36 + Volver!C36 + Finae!C36 + Myla!C36 + 'Nheyes Si'!C36 + Onphello!C36 + Hyelen!C36</f>
        <v>73201534.442170396</v>
      </c>
      <c r="HO36" s="6">
        <f t="shared" si="60"/>
        <v>2.0544197448527434E-2</v>
      </c>
      <c r="HP36" s="5">
        <f t="shared" si="61"/>
        <v>1.6463213315935882E-2</v>
      </c>
      <c r="HW36" s="3">
        <f t="shared" si="62"/>
        <v>1981</v>
      </c>
      <c r="HX36" s="3">
        <v>1731</v>
      </c>
      <c r="HY36" s="4">
        <f>Yihnurda!C36 + Ztesh!C36 + Wundry!C36 + Anymna!C36 + Shomjind!C36 + Baluyde!C36 + Letan!C36</f>
        <v>290103750.07343048</v>
      </c>
      <c r="HZ36" s="6">
        <f t="shared" si="63"/>
        <v>2.4052367359120197E-2</v>
      </c>
      <c r="IA36" s="5">
        <f t="shared" si="64"/>
        <v>6.524507932255072E-2</v>
      </c>
      <c r="IH36" s="3">
        <f t="shared" si="65"/>
        <v>1981</v>
      </c>
      <c r="II36" s="3">
        <v>1731</v>
      </c>
      <c r="IJ36" s="4">
        <f>Iareva!C36 + 'United Mihili'!C36 + 'Mesjan Hyaa'!C36 + Desaki!C36 + 'Far Lands'!C36</f>
        <v>34865031.033273458</v>
      </c>
      <c r="IK36" s="6">
        <f t="shared" si="66"/>
        <v>3.4717241334208351E-2</v>
      </c>
      <c r="IL36" s="5">
        <f t="shared" si="67"/>
        <v>7.8412351263068246E-3</v>
      </c>
      <c r="IS36" s="3">
        <f t="shared" si="68"/>
        <v>1981</v>
      </c>
      <c r="IT36" s="3">
        <v>1731</v>
      </c>
      <c r="IU36" s="4">
        <f>Verste!C36 + Quidic!C36 + Erkizil!C36 + Ashain!C36 + Ahokini!C36</f>
        <v>226735765.71822846</v>
      </c>
      <c r="IV36" s="6">
        <f t="shared" si="69"/>
        <v>2.0863397860924789E-2</v>
      </c>
      <c r="IW36" s="5">
        <f t="shared" si="70"/>
        <v>5.0993456705749639E-2</v>
      </c>
    </row>
    <row r="37" spans="1:257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4372035376.8881474</v>
      </c>
      <c r="D37" s="5">
        <f t="shared" si="1"/>
        <v>1.7062009853949917E-2</v>
      </c>
      <c r="K37" s="3">
        <f t="shared" si="2"/>
        <v>1980</v>
      </c>
      <c r="L37" s="3">
        <v>1730</v>
      </c>
      <c r="M37" s="4">
        <f>Eldavpir!C37 + Iquir!C37 + Viussi!C37 + Umendel!C37 + 'Reerica'!C37 + Saa!C37 + Sattle!C37</f>
        <v>41970588.319083571</v>
      </c>
      <c r="N37" s="5">
        <f t="shared" si="3"/>
        <v>3.2354933933794801E-2</v>
      </c>
      <c r="O37" s="5">
        <f t="shared" si="4"/>
        <v>9.5997824127755978E-3</v>
      </c>
      <c r="V37" s="3">
        <f t="shared" si="5"/>
        <v>1980</v>
      </c>
      <c r="W37" s="3">
        <v>1730</v>
      </c>
      <c r="X37" s="4">
        <f>'Areoix Lie'!C37 + Jau!C37 + Terressin!C37 + Acetoa!C37 + 'Feio Lie'!C37</f>
        <v>497300363.65614742</v>
      </c>
      <c r="Y37" s="5">
        <f t="shared" si="6"/>
        <v>1.5610744536659778E-2</v>
      </c>
      <c r="Z37" s="5">
        <f t="shared" si="7"/>
        <v>0.11374573185867205</v>
      </c>
      <c r="AG37" s="3">
        <f t="shared" si="8"/>
        <v>1980</v>
      </c>
      <c r="AH37" s="3">
        <v>1730</v>
      </c>
      <c r="AI37" s="4">
        <f>Taniduna!C37 + Jathua!C37 + Deschon!C37 + Pelines!C37 + 'Candenat'!C37 + Othya!C37 + Yoprioq!C37 + Jshain!C37 + 'Fire Coast'!C37 + 'Rijan bu'!C37 + 'Rinew'!C37 + Enina!C37 + Trevilla!C37</f>
        <v>92205852.220521852</v>
      </c>
      <c r="AJ37" s="5">
        <f t="shared" si="9"/>
        <v>3.0602008705876656E-2</v>
      </c>
      <c r="AK37" s="5">
        <f t="shared" si="10"/>
        <v>2.1089914484212283E-2</v>
      </c>
      <c r="AR37" s="3">
        <f t="shared" si="11"/>
        <v>1980</v>
      </c>
      <c r="AS37" s="3">
        <v>1730</v>
      </c>
      <c r="AT37" s="4">
        <f>Gaeiya!C37 + 'Raledria'!C37 + Arbiya!C37 + Fincen!C37 + 'Curata'!C37</f>
        <v>206032350.39084864</v>
      </c>
      <c r="AU37" s="5">
        <f t="shared" si="12"/>
        <v>1.1666585027092303E-2</v>
      </c>
      <c r="AV37" s="5">
        <f t="shared" si="13"/>
        <v>4.7125041915258889E-2</v>
      </c>
      <c r="BC37" s="3">
        <f t="shared" si="14"/>
        <v>1980</v>
      </c>
      <c r="BD37" s="3">
        <v>1730</v>
      </c>
      <c r="BE37" s="4">
        <f>Etirha!C37 + Laselteh!C37 + Grazail!C37 + 'Disal Nila'!C37 + Pelan!C37 + Peka!C37 + Guise!C37</f>
        <v>79012724.867171362</v>
      </c>
      <c r="BF37" s="5">
        <f t="shared" si="15"/>
        <v>1.5513218562842419E-2</v>
      </c>
      <c r="BG37" s="5">
        <f t="shared" si="16"/>
        <v>1.8072297695680972E-2</v>
      </c>
      <c r="BN37" s="3">
        <f t="shared" si="17"/>
        <v>1980</v>
      </c>
      <c r="BO37" s="3">
        <v>1730</v>
      </c>
      <c r="BP37" s="4">
        <f>Genaire!C37 + 'New Misos'!C37 + Phuris!C37 + Lasri!C37 + Slyiaduun!C37 + Aetintio!C37 + Metndria!C37 + Tomscilus!C37</f>
        <v>64581422.467095181</v>
      </c>
      <c r="BQ37" s="5">
        <f t="shared" si="18"/>
        <v>1.9615122614863617E-2</v>
      </c>
      <c r="BR37" s="5">
        <f t="shared" si="19"/>
        <v>1.4771477561341657E-2</v>
      </c>
      <c r="BY37" s="3">
        <f t="shared" si="20"/>
        <v>1980</v>
      </c>
      <c r="BZ37" s="3">
        <v>1730</v>
      </c>
      <c r="CA37" s="4">
        <f>Ealdorii!C37 + Ukhdari!C37 + Hkuqo!C37 + Acrana!C37 + Zenashan!C37</f>
        <v>199863726.18360272</v>
      </c>
      <c r="CB37" s="7">
        <f t="shared" si="21"/>
        <v>1.2969679441827833E-2</v>
      </c>
      <c r="CC37" s="5">
        <f t="shared" si="22"/>
        <v>4.5714114583825328E-2</v>
      </c>
      <c r="CJ37" s="3">
        <f t="shared" si="23"/>
        <v>1980</v>
      </c>
      <c r="CK37" s="3">
        <v>1730</v>
      </c>
      <c r="CL37" s="4">
        <f>Estijan!C37 + Ikzen!C37 + Urbiqu!C37 + Danocia!C37 + Koruch!C37 + 'New Kizura'!C37 + Lydroa!C37 + Fermori!C37 + Uularin!C37 + 'Niul Spijan'!C37</f>
        <v>219310108.35460702</v>
      </c>
      <c r="CM37" s="7">
        <f t="shared" si="24"/>
        <v>9.7873541953250771E-3</v>
      </c>
      <c r="CN37" s="5">
        <f t="shared" si="25"/>
        <v>5.0162015960333747E-2</v>
      </c>
      <c r="CU37" s="3">
        <f t="shared" si="26"/>
        <v>1980</v>
      </c>
      <c r="CV37" s="3">
        <v>1730</v>
      </c>
      <c r="CW37" s="4">
        <f>Praesyu!C37 + Lycroa!C37 + Emara!C37 + Eldjo!C37 + Easuhura!C37 + Ilicuhe!C37 + Tonder!C37</f>
        <v>216192230.3225947</v>
      </c>
      <c r="CX37" s="7">
        <f t="shared" si="27"/>
        <v>4.4040250008296486E-3</v>
      </c>
      <c r="CY37" s="5">
        <f t="shared" si="28"/>
        <v>4.9448874879981487E-2</v>
      </c>
      <c r="DF37" s="3">
        <f t="shared" si="29"/>
        <v>1980</v>
      </c>
      <c r="DG37" s="3">
        <v>1730</v>
      </c>
      <c r="DH37" s="4">
        <f>Verusa!C37 + Darewa!C37 + Siana!C37 + Yaxuto!C37 + 'Merela Sta'!C37 + Palina!C37</f>
        <v>153865776.58982036</v>
      </c>
      <c r="DI37" s="7">
        <f t="shared" si="30"/>
        <v>6.5761641827162768E-3</v>
      </c>
      <c r="DJ37" s="5">
        <f t="shared" si="31"/>
        <v>3.5193168244520547E-2</v>
      </c>
      <c r="DQ37" s="3">
        <f t="shared" si="32"/>
        <v>1980</v>
      </c>
      <c r="DR37" s="3">
        <v>1730</v>
      </c>
      <c r="DS37" s="4">
        <f>Sunsokua!C37 + Vayvele!C37 + Selaja!C37 + Sadain!C37</f>
        <v>115707082.47607994</v>
      </c>
      <c r="DT37" s="7">
        <f t="shared" si="33"/>
        <v>2.5511251300514289E-2</v>
      </c>
      <c r="DU37" s="5">
        <f t="shared" si="34"/>
        <v>2.6465266746866067E-2</v>
      </c>
      <c r="EB37" s="3">
        <f t="shared" si="35"/>
        <v>1980</v>
      </c>
      <c r="EC37" s="3">
        <v>1730</v>
      </c>
      <c r="ED37" s="4">
        <f>Pelugrotoa!C37 + Lieri!C37 + 'Rtesania'!C37 + Ozinia!C37</f>
        <v>293103272.62864912</v>
      </c>
      <c r="EE37" s="7">
        <f t="shared" si="36"/>
        <v>1.8902206771434074E-2</v>
      </c>
      <c r="EF37" s="5">
        <f t="shared" si="37"/>
        <v>6.7040462247418761E-2</v>
      </c>
      <c r="EM37" s="3">
        <f t="shared" si="38"/>
        <v>1980</v>
      </c>
      <c r="EN37" s="3">
        <v>1730</v>
      </c>
      <c r="EO37" s="4">
        <f>Ocaun!C37 + 'Dual Cenryia'!C37 + Byllu!C37 + Exilium!C37 + Inrea!C37 + Amcha!C37 + Isnti!C37 + Galca!C37 + Otiiric!C37 + Taing!C37 + 'Cruthi Anoso'!C37</f>
        <v>140560868.67978117</v>
      </c>
      <c r="EP37" s="7">
        <f t="shared" si="39"/>
        <v>2.9756138817613638E-2</v>
      </c>
      <c r="EQ37" s="5">
        <f t="shared" si="40"/>
        <v>3.2149984289428869E-2</v>
      </c>
      <c r="EX37" s="3">
        <f t="shared" si="41"/>
        <v>1980</v>
      </c>
      <c r="EY37" s="3">
        <v>1730</v>
      </c>
      <c r="EZ37" s="4">
        <f>Sivoso!C37 + Taoisia!C37 + Seytinemas!C37 + Trian!C37 + 'Chaenia'!C37</f>
        <v>87478179.259123281</v>
      </c>
      <c r="FA37" s="7">
        <f t="shared" si="42"/>
        <v>2.3457514918170514E-2</v>
      </c>
      <c r="FB37" s="5">
        <f t="shared" si="43"/>
        <v>2.0008570772679108E-2</v>
      </c>
      <c r="FI37" s="3">
        <f t="shared" si="44"/>
        <v>1980</v>
      </c>
      <c r="FJ37" s="3">
        <v>1730</v>
      </c>
      <c r="FK37" s="4">
        <f>Migoku!C37 + 'Welenu Fana'!C37 + Haiza!C37 + Ucrua!C37 + Ihner!C37 + Oscairia!C37 + Shinam!C37 + 'Ruylku'!C37 + Taval!C37 + 'Western Migoku'!C37 + 'Pruim Fijan'!C37 + 'Canldives'!C37</f>
        <v>96343670.208829015</v>
      </c>
      <c r="FL37" s="7">
        <f t="shared" si="45"/>
        <v>2.1177630168908276E-2</v>
      </c>
      <c r="FM37" s="5">
        <f t="shared" si="46"/>
        <v>2.2036342779413388E-2</v>
      </c>
      <c r="FT37" s="3">
        <f t="shared" si="47"/>
        <v>1980</v>
      </c>
      <c r="FU37" s="3">
        <v>1730</v>
      </c>
      <c r="FV37" s="4">
        <f>Vesozata!C37 + Etretes!C37 + Kusierna!C37 + Eparia!C37</f>
        <v>67025971.14177689</v>
      </c>
      <c r="FW37" s="7">
        <f t="shared" si="48"/>
        <v>2.6240500452682815E-2</v>
      </c>
      <c r="FX37" s="5">
        <f t="shared" si="49"/>
        <v>1.5330610428290608E-2</v>
      </c>
      <c r="GE37" s="3">
        <f t="shared" si="50"/>
        <v>1980</v>
      </c>
      <c r="GF37" s="3">
        <v>1730</v>
      </c>
      <c r="GG37" s="4">
        <f>Dahe!C37 + Kaastini!C37 + Suenan!C37 + Oyreain!C37 + Sanagara!C37 + 'North Ayre'!C37 + Stinebar!C37 + 'Cloja'!C37 + 'Pha Hii'!C37 + 'Prystr Hii'!C37</f>
        <v>826395610.3607769</v>
      </c>
      <c r="GH37" s="7">
        <f t="shared" si="51"/>
        <v>1.2597326364413255E-2</v>
      </c>
      <c r="GI37" s="5">
        <f t="shared" si="52"/>
        <v>0.18901850948630125</v>
      </c>
      <c r="GP37" s="3">
        <f t="shared" si="53"/>
        <v>1980</v>
      </c>
      <c r="GQ37" s="3">
        <v>1730</v>
      </c>
      <c r="GR37" s="4">
        <f>Maalle!C37 + 'United Delet'!C37 + Ohtina!C37 + Astye!C37 + Prstreula!C37 + Veelmit!C37 + Aplasia!C37 + 'Elja and Munusia'!C37 + Walporein!C37 + 'Crila Republic'!C37 + 'Niretui and Anulan'!C37 + 'Rethern'!C37 + Tvecoca!C37</f>
        <v>109404870.05974248</v>
      </c>
      <c r="GS37" s="7">
        <f t="shared" si="54"/>
        <v>2.1624569891400495E-2</v>
      </c>
      <c r="GT37" s="5">
        <f t="shared" si="55"/>
        <v>2.5023784262608782E-2</v>
      </c>
      <c r="HA37" s="3">
        <f t="shared" si="56"/>
        <v>1980</v>
      </c>
      <c r="HB37" s="3">
        <v>1730</v>
      </c>
      <c r="HC37" s="4">
        <f>Andsaudare!C37 + Nia!C37 + Umarcia!C37 + Mendereide!C37 + Iainoa!C37 + Isari!C37 + 'Rkmepuia'!C37 + Hiwush!C37 + Isuibul!C37 + Yutnitu!C37</f>
        <v>39217403.859006926</v>
      </c>
      <c r="HD37" s="7">
        <f t="shared" si="57"/>
        <v>2.6286821791181504E-2</v>
      </c>
      <c r="HE37" s="5">
        <f t="shared" si="58"/>
        <v>8.9700563875401255E-3</v>
      </c>
      <c r="HL37" s="3">
        <f t="shared" si="59"/>
        <v>1980</v>
      </c>
      <c r="HM37" s="3">
        <v>1730</v>
      </c>
      <c r="HN37" s="4">
        <f>Zhanshe!C37 + Volver!C37 + Finae!C37 + Myla!C37 + 'Nheyes Si'!C37 + Onphello!C37 + Hyelen!C37</f>
        <v>71727941.45043622</v>
      </c>
      <c r="HO37" s="7">
        <f t="shared" si="60"/>
        <v>2.1762069226542519E-2</v>
      </c>
      <c r="HP37" s="5">
        <f t="shared" si="61"/>
        <v>1.6406075264077464E-2</v>
      </c>
      <c r="HW37" s="3">
        <f t="shared" si="62"/>
        <v>1980</v>
      </c>
      <c r="HX37" s="3">
        <v>1730</v>
      </c>
      <c r="HY37" s="4">
        <f>Yihnurda!C37 + Ztesh!C37 + Wundry!C37 + Anymna!C37 + Shomjind!C37 + Baluyde!C37 + Letan!C37</f>
        <v>283289955.98297888</v>
      </c>
      <c r="HZ37" s="7">
        <f t="shared" si="63"/>
        <v>2.3757412429843604E-2</v>
      </c>
      <c r="IA37" s="5">
        <f t="shared" si="64"/>
        <v>6.479589746243411E-2</v>
      </c>
      <c r="IH37" s="3">
        <f t="shared" si="65"/>
        <v>1980</v>
      </c>
      <c r="II37" s="3">
        <v>1730</v>
      </c>
      <c r="IJ37" s="4">
        <f>Iareva!C37 + 'United Mihili'!C37 + 'Mesjan Hyaa'!C37 + Desaki!C37 + 'Far Lands'!C37</f>
        <v>33695225.749130271</v>
      </c>
      <c r="IK37" s="7">
        <f t="shared" si="66"/>
        <v>3.2505717650052154E-2</v>
      </c>
      <c r="IL37" s="5">
        <f t="shared" si="67"/>
        <v>7.7069883577001799E-3</v>
      </c>
      <c r="IS37" s="3">
        <f t="shared" si="68"/>
        <v>1980</v>
      </c>
      <c r="IT37" s="3">
        <v>1730</v>
      </c>
      <c r="IU37" s="4">
        <f>Verste!C37 + Quidic!C37 + Erkizil!C37 + Ashain!C37 + Ahokini!C37</f>
        <v>222101964.07601768</v>
      </c>
      <c r="IV37" s="7">
        <f t="shared" si="69"/>
        <v>2.0275326037581677E-2</v>
      </c>
      <c r="IW37" s="5">
        <f t="shared" si="70"/>
        <v>5.0800587124732191E-2</v>
      </c>
    </row>
    <row r="38" spans="1:257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4298691067.5347824</v>
      </c>
      <c r="D38" s="5">
        <f t="shared" si="1"/>
        <v>1.7087873184267754E-2</v>
      </c>
      <c r="K38" s="3">
        <f t="shared" si="2"/>
        <v>1979</v>
      </c>
      <c r="L38" s="3">
        <v>1729</v>
      </c>
      <c r="M38" s="4">
        <f>Eldavpir!C38 + Iquir!C38 + Viussi!C38 + Umendel!C38 + 'Reerica'!C38 + Saa!C38 + Sattle!C38</f>
        <v>40655192.259462923</v>
      </c>
      <c r="N38" s="5">
        <f t="shared" si="3"/>
        <v>3.1519344997882781E-2</v>
      </c>
      <c r="O38" s="5">
        <f t="shared" si="4"/>
        <v>9.4575747874754579E-3</v>
      </c>
      <c r="V38" s="3">
        <f t="shared" si="5"/>
        <v>1979</v>
      </c>
      <c r="W38" s="3">
        <v>1729</v>
      </c>
      <c r="X38" s="4">
        <f>'Areoix Lie'!C38 + Jau!C38 + Terressin!C38 + Acetoa!C38 + 'Feio Lie'!C38</f>
        <v>489656461.72148854</v>
      </c>
      <c r="Y38" s="5">
        <f t="shared" si="6"/>
        <v>1.5824025527067801E-2</v>
      </c>
      <c r="Z38" s="5">
        <f t="shared" si="7"/>
        <v>0.11390826975670462</v>
      </c>
      <c r="AG38" s="3">
        <f t="shared" si="8"/>
        <v>1979</v>
      </c>
      <c r="AH38" s="3">
        <v>1729</v>
      </c>
      <c r="AI38" s="4">
        <f>Taniduna!C38 + Jathua!C38 + Deschon!C38 + Pelines!C38 + 'Candenat'!C38 + Othya!C38 + Yoprioq!C38 + Jshain!C38 + 'Fire Coast'!C38 + 'Rijan bu'!C38 + 'Rinew'!C38 + Enina!C38 + Trevilla!C38</f>
        <v>89467953.139645457</v>
      </c>
      <c r="AJ38" s="5">
        <f t="shared" si="9"/>
        <v>3.0709776091685209E-2</v>
      </c>
      <c r="AK38" s="5">
        <f t="shared" si="10"/>
        <v>2.0812836217828892E-2</v>
      </c>
      <c r="AR38" s="3">
        <f t="shared" si="11"/>
        <v>1979</v>
      </c>
      <c r="AS38" s="3">
        <v>1729</v>
      </c>
      <c r="AT38" s="4">
        <f>Gaeiya!C38 + 'Raledria'!C38 + Arbiya!C38 + Fincen!C38 + 'Curata'!C38</f>
        <v>203656375.96435106</v>
      </c>
      <c r="AU38" s="5">
        <f t="shared" si="12"/>
        <v>1.0398613753243505E-2</v>
      </c>
      <c r="AV38" s="5">
        <f t="shared" si="13"/>
        <v>4.7376369402871307E-2</v>
      </c>
      <c r="BC38" s="3">
        <f t="shared" si="14"/>
        <v>1979</v>
      </c>
      <c r="BD38" s="3">
        <v>1729</v>
      </c>
      <c r="BE38" s="4">
        <f>Etirha!C38 + Laselteh!C38 + Grazail!C38 + 'Disal Nila'!C38 + Pelan!C38 + Peka!C38 + Guise!C38</f>
        <v>77805707.914851591</v>
      </c>
      <c r="BF38" s="5">
        <f t="shared" si="15"/>
        <v>1.5481148605385714E-2</v>
      </c>
      <c r="BG38" s="5">
        <f t="shared" si="16"/>
        <v>1.8099860327825717E-2</v>
      </c>
      <c r="BN38" s="3">
        <f t="shared" si="17"/>
        <v>1979</v>
      </c>
      <c r="BO38" s="3">
        <v>1729</v>
      </c>
      <c r="BP38" s="4">
        <f>Genaire!C38 + 'New Misos'!C38 + Phuris!C38 + Lasri!C38 + Slyiaduun!C38 + Aetintio!C38 + Metndria!C38 + Tomscilus!C38</f>
        <v>63339019.826885544</v>
      </c>
      <c r="BQ38" s="5">
        <f t="shared" si="18"/>
        <v>2.0061165506721615E-2</v>
      </c>
      <c r="BR38" s="5">
        <f t="shared" si="19"/>
        <v>1.4734489832322206E-2</v>
      </c>
      <c r="BY38" s="3">
        <f t="shared" si="20"/>
        <v>1979</v>
      </c>
      <c r="BZ38" s="3">
        <v>1729</v>
      </c>
      <c r="CA38" s="4">
        <f>Ealdorii!C38 + Ukhdari!C38 + Hkuqo!C38 + Acrana!C38 + Zenashan!C38</f>
        <v>197304746.86442021</v>
      </c>
      <c r="CB38" s="6">
        <f t="shared" si="21"/>
        <v>1.3302691046322191E-2</v>
      </c>
      <c r="CC38" s="5">
        <f t="shared" si="22"/>
        <v>4.589879657892483E-2</v>
      </c>
      <c r="CJ38" s="3">
        <f t="shared" si="23"/>
        <v>1979</v>
      </c>
      <c r="CK38" s="3">
        <v>1729</v>
      </c>
      <c r="CL38" s="4">
        <f>Estijan!C38 + Ikzen!C38 + Urbiqu!C38 + Danocia!C38 + Koruch!C38 + 'New Kizura'!C38 + Lydroa!C38 + Fermori!C38 + Uularin!C38 + 'Niul Spijan'!C38</f>
        <v>217184447.24371687</v>
      </c>
      <c r="CM38" s="6">
        <f t="shared" si="24"/>
        <v>9.4804119618983294E-3</v>
      </c>
      <c r="CN38" s="5">
        <f t="shared" si="25"/>
        <v>5.0523390453426562E-2</v>
      </c>
      <c r="CU38" s="3">
        <f t="shared" si="26"/>
        <v>1979</v>
      </c>
      <c r="CV38" s="3">
        <v>1729</v>
      </c>
      <c r="CW38" s="4">
        <f>Praesyu!C38 + Lycroa!C38 + Emara!C38 + Eldjo!C38 + Easuhura!C38 + Ilicuhe!C38 + Tonder!C38</f>
        <v>215244289.09214708</v>
      </c>
      <c r="CX38" s="6">
        <f t="shared" si="27"/>
        <v>2.4059145400272125E-3</v>
      </c>
      <c r="CY38" s="5">
        <f t="shared" si="28"/>
        <v>5.0072053495015541E-2</v>
      </c>
      <c r="DF38" s="3">
        <f t="shared" si="29"/>
        <v>1979</v>
      </c>
      <c r="DG38" s="3">
        <v>1729</v>
      </c>
      <c r="DH38" s="4">
        <f>Verusa!C38 + Darewa!C38 + Siana!C38 + Yaxuto!C38 + 'Merela Sta'!C38 + Palina!C38</f>
        <v>152860540.57792118</v>
      </c>
      <c r="DI38" s="6">
        <f t="shared" si="30"/>
        <v>7.2757710711842342E-3</v>
      </c>
      <c r="DJ38" s="5">
        <f t="shared" si="31"/>
        <v>3.5559787427474704E-2</v>
      </c>
      <c r="DQ38" s="3">
        <f t="shared" si="32"/>
        <v>1979</v>
      </c>
      <c r="DR38" s="3">
        <v>1729</v>
      </c>
      <c r="DS38" s="4">
        <f>Sunsokua!C38 + Vayvele!C38 + Selaja!C38 + Sadain!C38</f>
        <v>112828681.62523291</v>
      </c>
      <c r="DT38" s="6">
        <f t="shared" si="33"/>
        <v>2.5523099898486116E-2</v>
      </c>
      <c r="DU38" s="5">
        <f t="shared" si="34"/>
        <v>2.6247218014189146E-2</v>
      </c>
      <c r="EB38" s="3">
        <f t="shared" si="35"/>
        <v>1979</v>
      </c>
      <c r="EC38" s="3">
        <v>1729</v>
      </c>
      <c r="ED38" s="4">
        <f>Pelugrotoa!C38 + Lieri!C38 + 'Rtesania'!C38 + Ozinia!C38</f>
        <v>287665755.04571432</v>
      </c>
      <c r="EE38" s="6">
        <f t="shared" si="36"/>
        <v>2.0683443632357409E-2</v>
      </c>
      <c r="EF38" s="5">
        <f t="shared" si="37"/>
        <v>6.6919383255583692E-2</v>
      </c>
      <c r="EM38" s="3">
        <f t="shared" si="38"/>
        <v>1979</v>
      </c>
      <c r="EN38" s="3">
        <v>1729</v>
      </c>
      <c r="EO38" s="4">
        <f>Ocaun!C38 + 'Dual Cenryia'!C38 + Byllu!C38 + Exilium!C38 + Inrea!C38 + Amcha!C38 + Isnti!C38 + Galca!C38 + Otiiric!C38 + Taing!C38 + 'Cruthi Anoso'!C38</f>
        <v>136499180.12741923</v>
      </c>
      <c r="EP38" s="6">
        <f t="shared" si="39"/>
        <v>3.2363374920951704E-2</v>
      </c>
      <c r="EQ38" s="5">
        <f t="shared" si="40"/>
        <v>3.1753661285015049E-2</v>
      </c>
      <c r="EX38" s="3">
        <f t="shared" si="41"/>
        <v>1979</v>
      </c>
      <c r="EY38" s="3">
        <v>1729</v>
      </c>
      <c r="EZ38" s="4">
        <f>Sivoso!C38 + Taoisia!C38 + Seytinemas!C38 + Trian!C38 + 'Chaenia'!C38</f>
        <v>85473190.615164429</v>
      </c>
      <c r="FA38" s="6">
        <f t="shared" si="42"/>
        <v>2.4047530108867139E-2</v>
      </c>
      <c r="FB38" s="5">
        <f t="shared" si="43"/>
        <v>1.9883538796422903E-2</v>
      </c>
      <c r="FI38" s="3">
        <f t="shared" si="44"/>
        <v>1979</v>
      </c>
      <c r="FJ38" s="3">
        <v>1729</v>
      </c>
      <c r="FK38" s="4">
        <f>Migoku!C38 + 'Welenu Fana'!C38 + Haiza!C38 + Ucrua!C38 + Ihner!C38 + Oscairia!C38 + Shinam!C38 + 'Ruylku'!C38 + Taval!C38 + 'Western Migoku'!C38 + 'Pruim Fijan'!C38 + 'Canldives'!C38</f>
        <v>94345652.864422083</v>
      </c>
      <c r="FL38" s="6">
        <f t="shared" si="45"/>
        <v>2.1235347061920724E-2</v>
      </c>
      <c r="FM38" s="5">
        <f t="shared" si="46"/>
        <v>2.194753039522971E-2</v>
      </c>
      <c r="FT38" s="3">
        <f t="shared" si="47"/>
        <v>1979</v>
      </c>
      <c r="FU38" s="3">
        <v>1729</v>
      </c>
      <c r="FV38" s="4">
        <f>Vesozata!C38 + Etretes!C38 + Kusierna!C38 + Eparia!C38</f>
        <v>65312147.70047684</v>
      </c>
      <c r="FW38" s="6">
        <f t="shared" si="48"/>
        <v>2.6833866665566922E-2</v>
      </c>
      <c r="FX38" s="5">
        <f t="shared" si="49"/>
        <v>1.519349650263007E-2</v>
      </c>
      <c r="GE38" s="3">
        <f t="shared" si="50"/>
        <v>1979</v>
      </c>
      <c r="GF38" s="3">
        <v>1729</v>
      </c>
      <c r="GG38" s="4">
        <f>Dahe!C38 + Kaastini!C38 + Suenan!C38 + Oyreain!C38 + Sanagara!C38 + 'North Ayre'!C38 + Stinebar!C38 + 'Cloja'!C38 + 'Pha Hii'!C38 + 'Prystr Hii'!C38</f>
        <v>816114746.54770505</v>
      </c>
      <c r="GH38" s="6">
        <f t="shared" si="51"/>
        <v>1.2626461137312868E-2</v>
      </c>
      <c r="GI38" s="5">
        <f t="shared" si="52"/>
        <v>0.18985191857849215</v>
      </c>
      <c r="GP38" s="3">
        <f t="shared" si="53"/>
        <v>1979</v>
      </c>
      <c r="GQ38" s="3">
        <v>1729</v>
      </c>
      <c r="GR38" s="4">
        <f>Maalle!C38 + 'United Delet'!C38 + Ohtina!C38 + Astye!C38 + Prstreula!C38 + Veelmit!C38 + Aplasia!C38 + 'Elja and Munusia'!C38 + Walporein!C38 + 'Crila Republic'!C38 + 'Niretui and Anulan'!C38 + 'Rethern'!C38 + Tvecoca!C38</f>
        <v>107089114.02881815</v>
      </c>
      <c r="GS38" s="6">
        <f t="shared" si="54"/>
        <v>2.1349858969084867E-2</v>
      </c>
      <c r="GT38" s="5">
        <f t="shared" si="55"/>
        <v>2.4912028416648167E-2</v>
      </c>
      <c r="HA38" s="3">
        <f t="shared" si="56"/>
        <v>1979</v>
      </c>
      <c r="HB38" s="3">
        <v>1729</v>
      </c>
      <c r="HC38" s="4">
        <f>Andsaudare!C38 + Nia!C38 + Umarcia!C38 + Mendereide!C38 + Iainoa!C38 + Isari!C38 + 'Rkmepuia'!C38 + Hiwush!C38 + Isuibul!C38 + Yutnitu!C38</f>
        <v>38212907.957407728</v>
      </c>
      <c r="HD38" s="6">
        <f t="shared" si="57"/>
        <v>2.6454700112936956E-2</v>
      </c>
      <c r="HE38" s="5">
        <f t="shared" si="58"/>
        <v>8.8894287486730467E-3</v>
      </c>
      <c r="HL38" s="3">
        <f t="shared" si="59"/>
        <v>1979</v>
      </c>
      <c r="HM38" s="3">
        <v>1729</v>
      </c>
      <c r="HN38" s="4">
        <f>Zhanshe!C38 + Volver!C38 + Finae!C38 + Myla!C38 + 'Nheyes Si'!C38 + Onphello!C38 + Hyelen!C38</f>
        <v>70200238.989819929</v>
      </c>
      <c r="HO38" s="6">
        <f t="shared" si="60"/>
        <v>2.1832004410484451E-2</v>
      </c>
      <c r="HP38" s="5">
        <f t="shared" si="61"/>
        <v>1.6330608058810429E-2</v>
      </c>
      <c r="HW38" s="3">
        <f t="shared" si="62"/>
        <v>1979</v>
      </c>
      <c r="HX38" s="3">
        <v>1729</v>
      </c>
      <c r="HY38" s="4">
        <f>Yihnurda!C38 + Ztesh!C38 + Wundry!C38 + Anymna!C38 + Shomjind!C38 + Baluyde!C38 + Letan!C38</f>
        <v>276715902.16924781</v>
      </c>
      <c r="HZ38" s="6">
        <f t="shared" si="63"/>
        <v>2.3517516808066182E-2</v>
      </c>
      <c r="IA38" s="5">
        <f t="shared" si="64"/>
        <v>6.4372130451314125E-2</v>
      </c>
      <c r="IH38" s="3">
        <f t="shared" si="65"/>
        <v>1979</v>
      </c>
      <c r="II38" s="3">
        <v>1729</v>
      </c>
      <c r="IJ38" s="4">
        <f>Iareva!C38 + 'United Mihili'!C38 + 'Mesjan Hyaa'!C38 + Desaki!C38 + 'Far Lands'!C38</f>
        <v>32634420.490977481</v>
      </c>
      <c r="IK38" s="6">
        <f t="shared" si="66"/>
        <v>2.9064824690476356E-2</v>
      </c>
      <c r="IL38" s="5">
        <f t="shared" si="67"/>
        <v>7.5917110530328716E-3</v>
      </c>
      <c r="IS38" s="3">
        <f t="shared" si="68"/>
        <v>1979</v>
      </c>
      <c r="IT38" s="3">
        <v>1729</v>
      </c>
      <c r="IU38" s="4">
        <f>Verste!C38 + Quidic!C38 + Erkizil!C38 + Ashain!C38 + Ahokini!C38</f>
        <v>217688263.55782771</v>
      </c>
      <c r="IV38" s="6">
        <f t="shared" si="69"/>
        <v>2.0232782720036521E-2</v>
      </c>
      <c r="IW38" s="5">
        <f t="shared" si="70"/>
        <v>5.0640592714811625E-2</v>
      </c>
    </row>
    <row r="39" spans="1:257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4226469689.4640689</v>
      </c>
      <c r="D39" s="5">
        <f t="shared" si="1"/>
        <v>1.7040711155025649E-2</v>
      </c>
      <c r="K39" s="3">
        <f t="shared" si="2"/>
        <v>1978</v>
      </c>
      <c r="L39" s="3">
        <v>1728</v>
      </c>
      <c r="M39" s="4">
        <f>Eldavpir!C39 + Iquir!C39 + Viussi!C39 + Umendel!C39 + 'Reerica'!C39 + Saa!C39 + Sattle!C39</f>
        <v>39412922.749932885</v>
      </c>
      <c r="N39" s="5">
        <f t="shared" si="3"/>
        <v>3.1095959448881216E-2</v>
      </c>
      <c r="O39" s="5">
        <f t="shared" si="4"/>
        <v>9.3252585835841128E-3</v>
      </c>
      <c r="V39" s="3">
        <f t="shared" si="5"/>
        <v>1978</v>
      </c>
      <c r="W39" s="3">
        <v>1728</v>
      </c>
      <c r="X39" s="4">
        <f>'Areoix Lie'!C39 + Jau!C39 + Terressin!C39 + Acetoa!C39 + 'Feio Lie'!C39</f>
        <v>482028825.28539002</v>
      </c>
      <c r="Y39" s="5">
        <f t="shared" si="6"/>
        <v>1.5939187556259445E-2</v>
      </c>
      <c r="Z39" s="5">
        <f t="shared" si="7"/>
        <v>0.11404998987382137</v>
      </c>
      <c r="AG39" s="3">
        <f t="shared" si="8"/>
        <v>1978</v>
      </c>
      <c r="AH39" s="3">
        <v>1728</v>
      </c>
      <c r="AI39" s="4">
        <f>Taniduna!C39 + Jathua!C39 + Deschon!C39 + Pelines!C39 + 'Candenat'!C39 + Othya!C39 + Yoprioq!C39 + Jshain!C39 + 'Fire Coast'!C39 + 'Rijan bu'!C39 + 'Rinew'!C39 + Enina!C39 + Trevilla!C39</f>
        <v>86802274.718782693</v>
      </c>
      <c r="AJ39" s="5">
        <f t="shared" si="9"/>
        <v>3.1245230367612755E-2</v>
      </c>
      <c r="AK39" s="5">
        <f t="shared" si="10"/>
        <v>2.0537772916050304E-2</v>
      </c>
      <c r="AR39" s="3">
        <f t="shared" si="11"/>
        <v>1978</v>
      </c>
      <c r="AS39" s="3">
        <v>1728</v>
      </c>
      <c r="AT39" s="4">
        <f>Gaeiya!C39 + 'Raledria'!C39 + Arbiya!C39 + Fincen!C39 + 'Curata'!C39</f>
        <v>201560426.93669748</v>
      </c>
      <c r="AU39" s="5">
        <f t="shared" si="12"/>
        <v>1.109652369833385E-2</v>
      </c>
      <c r="AV39" s="5">
        <f t="shared" si="13"/>
        <v>4.7690020690117865E-2</v>
      </c>
      <c r="BC39" s="3">
        <f t="shared" si="14"/>
        <v>1978</v>
      </c>
      <c r="BD39" s="3">
        <v>1728</v>
      </c>
      <c r="BE39" s="4">
        <f>Etirha!C39 + Laselteh!C39 + Grazail!C39 + 'Disal Nila'!C39 + Pelan!C39 + Peka!C39 + Guise!C39</f>
        <v>76619549.286273122</v>
      </c>
      <c r="BF39" s="5">
        <f t="shared" si="15"/>
        <v>1.2466498688890007E-2</v>
      </c>
      <c r="BG39" s="5">
        <f t="shared" si="16"/>
        <v>1.8128498467000421E-2</v>
      </c>
      <c r="BN39" s="3">
        <f t="shared" si="17"/>
        <v>1978</v>
      </c>
      <c r="BO39" s="3">
        <v>1728</v>
      </c>
      <c r="BP39" s="4">
        <f>Genaire!C39 + 'New Misos'!C39 + Phuris!C39 + Lasri!C39 + Slyiaduun!C39 + Aetintio!C39 + Metndria!C39 + Tomscilus!C39</f>
        <v>62093354.760174111</v>
      </c>
      <c r="BQ39" s="5">
        <f t="shared" si="18"/>
        <v>2.0312729245735631E-2</v>
      </c>
      <c r="BR39" s="5">
        <f t="shared" si="19"/>
        <v>1.469154148081629E-2</v>
      </c>
      <c r="BY39" s="3">
        <f t="shared" si="20"/>
        <v>1978</v>
      </c>
      <c r="BZ39" s="3">
        <v>1728</v>
      </c>
      <c r="CA39" s="4">
        <f>Ealdorii!C39 + Ukhdari!C39 + Hkuqo!C39 + Acrana!C39 + Zenashan!C39</f>
        <v>194714519.76574352</v>
      </c>
      <c r="CB39" s="7">
        <f t="shared" si="21"/>
        <v>1.3739476798705979E-2</v>
      </c>
      <c r="CC39" s="5">
        <f t="shared" si="22"/>
        <v>4.6070251077663354E-2</v>
      </c>
      <c r="CJ39" s="3">
        <f t="shared" si="23"/>
        <v>1978</v>
      </c>
      <c r="CK39" s="3">
        <v>1728</v>
      </c>
      <c r="CL39" s="4">
        <f>Estijan!C39 + Ikzen!C39 + Urbiqu!C39 + Danocia!C39 + Koruch!C39 + 'New Kizura'!C39 + Lydroa!C39 + Fermori!C39 + Uularin!C39 + 'Niul Spijan'!C39</f>
        <v>215144786.04059753</v>
      </c>
      <c r="CM39" s="7">
        <f t="shared" si="24"/>
        <v>9.620319404987995E-3</v>
      </c>
      <c r="CN39" s="5">
        <f t="shared" si="25"/>
        <v>5.0904135566598285E-2</v>
      </c>
      <c r="CU39" s="3">
        <f t="shared" si="26"/>
        <v>1978</v>
      </c>
      <c r="CV39" s="3">
        <v>1728</v>
      </c>
      <c r="CW39" s="4">
        <f>Praesyu!C39 + Lycroa!C39 + Emara!C39 + Eldjo!C39 + Easuhura!C39 + Ilicuhe!C39 + Tonder!C39</f>
        <v>214727672.66234255</v>
      </c>
      <c r="CX39" s="7">
        <f t="shared" si="27"/>
        <v>2.7148314225211023E-3</v>
      </c>
      <c r="CY39" s="5">
        <f t="shared" si="28"/>
        <v>5.0805444836768902E-2</v>
      </c>
      <c r="DF39" s="3">
        <f t="shared" si="29"/>
        <v>1978</v>
      </c>
      <c r="DG39" s="3">
        <v>1728</v>
      </c>
      <c r="DH39" s="4">
        <f>Verusa!C39 + Darewa!C39 + Siana!C39 + Yaxuto!C39 + 'Merela Sta'!C39 + Palina!C39</f>
        <v>151756395.7836116</v>
      </c>
      <c r="DI39" s="7">
        <f t="shared" si="30"/>
        <v>8.0121112410967005E-3</v>
      </c>
      <c r="DJ39" s="5">
        <f t="shared" si="31"/>
        <v>3.5906183395072407E-2</v>
      </c>
      <c r="DQ39" s="3">
        <f t="shared" si="32"/>
        <v>1978</v>
      </c>
      <c r="DR39" s="3">
        <v>1728</v>
      </c>
      <c r="DS39" s="4">
        <f>Sunsokua!C39 + Vayvele!C39 + Selaja!C39 + Sadain!C39</f>
        <v>110020614.49069409</v>
      </c>
      <c r="DT39" s="7">
        <f t="shared" si="33"/>
        <v>2.554087790258612E-2</v>
      </c>
      <c r="DU39" s="5">
        <f t="shared" si="34"/>
        <v>2.6031326987854275E-2</v>
      </c>
      <c r="EB39" s="3">
        <f t="shared" si="35"/>
        <v>1978</v>
      </c>
      <c r="EC39" s="3">
        <v>1728</v>
      </c>
      <c r="ED39" s="4">
        <f>Pelugrotoa!C39 + Lieri!C39 + 'Rtesania'!C39 + Ozinia!C39</f>
        <v>281836407.59566331</v>
      </c>
      <c r="EE39" s="7">
        <f t="shared" si="36"/>
        <v>2.0499305175803052E-2</v>
      </c>
      <c r="EF39" s="5">
        <f t="shared" si="37"/>
        <v>6.6683645761908009E-2</v>
      </c>
      <c r="EM39" s="3">
        <f t="shared" si="38"/>
        <v>1978</v>
      </c>
      <c r="EN39" s="3">
        <v>1728</v>
      </c>
      <c r="EO39" s="4">
        <f>Ocaun!C39 + 'Dual Cenryia'!C39 + Byllu!C39 + Exilium!C39 + Inrea!C39 + Amcha!C39 + Isnti!C39 + Galca!C39 + Otiiric!C39 + Taing!C39 + 'Cruthi Anoso'!C39</f>
        <v>132220091.72678274</v>
      </c>
      <c r="EP39" s="7">
        <f t="shared" si="39"/>
        <v>3.1538944776420788E-2</v>
      </c>
      <c r="EQ39" s="5">
        <f t="shared" si="40"/>
        <v>3.1283814020099762E-2</v>
      </c>
      <c r="EX39" s="3">
        <f t="shared" si="41"/>
        <v>1978</v>
      </c>
      <c r="EY39" s="3">
        <v>1728</v>
      </c>
      <c r="EZ39" s="4">
        <f>Sivoso!C39 + Taoisia!C39 + Seytinemas!C39 + Trian!C39 + 'Chaenia'!C39</f>
        <v>83466038.54029873</v>
      </c>
      <c r="FA39" s="7">
        <f t="shared" si="42"/>
        <v>2.4299851943318278E-2</v>
      </c>
      <c r="FB39" s="5">
        <f t="shared" si="43"/>
        <v>1.9748405802688371E-2</v>
      </c>
      <c r="FI39" s="3">
        <f t="shared" si="44"/>
        <v>1978</v>
      </c>
      <c r="FJ39" s="3">
        <v>1728</v>
      </c>
      <c r="FK39" s="4">
        <f>Migoku!C39 + 'Welenu Fana'!C39 + Haiza!C39 + Ucrua!C39 + Ihner!C39 + Oscairia!C39 + Shinam!C39 + 'Ruylku'!C39 + Taval!C39 + 'Western Migoku'!C39 + 'Pruim Fijan'!C39 + 'Canldives'!C39</f>
        <v>92383849.752021566</v>
      </c>
      <c r="FL39" s="7">
        <f t="shared" si="45"/>
        <v>2.0246746299578244E-2</v>
      </c>
      <c r="FM39" s="5">
        <f t="shared" si="46"/>
        <v>2.1858396378026827E-2</v>
      </c>
      <c r="FT39" s="3">
        <f t="shared" si="47"/>
        <v>1978</v>
      </c>
      <c r="FU39" s="3">
        <v>1728</v>
      </c>
      <c r="FV39" s="4">
        <f>Vesozata!C39 + Etretes!C39 + Kusierna!C39 + Eparia!C39</f>
        <v>63605369.690975122</v>
      </c>
      <c r="FW39" s="7">
        <f t="shared" si="48"/>
        <v>2.6085463928314321E-2</v>
      </c>
      <c r="FX39" s="5">
        <f t="shared" si="49"/>
        <v>1.5049290392294403E-2</v>
      </c>
      <c r="GE39" s="3">
        <f t="shared" si="50"/>
        <v>1978</v>
      </c>
      <c r="GF39" s="3">
        <v>1728</v>
      </c>
      <c r="GG39" s="4">
        <f>Dahe!C39 + Kaastini!C39 + Suenan!C39 + Oyreain!C39 + Sanagara!C39 + 'North Ayre'!C39 + Stinebar!C39 + 'Cloja'!C39 + 'Pha Hii'!C39 + 'Prystr Hii'!C39</f>
        <v>805938594.20886624</v>
      </c>
      <c r="GH39" s="7">
        <f t="shared" si="51"/>
        <v>1.266833354307802E-2</v>
      </c>
      <c r="GI39" s="5">
        <f t="shared" si="52"/>
        <v>0.19068836485872492</v>
      </c>
      <c r="GP39" s="3">
        <f t="shared" si="53"/>
        <v>1978</v>
      </c>
      <c r="GQ39" s="3">
        <v>1728</v>
      </c>
      <c r="GR39" s="4">
        <f>Maalle!C39 + 'United Delet'!C39 + Ohtina!C39 + Astye!C39 + Prstreula!C39 + Veelmit!C39 + Aplasia!C39 + 'Elja and Munusia'!C39 + Walporein!C39 + 'Crila Republic'!C39 + 'Niretui and Anulan'!C39 + 'Rethern'!C39 + Tvecoca!C39</f>
        <v>104850569.16433139</v>
      </c>
      <c r="GS39" s="7">
        <f t="shared" si="54"/>
        <v>2.1198516400953896E-2</v>
      </c>
      <c r="GT39" s="5">
        <f t="shared" si="55"/>
        <v>2.4808073136241234E-2</v>
      </c>
      <c r="HA39" s="3">
        <f t="shared" si="56"/>
        <v>1978</v>
      </c>
      <c r="HB39" s="3">
        <v>1728</v>
      </c>
      <c r="HC39" s="4">
        <f>Andsaudare!C39 + Nia!C39 + Umarcia!C39 + Mendereide!C39 + Iainoa!C39 + Isari!C39 + 'Rkmepuia'!C39 + Hiwush!C39 + Isuibul!C39 + Yutnitu!C39</f>
        <v>37228051.031578213</v>
      </c>
      <c r="HD39" s="7">
        <f t="shared" si="57"/>
        <v>2.6449035310654158E-2</v>
      </c>
      <c r="HE39" s="5">
        <f t="shared" si="58"/>
        <v>8.8083090065408376E-3</v>
      </c>
      <c r="HL39" s="3">
        <f t="shared" si="59"/>
        <v>1978</v>
      </c>
      <c r="HM39" s="3">
        <v>1728</v>
      </c>
      <c r="HN39" s="4">
        <f>Zhanshe!C39 + Volver!C39 + Finae!C39 + Myla!C39 + 'Nheyes Si'!C39 + Onphello!C39 + Hyelen!C39</f>
        <v>68700372.161781982</v>
      </c>
      <c r="HO39" s="7">
        <f t="shared" si="60"/>
        <v>2.1772423151948623E-2</v>
      </c>
      <c r="HP39" s="5">
        <f t="shared" si="61"/>
        <v>1.6254788797620226E-2</v>
      </c>
      <c r="HW39" s="3">
        <f t="shared" si="62"/>
        <v>1978</v>
      </c>
      <c r="HX39" s="3">
        <v>1728</v>
      </c>
      <c r="HY39" s="4">
        <f>Yihnurda!C39 + Ztesh!C39 + Wundry!C39 + Anymna!C39 + Shomjind!C39 + Baluyde!C39 + Letan!C39</f>
        <v>270357759.02713603</v>
      </c>
      <c r="HZ39" s="7">
        <f t="shared" si="63"/>
        <v>2.3385357140372157E-2</v>
      </c>
      <c r="IA39" s="5">
        <f t="shared" si="64"/>
        <v>6.3967750603085086E-2</v>
      </c>
      <c r="IH39" s="3">
        <f t="shared" si="65"/>
        <v>1978</v>
      </c>
      <c r="II39" s="3">
        <v>1728</v>
      </c>
      <c r="IJ39" s="4">
        <f>Iareva!C39 + 'United Mihili'!C39 + 'Mesjan Hyaa'!C39 + Desaki!C39 + 'Far Lands'!C39</f>
        <v>31712696.525987379</v>
      </c>
      <c r="IK39" s="7">
        <f t="shared" si="66"/>
        <v>2.789092146936098E-2</v>
      </c>
      <c r="IL39" s="5">
        <f t="shared" si="67"/>
        <v>7.5033535920160967E-3</v>
      </c>
      <c r="IS39" s="3">
        <f t="shared" si="68"/>
        <v>1978</v>
      </c>
      <c r="IT39" s="3">
        <v>1728</v>
      </c>
      <c r="IU39" s="4">
        <f>Verste!C39 + Quidic!C39 + Erkizil!C39 + Ashain!C39 + Ahokini!C39</f>
        <v>213371171.01594239</v>
      </c>
      <c r="IV39" s="7">
        <f t="shared" si="69"/>
        <v>2.0339076111812175E-2</v>
      </c>
      <c r="IW39" s="5">
        <f t="shared" si="70"/>
        <v>5.0484491003885232E-2</v>
      </c>
    </row>
    <row r="40" spans="1:257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4155654383.4554877</v>
      </c>
      <c r="D40" s="5">
        <f t="shared" si="1"/>
        <v>1.7115529076990144E-2</v>
      </c>
      <c r="K40" s="3">
        <f t="shared" si="2"/>
        <v>1977</v>
      </c>
      <c r="L40" s="3">
        <v>1727</v>
      </c>
      <c r="M40" s="4">
        <f>Eldavpir!C40 + Iquir!C40 + Viussi!C40 + Umendel!C40 + 'Reerica'!C40 + Saa!C40 + Sattle!C40</f>
        <v>38224301.422923833</v>
      </c>
      <c r="N40" s="5">
        <f t="shared" si="3"/>
        <v>3.0892493020581214E-2</v>
      </c>
      <c r="O40" s="5">
        <f t="shared" si="4"/>
        <v>9.1981425536980695E-3</v>
      </c>
      <c r="V40" s="3">
        <f t="shared" si="5"/>
        <v>1977</v>
      </c>
      <c r="W40" s="3">
        <v>1727</v>
      </c>
      <c r="X40" s="4">
        <f>'Areoix Lie'!C40 + Jau!C40 + Terressin!C40 + Acetoa!C40 + 'Feio Lie'!C40</f>
        <v>474466219.22800553</v>
      </c>
      <c r="Y40" s="5">
        <f t="shared" si="6"/>
        <v>1.6325828827552177E-2</v>
      </c>
      <c r="Z40" s="5">
        <f t="shared" si="7"/>
        <v>0.11417364762501733</v>
      </c>
      <c r="AG40" s="3">
        <f t="shared" si="8"/>
        <v>1977</v>
      </c>
      <c r="AH40" s="3">
        <v>1727</v>
      </c>
      <c r="AI40" s="4">
        <f>Taniduna!C40 + Jathua!C40 + Deschon!C40 + Pelines!C40 + 'Candenat'!C40 + Othya!C40 + Yoprioq!C40 + Jshain!C40 + 'Fire Coast'!C40 + 'Rijan bu'!C40 + 'Rinew'!C40 + Enina!C40 + Trevilla!C40</f>
        <v>84172292.062713236</v>
      </c>
      <c r="AJ40" s="5">
        <f t="shared" si="9"/>
        <v>3.1125293387131894E-2</v>
      </c>
      <c r="AK40" s="5">
        <f t="shared" si="10"/>
        <v>2.025488269616944E-2</v>
      </c>
      <c r="AR40" s="3">
        <f t="shared" si="11"/>
        <v>1977</v>
      </c>
      <c r="AS40" s="3">
        <v>1727</v>
      </c>
      <c r="AT40" s="4">
        <f>Gaeiya!C40 + 'Raledria'!C40 + Arbiya!C40 + Fincen!C40 + 'Curata'!C40</f>
        <v>199348353.21106705</v>
      </c>
      <c r="AU40" s="5">
        <f t="shared" si="12"/>
        <v>1.081645368092218E-2</v>
      </c>
      <c r="AV40" s="5">
        <f t="shared" si="13"/>
        <v>4.7970388010300791E-2</v>
      </c>
      <c r="BC40" s="3">
        <f t="shared" si="14"/>
        <v>1977</v>
      </c>
      <c r="BD40" s="3">
        <v>1727</v>
      </c>
      <c r="BE40" s="4">
        <f>Etirha!C40 + Laselteh!C40 + Grazail!C40 + 'Disal Nila'!C40 + Pelan!C40 + Peka!C40 + Guise!C40</f>
        <v>75676132.875006586</v>
      </c>
      <c r="BF40" s="5">
        <f t="shared" si="15"/>
        <v>1.4953298585249403E-2</v>
      </c>
      <c r="BG40" s="5">
        <f t="shared" si="16"/>
        <v>1.8210401032455633E-2</v>
      </c>
      <c r="BN40" s="3">
        <f t="shared" si="17"/>
        <v>1977</v>
      </c>
      <c r="BO40" s="3">
        <v>1727</v>
      </c>
      <c r="BP40" s="4">
        <f>Genaire!C40 + 'New Misos'!C40 + Phuris!C40 + Lasri!C40 + Slyiaduun!C40 + Aetintio!C40 + Metndria!C40 + Tomscilus!C40</f>
        <v>60857179.353311129</v>
      </c>
      <c r="BQ40" s="5">
        <f t="shared" si="18"/>
        <v>2.0488075609565202E-2</v>
      </c>
      <c r="BR40" s="5">
        <f t="shared" si="19"/>
        <v>1.4644427504750163E-2</v>
      </c>
      <c r="BY40" s="3">
        <f t="shared" si="20"/>
        <v>1977</v>
      </c>
      <c r="BZ40" s="3">
        <v>1727</v>
      </c>
      <c r="CA40" s="4">
        <f>Ealdorii!C40 + Ukhdari!C40 + Hkuqo!C40 + Acrana!C40 + Zenashan!C40</f>
        <v>192075502.85072619</v>
      </c>
      <c r="CB40" s="6">
        <f t="shared" si="21"/>
        <v>1.3845850980905388E-2</v>
      </c>
      <c r="CC40" s="5">
        <f t="shared" si="22"/>
        <v>4.622027847537518E-2</v>
      </c>
      <c r="CJ40" s="3">
        <f t="shared" si="23"/>
        <v>1977</v>
      </c>
      <c r="CK40" s="3">
        <v>1727</v>
      </c>
      <c r="CL40" s="4">
        <f>Estijan!C40 + Ikzen!C40 + Urbiqu!C40 + Danocia!C40 + Koruch!C40 + 'New Kizura'!C40 + Lydroa!C40 + Fermori!C40 + Uularin!C40 + 'Niul Spijan'!C40</f>
        <v>213094746.51559258</v>
      </c>
      <c r="CM40" s="6">
        <f t="shared" si="24"/>
        <v>9.2903450199932711E-3</v>
      </c>
      <c r="CN40" s="5">
        <f t="shared" si="25"/>
        <v>5.127826495003205E-2</v>
      </c>
      <c r="CU40" s="3">
        <f t="shared" si="26"/>
        <v>1977</v>
      </c>
      <c r="CV40" s="3">
        <v>1727</v>
      </c>
      <c r="CW40" s="4">
        <f>Praesyu!C40 + Lycroa!C40 + Emara!C40 + Eldjo!C40 + Easuhura!C40 + Ilicuhe!C40 + Tonder!C40</f>
        <v>214146301.55386743</v>
      </c>
      <c r="CX40" s="6">
        <f t="shared" si="27"/>
        <v>3.0606456023805949E-3</v>
      </c>
      <c r="CY40" s="5">
        <f t="shared" si="28"/>
        <v>5.1531306936021377E-2</v>
      </c>
      <c r="DF40" s="3">
        <f t="shared" si="29"/>
        <v>1977</v>
      </c>
      <c r="DG40" s="3">
        <v>1727</v>
      </c>
      <c r="DH40" s="4">
        <f>Verusa!C40 + Darewa!C40 + Siana!C40 + Yaxuto!C40 + 'Merela Sta'!C40 + Palina!C40</f>
        <v>150550171.06566733</v>
      </c>
      <c r="DI40" s="6">
        <f t="shared" si="30"/>
        <v>8.7173803042787119E-3</v>
      </c>
      <c r="DJ40" s="5">
        <f t="shared" si="31"/>
        <v>3.6227789217755553E-2</v>
      </c>
      <c r="DQ40" s="3">
        <f t="shared" si="32"/>
        <v>1977</v>
      </c>
      <c r="DR40" s="3">
        <v>1727</v>
      </c>
      <c r="DS40" s="4">
        <f>Sunsokua!C40 + Vayvele!C40 + Selaja!C40 + Sadain!C40</f>
        <v>107280574.43766245</v>
      </c>
      <c r="DT40" s="6">
        <f t="shared" si="33"/>
        <v>2.5449714506782659E-2</v>
      </c>
      <c r="DU40" s="5">
        <f t="shared" si="34"/>
        <v>2.5815567065627116E-2</v>
      </c>
      <c r="EB40" s="3">
        <f t="shared" si="35"/>
        <v>1977</v>
      </c>
      <c r="EC40" s="3">
        <v>1727</v>
      </c>
      <c r="ED40" s="4">
        <f>Pelugrotoa!C40 + Lieri!C40 + 'Rtesania'!C40 + Ozinia!C40</f>
        <v>276175011.74791187</v>
      </c>
      <c r="EE40" s="6">
        <f t="shared" si="36"/>
        <v>2.0363946281109165E-2</v>
      </c>
      <c r="EF40" s="5">
        <f t="shared" si="37"/>
        <v>6.6457646922569211E-2</v>
      </c>
      <c r="EM40" s="3">
        <f t="shared" si="38"/>
        <v>1977</v>
      </c>
      <c r="EN40" s="3">
        <v>1727</v>
      </c>
      <c r="EO40" s="4">
        <f>Ocaun!C40 + 'Dual Cenryia'!C40 + Byllu!C40 + Exilium!C40 + Inrea!C40 + Amcha!C40 + Isnti!C40 + Galca!C40 + Otiiric!C40 + Taing!C40 + 'Cruthi Anoso'!C40</f>
        <v>128177508.36876117</v>
      </c>
      <c r="EP40" s="6">
        <f t="shared" si="39"/>
        <v>3.0784404306717358E-2</v>
      </c>
      <c r="EQ40" s="5">
        <f t="shared" si="40"/>
        <v>3.0844121416608201E-2</v>
      </c>
      <c r="EX40" s="3">
        <f t="shared" si="41"/>
        <v>1977</v>
      </c>
      <c r="EY40" s="3">
        <v>1727</v>
      </c>
      <c r="EZ40" s="4">
        <f>Sivoso!C40 + Taoisia!C40 + Seytinemas!C40 + Trian!C40 + 'Chaenia'!C40</f>
        <v>81485942.209154487</v>
      </c>
      <c r="FA40" s="6">
        <f t="shared" si="42"/>
        <v>2.4520057137981135E-2</v>
      </c>
      <c r="FB40" s="5">
        <f t="shared" si="43"/>
        <v>1.9608450243977636E-2</v>
      </c>
      <c r="FI40" s="3">
        <f t="shared" si="44"/>
        <v>1977</v>
      </c>
      <c r="FJ40" s="3">
        <v>1727</v>
      </c>
      <c r="FK40" s="4">
        <f>Migoku!C40 + 'Welenu Fana'!C40 + Haiza!C40 + Ucrua!C40 + Ihner!C40 + Oscairia!C40 + Shinam!C40 + 'Ruylku'!C40 + Taval!C40 + 'Western Migoku'!C40 + 'Pruim Fijan'!C40 + 'Canldives'!C40</f>
        <v>90550496.815693453</v>
      </c>
      <c r="FL40" s="6">
        <f t="shared" si="45"/>
        <v>2.1272949178531831E-2</v>
      </c>
      <c r="FM40" s="5">
        <f t="shared" si="46"/>
        <v>2.1789708301102603E-2</v>
      </c>
      <c r="FT40" s="3">
        <f t="shared" si="47"/>
        <v>1977</v>
      </c>
      <c r="FU40" s="3">
        <v>1727</v>
      </c>
      <c r="FV40" s="4">
        <f>Vesozata!C40 + Etretes!C40 + Kusierna!C40 + Eparia!C40</f>
        <v>61988374.192014478</v>
      </c>
      <c r="FW40" s="6">
        <f t="shared" si="48"/>
        <v>2.5896353201178082E-2</v>
      </c>
      <c r="FX40" s="5">
        <f t="shared" si="49"/>
        <v>1.4916633692831364E-2</v>
      </c>
      <c r="GE40" s="3">
        <f t="shared" si="50"/>
        <v>1977</v>
      </c>
      <c r="GF40" s="3">
        <v>1727</v>
      </c>
      <c r="GG40" s="4">
        <f>Dahe!C40 + Kaastini!C40 + Suenan!C40 + Oyreain!C40 + Sanagara!C40 + 'North Ayre'!C40 + Stinebar!C40 + 'Cloja'!C40 + 'Pha Hii'!C40 + 'Prystr Hii'!C40</f>
        <v>795856419.63256109</v>
      </c>
      <c r="GH40" s="6">
        <f t="shared" si="51"/>
        <v>1.2554751889140833E-2</v>
      </c>
      <c r="GI40" s="5">
        <f t="shared" si="52"/>
        <v>0.19151169616054423</v>
      </c>
      <c r="GP40" s="3">
        <f t="shared" si="53"/>
        <v>1977</v>
      </c>
      <c r="GQ40" s="3">
        <v>1727</v>
      </c>
      <c r="GR40" s="4">
        <f>Maalle!C40 + 'United Delet'!C40 + Ohtina!C40 + Astye!C40 + Prstreula!C40 + Veelmit!C40 + Aplasia!C40 + 'Elja and Munusia'!C40 + Walporein!C40 + 'Crila Republic'!C40 + 'Niretui and Anulan'!C40 + 'Rethern'!C40 + Tvecoca!C40</f>
        <v>102674032.0127569</v>
      </c>
      <c r="GS40" s="6">
        <f t="shared" si="54"/>
        <v>2.126414868132449E-2</v>
      </c>
      <c r="GT40" s="5">
        <f t="shared" si="55"/>
        <v>2.4707067176116298E-2</v>
      </c>
      <c r="HA40" s="3">
        <f t="shared" si="56"/>
        <v>1977</v>
      </c>
      <c r="HB40" s="3">
        <v>1727</v>
      </c>
      <c r="HC40" s="4">
        <f>Andsaudare!C40 + Nia!C40 + Umarcia!C40 + Mendereide!C40 + Iainoa!C40 + Isari!C40 + 'Rkmepuia'!C40 + Hiwush!C40 + Isuibul!C40 + Yutnitu!C40</f>
        <v>36268776.871431485</v>
      </c>
      <c r="HD40" s="6">
        <f t="shared" si="57"/>
        <v>2.6584367567735672E-2</v>
      </c>
      <c r="HE40" s="5">
        <f t="shared" si="58"/>
        <v>8.7275729704147011E-3</v>
      </c>
      <c r="HL40" s="3">
        <f t="shared" si="59"/>
        <v>1977</v>
      </c>
      <c r="HM40" s="3">
        <v>1727</v>
      </c>
      <c r="HN40" s="4">
        <f>Zhanshe!C40 + Volver!C40 + Finae!C40 + Myla!C40 + 'Nheyes Si'!C40 + Onphello!C40 + Hyelen!C40</f>
        <v>67236471.258302391</v>
      </c>
      <c r="HO40" s="6">
        <f t="shared" si="60"/>
        <v>2.2034486345245709E-2</v>
      </c>
      <c r="HP40" s="5">
        <f t="shared" si="61"/>
        <v>1.6179514717582041E-2</v>
      </c>
      <c r="HW40" s="3">
        <f t="shared" si="62"/>
        <v>1977</v>
      </c>
      <c r="HX40" s="3">
        <v>1727</v>
      </c>
      <c r="HY40" s="4">
        <f>Yihnurda!C40 + Ztesh!C40 + Wundry!C40 + Anymna!C40 + Shomjind!C40 + Baluyde!C40 + Letan!C40</f>
        <v>264179819.59659067</v>
      </c>
      <c r="HZ40" s="6">
        <f t="shared" si="63"/>
        <v>2.3389533096787058E-2</v>
      </c>
      <c r="IA40" s="5">
        <f t="shared" si="64"/>
        <v>6.3571172003221613E-2</v>
      </c>
      <c r="IH40" s="3">
        <f t="shared" si="65"/>
        <v>1977</v>
      </c>
      <c r="II40" s="3">
        <v>1727</v>
      </c>
      <c r="IJ40" s="4">
        <f>Iareva!C40 + 'United Mihili'!C40 + 'Mesjan Hyaa'!C40 + Desaki!C40 + 'Far Lands'!C40</f>
        <v>30852200.232155334</v>
      </c>
      <c r="IK40" s="6">
        <f t="shared" si="66"/>
        <v>3.019685078473016E-2</v>
      </c>
      <c r="IL40" s="5">
        <f t="shared" si="67"/>
        <v>7.4241496970932595E-3</v>
      </c>
      <c r="IS40" s="3">
        <f t="shared" si="68"/>
        <v>1977</v>
      </c>
      <c r="IT40" s="3">
        <v>1727</v>
      </c>
      <c r="IU40" s="4">
        <f>Verste!C40 + Quidic!C40 + Erkizil!C40 + Ashain!C40 + Ahokini!C40</f>
        <v>209117906.00927693</v>
      </c>
      <c r="IV40" s="6">
        <f t="shared" si="69"/>
        <v>2.0850580395842859E-2</v>
      </c>
      <c r="IW40" s="5">
        <f t="shared" si="70"/>
        <v>5.0321294004096732E-2</v>
      </c>
    </row>
    <row r="41" spans="1:257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4085725037.7709327</v>
      </c>
      <c r="D41" s="5">
        <f t="shared" si="1"/>
        <v>1.7007835337554487E-2</v>
      </c>
      <c r="K41" s="3">
        <f t="shared" si="2"/>
        <v>1976</v>
      </c>
      <c r="L41" s="3">
        <v>1726</v>
      </c>
      <c r="M41" s="4">
        <f>Eldavpir!C41 + Iquir!C41 + Viussi!C41 + Umendel!C41 + 'Reerica'!C41 + Saa!C41 + Sattle!C41</f>
        <v>37078843.50862249</v>
      </c>
      <c r="N41" s="5">
        <f t="shared" si="3"/>
        <v>3.002906276521098E-2</v>
      </c>
      <c r="O41" s="5">
        <f t="shared" si="4"/>
        <v>9.0752175356498682E-3</v>
      </c>
      <c r="V41" s="3">
        <f t="shared" si="5"/>
        <v>1976</v>
      </c>
      <c r="W41" s="3">
        <v>1726</v>
      </c>
      <c r="X41" s="4">
        <f>'Areoix Lie'!C41 + Jau!C41 + Terressin!C41 + Acetoa!C41 + 'Feio Lie'!C41</f>
        <v>466844594.29251784</v>
      </c>
      <c r="Y41" s="5">
        <f t="shared" si="6"/>
        <v>1.6817942376664986E-2</v>
      </c>
      <c r="Z41" s="5">
        <f t="shared" si="7"/>
        <v>0.11426236224335261</v>
      </c>
      <c r="AG41" s="3">
        <f t="shared" si="8"/>
        <v>1976</v>
      </c>
      <c r="AH41" s="3">
        <v>1726</v>
      </c>
      <c r="AI41" s="4">
        <f>Taniduna!C41 + Jathua!C41 + Deschon!C41 + Pelines!C41 + 'Candenat'!C41 + Othya!C41 + Yoprioq!C41 + Jshain!C41 + 'Fire Coast'!C41 + 'Rijan bu'!C41 + 'Rinew'!C41 + Enina!C41 + Trevilla!C41</f>
        <v>81631488.047603428</v>
      </c>
      <c r="AJ41" s="5">
        <f t="shared" si="9"/>
        <v>3.0547733266467057E-2</v>
      </c>
      <c r="AK41" s="5">
        <f t="shared" si="10"/>
        <v>1.9979682257849511E-2</v>
      </c>
      <c r="AR41" s="3">
        <f t="shared" si="11"/>
        <v>1976</v>
      </c>
      <c r="AS41" s="3">
        <v>1726</v>
      </c>
      <c r="AT41" s="4">
        <f>Gaeiya!C41 + 'Raledria'!C41 + Arbiya!C41 + Fincen!C41 + 'Curata'!C41</f>
        <v>197215184.30485901</v>
      </c>
      <c r="AU41" s="5">
        <f t="shared" si="12"/>
        <v>9.6924731955224819E-3</v>
      </c>
      <c r="AV41" s="5">
        <f t="shared" si="13"/>
        <v>4.826932367735999E-2</v>
      </c>
      <c r="BC41" s="3">
        <f t="shared" si="14"/>
        <v>1976</v>
      </c>
      <c r="BD41" s="3">
        <v>1726</v>
      </c>
      <c r="BE41" s="4">
        <f>Etirha!C41 + Laselteh!C41 + Grazail!C41 + 'Disal Nila'!C41 + Pelan!C41 + Peka!C41 + Guise!C41</f>
        <v>74561197.03290002</v>
      </c>
      <c r="BF41" s="5">
        <f t="shared" si="15"/>
        <v>1.5212665960617731E-2</v>
      </c>
      <c r="BG41" s="5">
        <f t="shared" si="16"/>
        <v>1.824919600404111E-2</v>
      </c>
      <c r="BN41" s="3">
        <f t="shared" si="17"/>
        <v>1976</v>
      </c>
      <c r="BO41" s="3">
        <v>1726</v>
      </c>
      <c r="BP41" s="4">
        <f>Genaire!C41 + 'New Misos'!C41 + Phuris!C41 + Lasri!C41 + Slyiaduun!C41 + Aetintio!C41 + Metndria!C41 + Tomscilus!C41</f>
        <v>59635365.476426058</v>
      </c>
      <c r="BQ41" s="5">
        <f t="shared" si="18"/>
        <v>2.0489711183928797E-2</v>
      </c>
      <c r="BR41" s="5">
        <f t="shared" si="19"/>
        <v>1.4596030062013569E-2</v>
      </c>
      <c r="BY41" s="3">
        <f t="shared" si="20"/>
        <v>1976</v>
      </c>
      <c r="BZ41" s="3">
        <v>1726</v>
      </c>
      <c r="CA41" s="4">
        <f>Ealdorii!C41 + Ukhdari!C41 + Hkuqo!C41 + Acrana!C41 + Zenashan!C41</f>
        <v>189452373.51900324</v>
      </c>
      <c r="CB41" s="7">
        <f t="shared" si="21"/>
        <v>1.4044360741375302E-2</v>
      </c>
      <c r="CC41" s="5">
        <f t="shared" si="22"/>
        <v>4.6369340023518474E-2</v>
      </c>
      <c r="CJ41" s="3">
        <f t="shared" si="23"/>
        <v>1976</v>
      </c>
      <c r="CK41" s="3">
        <v>1726</v>
      </c>
      <c r="CL41" s="4">
        <f>Estijan!C41 + Ikzen!C41 + Urbiqu!C41 + Danocia!C41 + Koruch!C41 + 'New Kizura'!C41 + Lydroa!C41 + Fermori!C41 + Uularin!C41 + 'Niul Spijan'!C41</f>
        <v>211133245.81676379</v>
      </c>
      <c r="CM41" s="7">
        <f t="shared" si="24"/>
        <v>8.6775738538566825E-3</v>
      </c>
      <c r="CN41" s="5">
        <f t="shared" si="25"/>
        <v>5.167583326457835E-2</v>
      </c>
      <c r="CU41" s="3">
        <f t="shared" si="26"/>
        <v>1976</v>
      </c>
      <c r="CV41" s="3">
        <v>1726</v>
      </c>
      <c r="CW41" s="4">
        <f>Praesyu!C41 + Lycroa!C41 + Emara!C41 + Eldjo!C41 + Easuhura!C41 + Ilicuhe!C41 + Tonder!C41</f>
        <v>213492875.52325758</v>
      </c>
      <c r="CX41" s="7">
        <f t="shared" si="27"/>
        <v>2.0887130103404111E-3</v>
      </c>
      <c r="CY41" s="5">
        <f t="shared" si="28"/>
        <v>5.2253363491081582E-2</v>
      </c>
      <c r="DF41" s="3">
        <f t="shared" si="29"/>
        <v>1976</v>
      </c>
      <c r="DG41" s="3">
        <v>1726</v>
      </c>
      <c r="DH41" s="4">
        <f>Verusa!C41 + Darewa!C41 + Siana!C41 + Yaxuto!C41 + 'Merela Sta'!C41 + Palina!C41</f>
        <v>149249109.81533203</v>
      </c>
      <c r="DI41" s="7">
        <f t="shared" si="30"/>
        <v>9.1907366369057761E-3</v>
      </c>
      <c r="DJ41" s="5">
        <f t="shared" si="31"/>
        <v>3.6529406270755439E-2</v>
      </c>
      <c r="DQ41" s="3">
        <f t="shared" si="32"/>
        <v>1976</v>
      </c>
      <c r="DR41" s="3">
        <v>1726</v>
      </c>
      <c r="DS41" s="4">
        <f>Sunsokua!C41 + Vayvele!C41 + Selaja!C41 + Sadain!C41</f>
        <v>104618074.31411876</v>
      </c>
      <c r="DT41" s="7">
        <f t="shared" si="33"/>
        <v>2.5498677756774987E-2</v>
      </c>
      <c r="DU41" s="5">
        <f t="shared" si="34"/>
        <v>2.5605754999899775E-2</v>
      </c>
      <c r="EB41" s="3">
        <f t="shared" si="35"/>
        <v>1976</v>
      </c>
      <c r="EC41" s="3">
        <v>1726</v>
      </c>
      <c r="ED41" s="4">
        <f>Pelugrotoa!C41 + Lieri!C41 + 'Rtesania'!C41 + Ozinia!C41</f>
        <v>270663240.06691819</v>
      </c>
      <c r="EE41" s="7">
        <f t="shared" si="36"/>
        <v>2.0778962079169981E-2</v>
      </c>
      <c r="EF41" s="5">
        <f t="shared" si="37"/>
        <v>6.6246073234185424E-2</v>
      </c>
      <c r="EM41" s="3">
        <f t="shared" si="38"/>
        <v>1976</v>
      </c>
      <c r="EN41" s="3">
        <v>1726</v>
      </c>
      <c r="EO41" s="4">
        <f>Ocaun!C41 + 'Dual Cenryia'!C41 + Byllu!C41 + Exilium!C41 + Inrea!C41 + Amcha!C41 + Isnti!C41 + Galca!C41 + Otiiric!C41 + Taing!C41 + 'Cruthi Anoso'!C41</f>
        <v>124349483.59057732</v>
      </c>
      <c r="EP41" s="7">
        <f t="shared" si="39"/>
        <v>2.923137734940405E-2</v>
      </c>
      <c r="EQ41" s="5">
        <f t="shared" si="40"/>
        <v>3.0435108197691938E-2</v>
      </c>
      <c r="EX41" s="3">
        <f t="shared" si="41"/>
        <v>1976</v>
      </c>
      <c r="EY41" s="3">
        <v>1726</v>
      </c>
      <c r="EZ41" s="4">
        <f>Sivoso!C41 + Taoisia!C41 + Seytinemas!C41 + Trian!C41 + 'Chaenia'!C41</f>
        <v>79535721.766919062</v>
      </c>
      <c r="FA41" s="7">
        <f t="shared" si="42"/>
        <v>2.4970270228158793E-2</v>
      </c>
      <c r="FB41" s="5">
        <f t="shared" si="43"/>
        <v>1.946673381875735E-2</v>
      </c>
      <c r="FI41" s="3">
        <f t="shared" si="44"/>
        <v>1976</v>
      </c>
      <c r="FJ41" s="3">
        <v>1726</v>
      </c>
      <c r="FK41" s="4">
        <f>Migoku!C41 + 'Welenu Fana'!C41 + Haiza!C41 + Ucrua!C41 + Ihner!C41 + Oscairia!C41 + Shinam!C41 + 'Ruylku'!C41 + Taval!C41 + 'Western Migoku'!C41 + 'Pruim Fijan'!C41 + 'Canldives'!C41</f>
        <v>88664344.716589615</v>
      </c>
      <c r="FL41" s="7">
        <f t="shared" si="45"/>
        <v>2.0447505842809542E-2</v>
      </c>
      <c r="FM41" s="5">
        <f t="shared" si="46"/>
        <v>2.1701006283321164E-2</v>
      </c>
      <c r="FT41" s="3">
        <f t="shared" si="47"/>
        <v>1976</v>
      </c>
      <c r="FU41" s="3">
        <v>1726</v>
      </c>
      <c r="FV41" s="4">
        <f>Vesozata!C41 + Etretes!C41 + Kusierna!C41 + Eparia!C41</f>
        <v>60423622.716454446</v>
      </c>
      <c r="FW41" s="7">
        <f t="shared" si="48"/>
        <v>2.5341870346031695E-2</v>
      </c>
      <c r="FX41" s="5">
        <f t="shared" si="49"/>
        <v>1.4788959648009019E-2</v>
      </c>
      <c r="GE41" s="3">
        <f t="shared" si="50"/>
        <v>1976</v>
      </c>
      <c r="GF41" s="3">
        <v>1726</v>
      </c>
      <c r="GG41" s="4">
        <f>Dahe!C41 + Kaastini!C41 + Suenan!C41 + Oyreain!C41 + Sanagara!C41 + 'North Ayre'!C41 + Stinebar!C41 + 'Cloja'!C41 + 'Pha Hii'!C41 + 'Prystr Hii'!C41</f>
        <v>785988528.66743064</v>
      </c>
      <c r="GH41" s="7">
        <f t="shared" si="51"/>
        <v>1.2457537546501904E-2</v>
      </c>
      <c r="GI41" s="5">
        <f t="shared" si="52"/>
        <v>0.19237430845230005</v>
      </c>
      <c r="GP41" s="3">
        <f t="shared" si="53"/>
        <v>1976</v>
      </c>
      <c r="GQ41" s="3">
        <v>1726</v>
      </c>
      <c r="GR41" s="4">
        <f>Maalle!C41 + 'United Delet'!C41 + Ohtina!C41 + Astye!C41 + Prstreula!C41 + Veelmit!C41 + Aplasia!C41 + 'Elja and Munusia'!C41 + Walporein!C41 + 'Crila Republic'!C41 + 'Niretui and Anulan'!C41 + 'Rethern'!C41 + Tvecoca!C41</f>
        <v>100536214.98936543</v>
      </c>
      <c r="GS41" s="7">
        <f t="shared" si="54"/>
        <v>2.1191034634050109E-2</v>
      </c>
      <c r="GT41" s="5">
        <f t="shared" si="55"/>
        <v>2.460670115094564E-2</v>
      </c>
      <c r="HA41" s="3">
        <f t="shared" si="56"/>
        <v>1976</v>
      </c>
      <c r="HB41" s="3">
        <v>1726</v>
      </c>
      <c r="HC41" s="4">
        <f>Andsaudare!C41 + Nia!C41 + Umarcia!C41 + Mendereide!C41 + Iainoa!C41 + Isari!C41 + 'Rkmepuia'!C41 + Hiwush!C41 + Isuibul!C41 + Yutnitu!C41</f>
        <v>35329562.788260959</v>
      </c>
      <c r="HD41" s="7">
        <f t="shared" si="57"/>
        <v>2.6642743542306595E-2</v>
      </c>
      <c r="HE41" s="5">
        <f t="shared" si="58"/>
        <v>8.6470730315067572E-3</v>
      </c>
      <c r="HL41" s="3">
        <f t="shared" si="59"/>
        <v>1976</v>
      </c>
      <c r="HM41" s="3">
        <v>1726</v>
      </c>
      <c r="HN41" s="4">
        <f>Zhanshe!C41 + Volver!C41 + Finae!C41 + Myla!C41 + 'Nheyes Si'!C41 + Onphello!C41 + Hyelen!C41</f>
        <v>65786890.908874623</v>
      </c>
      <c r="HO41" s="7">
        <f t="shared" si="60"/>
        <v>2.2381167825145092E-2</v>
      </c>
      <c r="HP41" s="5">
        <f t="shared" si="61"/>
        <v>1.6101644212642922E-2</v>
      </c>
      <c r="HW41" s="3">
        <f t="shared" si="62"/>
        <v>1976</v>
      </c>
      <c r="HX41" s="3">
        <v>1726</v>
      </c>
      <c r="HY41" s="4">
        <f>Yihnurda!C41 + Ztesh!C41 + Wundry!C41 + Anymna!C41 + Shomjind!C41 + Baluyde!C41 + Letan!C41</f>
        <v>258141998.77262753</v>
      </c>
      <c r="HZ41" s="7">
        <f t="shared" si="63"/>
        <v>2.3494704948130322E-2</v>
      </c>
      <c r="IA41" s="5">
        <f t="shared" si="64"/>
        <v>6.318144182151407E-2</v>
      </c>
      <c r="IH41" s="3">
        <f t="shared" si="65"/>
        <v>1976</v>
      </c>
      <c r="II41" s="3">
        <v>1726</v>
      </c>
      <c r="IJ41" s="4">
        <f>Iareva!C41 + 'United Mihili'!C41 + 'Mesjan Hyaa'!C41 + Desaki!C41 + 'Far Lands'!C41</f>
        <v>29947868.903554052</v>
      </c>
      <c r="IK41" s="7">
        <f t="shared" si="66"/>
        <v>3.3439349717881824E-2</v>
      </c>
      <c r="IL41" s="5">
        <f t="shared" si="67"/>
        <v>7.3298786939154491E-3</v>
      </c>
      <c r="IS41" s="3">
        <f t="shared" si="68"/>
        <v>1976</v>
      </c>
      <c r="IT41" s="3">
        <v>1726</v>
      </c>
      <c r="IU41" s="4">
        <f>Verste!C41 + Quidic!C41 + Erkizil!C41 + Ashain!C41 + Ahokini!C41</f>
        <v>204846732.73946694</v>
      </c>
      <c r="IV41" s="7">
        <f t="shared" si="69"/>
        <v>2.1505491097171894E-2</v>
      </c>
      <c r="IW41" s="5">
        <f t="shared" si="70"/>
        <v>5.0137180266840983E-2</v>
      </c>
    </row>
    <row r="42" spans="1:257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4017397797.544836</v>
      </c>
      <c r="D42" s="5">
        <f t="shared" si="1"/>
        <v>1.6958150590889197E-2</v>
      </c>
      <c r="K42" s="3">
        <f t="shared" si="2"/>
        <v>1975</v>
      </c>
      <c r="L42" s="3">
        <v>1725</v>
      </c>
      <c r="M42" s="4">
        <f>Eldavpir!C42 + Iquir!C42 + Viussi!C42 + Umendel!C42 + 'Reerica'!C42 + Saa!C42 + Sattle!C42</f>
        <v>35997861.467210263</v>
      </c>
      <c r="N42" s="5">
        <f t="shared" si="3"/>
        <v>3.025161296169197E-2</v>
      </c>
      <c r="O42" s="5">
        <f t="shared" si="4"/>
        <v>8.9604921596785209E-3</v>
      </c>
      <c r="V42" s="3">
        <f t="shared" si="5"/>
        <v>1975</v>
      </c>
      <c r="W42" s="3">
        <v>1725</v>
      </c>
      <c r="X42" s="4">
        <f>'Areoix Lie'!C42 + Jau!C42 + Terressin!C42 + Acetoa!C42 + 'Feio Lie'!C42</f>
        <v>459123088.64390814</v>
      </c>
      <c r="Y42" s="5">
        <f t="shared" si="6"/>
        <v>1.7677022723821163E-2</v>
      </c>
      <c r="Z42" s="5">
        <f t="shared" si="7"/>
        <v>0.11428370098786168</v>
      </c>
      <c r="AG42" s="3">
        <f t="shared" si="8"/>
        <v>1975</v>
      </c>
      <c r="AH42" s="3">
        <v>1725</v>
      </c>
      <c r="AI42" s="4">
        <f>Taniduna!C42 + Jathua!C42 + Deschon!C42 + Pelines!C42 + 'Candenat'!C42 + Othya!C42 + Yoprioq!C42 + Jshain!C42 + 'Fire Coast'!C42 + 'Rijan bu'!C42 + 'Rinew'!C42 + Enina!C42 + Trevilla!C42</f>
        <v>79211748.677434728</v>
      </c>
      <c r="AJ42" s="5">
        <f t="shared" si="9"/>
        <v>2.9323903555032681E-2</v>
      </c>
      <c r="AK42" s="5">
        <f t="shared" si="10"/>
        <v>1.9717178300302656E-2</v>
      </c>
      <c r="AR42" s="3">
        <f t="shared" si="11"/>
        <v>1975</v>
      </c>
      <c r="AS42" s="3">
        <v>1725</v>
      </c>
      <c r="AT42" s="4">
        <f>Gaeiya!C42 + 'Raledria'!C42 + Arbiya!C42 + Fincen!C42 + 'Curata'!C42</f>
        <v>195322030.75724936</v>
      </c>
      <c r="AU42" s="5">
        <f t="shared" si="12"/>
        <v>1.187536827135567E-2</v>
      </c>
      <c r="AV42" s="5">
        <f t="shared" si="13"/>
        <v>4.8619041628543004E-2</v>
      </c>
      <c r="BC42" s="3">
        <f t="shared" si="14"/>
        <v>1975</v>
      </c>
      <c r="BD42" s="3">
        <v>1725</v>
      </c>
      <c r="BE42" s="4">
        <f>Etirha!C42 + Laselteh!C42 + Grazail!C42 + 'Disal Nila'!C42 + Pelan!C42 + Peka!C42 + Guise!C42</f>
        <v>73443919.2229231</v>
      </c>
      <c r="BF42" s="5">
        <f t="shared" si="15"/>
        <v>1.5659681408109322E-2</v>
      </c>
      <c r="BG42" s="5">
        <f t="shared" si="16"/>
        <v>1.8281465496846516E-2</v>
      </c>
      <c r="BN42" s="3">
        <f t="shared" si="17"/>
        <v>1975</v>
      </c>
      <c r="BO42" s="3">
        <v>1725</v>
      </c>
      <c r="BP42" s="4">
        <f>Genaire!C42 + 'New Misos'!C42 + Phuris!C42 + Lasri!C42 + Slyiaduun!C42 + Aetintio!C42 + Metndria!C42 + Tomscilus!C42</f>
        <v>58437987.980534993</v>
      </c>
      <c r="BQ42" s="5">
        <f t="shared" si="18"/>
        <v>2.0388707775431406E-2</v>
      </c>
      <c r="BR42" s="5">
        <f t="shared" si="19"/>
        <v>1.4546228908734995E-2</v>
      </c>
      <c r="BY42" s="3">
        <f t="shared" si="20"/>
        <v>1975</v>
      </c>
      <c r="BZ42" s="3">
        <v>1725</v>
      </c>
      <c r="CA42" s="4">
        <f>Ealdorii!C42 + Ukhdari!C42 + Hkuqo!C42 + Acrana!C42 + Zenashan!C42</f>
        <v>186828486.85287616</v>
      </c>
      <c r="CB42" s="6">
        <f t="shared" si="21"/>
        <v>1.4425866342893516E-2</v>
      </c>
      <c r="CC42" s="5">
        <f t="shared" si="22"/>
        <v>4.6504851216639088E-2</v>
      </c>
      <c r="CJ42" s="3">
        <f t="shared" si="23"/>
        <v>1975</v>
      </c>
      <c r="CK42" s="3">
        <v>1725</v>
      </c>
      <c r="CL42" s="4">
        <f>Estijan!C42 + Ikzen!C42 + Urbiqu!C42 + Danocia!C42 + Koruch!C42 + 'New Kizura'!C42 + Lydroa!C42 + Fermori!C42 + Uularin!C42 + 'Niul Spijan'!C42</f>
        <v>209316883.10476312</v>
      </c>
      <c r="CM42" s="6">
        <f t="shared" si="24"/>
        <v>8.888000797108133E-3</v>
      </c>
      <c r="CN42" s="5">
        <f t="shared" si="25"/>
        <v>5.2102603140939528E-2</v>
      </c>
      <c r="CU42" s="3">
        <f t="shared" si="26"/>
        <v>1975</v>
      </c>
      <c r="CV42" s="3">
        <v>1725</v>
      </c>
      <c r="CW42" s="4">
        <f>Praesyu!C42 + Lycroa!C42 + Emara!C42 + Eldjo!C42 + Easuhura!C42 + Ilicuhe!C42 + Tonder!C42</f>
        <v>213047879.64521718</v>
      </c>
      <c r="CX42" s="6">
        <f t="shared" si="27"/>
        <v>2.6471723464104612E-3</v>
      </c>
      <c r="CY42" s="5">
        <f t="shared" si="28"/>
        <v>5.30313128999617E-2</v>
      </c>
      <c r="DF42" s="3">
        <f t="shared" si="29"/>
        <v>1975</v>
      </c>
      <c r="DG42" s="3">
        <v>1725</v>
      </c>
      <c r="DH42" s="4">
        <f>Verusa!C42 + Darewa!C42 + Siana!C42 + Yaxuto!C42 + 'Merela Sta'!C42 + Palina!C42</f>
        <v>147889892.75971723</v>
      </c>
      <c r="DI42" s="6">
        <f t="shared" si="30"/>
        <v>9.2836031170952481E-3</v>
      </c>
      <c r="DJ42" s="5">
        <f t="shared" si="31"/>
        <v>3.6812359694650507E-2</v>
      </c>
      <c r="DQ42" s="3">
        <f t="shared" si="32"/>
        <v>1975</v>
      </c>
      <c r="DR42" s="3">
        <v>1725</v>
      </c>
      <c r="DS42" s="4">
        <f>Sunsokua!C42 + Vayvele!C42 + Selaja!C42 + Sadain!C42</f>
        <v>102016781.28241506</v>
      </c>
      <c r="DT42" s="6">
        <f t="shared" si="33"/>
        <v>2.5759896287017719E-2</v>
      </c>
      <c r="DU42" s="5">
        <f t="shared" si="34"/>
        <v>2.5393746505452081E-2</v>
      </c>
      <c r="EB42" s="3">
        <f t="shared" si="35"/>
        <v>1975</v>
      </c>
      <c r="EC42" s="3">
        <v>1725</v>
      </c>
      <c r="ED42" s="4">
        <f>Pelugrotoa!C42 + Lieri!C42 + 'Rtesania'!C42 + Ozinia!C42</f>
        <v>265153622.98966148</v>
      </c>
      <c r="EE42" s="6">
        <f t="shared" si="36"/>
        <v>1.6401303693591347E-2</v>
      </c>
      <c r="EF42" s="5">
        <f t="shared" si="37"/>
        <v>6.6001336275861355E-2</v>
      </c>
      <c r="EM42" s="3">
        <f t="shared" si="38"/>
        <v>1975</v>
      </c>
      <c r="EN42" s="3">
        <v>1725</v>
      </c>
      <c r="EO42" s="4">
        <f>Ocaun!C42 + 'Dual Cenryia'!C42 + Byllu!C42 + Exilium!C42 + Inrea!C42 + Amcha!C42 + Isnti!C42 + Galca!C42 + Otiiric!C42 + Taing!C42 + 'Cruthi Anoso'!C42</f>
        <v>120817812.52221102</v>
      </c>
      <c r="EP42" s="6">
        <f t="shared" si="39"/>
        <v>2.9100815958270899E-2</v>
      </c>
      <c r="EQ42" s="5">
        <f t="shared" si="40"/>
        <v>3.007364931499857E-2</v>
      </c>
      <c r="EX42" s="3">
        <f t="shared" si="41"/>
        <v>1975</v>
      </c>
      <c r="EY42" s="3">
        <v>1725</v>
      </c>
      <c r="EZ42" s="4">
        <f>Sivoso!C42 + Taoisia!C42 + Seytinemas!C42 + Trian!C42 + 'Chaenia'!C42</f>
        <v>77598076.819549486</v>
      </c>
      <c r="FA42" s="6">
        <f t="shared" si="42"/>
        <v>2.5075232685767734E-2</v>
      </c>
      <c r="FB42" s="5">
        <f t="shared" si="43"/>
        <v>1.9315507383155392E-2</v>
      </c>
      <c r="FI42" s="3">
        <f t="shared" si="44"/>
        <v>1975</v>
      </c>
      <c r="FJ42" s="3">
        <v>1725</v>
      </c>
      <c r="FK42" s="4">
        <f>Migoku!C42 + 'Welenu Fana'!C42 + Haiza!C42 + Ucrua!C42 + Ihner!C42 + Oscairia!C42 + Shinam!C42 + 'Ruylku'!C42 + Taval!C42 + 'Western Migoku'!C42 + 'Pruim Fijan'!C42 + 'Canldives'!C42</f>
        <v>86887707.803607032</v>
      </c>
      <c r="FL42" s="6">
        <f t="shared" si="45"/>
        <v>2.1867685256607199E-2</v>
      </c>
      <c r="FM42" s="5">
        <f t="shared" si="46"/>
        <v>2.1627857678596572E-2</v>
      </c>
      <c r="FT42" s="3">
        <f t="shared" si="47"/>
        <v>1975</v>
      </c>
      <c r="FU42" s="3">
        <v>1725</v>
      </c>
      <c r="FV42" s="4">
        <f>Vesozata!C42 + Etretes!C42 + Kusierna!C42 + Eparia!C42</f>
        <v>58930220.703912854</v>
      </c>
      <c r="FW42" s="6">
        <f t="shared" si="48"/>
        <v>2.519289082062701E-2</v>
      </c>
      <c r="FX42" s="5">
        <f t="shared" si="49"/>
        <v>1.4668754172147715E-2</v>
      </c>
      <c r="GE42" s="3">
        <f t="shared" si="50"/>
        <v>1975</v>
      </c>
      <c r="GF42" s="3">
        <v>1725</v>
      </c>
      <c r="GG42" s="4">
        <f>Dahe!C42 + Kaastini!C42 + Suenan!C42 + Oyreain!C42 + Sanagara!C42 + 'North Ayre'!C42 + Stinebar!C42 + 'Cloja'!C42 + 'Pha Hii'!C42 + 'Prystr Hii'!C42</f>
        <v>776317523.96463382</v>
      </c>
      <c r="GH42" s="6">
        <f t="shared" si="51"/>
        <v>1.2406120288993886E-2</v>
      </c>
      <c r="GI42" s="5">
        <f t="shared" si="52"/>
        <v>0.19323889818406009</v>
      </c>
      <c r="GP42" s="3">
        <f t="shared" si="53"/>
        <v>1975</v>
      </c>
      <c r="GQ42" s="3">
        <v>1725</v>
      </c>
      <c r="GR42" s="4">
        <f>Maalle!C42 + 'United Delet'!C42 + Ohtina!C42 + Astye!C42 + Prstreula!C42 + Veelmit!C42 + Aplasia!C42 + 'Elja and Munusia'!C42 + Walporein!C42 + 'Crila Republic'!C42 + 'Niretui and Anulan'!C42 + 'Rethern'!C42 + Tvecoca!C42</f>
        <v>98449958.508882895</v>
      </c>
      <c r="GS42" s="6">
        <f t="shared" si="54"/>
        <v>2.1177916943777284E-2</v>
      </c>
      <c r="GT42" s="5">
        <f t="shared" si="55"/>
        <v>2.450590244487337E-2</v>
      </c>
      <c r="HA42" s="3">
        <f t="shared" si="56"/>
        <v>1975</v>
      </c>
      <c r="HB42" s="3">
        <v>1725</v>
      </c>
      <c r="HC42" s="4">
        <f>Andsaudare!C42 + Nia!C42 + Umarcia!C42 + Mendereide!C42 + Iainoa!C42 + Isari!C42 + 'Rkmepuia'!C42 + Hiwush!C42 + Isuibul!C42 + Yutnitu!C42</f>
        <v>34412713.683009706</v>
      </c>
      <c r="HD42" s="6">
        <f t="shared" si="57"/>
        <v>2.6633100170187107E-2</v>
      </c>
      <c r="HE42" s="5">
        <f t="shared" si="58"/>
        <v>8.5659213792670594E-3</v>
      </c>
      <c r="HL42" s="3">
        <f t="shared" si="59"/>
        <v>1975</v>
      </c>
      <c r="HM42" s="3">
        <v>1725</v>
      </c>
      <c r="HN42" s="4">
        <f>Zhanshe!C42 + Volver!C42 + Finae!C42 + Myla!C42 + 'Nheyes Si'!C42 + Onphello!C42 + Hyelen!C42</f>
        <v>64346735.815585725</v>
      </c>
      <c r="HO42" s="6">
        <f t="shared" si="60"/>
        <v>2.2896719169510634E-2</v>
      </c>
      <c r="HP42" s="5">
        <f t="shared" si="61"/>
        <v>1.6017018741562045E-2</v>
      </c>
      <c r="HW42" s="3">
        <f t="shared" si="62"/>
        <v>1975</v>
      </c>
      <c r="HX42" s="3">
        <v>1725</v>
      </c>
      <c r="HY42" s="4">
        <f>Yihnurda!C42 + Ztesh!C42 + Wundry!C42 + Anymna!C42 + Shomjind!C42 + Baluyde!C42 + Letan!C42</f>
        <v>252216252.34075823</v>
      </c>
      <c r="HZ42" s="6">
        <f t="shared" si="63"/>
        <v>2.3530893932875833E-2</v>
      </c>
      <c r="IA42" s="5">
        <f t="shared" si="64"/>
        <v>6.2781000301960613E-2</v>
      </c>
      <c r="IH42" s="3">
        <f t="shared" si="65"/>
        <v>1975</v>
      </c>
      <c r="II42" s="3">
        <v>1725</v>
      </c>
      <c r="IJ42" s="4">
        <f>Iareva!C42 + 'United Mihili'!C42 + 'Mesjan Hyaa'!C42 + Desaki!C42 + 'Far Lands'!C42</f>
        <v>28978835.489213284</v>
      </c>
      <c r="IK42" s="6">
        <f t="shared" si="66"/>
        <v>2.8710874421811482E-2</v>
      </c>
      <c r="IL42" s="5">
        <f t="shared" si="67"/>
        <v>7.2133348375217421E-3</v>
      </c>
      <c r="IS42" s="3">
        <f t="shared" si="68"/>
        <v>1975</v>
      </c>
      <c r="IT42" s="3">
        <v>1725</v>
      </c>
      <c r="IU42" s="4">
        <f>Verste!C42 + Quidic!C42 + Erkizil!C42 + Ashain!C42 + Ahokini!C42</f>
        <v>200534147.41750091</v>
      </c>
      <c r="IV42" s="6">
        <f t="shared" si="69"/>
        <v>2.2278927712886819E-2</v>
      </c>
      <c r="IW42" s="5">
        <f t="shared" si="70"/>
        <v>4.9916427877780473E-2</v>
      </c>
    </row>
    <row r="43" spans="1:257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3950406214.0714283</v>
      </c>
      <c r="D43" s="5">
        <f t="shared" si="1"/>
        <v>1.7851089820900272E-2</v>
      </c>
      <c r="K43" s="3">
        <f t="shared" si="2"/>
        <v>1974</v>
      </c>
      <c r="L43" s="3">
        <v>1724</v>
      </c>
      <c r="M43" s="4">
        <f>Eldavpir!C43 + Iquir!C43 + Viussi!C43 + Umendel!C43 + 'Reerica'!C43 + Saa!C43 + Sattle!C43</f>
        <v>34940844.560996361</v>
      </c>
      <c r="N43" s="5">
        <f t="shared" si="3"/>
        <v>3.0050239710882623E-2</v>
      </c>
      <c r="O43" s="5">
        <f t="shared" si="4"/>
        <v>8.8448738351353216E-3</v>
      </c>
      <c r="V43" s="3">
        <f t="shared" si="5"/>
        <v>1974</v>
      </c>
      <c r="W43" s="3">
        <v>1724</v>
      </c>
      <c r="X43" s="4">
        <f>'Areoix Lie'!C43 + Jau!C43 + Terressin!C43 + Acetoa!C43 + 'Feio Lie'!C43</f>
        <v>451148132.84774899</v>
      </c>
      <c r="Y43" s="5">
        <f t="shared" si="6"/>
        <v>1.8434904259381088E-2</v>
      </c>
      <c r="Z43" s="5">
        <f t="shared" si="7"/>
        <v>0.11420297265652075</v>
      </c>
      <c r="AG43" s="3">
        <f t="shared" si="8"/>
        <v>1974</v>
      </c>
      <c r="AH43" s="3">
        <v>1724</v>
      </c>
      <c r="AI43" s="4">
        <f>Taniduna!C43 + Jathua!C43 + Deschon!C43 + Pelines!C43 + 'Candenat'!C43 + Othya!C43 + Yoprioq!C43 + Jshain!C43 + 'Fire Coast'!C43 + 'Rijan bu'!C43 + 'Rinew'!C43 + Enina!C43 + Trevilla!C43</f>
        <v>76955124.041962638</v>
      </c>
      <c r="AJ43" s="5">
        <f t="shared" si="9"/>
        <v>2.8530986390246812E-2</v>
      </c>
      <c r="AK43" s="5">
        <f t="shared" si="10"/>
        <v>1.9480306548690336E-2</v>
      </c>
      <c r="AR43" s="3">
        <f t="shared" si="11"/>
        <v>1974</v>
      </c>
      <c r="AS43" s="3">
        <v>1724</v>
      </c>
      <c r="AT43" s="4">
        <f>Gaeiya!C43 + 'Raledria'!C43 + Arbiya!C43 + Fincen!C43 + 'Curata'!C43</f>
        <v>193029731.60709417</v>
      </c>
      <c r="AU43" s="5">
        <f t="shared" si="12"/>
        <v>2.3607613210533542E-2</v>
      </c>
      <c r="AV43" s="5">
        <f t="shared" si="13"/>
        <v>4.8863261433601E-2</v>
      </c>
      <c r="BC43" s="3">
        <f t="shared" si="14"/>
        <v>1974</v>
      </c>
      <c r="BD43" s="3">
        <v>1724</v>
      </c>
      <c r="BE43" s="4">
        <f>Etirha!C43 + Laselteh!C43 + Grazail!C43 + 'Disal Nila'!C43 + Pelan!C43 + Peka!C43 + Guise!C43</f>
        <v>72311543.489745051</v>
      </c>
      <c r="BF43" s="5">
        <f t="shared" si="15"/>
        <v>1.5286649847585333E-2</v>
      </c>
      <c r="BG43" s="5">
        <f t="shared" si="16"/>
        <v>1.8304837419546843E-2</v>
      </c>
      <c r="BN43" s="3">
        <f t="shared" si="17"/>
        <v>1974</v>
      </c>
      <c r="BO43" s="3">
        <v>1724</v>
      </c>
      <c r="BP43" s="4">
        <f>Genaire!C43 + 'New Misos'!C43 + Phuris!C43 + Lasri!C43 + Slyiaduun!C43 + Aetintio!C43 + Metndria!C43 + Tomscilus!C43</f>
        <v>57270320.158615582</v>
      </c>
      <c r="BQ43" s="5">
        <f t="shared" si="18"/>
        <v>2.0654776776959045E-2</v>
      </c>
      <c r="BR43" s="5">
        <f t="shared" si="19"/>
        <v>1.4497324339612854E-2</v>
      </c>
      <c r="BY43" s="3">
        <f t="shared" si="20"/>
        <v>1974</v>
      </c>
      <c r="BZ43" s="3">
        <v>1724</v>
      </c>
      <c r="CA43" s="4">
        <f>Ealdorii!C43 + Ukhdari!C43 + Hkuqo!C43 + Acrana!C43 + Zenashan!C43</f>
        <v>184171651.22810945</v>
      </c>
      <c r="CB43" s="7">
        <f t="shared" si="21"/>
        <v>1.4866366770741364E-2</v>
      </c>
      <c r="CC43" s="5">
        <f t="shared" si="22"/>
        <v>4.6620940037023592E-2</v>
      </c>
      <c r="CJ43" s="3">
        <f t="shared" si="23"/>
        <v>1974</v>
      </c>
      <c r="CK43" s="3">
        <v>1724</v>
      </c>
      <c r="CL43" s="4">
        <f>Estijan!C43 + Ikzen!C43 + Urbiqu!C43 + Danocia!C43 + Koruch!C43 + 'New Kizura'!C43 + Lydroa!C43 + Fermori!C43 + Uularin!C43 + 'Niul Spijan'!C43</f>
        <v>207472864.12305906</v>
      </c>
      <c r="CM43" s="7">
        <f t="shared" si="24"/>
        <v>8.8944146667626605E-3</v>
      </c>
      <c r="CN43" s="5">
        <f t="shared" si="25"/>
        <v>5.2519374687098365E-2</v>
      </c>
      <c r="CU43" s="3">
        <f t="shared" si="26"/>
        <v>1974</v>
      </c>
      <c r="CV43" s="3">
        <v>1724</v>
      </c>
      <c r="CW43" s="4">
        <f>Praesyu!C43 + Lycroa!C43 + Emara!C43 + Eldjo!C43 + Easuhura!C43 + Ilicuhe!C43 + Tonder!C43</f>
        <v>212485394.18571264</v>
      </c>
      <c r="CX43" s="7">
        <f t="shared" si="27"/>
        <v>4.6757399080884906E-3</v>
      </c>
      <c r="CY43" s="5">
        <f t="shared" si="28"/>
        <v>5.3788239150909412E-2</v>
      </c>
      <c r="DF43" s="3">
        <f t="shared" si="29"/>
        <v>1974</v>
      </c>
      <c r="DG43" s="3">
        <v>1724</v>
      </c>
      <c r="DH43" s="4">
        <f>Verusa!C43 + Darewa!C43 + Siana!C43 + Yaxuto!C43 + 'Merela Sta'!C43 + Palina!C43</f>
        <v>146529570.38335964</v>
      </c>
      <c r="DI43" s="7">
        <f t="shared" si="30"/>
        <v>8.9236315212910585E-3</v>
      </c>
      <c r="DJ43" s="5">
        <f t="shared" si="31"/>
        <v>3.70922792348337E-2</v>
      </c>
      <c r="DQ43" s="3">
        <f t="shared" si="32"/>
        <v>1974</v>
      </c>
      <c r="DR43" s="3">
        <v>1724</v>
      </c>
      <c r="DS43" s="4">
        <f>Sunsokua!C43 + Vayvele!C43 + Selaja!C43 + Sadain!C43</f>
        <v>99454835.046377912</v>
      </c>
      <c r="DT43" s="7">
        <f t="shared" si="33"/>
        <v>2.6185458242744788E-2</v>
      </c>
      <c r="DU43" s="5">
        <f t="shared" si="34"/>
        <v>2.5175850192853014E-2</v>
      </c>
      <c r="EB43" s="3">
        <f t="shared" si="35"/>
        <v>1974</v>
      </c>
      <c r="EC43" s="3">
        <v>1724</v>
      </c>
      <c r="ED43" s="4">
        <f>Pelugrotoa!C43 + Lieri!C43 + 'Rtesania'!C43 + Ozinia!C43</f>
        <v>260874933.97154853</v>
      </c>
      <c r="EE43" s="7">
        <f t="shared" si="36"/>
        <v>1.8871765626586722E-2</v>
      </c>
      <c r="EF43" s="5">
        <f t="shared" si="37"/>
        <v>6.6037495851010625E-2</v>
      </c>
      <c r="EM43" s="3">
        <f t="shared" si="38"/>
        <v>1974</v>
      </c>
      <c r="EN43" s="3">
        <v>1724</v>
      </c>
      <c r="EO43" s="4">
        <f>Ocaun!C43 + 'Dual Cenryia'!C43 + Byllu!C43 + Exilium!C43 + Inrea!C43 + Amcha!C43 + Isnti!C43 + Galca!C43 + Otiiric!C43 + Taing!C43 + 'Cruthi Anoso'!C43</f>
        <v>117401337.7977052</v>
      </c>
      <c r="EP43" s="7">
        <f t="shared" si="39"/>
        <v>2.8431134330112056E-2</v>
      </c>
      <c r="EQ43" s="5">
        <f t="shared" si="40"/>
        <v>2.9718801418324836E-2</v>
      </c>
      <c r="EX43" s="3">
        <f t="shared" si="41"/>
        <v>1974</v>
      </c>
      <c r="EY43" s="3">
        <v>1724</v>
      </c>
      <c r="EZ43" s="4">
        <f>Sivoso!C43 + Taoisia!C43 + Seytinemas!C43 + Trian!C43 + 'Chaenia'!C43</f>
        <v>75699884.598945171</v>
      </c>
      <c r="FA43" s="7">
        <f t="shared" si="42"/>
        <v>2.5297631157074667E-2</v>
      </c>
      <c r="FB43" s="5">
        <f t="shared" si="43"/>
        <v>1.9162557088256045E-2</v>
      </c>
      <c r="FI43" s="3">
        <f t="shared" si="44"/>
        <v>1974</v>
      </c>
      <c r="FJ43" s="3">
        <v>1724</v>
      </c>
      <c r="FK43" s="4">
        <f>Migoku!C43 + 'Welenu Fana'!C43 + Haiza!C43 + Ucrua!C43 + Ihner!C43 + Oscairia!C43 + Shinam!C43 + 'Ruylku'!C43 + Taval!C43 + 'Western Migoku'!C43 + 'Pruim Fijan'!C43 + 'Canldives'!C43</f>
        <v>85028334.937304676</v>
      </c>
      <c r="FL43" s="7">
        <f t="shared" si="45"/>
        <v>2.2450460766249257E-2</v>
      </c>
      <c r="FM43" s="5">
        <f t="shared" si="46"/>
        <v>2.1523947242294221E-2</v>
      </c>
      <c r="FT43" s="3">
        <f t="shared" si="47"/>
        <v>1974</v>
      </c>
      <c r="FU43" s="3">
        <v>1724</v>
      </c>
      <c r="FV43" s="4">
        <f>Vesozata!C43 + Etretes!C43 + Kusierna!C43 + Eparia!C43</f>
        <v>57482080.91527196</v>
      </c>
      <c r="FW43" s="7">
        <f t="shared" si="48"/>
        <v>2.5732768081932762E-2</v>
      </c>
      <c r="FX43" s="5">
        <f t="shared" si="49"/>
        <v>1.4550929145088827E-2</v>
      </c>
      <c r="GE43" s="3">
        <f t="shared" si="50"/>
        <v>1974</v>
      </c>
      <c r="GF43" s="3">
        <v>1724</v>
      </c>
      <c r="GG43" s="4">
        <f>Dahe!C43 + Kaastini!C43 + Suenan!C43 + Oyreain!C43 + Sanagara!C43 + 'North Ayre'!C43 + Stinebar!C43 + 'Cloja'!C43 + 'Pha Hii'!C43 + 'Prystr Hii'!C43</f>
        <v>766804455.64970708</v>
      </c>
      <c r="GH43" s="7">
        <f t="shared" si="51"/>
        <v>1.235084159350106E-2</v>
      </c>
      <c r="GI43" s="5">
        <f t="shared" si="52"/>
        <v>0.19410774844326992</v>
      </c>
      <c r="GP43" s="3">
        <f t="shared" si="53"/>
        <v>1974</v>
      </c>
      <c r="GQ43" s="3">
        <v>1724</v>
      </c>
      <c r="GR43" s="4">
        <f>Maalle!C43 + 'United Delet'!C43 + Ohtina!C43 + Astye!C43 + Prstreula!C43 + Veelmit!C43 + Aplasia!C43 + 'Elja and Munusia'!C43 + Walporein!C43 + 'Crila Republic'!C43 + 'Niretui and Anulan'!C43 + 'Rethern'!C43 + Tvecoca!C43</f>
        <v>96408232.958589554</v>
      </c>
      <c r="GS43" s="7">
        <f t="shared" si="54"/>
        <v>2.1074864009197752E-2</v>
      </c>
      <c r="GT43" s="5">
        <f t="shared" si="55"/>
        <v>2.4404637835770265E-2</v>
      </c>
      <c r="HA43" s="3">
        <f t="shared" si="56"/>
        <v>1974</v>
      </c>
      <c r="HB43" s="3">
        <v>1724</v>
      </c>
      <c r="HC43" s="4">
        <f>Andsaudare!C43 + Nia!C43 + Umarcia!C43 + Mendereide!C43 + Iainoa!C43 + Isari!C43 + 'Rkmepuia'!C43 + Hiwush!C43 + Isuibul!C43 + Yutnitu!C43</f>
        <v>33519972.887397688</v>
      </c>
      <c r="HD43" s="7">
        <f t="shared" si="57"/>
        <v>2.6736027279576413E-2</v>
      </c>
      <c r="HE43" s="5">
        <f t="shared" si="58"/>
        <v>8.4851964762506834E-3</v>
      </c>
      <c r="HL43" s="3">
        <f t="shared" si="59"/>
        <v>1974</v>
      </c>
      <c r="HM43" s="3">
        <v>1724</v>
      </c>
      <c r="HN43" s="4">
        <f>Zhanshe!C43 + Volver!C43 + Finae!C43 + Myla!C43 + 'Nheyes Si'!C43 + Onphello!C43 + Hyelen!C43</f>
        <v>62906385.962239482</v>
      </c>
      <c r="HO43" s="7">
        <f t="shared" si="60"/>
        <v>2.3329157853527554E-2</v>
      </c>
      <c r="HP43" s="5">
        <f t="shared" si="61"/>
        <v>1.592402972083368E-2</v>
      </c>
      <c r="HW43" s="3">
        <f t="shared" si="62"/>
        <v>1974</v>
      </c>
      <c r="HX43" s="3">
        <v>1724</v>
      </c>
      <c r="HY43" s="4">
        <f>Yihnurda!C43 + Ztesh!C43 + Wundry!C43 + Anymna!C43 + Shomjind!C43 + Baluyde!C43 + Letan!C43</f>
        <v>246417820.7378065</v>
      </c>
      <c r="HZ43" s="7">
        <f t="shared" si="63"/>
        <v>2.3513982908881192E-2</v>
      </c>
      <c r="IA43" s="5">
        <f t="shared" si="64"/>
        <v>6.2377843539244429E-2</v>
      </c>
      <c r="IH43" s="3">
        <f t="shared" si="65"/>
        <v>1974</v>
      </c>
      <c r="II43" s="3">
        <v>1724</v>
      </c>
      <c r="IJ43" s="4">
        <f>Iareva!C43 + 'United Mihili'!C43 + 'Mesjan Hyaa'!C43 + Desaki!C43 + 'Far Lands'!C43</f>
        <v>28170048.756897688</v>
      </c>
      <c r="IK43" s="7">
        <f t="shared" si="66"/>
        <v>2.3571859364087424E-2</v>
      </c>
      <c r="IL43" s="5">
        <f t="shared" si="67"/>
        <v>7.1309245759475053E-3</v>
      </c>
      <c r="IS43" s="3">
        <f t="shared" si="68"/>
        <v>1974</v>
      </c>
      <c r="IT43" s="3">
        <v>1724</v>
      </c>
      <c r="IU43" s="4">
        <f>Verste!C43 + Quidic!C43 + Erkizil!C43 + Ashain!C43 + Ahokini!C43</f>
        <v>196163827.68071899</v>
      </c>
      <c r="IV43" s="7">
        <f t="shared" si="69"/>
        <v>2.3240816703485705E-2</v>
      </c>
      <c r="IW43" s="5">
        <f t="shared" si="70"/>
        <v>4.9656621889156462E-2</v>
      </c>
    </row>
    <row r="44" spans="1:257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3881123922.327908</v>
      </c>
      <c r="D44" s="5">
        <f t="shared" si="1"/>
        <v>1.7628738049633594E-2</v>
      </c>
      <c r="K44" s="3">
        <f t="shared" si="2"/>
        <v>1973</v>
      </c>
      <c r="L44" s="3">
        <v>1723</v>
      </c>
      <c r="M44" s="4">
        <f>Eldavpir!C44 + Iquir!C44 + Viussi!C44 + Umendel!C44 + 'Reerica'!C44 + Saa!C44 + Sattle!C44</f>
        <v>33921495.490165271</v>
      </c>
      <c r="N44" s="5">
        <f t="shared" si="3"/>
        <v>2.9925644567400669E-2</v>
      </c>
      <c r="O44" s="5">
        <f t="shared" si="4"/>
        <v>8.7401217196432807E-3</v>
      </c>
      <c r="V44" s="3">
        <f t="shared" si="5"/>
        <v>1973</v>
      </c>
      <c r="W44" s="3">
        <v>1723</v>
      </c>
      <c r="X44" s="4">
        <f>'Areoix Lie'!C44 + Jau!C44 + Terressin!C44 + Acetoa!C44 + 'Feio Lie'!C44</f>
        <v>442981805.67154628</v>
      </c>
      <c r="Y44" s="5">
        <f t="shared" si="6"/>
        <v>1.9069182896263873E-2</v>
      </c>
      <c r="Z44" s="5">
        <f t="shared" si="7"/>
        <v>0.11413750618038619</v>
      </c>
      <c r="AG44" s="3">
        <f t="shared" si="8"/>
        <v>1973</v>
      </c>
      <c r="AH44" s="3">
        <v>1723</v>
      </c>
      <c r="AI44" s="4">
        <f>Taniduna!C44 + Jathua!C44 + Deschon!C44 + Pelines!C44 + 'Candenat'!C44 + Othya!C44 + Yoprioq!C44 + Jshain!C44 + 'Fire Coast'!C44 + 'Rijan bu'!C44 + 'Rinew'!C44 + Enina!C44 + Trevilla!C44</f>
        <v>74820423.555780172</v>
      </c>
      <c r="AJ44" s="5">
        <f t="shared" si="9"/>
        <v>2.7760844074785688E-2</v>
      </c>
      <c r="AK44" s="5">
        <f t="shared" si="10"/>
        <v>1.9278030037985155E-2</v>
      </c>
      <c r="AR44" s="3">
        <f t="shared" si="11"/>
        <v>1973</v>
      </c>
      <c r="AS44" s="3">
        <v>1723</v>
      </c>
      <c r="AT44" s="4">
        <f>Gaeiya!C44 + 'Raledria'!C44 + Arbiya!C44 + Fincen!C44 + 'Curata'!C44</f>
        <v>188577858.46439597</v>
      </c>
      <c r="AU44" s="5">
        <f t="shared" si="12"/>
        <v>1.4662268664174626E-2</v>
      </c>
      <c r="AV44" s="5">
        <f t="shared" si="13"/>
        <v>4.8588466186177966E-2</v>
      </c>
      <c r="BC44" s="3">
        <f t="shared" si="14"/>
        <v>1973</v>
      </c>
      <c r="BD44" s="3">
        <v>1723</v>
      </c>
      <c r="BE44" s="4">
        <f>Etirha!C44 + Laselteh!C44 + Grazail!C44 + 'Disal Nila'!C44 + Pelan!C44 + Peka!C44 + Guise!C44</f>
        <v>71222785.703525648</v>
      </c>
      <c r="BF44" s="5">
        <f t="shared" si="15"/>
        <v>1.4923087676696506E-2</v>
      </c>
      <c r="BG44" s="5">
        <f t="shared" si="16"/>
        <v>1.8351072299903796E-2</v>
      </c>
      <c r="BN44" s="3">
        <f t="shared" si="17"/>
        <v>1973</v>
      </c>
      <c r="BO44" s="3">
        <v>1723</v>
      </c>
      <c r="BP44" s="4">
        <f>Genaire!C44 + 'New Misos'!C44 + Phuris!C44 + Lasri!C44 + Slyiaduun!C44 + Aetintio!C44 + Metndria!C44 + Tomscilus!C44</f>
        <v>56111352.69406642</v>
      </c>
      <c r="BQ44" s="5">
        <f t="shared" si="18"/>
        <v>2.1118332172142727E-2</v>
      </c>
      <c r="BR44" s="5">
        <f t="shared" si="19"/>
        <v>1.4457500924219572E-2</v>
      </c>
      <c r="BY44" s="3">
        <f t="shared" si="20"/>
        <v>1973</v>
      </c>
      <c r="BZ44" s="3">
        <v>1723</v>
      </c>
      <c r="CA44" s="4">
        <f>Ealdorii!C44 + Ukhdari!C44 + Hkuqo!C44 + Acrana!C44 + Zenashan!C44</f>
        <v>181473795.22895736</v>
      </c>
      <c r="CB44" s="6">
        <f t="shared" si="21"/>
        <v>1.5409388732130821E-2</v>
      </c>
      <c r="CC44" s="5">
        <f t="shared" si="22"/>
        <v>4.6758052270618793E-2</v>
      </c>
      <c r="CJ44" s="3">
        <f t="shared" si="23"/>
        <v>1973</v>
      </c>
      <c r="CK44" s="3">
        <v>1723</v>
      </c>
      <c r="CL44" s="4">
        <f>Estijan!C44 + Ikzen!C44 + Urbiqu!C44 + Danocia!C44 + Koruch!C44 + 'New Kizura'!C44 + Lydroa!C44 + Fermori!C44 + Uularin!C44 + 'Niul Spijan'!C44</f>
        <v>205643783.04303256</v>
      </c>
      <c r="CM44" s="6">
        <f t="shared" si="24"/>
        <v>8.7425383110359672E-3</v>
      </c>
      <c r="CN44" s="5">
        <f t="shared" si="25"/>
        <v>5.2985626627373161E-2</v>
      </c>
      <c r="CU44" s="3">
        <f t="shared" si="26"/>
        <v>1973</v>
      </c>
      <c r="CV44" s="3">
        <v>1723</v>
      </c>
      <c r="CW44" s="4">
        <f>Praesyu!C44 + Lycroa!C44 + Emara!C44 + Eldjo!C44 + Easuhura!C44 + Ilicuhe!C44 + Tonder!C44</f>
        <v>211496491.59952006</v>
      </c>
      <c r="CX44" s="6">
        <f t="shared" si="27"/>
        <v>6.4957708095497047E-3</v>
      </c>
      <c r="CY44" s="5">
        <f t="shared" si="28"/>
        <v>5.449361984624905E-2</v>
      </c>
      <c r="DF44" s="3">
        <f t="shared" si="29"/>
        <v>1973</v>
      </c>
      <c r="DG44" s="3">
        <v>1723</v>
      </c>
      <c r="DH44" s="4">
        <f>Verusa!C44 + Darewa!C44 + Siana!C44 + Yaxuto!C44 + 'Merela Sta'!C44 + Palina!C44</f>
        <v>145233559.61284912</v>
      </c>
      <c r="DI44" s="6">
        <f t="shared" si="30"/>
        <v>8.6173563128250485E-3</v>
      </c>
      <c r="DJ44" s="5">
        <f t="shared" si="31"/>
        <v>3.7420490177427178E-2</v>
      </c>
      <c r="DQ44" s="3">
        <f t="shared" si="32"/>
        <v>1973</v>
      </c>
      <c r="DR44" s="3">
        <v>1723</v>
      </c>
      <c r="DS44" s="4">
        <f>Sunsokua!C44 + Vayvele!C44 + Selaja!C44 + Sadain!C44</f>
        <v>96917018.505296156</v>
      </c>
      <c r="DT44" s="6">
        <f t="shared" si="33"/>
        <v>2.6644538076913655E-2</v>
      </c>
      <c r="DU44" s="5">
        <f t="shared" si="34"/>
        <v>2.4971379539761019E-2</v>
      </c>
      <c r="EB44" s="3">
        <f t="shared" si="35"/>
        <v>1973</v>
      </c>
      <c r="EC44" s="3">
        <v>1723</v>
      </c>
      <c r="ED44" s="4">
        <f>Pelugrotoa!C44 + Lieri!C44 + 'Rtesania'!C44 + Ozinia!C44</f>
        <v>256042951.40234396</v>
      </c>
      <c r="EE44" s="6">
        <f t="shared" si="36"/>
        <v>2.0055339013129215E-2</v>
      </c>
      <c r="EF44" s="5">
        <f t="shared" si="37"/>
        <v>6.597134142750298E-2</v>
      </c>
      <c r="EM44" s="3">
        <f t="shared" si="38"/>
        <v>1973</v>
      </c>
      <c r="EN44" s="3">
        <v>1723</v>
      </c>
      <c r="EO44" s="4">
        <f>Ocaun!C44 + 'Dual Cenryia'!C44 + Byllu!C44 + Exilium!C44 + Inrea!C44 + Amcha!C44 + Isnti!C44 + Galca!C44 + Otiiric!C44 + Taing!C44 + 'Cruthi Anoso'!C44</f>
        <v>114155760.04919063</v>
      </c>
      <c r="EP44" s="6">
        <f t="shared" si="39"/>
        <v>2.7886728983386785E-2</v>
      </c>
      <c r="EQ44" s="5">
        <f t="shared" si="40"/>
        <v>2.9413067537590942E-2</v>
      </c>
      <c r="EX44" s="3">
        <f t="shared" si="41"/>
        <v>1973</v>
      </c>
      <c r="EY44" s="3">
        <v>1723</v>
      </c>
      <c r="EZ44" s="4">
        <f>Sivoso!C44 + Taoisia!C44 + Seytinemas!C44 + Trian!C44 + 'Chaenia'!C44</f>
        <v>73832107.18385832</v>
      </c>
      <c r="FA44" s="6">
        <f t="shared" si="42"/>
        <v>2.5543433339522543E-2</v>
      </c>
      <c r="FB44" s="5">
        <f t="shared" si="43"/>
        <v>1.9023383087333534E-2</v>
      </c>
      <c r="FI44" s="3">
        <f t="shared" si="44"/>
        <v>1973</v>
      </c>
      <c r="FJ44" s="3">
        <v>1723</v>
      </c>
      <c r="FK44" s="4">
        <f>Migoku!C44 + 'Welenu Fana'!C44 + Haiza!C44 + Ucrua!C44 + Ihner!C44 + Oscairia!C44 + Shinam!C44 + 'Ruylku'!C44 + Taval!C44 + 'Western Migoku'!C44 + 'Pruim Fijan'!C44 + 'Canldives'!C44</f>
        <v>83161324.875908777</v>
      </c>
      <c r="FL44" s="6">
        <f t="shared" si="45"/>
        <v>2.2239754435358798E-2</v>
      </c>
      <c r="FM44" s="5">
        <f t="shared" si="46"/>
        <v>2.142712434341143E-2</v>
      </c>
      <c r="FT44" s="3">
        <f t="shared" si="47"/>
        <v>1973</v>
      </c>
      <c r="FU44" s="3">
        <v>1723</v>
      </c>
      <c r="FV44" s="4">
        <f>Vesozata!C44 + Etretes!C44 + Kusierna!C44 + Eparia!C44</f>
        <v>56040016.175714538</v>
      </c>
      <c r="FW44" s="6">
        <f t="shared" si="48"/>
        <v>2.6273620420430074E-2</v>
      </c>
      <c r="FX44" s="5">
        <f t="shared" si="49"/>
        <v>1.4439120547869956E-2</v>
      </c>
      <c r="GE44" s="3">
        <f t="shared" si="50"/>
        <v>1973</v>
      </c>
      <c r="GF44" s="3">
        <v>1723</v>
      </c>
      <c r="GG44" s="4">
        <f>Dahe!C44 + Kaastini!C44 + Suenan!C44 + Oyreain!C44 + Sanagara!C44 + 'North Ayre'!C44 + Stinebar!C44 + 'Cloja'!C44 + 'Pha Hii'!C44 + 'Prystr Hii'!C44</f>
        <v>757449319.09446609</v>
      </c>
      <c r="GH44" s="6">
        <f t="shared" si="51"/>
        <v>1.2348683279942291E-2</v>
      </c>
      <c r="GI44" s="5">
        <f t="shared" si="52"/>
        <v>0.19516236385468105</v>
      </c>
      <c r="GP44" s="3">
        <f t="shared" si="53"/>
        <v>1973</v>
      </c>
      <c r="GQ44" s="3">
        <v>1723</v>
      </c>
      <c r="GR44" s="4">
        <f>Maalle!C44 + 'United Delet'!C44 + Ohtina!C44 + Astye!C44 + Prstreula!C44 + Veelmit!C44 + Aplasia!C44 + 'Elja and Munusia'!C44 + Walporein!C44 + 'Crila Republic'!C44 + 'Niretui and Anulan'!C44 + 'Rethern'!C44 + Tvecoca!C44</f>
        <v>94418378.472316518</v>
      </c>
      <c r="GS44" s="6">
        <f t="shared" si="54"/>
        <v>2.0887667402179923E-2</v>
      </c>
      <c r="GT44" s="5">
        <f t="shared" si="55"/>
        <v>2.4327586637760367E-2</v>
      </c>
      <c r="HA44" s="3">
        <f t="shared" si="56"/>
        <v>1973</v>
      </c>
      <c r="HB44" s="3">
        <v>1723</v>
      </c>
      <c r="HC44" s="4">
        <f>Andsaudare!C44 + Nia!C44 + Umarcia!C44 + Mendereide!C44 + Iainoa!C44 + Isari!C44 + 'Rkmepuia'!C44 + Hiwush!C44 + Isuibul!C44 + Yutnitu!C44</f>
        <v>32647118.633025549</v>
      </c>
      <c r="HD44" s="6">
        <f t="shared" si="57"/>
        <v>2.6682242050360704E-2</v>
      </c>
      <c r="HE44" s="5">
        <f t="shared" si="58"/>
        <v>8.4117691901586401E-3</v>
      </c>
      <c r="HL44" s="3">
        <f t="shared" si="59"/>
        <v>1973</v>
      </c>
      <c r="HM44" s="3">
        <v>1723</v>
      </c>
      <c r="HN44" s="4">
        <f>Zhanshe!C44 + Volver!C44 + Finae!C44 + Myla!C44 + 'Nheyes Si'!C44 + Onphello!C44 + Hyelen!C44</f>
        <v>61472289.223330699</v>
      </c>
      <c r="HO44" s="6">
        <f t="shared" si="60"/>
        <v>2.3729941276654995E-2</v>
      </c>
      <c r="HP44" s="5">
        <f t="shared" si="61"/>
        <v>1.5838785479042231E-2</v>
      </c>
      <c r="HW44" s="3">
        <f t="shared" si="62"/>
        <v>1973</v>
      </c>
      <c r="HX44" s="3">
        <v>1723</v>
      </c>
      <c r="HY44" s="4">
        <f>Yihnurda!C44 + Ztesh!C44 + Wundry!C44 + Anymna!C44 + Shomjind!C44 + Baluyde!C44 + Letan!C44</f>
        <v>240756672.45646605</v>
      </c>
      <c r="HZ44" s="6">
        <f t="shared" si="63"/>
        <v>2.3435002365397171E-2</v>
      </c>
      <c r="IA44" s="5">
        <f t="shared" si="64"/>
        <v>6.2032719715906307E-2</v>
      </c>
      <c r="IH44" s="3">
        <f t="shared" si="65"/>
        <v>1973</v>
      </c>
      <c r="II44" s="3">
        <v>1723</v>
      </c>
      <c r="IJ44" s="4">
        <f>Iareva!C44 + 'United Mihili'!C44 + 'Mesjan Hyaa'!C44 + Desaki!C44 + 'Far Lands'!C44</f>
        <v>27521320.070677638</v>
      </c>
      <c r="IK44" s="6">
        <f t="shared" si="66"/>
        <v>2.259112638893113E-2</v>
      </c>
      <c r="IL44" s="5">
        <f t="shared" si="67"/>
        <v>7.0910696544237836E-3</v>
      </c>
      <c r="IS44" s="3">
        <f t="shared" si="68"/>
        <v>1973</v>
      </c>
      <c r="IT44" s="3">
        <v>1723</v>
      </c>
      <c r="IU44" s="4">
        <f>Verste!C44 + Quidic!C44 + Erkizil!C44 + Ashain!C44 + Ahokini!C44</f>
        <v>191708368.62498152</v>
      </c>
      <c r="IV44" s="6">
        <f t="shared" si="69"/>
        <v>2.3337918943426714E-2</v>
      </c>
      <c r="IW44" s="5">
        <f t="shared" si="70"/>
        <v>4.9395065053731743E-2</v>
      </c>
    </row>
    <row r="45" spans="1:257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3813889857.0871639</v>
      </c>
      <c r="D45" s="5">
        <f t="shared" si="1"/>
        <v>1.7624164741996681E-2</v>
      </c>
      <c r="K45" s="3">
        <f t="shared" si="2"/>
        <v>1972</v>
      </c>
      <c r="L45" s="3">
        <v>1722</v>
      </c>
      <c r="M45" s="4">
        <f>Eldavpir!C45 + Iquir!C45 + Viussi!C45 + Umendel!C45 + 'Reerica'!C45 + Saa!C45 + Sattle!C45</f>
        <v>32935868.398939911</v>
      </c>
      <c r="N45" s="5">
        <f t="shared" si="3"/>
        <v>2.9818131860896789E-2</v>
      </c>
      <c r="O45" s="5">
        <f t="shared" si="4"/>
        <v>8.6357681089653925E-3</v>
      </c>
      <c r="V45" s="3">
        <f t="shared" si="5"/>
        <v>1972</v>
      </c>
      <c r="W45" s="3">
        <v>1722</v>
      </c>
      <c r="X45" s="4">
        <f>'Areoix Lie'!C45 + Jau!C45 + Terressin!C45 + Acetoa!C45 + 'Feio Lie'!C45</f>
        <v>434692573.48412979</v>
      </c>
      <c r="Y45" s="5">
        <f t="shared" si="6"/>
        <v>1.9456362613234988E-2</v>
      </c>
      <c r="Z45" s="5">
        <f t="shared" si="7"/>
        <v>0.11397617387307658</v>
      </c>
      <c r="AG45" s="3">
        <f t="shared" si="8"/>
        <v>1972</v>
      </c>
      <c r="AH45" s="3">
        <v>1722</v>
      </c>
      <c r="AI45" s="4">
        <f>Taniduna!C45 + Jathua!C45 + Deschon!C45 + Pelines!C45 + 'Candenat'!C45 + Othya!C45 + Yoprioq!C45 + Jshain!C45 + 'Fire Coast'!C45 + 'Rijan bu'!C45 + 'Rinew'!C45 + Enina!C45 + Trevilla!C45</f>
        <v>72799449.392465681</v>
      </c>
      <c r="AJ45" s="5">
        <f t="shared" si="9"/>
        <v>2.6922199286691283E-2</v>
      </c>
      <c r="AK45" s="5">
        <f t="shared" si="10"/>
        <v>1.9087978971701568E-2</v>
      </c>
      <c r="AR45" s="3">
        <f t="shared" si="11"/>
        <v>1972</v>
      </c>
      <c r="AS45" s="3">
        <v>1722</v>
      </c>
      <c r="AT45" s="4">
        <f>Gaeiya!C45 + 'Raledria'!C45 + Arbiya!C45 + Fincen!C45 + 'Curata'!C45</f>
        <v>185852834.27623942</v>
      </c>
      <c r="AU45" s="5">
        <f t="shared" si="12"/>
        <v>1.7456083534491646E-2</v>
      </c>
      <c r="AV45" s="5">
        <f t="shared" si="13"/>
        <v>4.8730519558890316E-2</v>
      </c>
      <c r="BC45" s="3">
        <f t="shared" si="14"/>
        <v>1972</v>
      </c>
      <c r="BD45" s="3">
        <v>1722</v>
      </c>
      <c r="BE45" s="4">
        <f>Etirha!C45 + Laselteh!C45 + Grazail!C45 + 'Disal Nila'!C45 + Pelan!C45 + Peka!C45 + Guise!C45</f>
        <v>70175549.82078962</v>
      </c>
      <c r="BF45" s="5">
        <f t="shared" si="15"/>
        <v>1.5005624667980628E-2</v>
      </c>
      <c r="BG45" s="5">
        <f t="shared" si="16"/>
        <v>1.8399993825303017E-2</v>
      </c>
      <c r="BN45" s="3">
        <f t="shared" si="17"/>
        <v>1972</v>
      </c>
      <c r="BO45" s="3">
        <v>1722</v>
      </c>
      <c r="BP45" s="4">
        <f>Genaire!C45 + 'New Misos'!C45 + Phuris!C45 + Lasri!C45 + Slyiaduun!C45 + Aetintio!C45 + Metndria!C45 + Tomscilus!C45</f>
        <v>54950881.720735796</v>
      </c>
      <c r="BQ45" s="5">
        <f t="shared" si="18"/>
        <v>2.1536060550102636E-2</v>
      </c>
      <c r="BR45" s="5">
        <f t="shared" si="19"/>
        <v>1.4408093516026236E-2</v>
      </c>
      <c r="BY45" s="3">
        <f t="shared" si="20"/>
        <v>1972</v>
      </c>
      <c r="BZ45" s="3">
        <v>1722</v>
      </c>
      <c r="CA45" s="4">
        <f>Ealdorii!C45 + Ukhdari!C45 + Hkuqo!C45 + Acrana!C45 + Zenashan!C45</f>
        <v>178719831.86559927</v>
      </c>
      <c r="CB45" s="7">
        <f t="shared" si="21"/>
        <v>1.6011199150604765E-2</v>
      </c>
      <c r="CC45" s="5">
        <f t="shared" si="22"/>
        <v>4.686024991872615E-2</v>
      </c>
      <c r="CJ45" s="3">
        <f t="shared" si="23"/>
        <v>1972</v>
      </c>
      <c r="CK45" s="3">
        <v>1722</v>
      </c>
      <c r="CL45" s="4">
        <f>Estijan!C45 + Ikzen!C45 + Urbiqu!C45 + Danocia!C45 + Koruch!C45 + 'New Kizura'!C45 + Lydroa!C45 + Fermori!C45 + Uularin!C45 + 'Niul Spijan'!C45</f>
        <v>203861515.9298698</v>
      </c>
      <c r="CM45" s="7">
        <f t="shared" si="24"/>
        <v>8.2595868206550242E-3</v>
      </c>
      <c r="CN45" s="5">
        <f t="shared" si="25"/>
        <v>5.345238681999271E-2</v>
      </c>
      <c r="CU45" s="3">
        <f t="shared" si="26"/>
        <v>1972</v>
      </c>
      <c r="CV45" s="3">
        <v>1722</v>
      </c>
      <c r="CW45" s="4">
        <f>Praesyu!C45 + Lycroa!C45 + Emara!C45 + Eldjo!C45 + Easuhura!C45 + Ilicuhe!C45 + Tonder!C45</f>
        <v>210131525.37084994</v>
      </c>
      <c r="CX45" s="7">
        <f t="shared" si="27"/>
        <v>6.8018111750426978E-3</v>
      </c>
      <c r="CY45" s="5">
        <f t="shared" si="28"/>
        <v>5.5096380138082081E-2</v>
      </c>
      <c r="DF45" s="3">
        <f t="shared" si="29"/>
        <v>1972</v>
      </c>
      <c r="DG45" s="3">
        <v>1722</v>
      </c>
      <c r="DH45" s="4">
        <f>Verusa!C45 + Darewa!C45 + Siana!C45 + Yaxuto!C45 + 'Merela Sta'!C45 + Palina!C45</f>
        <v>143992723.01219907</v>
      </c>
      <c r="DI45" s="7">
        <f t="shared" si="30"/>
        <v>9.3770295113560827E-3</v>
      </c>
      <c r="DJ45" s="5">
        <f t="shared" si="31"/>
        <v>3.7754819464601075E-2</v>
      </c>
      <c r="DQ45" s="3">
        <f t="shared" si="32"/>
        <v>1972</v>
      </c>
      <c r="DR45" s="3">
        <v>1722</v>
      </c>
      <c r="DS45" s="4">
        <f>Sunsokua!C45 + Vayvele!C45 + Selaja!C45 + Sadain!C45</f>
        <v>94401728.067281038</v>
      </c>
      <c r="DT45" s="7">
        <f t="shared" si="33"/>
        <v>2.6995406424411103E-2</v>
      </c>
      <c r="DU45" s="5">
        <f t="shared" si="34"/>
        <v>2.4752085562161411E-2</v>
      </c>
      <c r="EB45" s="3">
        <f t="shared" si="35"/>
        <v>1972</v>
      </c>
      <c r="EC45" s="3">
        <v>1722</v>
      </c>
      <c r="ED45" s="4">
        <f>Pelugrotoa!C45 + Lieri!C45 + 'Rtesania'!C45 + Ozinia!C45</f>
        <v>251008883.15535635</v>
      </c>
      <c r="EE45" s="7">
        <f t="shared" si="36"/>
        <v>2.092058150891889E-2</v>
      </c>
      <c r="EF45" s="5">
        <f t="shared" si="37"/>
        <v>6.5814402764914376E-2</v>
      </c>
      <c r="EM45" s="3">
        <f t="shared" si="38"/>
        <v>1972</v>
      </c>
      <c r="EN45" s="3">
        <v>1722</v>
      </c>
      <c r="EO45" s="4">
        <f>Ocaun!C45 + 'Dual Cenryia'!C45 + Byllu!C45 + Exilium!C45 + Inrea!C45 + Amcha!C45 + Isnti!C45 + Galca!C45 + Otiiric!C45 + Taing!C45 + 'Cruthi Anoso'!C45</f>
        <v>111058696.28465226</v>
      </c>
      <c r="EP45" s="7">
        <f t="shared" si="39"/>
        <v>2.7101078681446525E-2</v>
      </c>
      <c r="EQ45" s="5">
        <f t="shared" si="40"/>
        <v>2.911953424094756E-2</v>
      </c>
      <c r="EX45" s="3">
        <f t="shared" si="41"/>
        <v>1972</v>
      </c>
      <c r="EY45" s="3">
        <v>1722</v>
      </c>
      <c r="EZ45" s="4">
        <f>Sivoso!C45 + Taoisia!C45 + Seytinemas!C45 + Trian!C45 + 'Chaenia'!C45</f>
        <v>71993154.83249262</v>
      </c>
      <c r="FA45" s="7">
        <f t="shared" si="42"/>
        <v>2.5655162556496774E-2</v>
      </c>
      <c r="FB45" s="5">
        <f t="shared" si="43"/>
        <v>1.8876568944095562E-2</v>
      </c>
      <c r="FI45" s="3">
        <f t="shared" si="44"/>
        <v>1972</v>
      </c>
      <c r="FJ45" s="3">
        <v>1722</v>
      </c>
      <c r="FK45" s="4">
        <f>Migoku!C45 + 'Welenu Fana'!C45 + Haiza!C45 + Ucrua!C45 + Ihner!C45 + Oscairia!C45 + Shinam!C45 + 'Ruylku'!C45 + Taval!C45 + 'Western Migoku'!C45 + 'Pruim Fijan'!C45 + 'Canldives'!C45</f>
        <v>81352074.711517662</v>
      </c>
      <c r="FL45" s="7">
        <f t="shared" si="45"/>
        <v>2.2149384308593943E-2</v>
      </c>
      <c r="FM45" s="5">
        <f t="shared" si="46"/>
        <v>2.1330473023583811E-2</v>
      </c>
      <c r="FT45" s="3">
        <f t="shared" si="47"/>
        <v>1972</v>
      </c>
      <c r="FU45" s="3">
        <v>1722</v>
      </c>
      <c r="FV45" s="4">
        <f>Vesozata!C45 + Etretes!C45 + Kusierna!C45 + Eparia!C45</f>
        <v>54605336.296919346</v>
      </c>
      <c r="FW45" s="7">
        <f t="shared" si="48"/>
        <v>2.2512090913461475E-2</v>
      </c>
      <c r="FX45" s="5">
        <f t="shared" si="49"/>
        <v>1.431749167990495E-2</v>
      </c>
      <c r="GE45" s="3">
        <f t="shared" si="50"/>
        <v>1972</v>
      </c>
      <c r="GF45" s="3">
        <v>1722</v>
      </c>
      <c r="GG45" s="4">
        <f>Dahe!C45 + Kaastini!C45 + Suenan!C45 + Oyreain!C45 + Sanagara!C45 + 'North Ayre'!C45 + Stinebar!C45 + 'Cloja'!C45 + 'Pha Hii'!C45 + 'Prystr Hii'!C45</f>
        <v>748209911.86592031</v>
      </c>
      <c r="GH45" s="7">
        <f t="shared" si="51"/>
        <v>1.2348176323219089E-2</v>
      </c>
      <c r="GI45" s="5">
        <f t="shared" si="52"/>
        <v>0.19618026212150794</v>
      </c>
      <c r="GP45" s="3">
        <f t="shared" si="53"/>
        <v>1972</v>
      </c>
      <c r="GQ45" s="3">
        <v>1722</v>
      </c>
      <c r="GR45" s="4">
        <f>Maalle!C45 + 'United Delet'!C45 + Ohtina!C45 + Astye!C45 + Prstreula!C45 + Veelmit!C45 + Aplasia!C45 + 'Elja and Munusia'!C45 + Walporein!C45 + 'Crila Republic'!C45 + 'Niretui and Anulan'!C45 + 'Rethern'!C45 + Tvecoca!C45</f>
        <v>92486550.173125252</v>
      </c>
      <c r="GS45" s="7">
        <f t="shared" si="54"/>
        <v>2.0669886500147241E-2</v>
      </c>
      <c r="GT45" s="5">
        <f t="shared" si="55"/>
        <v>2.4249926882723698E-2</v>
      </c>
      <c r="HA45" s="3">
        <f t="shared" si="56"/>
        <v>1972</v>
      </c>
      <c r="HB45" s="3">
        <v>1722</v>
      </c>
      <c r="HC45" s="4">
        <f>Andsaudare!C45 + Nia!C45 + Umarcia!C45 + Mendereide!C45 + Iainoa!C45 + Isari!C45 + 'Rkmepuia'!C45 + Hiwush!C45 + Isuibul!C45 + Yutnitu!C45</f>
        <v>31798659.113677498</v>
      </c>
      <c r="HD45" s="7">
        <f t="shared" si="57"/>
        <v>2.6464781222625966E-2</v>
      </c>
      <c r="HE45" s="5">
        <f t="shared" si="58"/>
        <v>8.3375924070244484E-3</v>
      </c>
      <c r="HL45" s="3">
        <f t="shared" si="59"/>
        <v>1972</v>
      </c>
      <c r="HM45" s="3">
        <v>1722</v>
      </c>
      <c r="HN45" s="4">
        <f>Zhanshe!C45 + Volver!C45 + Finae!C45 + Myla!C45 + 'Nheyes Si'!C45 + Onphello!C45 + Hyelen!C45</f>
        <v>60047368.690487772</v>
      </c>
      <c r="HO45" s="7">
        <f t="shared" si="60"/>
        <v>2.4195432574200815E-2</v>
      </c>
      <c r="HP45" s="5">
        <f t="shared" si="61"/>
        <v>1.5744389833100371E-2</v>
      </c>
      <c r="HW45" s="3">
        <f t="shared" si="62"/>
        <v>1972</v>
      </c>
      <c r="HX45" s="3">
        <v>1722</v>
      </c>
      <c r="HY45" s="4">
        <f>Yihnurda!C45 + Ztesh!C45 + Wundry!C45 + Anymna!C45 + Shomjind!C45 + Baluyde!C45 + Letan!C45</f>
        <v>235243734.97097635</v>
      </c>
      <c r="HZ45" s="7">
        <f t="shared" si="63"/>
        <v>2.3222422296322692E-2</v>
      </c>
      <c r="IA45" s="5">
        <f t="shared" si="64"/>
        <v>6.1680788849692261E-2</v>
      </c>
      <c r="IH45" s="3">
        <f t="shared" si="65"/>
        <v>1972</v>
      </c>
      <c r="II45" s="3">
        <v>1722</v>
      </c>
      <c r="IJ45" s="4">
        <f>Iareva!C45 + 'United Mihili'!C45 + 'Mesjan Hyaa'!C45 + Desaki!C45 + 'Far Lands'!C45</f>
        <v>26913317.904354874</v>
      </c>
      <c r="IK45" s="7">
        <f t="shared" si="66"/>
        <v>2.1614871820884937E-2</v>
      </c>
      <c r="IL45" s="5">
        <f t="shared" si="67"/>
        <v>7.0566584020100055E-3</v>
      </c>
      <c r="IS45" s="3">
        <f t="shared" si="68"/>
        <v>1972</v>
      </c>
      <c r="IT45" s="3">
        <v>1722</v>
      </c>
      <c r="IU45" s="4">
        <f>Verste!C45 + Quidic!C45 + Erkizil!C45 + Ashain!C45 + Ahokini!C45</f>
        <v>187336328.57357234</v>
      </c>
      <c r="IV45" s="7">
        <f t="shared" si="69"/>
        <v>1.9827123689517737E-2</v>
      </c>
      <c r="IW45" s="5">
        <f t="shared" si="70"/>
        <v>4.9119491016620331E-2</v>
      </c>
    </row>
    <row r="46" spans="1:257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3747837354.1317372</v>
      </c>
      <c r="D46" s="5">
        <f t="shared" si="1"/>
        <v>1.8370459995812747E-2</v>
      </c>
      <c r="K46" s="3">
        <f t="shared" si="2"/>
        <v>1971</v>
      </c>
      <c r="L46" s="3">
        <v>1721</v>
      </c>
      <c r="M46" s="4">
        <f>Eldavpir!C46 + Iquir!C46 + Viussi!C46 + Umendel!C46 + 'Reerica'!C46 + Saa!C46 + Sattle!C46</f>
        <v>31982218.39367336</v>
      </c>
      <c r="N46" s="5">
        <f t="shared" si="3"/>
        <v>2.9814359608285594E-2</v>
      </c>
      <c r="O46" s="5">
        <f t="shared" si="4"/>
        <v>8.5335128960212555E-3</v>
      </c>
      <c r="V46" s="3">
        <f t="shared" si="5"/>
        <v>1971</v>
      </c>
      <c r="W46" s="3">
        <v>1721</v>
      </c>
      <c r="X46" s="4">
        <f>'Areoix Lie'!C46 + Jau!C46 + Terressin!C46 + Acetoa!C46 + 'Feio Lie'!C46</f>
        <v>426396449.54479039</v>
      </c>
      <c r="Y46" s="5">
        <f t="shared" si="6"/>
        <v>1.9788810574183892E-2</v>
      </c>
      <c r="Z46" s="5">
        <f t="shared" si="7"/>
        <v>0.11377133243915111</v>
      </c>
      <c r="AG46" s="3">
        <f t="shared" si="8"/>
        <v>1971</v>
      </c>
      <c r="AH46" s="3">
        <v>1721</v>
      </c>
      <c r="AI46" s="4">
        <f>Taniduna!C46 + Jathua!C46 + Deschon!C46 + Pelines!C46 + 'Candenat'!C46 + Othya!C46 + Yoprioq!C46 + Jshain!C46 + 'Fire Coast'!C46 + 'Rijan bu'!C46 + 'Rinew'!C46 + Enina!C46 + Trevilla!C46</f>
        <v>70890910.180958971</v>
      </c>
      <c r="AJ46" s="5">
        <f t="shared" si="9"/>
        <v>2.5508474416332437E-2</v>
      </c>
      <c r="AK46" s="5">
        <f t="shared" si="10"/>
        <v>1.8915151187872799E-2</v>
      </c>
      <c r="AR46" s="3">
        <f t="shared" si="11"/>
        <v>1971</v>
      </c>
      <c r="AS46" s="3">
        <v>1721</v>
      </c>
      <c r="AT46" s="4">
        <f>Gaeiya!C46 + 'Raledria'!C46 + Arbiya!C46 + Fincen!C46 + 'Curata'!C46</f>
        <v>182664232.18053228</v>
      </c>
      <c r="AU46" s="5">
        <f t="shared" si="12"/>
        <v>3.1247382066011065E-2</v>
      </c>
      <c r="AV46" s="5">
        <f t="shared" si="13"/>
        <v>4.8738569719189474E-2</v>
      </c>
      <c r="BC46" s="3">
        <f t="shared" si="14"/>
        <v>1971</v>
      </c>
      <c r="BD46" s="3">
        <v>1721</v>
      </c>
      <c r="BE46" s="4">
        <f>Etirha!C46 + Laselteh!C46 + Grazail!C46 + 'Disal Nila'!C46 + Pelan!C46 + Peka!C46 + Guise!C46</f>
        <v>69138089.598020509</v>
      </c>
      <c r="BF46" s="5">
        <f t="shared" si="15"/>
        <v>1.5282184693692155E-2</v>
      </c>
      <c r="BG46" s="5">
        <f t="shared" si="16"/>
        <v>1.8447462647171824E-2</v>
      </c>
      <c r="BN46" s="3">
        <f t="shared" si="17"/>
        <v>1971</v>
      </c>
      <c r="BO46" s="3">
        <v>1721</v>
      </c>
      <c r="BP46" s="4">
        <f>Genaire!C46 + 'New Misos'!C46 + Phuris!C46 + Lasri!C46 + Slyiaduun!C46 + Aetintio!C46 + Metndria!C46 + Tomscilus!C46</f>
        <v>53792405.2246814</v>
      </c>
      <c r="BQ46" s="5">
        <f t="shared" si="18"/>
        <v>2.2119959111392425E-2</v>
      </c>
      <c r="BR46" s="5">
        <f t="shared" si="19"/>
        <v>1.4352918801393265E-2</v>
      </c>
      <c r="BY46" s="3">
        <f t="shared" si="20"/>
        <v>1971</v>
      </c>
      <c r="BZ46" s="3">
        <v>1721</v>
      </c>
      <c r="CA46" s="4">
        <f>Ealdorii!C46 + Ukhdari!C46 + Hkuqo!C46 + Acrana!C46 + Zenashan!C46</f>
        <v>175903407.37878755</v>
      </c>
      <c r="CB46" s="6">
        <f t="shared" si="21"/>
        <v>1.6524208859278675E-2</v>
      </c>
      <c r="CC46" s="5">
        <f t="shared" si="22"/>
        <v>4.6934642770681052E-2</v>
      </c>
      <c r="CJ46" s="3">
        <f t="shared" si="23"/>
        <v>1971</v>
      </c>
      <c r="CK46" s="3">
        <v>1721</v>
      </c>
      <c r="CL46" s="4">
        <f>Estijan!C46 + Ikzen!C46 + Urbiqu!C46 + Danocia!C46 + Koruch!C46 + 'New Kizura'!C46 + Lydroa!C46 + Fermori!C46 + Uularin!C46 + 'Niul Spijan'!C46</f>
        <v>202191497.70021659</v>
      </c>
      <c r="CM46" s="6">
        <f t="shared" si="24"/>
        <v>9.1865139611627851E-3</v>
      </c>
      <c r="CN46" s="5">
        <f t="shared" si="25"/>
        <v>5.3948845319371753E-2</v>
      </c>
      <c r="CU46" s="3">
        <f t="shared" si="26"/>
        <v>1971</v>
      </c>
      <c r="CV46" s="3">
        <v>1721</v>
      </c>
      <c r="CW46" s="4">
        <f>Praesyu!C46 + Lycroa!C46 + Emara!C46 + Eldjo!C46 + Easuhura!C46 + Ilicuhe!C46 + Tonder!C46</f>
        <v>208711906.39357764</v>
      </c>
      <c r="CX46" s="6">
        <f t="shared" si="27"/>
        <v>5.9759696820753851E-3</v>
      </c>
      <c r="CY46" s="5">
        <f t="shared" si="28"/>
        <v>5.5688624311160909E-2</v>
      </c>
      <c r="DF46" s="3">
        <f t="shared" si="29"/>
        <v>1971</v>
      </c>
      <c r="DG46" s="3">
        <v>1721</v>
      </c>
      <c r="DH46" s="4">
        <f>Verusa!C46 + Darewa!C46 + Siana!C46 + Yaxuto!C46 + 'Merela Sta'!C46 + Palina!C46</f>
        <v>142655042.46902329</v>
      </c>
      <c r="DI46" s="6">
        <f t="shared" si="30"/>
        <v>9.5690320627028012E-3</v>
      </c>
      <c r="DJ46" s="5">
        <f t="shared" si="31"/>
        <v>3.8063295973011141E-2</v>
      </c>
      <c r="DQ46" s="3">
        <f t="shared" si="32"/>
        <v>1971</v>
      </c>
      <c r="DR46" s="3">
        <v>1721</v>
      </c>
      <c r="DS46" s="4">
        <f>Sunsokua!C46 + Vayvele!C46 + Selaja!C46 + Sadain!C46</f>
        <v>91920302.152032256</v>
      </c>
      <c r="DT46" s="6">
        <f t="shared" si="33"/>
        <v>2.7322854183589027E-2</v>
      </c>
      <c r="DU46" s="5">
        <f t="shared" si="34"/>
        <v>2.4526224984308974E-2</v>
      </c>
      <c r="EB46" s="3">
        <f t="shared" si="35"/>
        <v>1971</v>
      </c>
      <c r="EC46" s="3">
        <v>1721</v>
      </c>
      <c r="ED46" s="4">
        <f>Pelugrotoa!C46 + Lieri!C46 + 'Rtesania'!C46 + Ozinia!C46</f>
        <v>245865239.37480587</v>
      </c>
      <c r="EE46" s="6">
        <f t="shared" si="36"/>
        <v>2.168276984550482E-2</v>
      </c>
      <c r="EF46" s="5">
        <f t="shared" si="37"/>
        <v>6.5601896812239213E-2</v>
      </c>
      <c r="EM46" s="3">
        <f t="shared" si="38"/>
        <v>1971</v>
      </c>
      <c r="EN46" s="3">
        <v>1721</v>
      </c>
      <c r="EO46" s="4">
        <f>Ocaun!C46 + 'Dual Cenryia'!C46 + Byllu!C46 + Exilium!C46 + Inrea!C46 + Amcha!C46 + Isnti!C46 + Galca!C46 + Otiiric!C46 + Taing!C46 + 'Cruthi Anoso'!C46</f>
        <v>108128302.64692664</v>
      </c>
      <c r="EP46" s="6">
        <f t="shared" si="39"/>
        <v>2.604201166903846E-2</v>
      </c>
      <c r="EQ46" s="5">
        <f t="shared" si="40"/>
        <v>2.8850852486360566E-2</v>
      </c>
      <c r="EX46" s="3">
        <f t="shared" si="41"/>
        <v>1971</v>
      </c>
      <c r="EY46" s="3">
        <v>1721</v>
      </c>
      <c r="EZ46" s="4">
        <f>Sivoso!C46 + Taoisia!C46 + Seytinemas!C46 + Trian!C46 + 'Chaenia'!C46</f>
        <v>70192358.465827912</v>
      </c>
      <c r="FA46" s="6">
        <f t="shared" si="42"/>
        <v>2.5795894613374743E-2</v>
      </c>
      <c r="FB46" s="5">
        <f t="shared" si="43"/>
        <v>1.8728763239537486E-2</v>
      </c>
      <c r="FI46" s="3">
        <f t="shared" si="44"/>
        <v>1971</v>
      </c>
      <c r="FJ46" s="3">
        <v>1721</v>
      </c>
      <c r="FK46" s="4">
        <f>Migoku!C46 + 'Welenu Fana'!C46 + Haiza!C46 + Ucrua!C46 + Ihner!C46 + Oscairia!C46 + Shinam!C46 + 'Ruylku'!C46 + Taval!C46 + 'Western Migoku'!C46 + 'Pruim Fijan'!C46 + 'Canldives'!C46</f>
        <v>79589222.436939716</v>
      </c>
      <c r="FL46" s="6">
        <f t="shared" si="45"/>
        <v>2.1770509765975613E-2</v>
      </c>
      <c r="FM46" s="5">
        <f t="shared" si="46"/>
        <v>2.1236039592059133E-2</v>
      </c>
      <c r="FT46" s="3">
        <f t="shared" si="47"/>
        <v>1971</v>
      </c>
      <c r="FU46" s="3">
        <v>1721</v>
      </c>
      <c r="FV46" s="4">
        <f>Vesozata!C46 + Etretes!C46 + Kusierna!C46 + Eparia!C46</f>
        <v>53403120.395513028</v>
      </c>
      <c r="FW46" s="6">
        <f t="shared" si="48"/>
        <v>2.3607832472795277E-2</v>
      </c>
      <c r="FX46" s="5">
        <f t="shared" si="49"/>
        <v>1.4249049611675304E-2</v>
      </c>
      <c r="GE46" s="3">
        <f t="shared" si="50"/>
        <v>1971</v>
      </c>
      <c r="GF46" s="3">
        <v>1721</v>
      </c>
      <c r="GG46" s="4">
        <f>Dahe!C46 + Kaastini!C46 + Suenan!C46 + Oyreain!C46 + Sanagara!C46 + 'North Ayre'!C46 + Stinebar!C46 + 'Cloja'!C46 + 'Pha Hii'!C46 + 'Prystr Hii'!C46</f>
        <v>739083577.5329479</v>
      </c>
      <c r="GH46" s="6">
        <f t="shared" si="51"/>
        <v>1.2285527850119403E-2</v>
      </c>
      <c r="GI46" s="5">
        <f t="shared" si="52"/>
        <v>0.19720268189284101</v>
      </c>
      <c r="GP46" s="3">
        <f t="shared" si="53"/>
        <v>1971</v>
      </c>
      <c r="GQ46" s="3">
        <v>1721</v>
      </c>
      <c r="GR46" s="4">
        <f>Maalle!C46 + 'United Delet'!C46 + Ohtina!C46 + Astye!C46 + Prstreula!C46 + Veelmit!C46 + Aplasia!C46 + 'Elja and Munusia'!C46 + Walporein!C46 + 'Crila Republic'!C46 + 'Niretui and Anulan'!C46 + 'Rethern'!C46 + Tvecoca!C46</f>
        <v>90613577.804533288</v>
      </c>
      <c r="GS46" s="6">
        <f t="shared" si="54"/>
        <v>2.0381789164996878E-2</v>
      </c>
      <c r="GT46" s="5">
        <f t="shared" si="55"/>
        <v>2.4177564083627576E-2</v>
      </c>
      <c r="HA46" s="3">
        <f t="shared" si="56"/>
        <v>1971</v>
      </c>
      <c r="HB46" s="3">
        <v>1721</v>
      </c>
      <c r="HC46" s="4">
        <f>Andsaudare!C46 + Nia!C46 + Umarcia!C46 + Mendereide!C46 + Iainoa!C46 + Isari!C46 + 'Rkmepuia'!C46 + Hiwush!C46 + Isuibul!C46 + Yutnitu!C46</f>
        <v>30978811.641059909</v>
      </c>
      <c r="HD46" s="6">
        <f t="shared" si="57"/>
        <v>2.6333810895652707E-2</v>
      </c>
      <c r="HE46" s="5">
        <f t="shared" si="58"/>
        <v>8.2657833608782046E-3</v>
      </c>
      <c r="HL46" s="3">
        <f t="shared" si="59"/>
        <v>1971</v>
      </c>
      <c r="HM46" s="3">
        <v>1721</v>
      </c>
      <c r="HN46" s="4">
        <f>Zhanshe!C46 + Volver!C46 + Finae!C46 + Myla!C46 + 'Nheyes Si'!C46 + Onphello!C46 + Hyelen!C46</f>
        <v>58628819.052205123</v>
      </c>
      <c r="HO46" s="6">
        <f t="shared" si="60"/>
        <v>2.9162953690523408E-2</v>
      </c>
      <c r="HP46" s="5">
        <f t="shared" si="61"/>
        <v>1.564337336772921E-2</v>
      </c>
      <c r="HW46" s="3">
        <f t="shared" si="62"/>
        <v>1971</v>
      </c>
      <c r="HX46" s="3">
        <v>1721</v>
      </c>
      <c r="HY46" s="4">
        <f>Yihnurda!C46 + Ztesh!C46 + Wundry!C46 + Anymna!C46 + Shomjind!C46 + Baluyde!C46 + Letan!C46</f>
        <v>229904788.87575662</v>
      </c>
      <c r="HZ46" s="6">
        <f t="shared" si="63"/>
        <v>2.2925827990146846E-2</v>
      </c>
      <c r="IA46" s="5">
        <f t="shared" si="64"/>
        <v>6.1343320734637038E-2</v>
      </c>
      <c r="IH46" s="3">
        <f t="shared" si="65"/>
        <v>1971</v>
      </c>
      <c r="II46" s="3">
        <v>1721</v>
      </c>
      <c r="IJ46" s="4">
        <f>Iareva!C46 + 'United Mihili'!C46 + 'Mesjan Hyaa'!C46 + Desaki!C46 + 'Far Lands'!C46</f>
        <v>26343897.927391823</v>
      </c>
      <c r="IK46" s="6">
        <f t="shared" si="66"/>
        <v>2.0623151742668034E-2</v>
      </c>
      <c r="IL46" s="5">
        <f t="shared" si="67"/>
        <v>7.0290931644484142E-3</v>
      </c>
      <c r="IS46" s="3">
        <f t="shared" si="68"/>
        <v>1971</v>
      </c>
      <c r="IT46" s="3">
        <v>1721</v>
      </c>
      <c r="IU46" s="4">
        <f>Verste!C46 + Quidic!C46 + Erkizil!C46 + Ashain!C46 + Ahokini!C46</f>
        <v>183694200.93067276</v>
      </c>
      <c r="IV46" s="6">
        <f t="shared" si="69"/>
        <v>1.9036063014398311E-2</v>
      </c>
      <c r="IW46" s="5">
        <f t="shared" si="70"/>
        <v>4.90133865409507E-2</v>
      </c>
    </row>
    <row r="47" spans="1:257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3680229839.0972056</v>
      </c>
      <c r="D47" s="5">
        <f t="shared" si="1"/>
        <v>1.7890029856534644E-2</v>
      </c>
      <c r="K47" s="3">
        <f t="shared" si="2"/>
        <v>1970</v>
      </c>
      <c r="L47" s="3">
        <v>1720</v>
      </c>
      <c r="M47" s="4">
        <f>Eldavpir!C47 + Iquir!C47 + Viussi!C47 + Umendel!C47 + 'Reerica'!C47 + Saa!C47 + Sattle!C47</f>
        <v>31056294.850888036</v>
      </c>
      <c r="N47" s="5">
        <f t="shared" si="3"/>
        <v>3.0732853480611711E-2</v>
      </c>
      <c r="O47" s="5">
        <f t="shared" si="4"/>
        <v>8.438683508556746E-3</v>
      </c>
      <c r="V47" s="3">
        <f t="shared" si="5"/>
        <v>1970</v>
      </c>
      <c r="W47" s="3">
        <v>1720</v>
      </c>
      <c r="X47" s="4">
        <f>'Areoix Lie'!C47 + Jau!C47 + Terressin!C47 + Acetoa!C47 + 'Feio Lie'!C47</f>
        <v>418122306.42608374</v>
      </c>
      <c r="Y47" s="5">
        <f t="shared" si="6"/>
        <v>2.0183961952249429E-2</v>
      </c>
      <c r="Z47" s="5">
        <f t="shared" si="7"/>
        <v>0.11361309611267459</v>
      </c>
      <c r="AG47" s="3">
        <f t="shared" si="8"/>
        <v>1970</v>
      </c>
      <c r="AH47" s="3">
        <v>1720</v>
      </c>
      <c r="AI47" s="4">
        <f>Taniduna!C47 + Jathua!C47 + Deschon!C47 + Pelines!C47 + 'Candenat'!C47 + Othya!C47 + Yoprioq!C47 + Jshain!C47 + 'Fire Coast'!C47 + 'Rijan bu'!C47 + 'Rinew'!C47 + Enina!C47 + Trevilla!C47</f>
        <v>69127571.297064602</v>
      </c>
      <c r="AJ47" s="5">
        <f t="shared" si="9"/>
        <v>2.3994642225623492E-2</v>
      </c>
      <c r="AK47" s="5">
        <f t="shared" si="10"/>
        <v>1.8783492966304039E-2</v>
      </c>
      <c r="AR47" s="3">
        <f t="shared" si="11"/>
        <v>1970</v>
      </c>
      <c r="AS47" s="3">
        <v>1720</v>
      </c>
      <c r="AT47" s="4">
        <f>Gaeiya!C47 + 'Raledria'!C47 + Arbiya!C47 + Fincen!C47 + 'Curata'!C47</f>
        <v>177129402.07865641</v>
      </c>
      <c r="AU47" s="5">
        <f t="shared" si="12"/>
        <v>1.8752896132049668E-2</v>
      </c>
      <c r="AV47" s="5">
        <f t="shared" si="13"/>
        <v>4.8129983675722784E-2</v>
      </c>
      <c r="BC47" s="3">
        <f t="shared" si="14"/>
        <v>1970</v>
      </c>
      <c r="BD47" s="3">
        <v>1720</v>
      </c>
      <c r="BE47" s="4">
        <f>Etirha!C47 + Laselteh!C47 + Grazail!C47 + 'Disal Nila'!C47 + Pelan!C47 + Peka!C47 + Guise!C47</f>
        <v>68097412.365094617</v>
      </c>
      <c r="BF47" s="5">
        <f t="shared" si="15"/>
        <v>1.5612105040412393E-2</v>
      </c>
      <c r="BG47" s="5">
        <f t="shared" si="16"/>
        <v>1.8503575956495027E-2</v>
      </c>
      <c r="BN47" s="3">
        <f t="shared" si="17"/>
        <v>1970</v>
      </c>
      <c r="BO47" s="3">
        <v>1720</v>
      </c>
      <c r="BP47" s="4">
        <f>Genaire!C47 + 'New Misos'!C47 + Phuris!C47 + Lasri!C47 + Slyiaduun!C47 + Aetintio!C47 + Metndria!C47 + Tomscilus!C47</f>
        <v>52628270.04322201</v>
      </c>
      <c r="BQ47" s="5">
        <f t="shared" si="18"/>
        <v>2.3108357246921965E-2</v>
      </c>
      <c r="BR47" s="5">
        <f t="shared" si="19"/>
        <v>1.4300267196391247E-2</v>
      </c>
      <c r="BY47" s="3">
        <f t="shared" si="20"/>
        <v>1970</v>
      </c>
      <c r="BZ47" s="3">
        <v>1720</v>
      </c>
      <c r="CA47" s="4">
        <f>Ealdorii!C47 + Ukhdari!C47 + Hkuqo!C47 + Acrana!C47 + Zenashan!C47</f>
        <v>173043992.30804598</v>
      </c>
      <c r="CB47" s="7">
        <f t="shared" si="21"/>
        <v>1.7495046522900286E-2</v>
      </c>
      <c r="CC47" s="5">
        <f t="shared" si="22"/>
        <v>4.7019887309672832E-2</v>
      </c>
      <c r="CJ47" s="3">
        <f t="shared" si="23"/>
        <v>1970</v>
      </c>
      <c r="CK47" s="3">
        <v>1720</v>
      </c>
      <c r="CL47" s="4">
        <f>Estijan!C47 + Ikzen!C47 + Urbiqu!C47 + Danocia!C47 + Koruch!C47 + 'New Kizura'!C47 + Lydroa!C47 + Fermori!C47 + Uularin!C47 + 'Niul Spijan'!C47</f>
        <v>200350970.71065068</v>
      </c>
      <c r="CM47" s="7">
        <f t="shared" si="24"/>
        <v>1.1613665610461968E-2</v>
      </c>
      <c r="CN47" s="5">
        <f t="shared" si="25"/>
        <v>5.4439798455576519E-2</v>
      </c>
      <c r="CU47" s="3">
        <f t="shared" si="26"/>
        <v>1970</v>
      </c>
      <c r="CV47" s="3">
        <v>1720</v>
      </c>
      <c r="CW47" s="4">
        <f>Praesyu!C47 + Lycroa!C47 + Emara!C47 + Eldjo!C47 + Easuhura!C47 + Ilicuhe!C47 + Tonder!C47</f>
        <v>207472059.65520042</v>
      </c>
      <c r="CX47" s="7">
        <f t="shared" si="27"/>
        <v>5.5708793891712481E-3</v>
      </c>
      <c r="CY47" s="5">
        <f t="shared" si="28"/>
        <v>5.6374756122866292E-2</v>
      </c>
      <c r="DF47" s="3">
        <f t="shared" si="29"/>
        <v>1970</v>
      </c>
      <c r="DG47" s="3">
        <v>1720</v>
      </c>
      <c r="DH47" s="4">
        <f>Verusa!C47 + Darewa!C47 + Siana!C47 + Yaxuto!C47 + 'Merela Sta'!C47 + Palina!C47</f>
        <v>141302910.38895813</v>
      </c>
      <c r="DI47" s="7">
        <f t="shared" si="30"/>
        <v>1.0026564055902085E-2</v>
      </c>
      <c r="DJ47" s="5">
        <f t="shared" si="31"/>
        <v>3.8395131980023575E-2</v>
      </c>
      <c r="DQ47" s="3">
        <f t="shared" si="32"/>
        <v>1970</v>
      </c>
      <c r="DR47" s="3">
        <v>1720</v>
      </c>
      <c r="DS47" s="4">
        <f>Sunsokua!C47 + Vayvele!C47 + Selaja!C47 + Sadain!C47</f>
        <v>89475574.088226721</v>
      </c>
      <c r="DT47" s="7">
        <f t="shared" si="33"/>
        <v>2.748496565619692E-2</v>
      </c>
      <c r="DU47" s="5">
        <f t="shared" si="34"/>
        <v>2.4312496229902832E-2</v>
      </c>
      <c r="EB47" s="3">
        <f t="shared" si="35"/>
        <v>1970</v>
      </c>
      <c r="EC47" s="3">
        <v>1720</v>
      </c>
      <c r="ED47" s="4">
        <f>Pelugrotoa!C47 + Lieri!C47 + 'Rtesania'!C47 + Ozinia!C47</f>
        <v>240647338.51974887</v>
      </c>
      <c r="EE47" s="7">
        <f t="shared" si="36"/>
        <v>1.8787751815910896E-2</v>
      </c>
      <c r="EF47" s="5">
        <f t="shared" si="37"/>
        <v>6.5389214543943239E-2</v>
      </c>
      <c r="EM47" s="3">
        <f t="shared" si="38"/>
        <v>1970</v>
      </c>
      <c r="EN47" s="3">
        <v>1720</v>
      </c>
      <c r="EO47" s="4">
        <f>Ocaun!C47 + 'Dual Cenryia'!C47 + Byllu!C47 + Exilium!C47 + Inrea!C47 + Amcha!C47 + Isnti!C47 + Galca!C47 + Otiiric!C47 + Taing!C47 + 'Cruthi Anoso'!C47</f>
        <v>105383894.04838976</v>
      </c>
      <c r="EP47" s="7">
        <f t="shared" si="39"/>
        <v>2.566918964374543E-2</v>
      </c>
      <c r="EQ47" s="5">
        <f t="shared" si="40"/>
        <v>2.8635139286366258E-2</v>
      </c>
      <c r="EX47" s="3">
        <f t="shared" si="41"/>
        <v>1970</v>
      </c>
      <c r="EY47" s="3">
        <v>1720</v>
      </c>
      <c r="EZ47" s="4">
        <f>Sivoso!C47 + Taoisia!C47 + Seytinemas!C47 + Trian!C47 + 'Chaenia'!C47</f>
        <v>68427217.182696566</v>
      </c>
      <c r="FA47" s="7">
        <f t="shared" si="42"/>
        <v>2.5889685554604563E-2</v>
      </c>
      <c r="FB47" s="5">
        <f t="shared" si="43"/>
        <v>1.8593191233806851E-2</v>
      </c>
      <c r="FI47" s="3">
        <f t="shared" si="44"/>
        <v>1970</v>
      </c>
      <c r="FJ47" s="3">
        <v>1720</v>
      </c>
      <c r="FK47" s="4">
        <f>Migoku!C47 + 'Welenu Fana'!C47 + Haiza!C47 + Ucrua!C47 + Ihner!C47 + Oscairia!C47 + Shinam!C47 + 'Ruylku'!C47 + Taval!C47 + 'Western Migoku'!C47 + 'Pruim Fijan'!C47 + 'Canldives'!C47</f>
        <v>77893442.486580163</v>
      </c>
      <c r="FL47" s="7">
        <f t="shared" si="45"/>
        <v>2.1376686241574946E-2</v>
      </c>
      <c r="FM47" s="5">
        <f t="shared" si="46"/>
        <v>2.1165374417400015E-2</v>
      </c>
      <c r="FT47" s="3">
        <f t="shared" si="47"/>
        <v>1970</v>
      </c>
      <c r="FU47" s="3">
        <v>1720</v>
      </c>
      <c r="FV47" s="4">
        <f>Vesozata!C47 + Etretes!C47 + Kusierna!C47 + Eparia!C47</f>
        <v>52171465.185552239</v>
      </c>
      <c r="FW47" s="7">
        <f t="shared" si="48"/>
        <v>2.4934237031888757E-2</v>
      </c>
      <c r="FX47" s="5">
        <f t="shared" si="49"/>
        <v>1.4176143193912688E-2</v>
      </c>
      <c r="GE47" s="3">
        <f t="shared" si="50"/>
        <v>1970</v>
      </c>
      <c r="GF47" s="3">
        <v>1720</v>
      </c>
      <c r="GG47" s="4">
        <f>Dahe!C47 + Kaastini!C47 + Suenan!C47 + Oyreain!C47 + Sanagara!C47 + 'North Ayre'!C47 + Stinebar!C47 + 'Cloja'!C47 + 'Pha Hii'!C47 + 'Prystr Hii'!C47</f>
        <v>730113744.78760481</v>
      </c>
      <c r="GH47" s="7">
        <f t="shared" si="51"/>
        <v>1.2268164954289246E-2</v>
      </c>
      <c r="GI47" s="5">
        <f t="shared" si="52"/>
        <v>0.1983880835460832</v>
      </c>
      <c r="GP47" s="3">
        <f t="shared" si="53"/>
        <v>1970</v>
      </c>
      <c r="GQ47" s="3">
        <v>1720</v>
      </c>
      <c r="GR47" s="4">
        <f>Maalle!C47 + 'United Delet'!C47 + Ohtina!C47 + Astye!C47 + Prstreula!C47 + Veelmit!C47 + Aplasia!C47 + 'Elja and Munusia'!C47 + Walporein!C47 + 'Crila Republic'!C47 + 'Niretui and Anulan'!C47 + 'Rethern'!C47 + Tvecoca!C47</f>
        <v>88803601.521235079</v>
      </c>
      <c r="GS47" s="7">
        <f t="shared" si="54"/>
        <v>2.0246397427901137E-2</v>
      </c>
      <c r="GT47" s="5">
        <f t="shared" si="55"/>
        <v>2.4129906392753836E-2</v>
      </c>
      <c r="HA47" s="3">
        <f t="shared" si="56"/>
        <v>1970</v>
      </c>
      <c r="HB47" s="3">
        <v>1720</v>
      </c>
      <c r="HC47" s="4">
        <f>Andsaudare!C47 + Nia!C47 + Umarcia!C47 + Mendereide!C47 + Iainoa!C47 + Isari!C47 + 'Rkmepuia'!C47 + Hiwush!C47 + Isuibul!C47 + Yutnitu!C47</f>
        <v>30183953.127321772</v>
      </c>
      <c r="HD47" s="7">
        <f t="shared" si="57"/>
        <v>2.633226164286797E-2</v>
      </c>
      <c r="HE47" s="5">
        <f t="shared" si="58"/>
        <v>8.2016489314499369E-3</v>
      </c>
      <c r="HL47" s="3">
        <f t="shared" si="59"/>
        <v>1970</v>
      </c>
      <c r="HM47" s="3">
        <v>1720</v>
      </c>
      <c r="HN47" s="4">
        <f>Zhanshe!C47 + Volver!C47 + Finae!C47 + Myla!C47 + 'Nheyes Si'!C47 + Onphello!C47 + Hyelen!C47</f>
        <v>56967479.097421169</v>
      </c>
      <c r="HO47" s="7">
        <f t="shared" si="60"/>
        <v>2.7564073748018579E-2</v>
      </c>
      <c r="HP47" s="5">
        <f t="shared" si="61"/>
        <v>1.5479326451903291E-2</v>
      </c>
      <c r="HW47" s="3">
        <f t="shared" si="62"/>
        <v>1970</v>
      </c>
      <c r="HX47" s="3">
        <v>1720</v>
      </c>
      <c r="HY47" s="4">
        <f>Yihnurda!C47 + Ztesh!C47 + Wundry!C47 + Anymna!C47 + Shomjind!C47 + Baluyde!C47 + Letan!C47</f>
        <v>224752159.52604839</v>
      </c>
      <c r="HZ47" s="7">
        <f t="shared" si="63"/>
        <v>2.266212533636067E-2</v>
      </c>
      <c r="IA47" s="5">
        <f t="shared" si="64"/>
        <v>6.107014217926731E-2</v>
      </c>
      <c r="IH47" s="3">
        <f t="shared" si="65"/>
        <v>1970</v>
      </c>
      <c r="II47" s="3">
        <v>1720</v>
      </c>
      <c r="IJ47" s="4">
        <f>Iareva!C47 + 'United Mihili'!C47 + 'Mesjan Hyaa'!C47 + Desaki!C47 + 'Far Lands'!C47</f>
        <v>25811581.760036312</v>
      </c>
      <c r="IK47" s="7">
        <f t="shared" si="66"/>
        <v>2.0762321013169046E-2</v>
      </c>
      <c r="IL47" s="5">
        <f t="shared" si="67"/>
        <v>7.0135787406060846E-3</v>
      </c>
      <c r="IS47" s="3">
        <f t="shared" si="68"/>
        <v>1970</v>
      </c>
      <c r="IT47" s="3">
        <v>1720</v>
      </c>
      <c r="IU47" s="4">
        <f>Verste!C47 + Quidic!C47 + Erkizil!C47 + Ashain!C47 + Ahokini!C47</f>
        <v>180262708.64967149</v>
      </c>
      <c r="IV47" s="7">
        <f t="shared" si="69"/>
        <v>2.1723091293977453E-2</v>
      </c>
      <c r="IW47" s="5">
        <f t="shared" si="70"/>
        <v>4.8981372504140017E-2</v>
      </c>
    </row>
    <row r="48" spans="1:257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3615547584.8564029</v>
      </c>
      <c r="D48" s="5">
        <f t="shared" si="1"/>
        <v>1.8095664338655098E-2</v>
      </c>
      <c r="K48" s="3">
        <f t="shared" si="2"/>
        <v>1969</v>
      </c>
      <c r="L48" s="3">
        <v>1719</v>
      </c>
      <c r="M48" s="4">
        <f>Eldavpir!C48 + Iquir!C48 + Viussi!C48 + Umendel!C48 + 'Reerica'!C48 + Saa!C48 + Sattle!C48</f>
        <v>30130304.613863956</v>
      </c>
      <c r="N48" s="5">
        <f t="shared" si="3"/>
        <v>3.1117698310511754E-2</v>
      </c>
      <c r="O48" s="5">
        <f t="shared" si="4"/>
        <v>8.3335383940357204E-3</v>
      </c>
      <c r="V48" s="3">
        <f t="shared" si="5"/>
        <v>1969</v>
      </c>
      <c r="W48" s="3">
        <v>1719</v>
      </c>
      <c r="X48" s="4">
        <f>'Areoix Lie'!C48 + Jau!C48 + Terressin!C48 + Acetoa!C48 + 'Feio Lie'!C48</f>
        <v>409849911.40809005</v>
      </c>
      <c r="Y48" s="5">
        <f t="shared" si="6"/>
        <v>2.0652965868985417E-2</v>
      </c>
      <c r="Z48" s="5">
        <f t="shared" si="7"/>
        <v>0.11335763166960722</v>
      </c>
      <c r="AG48" s="3">
        <f t="shared" si="8"/>
        <v>1969</v>
      </c>
      <c r="AH48" s="3">
        <v>1719</v>
      </c>
      <c r="AI48" s="4">
        <f>Taniduna!C48 + Jathua!C48 + Deschon!C48 + Pelines!C48 + 'Candenat'!C48 + Othya!C48 + Yoprioq!C48 + Jshain!C48 + 'Fire Coast'!C48 + 'Rijan bu'!C48 + 'Rinew'!C48 + Enina!C48 + Trevilla!C48</f>
        <v>67507747.058927745</v>
      </c>
      <c r="AJ48" s="5">
        <f t="shared" si="9"/>
        <v>2.3424558907963033E-2</v>
      </c>
      <c r="AK48" s="5">
        <f t="shared" si="10"/>
        <v>1.8671513919961011E-2</v>
      </c>
      <c r="AR48" s="3">
        <f t="shared" si="11"/>
        <v>1969</v>
      </c>
      <c r="AS48" s="3">
        <v>1719</v>
      </c>
      <c r="AT48" s="4">
        <f>Gaeiya!C48 + 'Raledria'!C48 + Arbiya!C48 + Fincen!C48 + 'Curata'!C48</f>
        <v>173868857.45421928</v>
      </c>
      <c r="AU48" s="5">
        <f t="shared" si="12"/>
        <v>1.9962748785650811E-2</v>
      </c>
      <c r="AV48" s="5">
        <f t="shared" si="13"/>
        <v>4.8089218402895047E-2</v>
      </c>
      <c r="BC48" s="3">
        <f t="shared" si="14"/>
        <v>1969</v>
      </c>
      <c r="BD48" s="3">
        <v>1719</v>
      </c>
      <c r="BE48" s="4">
        <f>Etirha!C48 + Laselteh!C48 + Grazail!C48 + 'Disal Nila'!C48 + Pelan!C48 + Peka!C48 + Guise!C48</f>
        <v>67050611.180323556</v>
      </c>
      <c r="BF48" s="5">
        <f t="shared" si="15"/>
        <v>1.5996384540091845E-2</v>
      </c>
      <c r="BG48" s="5">
        <f t="shared" si="16"/>
        <v>1.8545077780517324E-2</v>
      </c>
      <c r="BN48" s="3">
        <f t="shared" si="17"/>
        <v>1969</v>
      </c>
      <c r="BO48" s="3">
        <v>1719</v>
      </c>
      <c r="BP48" s="4">
        <f>Genaire!C48 + 'New Misos'!C48 + Phuris!C48 + Lasri!C48 + Slyiaduun!C48 + Aetintio!C48 + Metndria!C48 + Tomscilus!C48</f>
        <v>51439585.719775766</v>
      </c>
      <c r="BQ48" s="5">
        <f t="shared" si="18"/>
        <v>2.4058953431031867E-2</v>
      </c>
      <c r="BR48" s="5">
        <f t="shared" si="19"/>
        <v>1.4227329197720618E-2</v>
      </c>
      <c r="BY48" s="3">
        <f t="shared" si="20"/>
        <v>1969</v>
      </c>
      <c r="BZ48" s="3">
        <v>1719</v>
      </c>
      <c r="CA48" s="4">
        <f>Ealdorii!C48 + Ukhdari!C48 + Hkuqo!C48 + Acrana!C48 + Zenashan!C48</f>
        <v>170068633.6502488</v>
      </c>
      <c r="CB48" s="6">
        <f t="shared" si="21"/>
        <v>1.8301059282452532E-2</v>
      </c>
      <c r="CC48" s="5">
        <f t="shared" si="22"/>
        <v>4.7038140048986064E-2</v>
      </c>
      <c r="CJ48" s="3">
        <f t="shared" si="23"/>
        <v>1969</v>
      </c>
      <c r="CK48" s="3">
        <v>1719</v>
      </c>
      <c r="CL48" s="4">
        <f>Estijan!C48 + Ikzen!C48 + Urbiqu!C48 + Danocia!C48 + Koruch!C48 + 'New Kizura'!C48 + Lydroa!C48 + Fermori!C48 + Uularin!C48 + 'Niul Spijan'!C48</f>
        <v>198050874.08516586</v>
      </c>
      <c r="CM48" s="6">
        <f t="shared" si="24"/>
        <v>1.0597921850052877E-2</v>
      </c>
      <c r="CN48" s="5">
        <f t="shared" si="25"/>
        <v>5.4777559812708633E-2</v>
      </c>
      <c r="CU48" s="3">
        <f t="shared" si="26"/>
        <v>1969</v>
      </c>
      <c r="CV48" s="3">
        <v>1719</v>
      </c>
      <c r="CW48" s="4">
        <f>Praesyu!C48 + Lycroa!C48 + Emara!C48 + Eldjo!C48 + Easuhura!C48 + Ilicuhe!C48 + Tonder!C48</f>
        <v>206322660.99554139</v>
      </c>
      <c r="CX48" s="6">
        <f t="shared" si="27"/>
        <v>5.7128637523279841E-3</v>
      </c>
      <c r="CY48" s="5">
        <f t="shared" si="28"/>
        <v>5.7065397744927152E-2</v>
      </c>
      <c r="DF48" s="3">
        <f t="shared" si="29"/>
        <v>1969</v>
      </c>
      <c r="DG48" s="3">
        <v>1719</v>
      </c>
      <c r="DH48" s="4">
        <f>Verusa!C48 + Darewa!C48 + Siana!C48 + Yaxuto!C48 + 'Merela Sta'!C48 + Palina!C48</f>
        <v>139900192.15092388</v>
      </c>
      <c r="DI48" s="6">
        <f t="shared" si="30"/>
        <v>9.7568190601079914E-3</v>
      </c>
      <c r="DJ48" s="5">
        <f t="shared" si="31"/>
        <v>3.8694053630186208E-2</v>
      </c>
      <c r="DQ48" s="3">
        <f t="shared" si="32"/>
        <v>1969</v>
      </c>
      <c r="DR48" s="3">
        <v>1719</v>
      </c>
      <c r="DS48" s="4">
        <f>Sunsokua!C48 + Vayvele!C48 + Selaja!C48 + Sadain!C48</f>
        <v>87082124.876721382</v>
      </c>
      <c r="DT48" s="6">
        <f t="shared" si="33"/>
        <v>2.751372960697207E-2</v>
      </c>
      <c r="DU48" s="5">
        <f t="shared" si="34"/>
        <v>2.408545948654137E-2</v>
      </c>
      <c r="EB48" s="3">
        <f t="shared" si="35"/>
        <v>1969</v>
      </c>
      <c r="EC48" s="3">
        <v>1719</v>
      </c>
      <c r="ED48" s="4">
        <f>Pelugrotoa!C48 + Lieri!C48 + 'Rtesania'!C48 + Ozinia!C48</f>
        <v>236209493.1852228</v>
      </c>
      <c r="EE48" s="6">
        <f t="shared" si="36"/>
        <v>2.0865656161054579E-2</v>
      </c>
      <c r="EF48" s="5">
        <f t="shared" si="37"/>
        <v>6.5331595737967374E-2</v>
      </c>
      <c r="EM48" s="3">
        <f t="shared" si="38"/>
        <v>1969</v>
      </c>
      <c r="EN48" s="3">
        <v>1719</v>
      </c>
      <c r="EO48" s="4">
        <f>Ocaun!C48 + 'Dual Cenryia'!C48 + Byllu!C48 + Exilium!C48 + Inrea!C48 + Amcha!C48 + Isnti!C48 + Galca!C48 + Otiiric!C48 + Taing!C48 + 'Cruthi Anoso'!C48</f>
        <v>102746475.28897077</v>
      </c>
      <c r="EP48" s="6">
        <f t="shared" si="39"/>
        <v>2.5514670093597376E-2</v>
      </c>
      <c r="EQ48" s="5">
        <f t="shared" si="40"/>
        <v>2.8417956859237824E-2</v>
      </c>
      <c r="EX48" s="3">
        <f t="shared" si="41"/>
        <v>1969</v>
      </c>
      <c r="EY48" s="3">
        <v>1719</v>
      </c>
      <c r="EZ48" s="4">
        <f>Sivoso!C48 + Taoisia!C48 + Seytinemas!C48 + Trian!C48 + 'Chaenia'!C48</f>
        <v>66700365.688640527</v>
      </c>
      <c r="FA48" s="6">
        <f t="shared" si="42"/>
        <v>2.5946199527261418E-2</v>
      </c>
      <c r="FB48" s="5">
        <f t="shared" si="43"/>
        <v>1.844820573459266E-2</v>
      </c>
      <c r="FI48" s="3">
        <f t="shared" si="44"/>
        <v>1969</v>
      </c>
      <c r="FJ48" s="3">
        <v>1719</v>
      </c>
      <c r="FK48" s="4">
        <f>Migoku!C48 + 'Welenu Fana'!C48 + Haiza!C48 + Ucrua!C48 + Ihner!C48 + Oscairia!C48 + Shinam!C48 + 'Ruylku'!C48 + Taval!C48 + 'Western Migoku'!C48 + 'Pruim Fijan'!C48 + 'Canldives'!C48</f>
        <v>76263188.239795879</v>
      </c>
      <c r="FL48" s="6">
        <f t="shared" si="45"/>
        <v>2.1248784719713771E-2</v>
      </c>
      <c r="FM48" s="5">
        <f t="shared" si="46"/>
        <v>2.1093122535358579E-2</v>
      </c>
      <c r="FT48" s="3">
        <f t="shared" si="47"/>
        <v>1969</v>
      </c>
      <c r="FU48" s="3">
        <v>1719</v>
      </c>
      <c r="FV48" s="4">
        <f>Vesozata!C48 + Etretes!C48 + Kusierna!C48 + Eparia!C48</f>
        <v>50902256.262446456</v>
      </c>
      <c r="FW48" s="6">
        <f t="shared" si="48"/>
        <v>2.4188909716936487E-2</v>
      </c>
      <c r="FX48" s="5">
        <f t="shared" si="49"/>
        <v>1.4078712855460349E-2</v>
      </c>
      <c r="GE48" s="3">
        <f t="shared" si="50"/>
        <v>1969</v>
      </c>
      <c r="GF48" s="3">
        <v>1719</v>
      </c>
      <c r="GG48" s="4">
        <f>Dahe!C48 + Kaastini!C48 + Suenan!C48 + Oyreain!C48 + Sanagara!C48 + 'North Ayre'!C48 + Stinebar!C48 + 'Cloja'!C48 + 'Pha Hii'!C48 + 'Prystr Hii'!C48</f>
        <v>721265145.01280832</v>
      </c>
      <c r="GH48" s="6">
        <f t="shared" si="51"/>
        <v>1.2179876147513624E-2</v>
      </c>
      <c r="GI48" s="5">
        <f t="shared" si="52"/>
        <v>0.19948987755929493</v>
      </c>
      <c r="GP48" s="3">
        <f t="shared" si="53"/>
        <v>1969</v>
      </c>
      <c r="GQ48" s="3">
        <v>1719</v>
      </c>
      <c r="GR48" s="4">
        <f>Maalle!C48 + 'United Delet'!C48 + Ohtina!C48 + Astye!C48 + Prstreula!C48 + Veelmit!C48 + Aplasia!C48 + 'Elja and Munusia'!C48 + Walporein!C48 + 'Crila Republic'!C48 + 'Niretui and Anulan'!C48 + 'Rethern'!C48 + Tvecoca!C48</f>
        <v>87041328.197888255</v>
      </c>
      <c r="GS48" s="6">
        <f t="shared" si="54"/>
        <v>2.0133483500670461E-2</v>
      </c>
      <c r="GT48" s="5">
        <f t="shared" si="55"/>
        <v>2.4074175807409608E-2</v>
      </c>
      <c r="HA48" s="3">
        <f t="shared" si="56"/>
        <v>1969</v>
      </c>
      <c r="HB48" s="3">
        <v>1719</v>
      </c>
      <c r="HC48" s="4">
        <f>Andsaudare!C48 + Nia!C48 + Umarcia!C48 + Mendereide!C48 + Iainoa!C48 + Isari!C48 + 'Rkmepuia'!C48 + Hiwush!C48 + Isuibul!C48 + Yutnitu!C48</f>
        <v>29409533.593931649</v>
      </c>
      <c r="HD48" s="6">
        <f t="shared" si="57"/>
        <v>2.6130377294180683E-2</v>
      </c>
      <c r="HE48" s="5">
        <f t="shared" si="58"/>
        <v>8.134185183210553E-3</v>
      </c>
      <c r="HL48" s="3">
        <f t="shared" si="59"/>
        <v>1969</v>
      </c>
      <c r="HM48" s="3">
        <v>1719</v>
      </c>
      <c r="HN48" s="4">
        <f>Zhanshe!C48 + Volver!C48 + Finae!C48 + Myla!C48 + 'Nheyes Si'!C48 + Onphello!C48 + Hyelen!C48</f>
        <v>55439344.905893289</v>
      </c>
      <c r="HO48" s="6">
        <f t="shared" si="60"/>
        <v>2.7006406395560633E-2</v>
      </c>
      <c r="HP48" s="5">
        <f t="shared" si="61"/>
        <v>1.5333595701547142E-2</v>
      </c>
      <c r="HW48" s="3">
        <f t="shared" si="62"/>
        <v>1969</v>
      </c>
      <c r="HX48" s="3">
        <v>1719</v>
      </c>
      <c r="HY48" s="4">
        <f>Yihnurda!C48 + Ztesh!C48 + Wundry!C48 + Anymna!C48 + Shomjind!C48 + Baluyde!C48 + Letan!C48</f>
        <v>219771666.47501084</v>
      </c>
      <c r="HZ48" s="6">
        <f t="shared" si="63"/>
        <v>2.2421487270372777E-2</v>
      </c>
      <c r="IA48" s="5">
        <f t="shared" si="64"/>
        <v>6.0785167755920827E-2</v>
      </c>
      <c r="IH48" s="3">
        <f t="shared" si="65"/>
        <v>1969</v>
      </c>
      <c r="II48" s="3">
        <v>1719</v>
      </c>
      <c r="IJ48" s="4">
        <f>Iareva!C48 + 'United Mihili'!C48 + 'Mesjan Hyaa'!C48 + Desaki!C48 + 'Far Lands'!C48</f>
        <v>25286573.797528829</v>
      </c>
      <c r="IK48" s="6">
        <f t="shared" si="66"/>
        <v>2.0445134133188315E-2</v>
      </c>
      <c r="IL48" s="5">
        <f t="shared" si="67"/>
        <v>6.9938434508346062E-3</v>
      </c>
      <c r="IS48" s="3">
        <f t="shared" si="68"/>
        <v>1969</v>
      </c>
      <c r="IT48" s="3">
        <v>1719</v>
      </c>
      <c r="IU48" s="4">
        <f>Verste!C48 + Quidic!C48 + Erkizil!C48 + Ashain!C48 + Ahokini!C48</f>
        <v>176430101.44889152</v>
      </c>
      <c r="IV48" s="6">
        <f t="shared" si="69"/>
        <v>2.2217221448601023E-2</v>
      </c>
      <c r="IW48" s="5">
        <f t="shared" si="70"/>
        <v>4.8797615660726733E-2</v>
      </c>
    </row>
    <row r="49" spans="1:257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3551284728.4395685</v>
      </c>
      <c r="D49" s="5">
        <f t="shared" si="1"/>
        <v>1.8303750570720201E-2</v>
      </c>
      <c r="K49" s="3">
        <f t="shared" si="2"/>
        <v>1968</v>
      </c>
      <c r="L49" s="3">
        <v>1718</v>
      </c>
      <c r="M49" s="4">
        <f>Eldavpir!C49 + Iquir!C49 + Viussi!C49 + Umendel!C49 + 'Reerica'!C49 + Saa!C49 + Sattle!C49</f>
        <v>29221013.918423198</v>
      </c>
      <c r="N49" s="5">
        <f t="shared" si="3"/>
        <v>3.098237273729661E-2</v>
      </c>
      <c r="O49" s="5">
        <f t="shared" si="4"/>
        <v>8.2282937451942598E-3</v>
      </c>
      <c r="V49" s="3">
        <f t="shared" si="5"/>
        <v>1968</v>
      </c>
      <c r="W49" s="3">
        <v>1718</v>
      </c>
      <c r="X49" s="4">
        <f>'Areoix Lie'!C49 + Jau!C49 + Terressin!C49 + Acetoa!C49 + 'Feio Lie'!C49</f>
        <v>401556577.12623531</v>
      </c>
      <c r="Y49" s="5">
        <f t="shared" si="6"/>
        <v>2.1368118602065663E-2</v>
      </c>
      <c r="Z49" s="5">
        <f t="shared" si="7"/>
        <v>0.11307360795671231</v>
      </c>
      <c r="AG49" s="3">
        <f t="shared" si="8"/>
        <v>1968</v>
      </c>
      <c r="AH49" s="3">
        <v>1718</v>
      </c>
      <c r="AI49" s="4">
        <f>Taniduna!C49 + Jathua!C49 + Deschon!C49 + Pelines!C49 + 'Candenat'!C49 + Othya!C49 + Yoprioq!C49 + Jshain!C49 + 'Fire Coast'!C49 + 'Rijan bu'!C49 + 'Rinew'!C49 + Enina!C49 + Trevilla!C49</f>
        <v>65962602.198017746</v>
      </c>
      <c r="AJ49" s="5">
        <f t="shared" si="9"/>
        <v>2.3271817682039175E-2</v>
      </c>
      <c r="AK49" s="5">
        <f t="shared" si="10"/>
        <v>1.8574292753766791E-2</v>
      </c>
      <c r="AR49" s="3">
        <f t="shared" si="11"/>
        <v>1968</v>
      </c>
      <c r="AS49" s="3">
        <v>1718</v>
      </c>
      <c r="AT49" s="4">
        <f>Gaeiya!C49 + 'Raledria'!C49 + Arbiya!C49 + Fincen!C49 + 'Curata'!C49</f>
        <v>170465889.72119266</v>
      </c>
      <c r="AU49" s="5">
        <f t="shared" si="12"/>
        <v>1.7062814433439284E-2</v>
      </c>
      <c r="AV49" s="5">
        <f t="shared" si="13"/>
        <v>4.8001189078436757E-2</v>
      </c>
      <c r="BC49" s="3">
        <f t="shared" si="14"/>
        <v>1968</v>
      </c>
      <c r="BD49" s="3">
        <v>1718</v>
      </c>
      <c r="BE49" s="4">
        <f>Etirha!C49 + Laselteh!C49 + Grazail!C49 + 'Disal Nila'!C49 + Pelan!C49 + Peka!C49 + Guise!C49</f>
        <v>65994930.888140082</v>
      </c>
      <c r="BF49" s="5">
        <f t="shared" si="15"/>
        <v>1.6717844720742822E-2</v>
      </c>
      <c r="BG49" s="5">
        <f t="shared" si="16"/>
        <v>1.8583396132570366E-2</v>
      </c>
      <c r="BN49" s="3">
        <f t="shared" si="17"/>
        <v>1968</v>
      </c>
      <c r="BO49" s="3">
        <v>1718</v>
      </c>
      <c r="BP49" s="4">
        <f>Genaire!C49 + 'New Misos'!C49 + Phuris!C49 + Lasri!C49 + Slyiaduun!C49 + Aetintio!C49 + Metndria!C49 + Tomscilus!C49</f>
        <v>50231078.540382206</v>
      </c>
      <c r="BQ49" s="5">
        <f t="shared" si="18"/>
        <v>2.4659414118666029E-2</v>
      </c>
      <c r="BR49" s="5">
        <f t="shared" si="19"/>
        <v>1.414448076723313E-2</v>
      </c>
      <c r="BY49" s="3">
        <f t="shared" si="20"/>
        <v>1968</v>
      </c>
      <c r="BZ49" s="3">
        <v>1718</v>
      </c>
      <c r="CA49" s="4">
        <f>Ealdorii!C49 + Ukhdari!C49 + Hkuqo!C49 + Acrana!C49 + Zenashan!C49</f>
        <v>167012134.6727145</v>
      </c>
      <c r="CB49" s="7">
        <f t="shared" si="21"/>
        <v>1.882861177054183E-2</v>
      </c>
      <c r="CC49" s="5">
        <f t="shared" si="22"/>
        <v>4.7028652288913904E-2</v>
      </c>
      <c r="CJ49" s="3">
        <f t="shared" si="23"/>
        <v>1968</v>
      </c>
      <c r="CK49" s="3">
        <v>1718</v>
      </c>
      <c r="CL49" s="4">
        <f>Estijan!C49 + Ikzen!C49 + Urbiqu!C49 + Danocia!C49 + Koruch!C49 + 'New Kizura'!C49 + Lydroa!C49 + Fermori!C49 + Uularin!C49 + 'Niul Spijan'!C49</f>
        <v>195973957.39999512</v>
      </c>
      <c r="CM49" s="7">
        <f t="shared" si="24"/>
        <v>1.3217566808448955E-2</v>
      </c>
      <c r="CN49" s="5">
        <f t="shared" si="25"/>
        <v>5.5183960843969253E-2</v>
      </c>
      <c r="CU49" s="3">
        <f t="shared" si="26"/>
        <v>1968</v>
      </c>
      <c r="CV49" s="3">
        <v>1718</v>
      </c>
      <c r="CW49" s="4">
        <f>Praesyu!C49 + Lycroa!C49 + Emara!C49 + Eldjo!C49 + Easuhura!C49 + Ilicuhe!C49 + Tonder!C49</f>
        <v>205150663.20793474</v>
      </c>
      <c r="CX49" s="7">
        <f t="shared" si="27"/>
        <v>6.4999065756066393E-3</v>
      </c>
      <c r="CY49" s="5">
        <f t="shared" si="28"/>
        <v>5.7768013238994151E-2</v>
      </c>
      <c r="DF49" s="3">
        <f t="shared" si="29"/>
        <v>1968</v>
      </c>
      <c r="DG49" s="3">
        <v>1718</v>
      </c>
      <c r="DH49" s="4">
        <f>Verusa!C49 + Darewa!C49 + Siana!C49 + Yaxuto!C49 + 'Merela Sta'!C49 + Palina!C49</f>
        <v>138548400.47640818</v>
      </c>
      <c r="DI49" s="7">
        <f t="shared" si="30"/>
        <v>9.2708469661013822E-3</v>
      </c>
      <c r="DJ49" s="5">
        <f t="shared" si="31"/>
        <v>3.9013599604356769E-2</v>
      </c>
      <c r="DQ49" s="3">
        <f t="shared" si="32"/>
        <v>1968</v>
      </c>
      <c r="DR49" s="3">
        <v>1718</v>
      </c>
      <c r="DS49" s="4">
        <f>Sunsokua!C49 + Vayvele!C49 + Selaja!C49 + Sadain!C49</f>
        <v>84750327.28762722</v>
      </c>
      <c r="DT49" s="7">
        <f t="shared" si="33"/>
        <v>2.7593882110089691E-2</v>
      </c>
      <c r="DU49" s="5">
        <f t="shared" si="34"/>
        <v>2.3864695108484428E-2</v>
      </c>
      <c r="EB49" s="3">
        <f t="shared" si="35"/>
        <v>1968</v>
      </c>
      <c r="EC49" s="3">
        <v>1718</v>
      </c>
      <c r="ED49" s="4">
        <f>Pelugrotoa!C49 + Lieri!C49 + 'Rtesania'!C49 + Ozinia!C49</f>
        <v>231381565.0077641</v>
      </c>
      <c r="EE49" s="7">
        <f t="shared" si="36"/>
        <v>2.150465916163545E-2</v>
      </c>
      <c r="EF49" s="5">
        <f t="shared" si="37"/>
        <v>6.5154326589136363E-2</v>
      </c>
      <c r="EM49" s="3">
        <f t="shared" si="38"/>
        <v>1968</v>
      </c>
      <c r="EN49" s="3">
        <v>1718</v>
      </c>
      <c r="EO49" s="4">
        <f>Ocaun!C49 + 'Dual Cenryia'!C49 + Byllu!C49 + Exilium!C49 + Inrea!C49 + Amcha!C49 + Isnti!C49 + Galca!C49 + Otiiric!C49 + Taing!C49 + 'Cruthi Anoso'!C49</f>
        <v>100190156.4992661</v>
      </c>
      <c r="EP49" s="7">
        <f t="shared" si="39"/>
        <v>2.5154513777127057E-2</v>
      </c>
      <c r="EQ49" s="5">
        <f t="shared" si="40"/>
        <v>2.8212369370700832E-2</v>
      </c>
      <c r="EX49" s="3">
        <f t="shared" si="41"/>
        <v>1968</v>
      </c>
      <c r="EY49" s="3">
        <v>1718</v>
      </c>
      <c r="EZ49" s="4">
        <f>Sivoso!C49 + Taoisia!C49 + Seytinemas!C49 + Trian!C49 + 'Chaenia'!C49</f>
        <v>65013512.130923554</v>
      </c>
      <c r="FA49" s="7">
        <f t="shared" si="42"/>
        <v>2.5959888552041094E-2</v>
      </c>
      <c r="FB49" s="5">
        <f t="shared" si="43"/>
        <v>1.8307040156560591E-2</v>
      </c>
      <c r="FI49" s="3">
        <f t="shared" si="44"/>
        <v>1968</v>
      </c>
      <c r="FJ49" s="3">
        <v>1718</v>
      </c>
      <c r="FK49" s="4">
        <f>Migoku!C49 + 'Welenu Fana'!C49 + Haiza!C49 + Ucrua!C49 + Ihner!C49 + Oscairia!C49 + Shinam!C49 + 'Ruylku'!C49 + Taval!C49 + 'Western Migoku'!C49 + 'Pruim Fijan'!C49 + 'Canldives'!C49</f>
        <v>74676405.378270924</v>
      </c>
      <c r="FL49" s="7">
        <f t="shared" si="45"/>
        <v>2.081439775823863E-2</v>
      </c>
      <c r="FM49" s="5">
        <f t="shared" si="46"/>
        <v>2.1027997214710426E-2</v>
      </c>
      <c r="FT49" s="3">
        <f t="shared" si="47"/>
        <v>1968</v>
      </c>
      <c r="FU49" s="3">
        <v>1718</v>
      </c>
      <c r="FV49" s="4">
        <f>Vesozata!C49 + Etretes!C49 + Kusierna!C49 + Eparia!C49</f>
        <v>49700065.85651736</v>
      </c>
      <c r="FW49" s="7">
        <f t="shared" si="48"/>
        <v>2.3343167917171972E-2</v>
      </c>
      <c r="FX49" s="5">
        <f t="shared" si="49"/>
        <v>1.399495384262121E-2</v>
      </c>
      <c r="GE49" s="3">
        <f t="shared" si="50"/>
        <v>1968</v>
      </c>
      <c r="GF49" s="3">
        <v>1718</v>
      </c>
      <c r="GG49" s="4">
        <f>Dahe!C49 + Kaastini!C49 + Suenan!C49 + Oyreain!C49 + Sanagara!C49 + 'North Ayre'!C49 + Stinebar!C49 + 'Cloja'!C49 + 'Pha Hii'!C49 + 'Prystr Hii'!C49</f>
        <v>712585936.56103492</v>
      </c>
      <c r="GH49" s="7">
        <f t="shared" si="51"/>
        <v>1.2265981027046026E-2</v>
      </c>
      <c r="GI49" s="5">
        <f t="shared" si="52"/>
        <v>0.20065581643016964</v>
      </c>
      <c r="GP49" s="3">
        <f t="shared" si="53"/>
        <v>1968</v>
      </c>
      <c r="GQ49" s="3">
        <v>1718</v>
      </c>
      <c r="GR49" s="4">
        <f>Maalle!C49 + 'United Delet'!C49 + Ohtina!C49 + Astye!C49 + Prstreula!C49 + Veelmit!C49 + Aplasia!C49 + 'Elja and Munusia'!C49 + Walporein!C49 + 'Crila Republic'!C49 + 'Niretui and Anulan'!C49 + 'Rethern'!C49 + Tvecoca!C49</f>
        <v>85323469.531848818</v>
      </c>
      <c r="GS49" s="7">
        <f t="shared" si="54"/>
        <v>1.9987731162058195E-2</v>
      </c>
      <c r="GT49" s="5">
        <f t="shared" si="55"/>
        <v>2.4026085221654385E-2</v>
      </c>
      <c r="HA49" s="3">
        <f t="shared" si="56"/>
        <v>1968</v>
      </c>
      <c r="HB49" s="3">
        <v>1718</v>
      </c>
      <c r="HC49" s="4">
        <f>Andsaudare!C49 + Nia!C49 + Umarcia!C49 + Mendereide!C49 + Iainoa!C49 + Isari!C49 + 'Rkmepuia'!C49 + Hiwush!C49 + Isuibul!C49 + Yutnitu!C49</f>
        <v>28660620.759987742</v>
      </c>
      <c r="HD49" s="7">
        <f t="shared" si="57"/>
        <v>2.5868878464233736E-2</v>
      </c>
      <c r="HE49" s="5">
        <f t="shared" si="58"/>
        <v>8.0704936245934843E-3</v>
      </c>
      <c r="HL49" s="3">
        <f t="shared" si="59"/>
        <v>1968</v>
      </c>
      <c r="HM49" s="3">
        <v>1718</v>
      </c>
      <c r="HN49" s="4">
        <f>Zhanshe!C49 + Volver!C49 + Finae!C49 + Myla!C49 + 'Nheyes Si'!C49 + Onphello!C49 + Hyelen!C49</f>
        <v>53981498.616416939</v>
      </c>
      <c r="HO49" s="7">
        <f t="shared" si="60"/>
        <v>2.8937161854415597E-2</v>
      </c>
      <c r="HP49" s="5">
        <f t="shared" si="61"/>
        <v>1.5200554938363493E-2</v>
      </c>
      <c r="HW49" s="3">
        <f t="shared" si="62"/>
        <v>1968</v>
      </c>
      <c r="HX49" s="3">
        <v>1718</v>
      </c>
      <c r="HY49" s="4">
        <f>Yihnurda!C49 + Ztesh!C49 + Wundry!C49 + Anymna!C49 + Shomjind!C49 + Baluyde!C49 + Letan!C49</f>
        <v>214952120.24714974</v>
      </c>
      <c r="HZ49" s="7">
        <f t="shared" si="63"/>
        <v>2.2282294644556725E-2</v>
      </c>
      <c r="IA49" s="5">
        <f t="shared" si="64"/>
        <v>6.0527988230783036E-2</v>
      </c>
      <c r="IH49" s="3">
        <f t="shared" si="65"/>
        <v>1968</v>
      </c>
      <c r="II49" s="3">
        <v>1718</v>
      </c>
      <c r="IJ49" s="4">
        <f>Iareva!C49 + 'United Mihili'!C49 + 'Mesjan Hyaa'!C49 + Desaki!C49 + 'Far Lands'!C49</f>
        <v>24779944.508244801</v>
      </c>
      <c r="IK49" s="7">
        <f t="shared" si="66"/>
        <v>2.0106008895058262E-2</v>
      </c>
      <c r="IL49" s="5">
        <f t="shared" si="67"/>
        <v>6.9777408467985857E-3</v>
      </c>
      <c r="IS49" s="3">
        <f t="shared" si="68"/>
        <v>1968</v>
      </c>
      <c r="IT49" s="3">
        <v>1718</v>
      </c>
      <c r="IU49" s="4">
        <f>Verste!C49 + Quidic!C49 + Erkizil!C49 + Ashain!C49 + Ahokini!C49</f>
        <v>172595508.80865565</v>
      </c>
      <c r="IV49" s="7">
        <f t="shared" si="69"/>
        <v>2.2659564377546203E-2</v>
      </c>
      <c r="IW49" s="5">
        <f t="shared" si="70"/>
        <v>4.8600864759299083E-2</v>
      </c>
    </row>
    <row r="50" spans="1:257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3487451289.9016719</v>
      </c>
      <c r="D50" s="5">
        <f t="shared" si="1"/>
        <v>1.8438977547179838E-2</v>
      </c>
      <c r="K50" s="3">
        <f t="shared" si="2"/>
        <v>1967</v>
      </c>
      <c r="L50" s="3">
        <v>1717</v>
      </c>
      <c r="M50" s="4">
        <f>Eldavpir!C50 + Iquir!C50 + Viussi!C50 + Umendel!C50 + 'Reerica'!C50 + Saa!C50 + Sattle!C50</f>
        <v>28342884.118222427</v>
      </c>
      <c r="N50" s="5">
        <f t="shared" si="3"/>
        <v>3.0727935640350139E-2</v>
      </c>
      <c r="O50" s="5">
        <f t="shared" si="4"/>
        <v>8.1271053735696899E-3</v>
      </c>
      <c r="V50" s="3">
        <f t="shared" si="5"/>
        <v>1967</v>
      </c>
      <c r="W50" s="3">
        <v>1717</v>
      </c>
      <c r="X50" s="4">
        <f>'Areoix Lie'!C50 + Jau!C50 + Terressin!C50 + Acetoa!C50 + 'Feio Lie'!C50</f>
        <v>393155582.02055591</v>
      </c>
      <c r="Y50" s="5">
        <f t="shared" si="6"/>
        <v>2.2071383542525566E-2</v>
      </c>
      <c r="Z50" s="5">
        <f t="shared" si="7"/>
        <v>0.11273435794185412</v>
      </c>
      <c r="AG50" s="3">
        <f t="shared" si="8"/>
        <v>1967</v>
      </c>
      <c r="AH50" s="3">
        <v>1717</v>
      </c>
      <c r="AI50" s="4">
        <f>Taniduna!C50 + Jathua!C50 + Deschon!C50 + Pelines!C50 + 'Candenat'!C50 + Othya!C50 + Yoprioq!C50 + Jshain!C50 + 'Fire Coast'!C50 + 'Rijan bu'!C50 + 'Rinew'!C50 + Enina!C50 + Trevilla!C50</f>
        <v>64462443.954959266</v>
      </c>
      <c r="AJ50" s="5">
        <f t="shared" si="9"/>
        <v>2.3251757466163231E-2</v>
      </c>
      <c r="AK50" s="5">
        <f t="shared" si="10"/>
        <v>1.8484113066071461E-2</v>
      </c>
      <c r="AR50" s="3">
        <f t="shared" si="11"/>
        <v>1967</v>
      </c>
      <c r="AS50" s="3">
        <v>1717</v>
      </c>
      <c r="AT50" s="4">
        <f>Gaeiya!C50 + 'Raledria'!C50 + Arbiya!C50 + Fincen!C50 + 'Curata'!C50</f>
        <v>167606058.64461938</v>
      </c>
      <c r="AU50" s="5">
        <f t="shared" si="12"/>
        <v>1.2550659543358605E-2</v>
      </c>
      <c r="AV50" s="5">
        <f t="shared" si="13"/>
        <v>4.8059756169195125E-2</v>
      </c>
      <c r="BC50" s="3">
        <f t="shared" si="14"/>
        <v>1967</v>
      </c>
      <c r="BD50" s="3">
        <v>1717</v>
      </c>
      <c r="BE50" s="4">
        <f>Etirha!C50 + Laselteh!C50 + Grazail!C50 + 'Disal Nila'!C50 + Pelan!C50 + Peka!C50 + Guise!C50</f>
        <v>64909779.277324088</v>
      </c>
      <c r="BF50" s="5">
        <f t="shared" si="15"/>
        <v>1.8241684742315124E-2</v>
      </c>
      <c r="BG50" s="5">
        <f t="shared" si="16"/>
        <v>1.8612383050417947E-2</v>
      </c>
      <c r="BN50" s="3">
        <f t="shared" si="17"/>
        <v>1967</v>
      </c>
      <c r="BO50" s="3">
        <v>1717</v>
      </c>
      <c r="BP50" s="4">
        <f>Genaire!C50 + 'New Misos'!C50 + Phuris!C50 + Lasri!C50 + Slyiaduun!C50 + Aetintio!C50 + Metndria!C50 + Tomscilus!C50</f>
        <v>49022219.332837686</v>
      </c>
      <c r="BQ50" s="5">
        <f t="shared" si="18"/>
        <v>2.5169960352741848E-2</v>
      </c>
      <c r="BR50" s="5">
        <f t="shared" si="19"/>
        <v>1.4056746677663235E-2</v>
      </c>
      <c r="BY50" s="3">
        <f t="shared" si="20"/>
        <v>1967</v>
      </c>
      <c r="BZ50" s="3">
        <v>1717</v>
      </c>
      <c r="CA50" s="4">
        <f>Ealdorii!C50 + Ukhdari!C50 + Hkuqo!C50 + Acrana!C50 + Zenashan!C50</f>
        <v>163925642.39286262</v>
      </c>
      <c r="CB50" s="6">
        <f t="shared" si="21"/>
        <v>1.9471922234803912E-2</v>
      </c>
      <c r="CC50" s="5">
        <f t="shared" si="22"/>
        <v>4.7004424941368708E-2</v>
      </c>
      <c r="CJ50" s="3">
        <f t="shared" si="23"/>
        <v>1967</v>
      </c>
      <c r="CK50" s="3">
        <v>1717</v>
      </c>
      <c r="CL50" s="4">
        <f>Estijan!C50 + Ikzen!C50 + Urbiqu!C50 + Danocia!C50 + Koruch!C50 + 'New Kizura'!C50 + Lydroa!C50 + Fermori!C50 + Uularin!C50 + 'Niul Spijan'!C50</f>
        <v>193417449.3414053</v>
      </c>
      <c r="CM50" s="6">
        <f t="shared" si="24"/>
        <v>1.4552569557054567E-2</v>
      </c>
      <c r="CN50" s="5">
        <f t="shared" si="25"/>
        <v>5.5460975154396686E-2</v>
      </c>
      <c r="CU50" s="3">
        <f t="shared" si="26"/>
        <v>1967</v>
      </c>
      <c r="CV50" s="3">
        <v>1717</v>
      </c>
      <c r="CW50" s="4">
        <f>Praesyu!C50 + Lycroa!C50 + Emara!C50 + Eldjo!C50 + Easuhura!C50 + Ilicuhe!C50 + Tonder!C50</f>
        <v>203825814.45627204</v>
      </c>
      <c r="CX50" s="6">
        <f t="shared" si="27"/>
        <v>8.284122074898757E-3</v>
      </c>
      <c r="CY50" s="5">
        <f t="shared" si="28"/>
        <v>5.8445494291626043E-2</v>
      </c>
      <c r="DF50" s="3">
        <f t="shared" si="29"/>
        <v>1967</v>
      </c>
      <c r="DG50" s="3">
        <v>1717</v>
      </c>
      <c r="DH50" s="4">
        <f>Verusa!C50 + Darewa!C50 + Siana!C50 + Yaxuto!C50 + 'Merela Sta'!C50 + Palina!C50</f>
        <v>137275738.11617452</v>
      </c>
      <c r="DI50" s="6">
        <f t="shared" si="30"/>
        <v>9.5951598053951506E-3</v>
      </c>
      <c r="DJ50" s="5">
        <f t="shared" si="31"/>
        <v>3.9362768596560092E-2</v>
      </c>
      <c r="DQ50" s="3">
        <f t="shared" si="32"/>
        <v>1967</v>
      </c>
      <c r="DR50" s="3">
        <v>1717</v>
      </c>
      <c r="DS50" s="4">
        <f>Sunsokua!C50 + Vayvele!C50 + Selaja!C50 + Sadain!C50</f>
        <v>82474534.700030088</v>
      </c>
      <c r="DT50" s="6">
        <f t="shared" si="33"/>
        <v>2.7564354321075606E-2</v>
      </c>
      <c r="DU50" s="5">
        <f t="shared" si="34"/>
        <v>2.3648942406405752E-2</v>
      </c>
      <c r="EB50" s="3">
        <f t="shared" si="35"/>
        <v>1967</v>
      </c>
      <c r="EC50" s="3">
        <v>1717</v>
      </c>
      <c r="ED50" s="4">
        <f>Pelugrotoa!C50 + Lieri!C50 + 'Rtesania'!C50 + Ozinia!C50</f>
        <v>226510533.19488773</v>
      </c>
      <c r="EE50" s="6">
        <f t="shared" si="36"/>
        <v>2.2526443248787744E-2</v>
      </c>
      <c r="EF50" s="5">
        <f t="shared" si="37"/>
        <v>6.495016399247662E-2</v>
      </c>
      <c r="EM50" s="3">
        <f t="shared" si="38"/>
        <v>1967</v>
      </c>
      <c r="EN50" s="3">
        <v>1717</v>
      </c>
      <c r="EO50" s="4">
        <f>Ocaun!C50 + 'Dual Cenryia'!C50 + Byllu!C50 + Exilium!C50 + Inrea!C50 + Amcha!C50 + Isnti!C50 + Galca!C50 + Otiiric!C50 + Taing!C50 + 'Cruthi Anoso'!C50</f>
        <v>97731761.556724578</v>
      </c>
      <c r="EP50" s="6">
        <f t="shared" si="39"/>
        <v>2.5124088428608537E-2</v>
      </c>
      <c r="EQ50" s="5">
        <f t="shared" si="40"/>
        <v>2.8023835584376034E-2</v>
      </c>
      <c r="EX50" s="3">
        <f t="shared" si="41"/>
        <v>1967</v>
      </c>
      <c r="EY50" s="3">
        <v>1717</v>
      </c>
      <c r="EZ50" s="4">
        <f>Sivoso!C50 + Taoisia!C50 + Seytinemas!C50 + Trian!C50 + 'Chaenia'!C50</f>
        <v>63368473.618085109</v>
      </c>
      <c r="FA50" s="6">
        <f t="shared" si="42"/>
        <v>2.5861037343135957E-2</v>
      </c>
      <c r="FB50" s="5">
        <f t="shared" si="43"/>
        <v>1.8170425434062987E-2</v>
      </c>
      <c r="FI50" s="3">
        <f t="shared" si="44"/>
        <v>1967</v>
      </c>
      <c r="FJ50" s="3">
        <v>1717</v>
      </c>
      <c r="FK50" s="4">
        <f>Migoku!C50 + 'Welenu Fana'!C50 + Haiza!C50 + Ucrua!C50 + Ihner!C50 + Oscairia!C50 + Shinam!C50 + 'Ruylku'!C50 + Taval!C50 + 'Western Migoku'!C50 + 'Pruim Fijan'!C50 + 'Canldives'!C50</f>
        <v>73153754.0440889</v>
      </c>
      <c r="FL50" s="6">
        <f t="shared" si="45"/>
        <v>2.0423304906810085E-2</v>
      </c>
      <c r="FM50" s="5">
        <f t="shared" si="46"/>
        <v>2.0976279799495481E-2</v>
      </c>
      <c r="FT50" s="3">
        <f t="shared" si="47"/>
        <v>1967</v>
      </c>
      <c r="FU50" s="3">
        <v>1717</v>
      </c>
      <c r="FV50" s="4">
        <f>Vesozata!C50 + Etretes!C50 + Kusierna!C50 + Eparia!C50</f>
        <v>48566372.85972482</v>
      </c>
      <c r="FW50" s="6">
        <f t="shared" si="48"/>
        <v>2.8420098745081831E-2</v>
      </c>
      <c r="FX50" s="5">
        <f t="shared" si="49"/>
        <v>1.3926036185897278E-2</v>
      </c>
      <c r="GE50" s="3">
        <f t="shared" si="50"/>
        <v>1967</v>
      </c>
      <c r="GF50" s="3">
        <v>1717</v>
      </c>
      <c r="GG50" s="4">
        <f>Dahe!C50 + Kaastini!C50 + Suenan!C50 + Oyreain!C50 + Sanagara!C50 + 'North Ayre'!C50 + Stinebar!C50 + 'Cloja'!C50 + 'Pha Hii'!C50 + 'Prystr Hii'!C50</f>
        <v>703951283.4739784</v>
      </c>
      <c r="GH50" s="6">
        <f t="shared" si="51"/>
        <v>1.2316323745079728E-2</v>
      </c>
      <c r="GI50" s="5">
        <f t="shared" si="52"/>
        <v>0.20185264967351735</v>
      </c>
      <c r="GP50" s="3">
        <f t="shared" si="53"/>
        <v>1967</v>
      </c>
      <c r="GQ50" s="3">
        <v>1717</v>
      </c>
      <c r="GR50" s="4">
        <f>Maalle!C50 + 'United Delet'!C50 + Ohtina!C50 + Astye!C50 + Prstreula!C50 + Veelmit!C50 + Aplasia!C50 + 'Elja and Munusia'!C50 + Walporein!C50 + 'Crila Republic'!C50 + 'Niretui and Anulan'!C50 + 'Rethern'!C50 + Tvecoca!C50</f>
        <v>83651466.507975489</v>
      </c>
      <c r="GS50" s="6">
        <f t="shared" si="54"/>
        <v>1.9940484389886513E-2</v>
      </c>
      <c r="GT50" s="5">
        <f t="shared" si="55"/>
        <v>2.3986418606103035E-2</v>
      </c>
      <c r="HA50" s="3">
        <f t="shared" si="56"/>
        <v>1967</v>
      </c>
      <c r="HB50" s="3">
        <v>1717</v>
      </c>
      <c r="HC50" s="4">
        <f>Andsaudare!C50 + Nia!C50 + Umarcia!C50 + Mendereide!C50 + Iainoa!C50 + Isari!C50 + 'Rkmepuia'!C50 + Hiwush!C50 + Isuibul!C50 + Yutnitu!C50</f>
        <v>27937898.655132052</v>
      </c>
      <c r="HD50" s="6">
        <f t="shared" si="57"/>
        <v>2.5697289140049234E-2</v>
      </c>
      <c r="HE50" s="5">
        <f t="shared" si="58"/>
        <v>8.010978887656308E-3</v>
      </c>
      <c r="HL50" s="3">
        <f t="shared" si="59"/>
        <v>1967</v>
      </c>
      <c r="HM50" s="3">
        <v>1717</v>
      </c>
      <c r="HN50" s="4">
        <f>Zhanshe!C50 + Volver!C50 + Finae!C50 + Myla!C50 + 'Nheyes Si'!C50 + Onphello!C50 + Hyelen!C50</f>
        <v>52463357.936385609</v>
      </c>
      <c r="HO50" s="6">
        <f t="shared" si="60"/>
        <v>2.2784434778604364E-2</v>
      </c>
      <c r="HP50" s="5">
        <f t="shared" si="61"/>
        <v>1.5043466868856197E-2</v>
      </c>
      <c r="HW50" s="3">
        <f t="shared" si="62"/>
        <v>1967</v>
      </c>
      <c r="HX50" s="3">
        <v>1717</v>
      </c>
      <c r="HY50" s="4">
        <f>Yihnurda!C50 + Ztesh!C50 + Wundry!C50 + Anymna!C50 + Shomjind!C50 + Baluyde!C50 + Letan!C50</f>
        <v>210266891.41856623</v>
      </c>
      <c r="HZ50" s="6">
        <f t="shared" si="63"/>
        <v>2.2091237636329086E-2</v>
      </c>
      <c r="IA50" s="5">
        <f t="shared" si="64"/>
        <v>6.0292423876261415E-2</v>
      </c>
      <c r="IH50" s="3">
        <f t="shared" si="65"/>
        <v>1967</v>
      </c>
      <c r="II50" s="3">
        <v>1717</v>
      </c>
      <c r="IJ50" s="4">
        <f>Iareva!C50 + 'United Mihili'!C50 + 'Mesjan Hyaa'!C50 + Desaki!C50 + 'Far Lands'!C50</f>
        <v>24291538.616741937</v>
      </c>
      <c r="IK50" s="6">
        <f t="shared" si="66"/>
        <v>1.978488196031827E-2</v>
      </c>
      <c r="IL50" s="5">
        <f t="shared" si="67"/>
        <v>6.965413018693899E-3</v>
      </c>
      <c r="IS50" s="3">
        <f t="shared" si="68"/>
        <v>1967</v>
      </c>
      <c r="IT50" s="3">
        <v>1717</v>
      </c>
      <c r="IU50" s="4">
        <f>Verste!C50 + Quidic!C50 + Erkizil!C50 + Ashain!C50 + Ahokini!C50</f>
        <v>168771226.34031975</v>
      </c>
      <c r="IV50" s="6">
        <f t="shared" si="69"/>
        <v>2.2815065774143623E-2</v>
      </c>
      <c r="IW50" s="5">
        <f t="shared" si="70"/>
        <v>4.8393859099628664E-2</v>
      </c>
    </row>
    <row r="51" spans="1:257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3424310505.378427</v>
      </c>
      <c r="D51" s="5">
        <f t="shared" si="1"/>
        <v>1.9444300975475871E-2</v>
      </c>
      <c r="K51" s="3">
        <f t="shared" si="2"/>
        <v>1966</v>
      </c>
      <c r="L51" s="3">
        <v>1716</v>
      </c>
      <c r="M51" s="4">
        <f>Eldavpir!C51 + Iquir!C51 + Viussi!C51 + Umendel!C51 + 'Reerica'!C51 + Saa!C51 + Sattle!C51</f>
        <v>27497929.509996373</v>
      </c>
      <c r="N51" s="5">
        <f t="shared" si="3"/>
        <v>3.0155715932191792E-2</v>
      </c>
      <c r="O51" s="5">
        <f t="shared" si="4"/>
        <v>8.030209137520233E-3</v>
      </c>
      <c r="V51" s="3">
        <f t="shared" si="5"/>
        <v>1966</v>
      </c>
      <c r="W51" s="3">
        <v>1716</v>
      </c>
      <c r="X51" s="4">
        <f>'Areoix Lie'!C51 + Jau!C51 + Terressin!C51 + Acetoa!C51 + 'Feio Lie'!C51</f>
        <v>384665482.61812067</v>
      </c>
      <c r="Y51" s="5">
        <f t="shared" si="6"/>
        <v>2.2880456542378091E-2</v>
      </c>
      <c r="Z51" s="5">
        <f t="shared" si="7"/>
        <v>0.11233370397162934</v>
      </c>
      <c r="AG51" s="3">
        <f t="shared" si="8"/>
        <v>1966</v>
      </c>
      <c r="AH51" s="3">
        <v>1716</v>
      </c>
      <c r="AI51" s="4">
        <f>Taniduna!C51 + Jathua!C51 + Deschon!C51 + Pelines!C51 + 'Candenat'!C51 + Othya!C51 + Yoprioq!C51 + Jshain!C51 + 'Fire Coast'!C51 + 'Rijan bu'!C51 + 'Rinew'!C51 + Enina!C51 + Trevilla!C51</f>
        <v>62997638.151714489</v>
      </c>
      <c r="AJ51" s="5">
        <f t="shared" si="9"/>
        <v>2.3585271707171708E-2</v>
      </c>
      <c r="AK51" s="5">
        <f t="shared" si="10"/>
        <v>1.8397174570695802E-2</v>
      </c>
      <c r="AR51" s="3">
        <f t="shared" si="11"/>
        <v>1966</v>
      </c>
      <c r="AS51" s="3">
        <v>1716</v>
      </c>
      <c r="AT51" s="4">
        <f>Gaeiya!C51 + 'Raledria'!C51 + Arbiya!C51 + Fincen!C51 + 'Curata'!C51</f>
        <v>165528565.968449</v>
      </c>
      <c r="AU51" s="5">
        <f t="shared" si="12"/>
        <v>2.1615560577669151E-2</v>
      </c>
      <c r="AV51" s="5">
        <f t="shared" si="13"/>
        <v>4.8339239595375456E-2</v>
      </c>
      <c r="BC51" s="3">
        <f t="shared" si="14"/>
        <v>1966</v>
      </c>
      <c r="BD51" s="3">
        <v>1716</v>
      </c>
      <c r="BE51" s="4">
        <f>Etirha!C51 + Laselteh!C51 + Grazail!C51 + 'Disal Nila'!C51 + Pelan!C51 + Peka!C51 + Guise!C51</f>
        <v>63746927.915007435</v>
      </c>
      <c r="BF51" s="5">
        <f t="shared" si="15"/>
        <v>1.9228741931888428E-2</v>
      </c>
      <c r="BG51" s="5">
        <f t="shared" si="16"/>
        <v>1.8615989354611007E-2</v>
      </c>
      <c r="BN51" s="3">
        <f t="shared" si="17"/>
        <v>1966</v>
      </c>
      <c r="BO51" s="3">
        <v>1716</v>
      </c>
      <c r="BP51" s="4">
        <f>Genaire!C51 + 'New Misos'!C51 + Phuris!C51 + Lasri!C51 + Slyiaduun!C51 + Aetintio!C51 + Metndria!C51 + Tomscilus!C51</f>
        <v>47818626.402172431</v>
      </c>
      <c r="BQ51" s="5">
        <f t="shared" si="18"/>
        <v>2.5626579053389827E-2</v>
      </c>
      <c r="BR51" s="5">
        <f t="shared" si="19"/>
        <v>1.3964453961480898E-2</v>
      </c>
      <c r="BY51" s="3">
        <f t="shared" si="20"/>
        <v>1966</v>
      </c>
      <c r="BZ51" s="3">
        <v>1716</v>
      </c>
      <c r="CA51" s="4">
        <f>Ealdorii!C51 + Ukhdari!C51 + Hkuqo!C51 + Acrana!C51 + Zenashan!C51</f>
        <v>160794661.25316927</v>
      </c>
      <c r="CB51" s="7">
        <f t="shared" si="21"/>
        <v>1.9418590676439942E-2</v>
      </c>
      <c r="CC51" s="5">
        <f t="shared" si="22"/>
        <v>4.6956799332483298E-2</v>
      </c>
      <c r="CJ51" s="3">
        <f t="shared" si="23"/>
        <v>1966</v>
      </c>
      <c r="CK51" s="3">
        <v>1716</v>
      </c>
      <c r="CL51" s="4">
        <f>Estijan!C51 + Ikzen!C51 + Urbiqu!C51 + Danocia!C51 + Koruch!C51 + 'New Kizura'!C51 + Lydroa!C51 + Fermori!C51 + Uularin!C51 + 'Niul Spijan'!C51</f>
        <v>190643102.33411542</v>
      </c>
      <c r="CM51" s="7">
        <f t="shared" si="24"/>
        <v>1.5423405270285259E-2</v>
      </c>
      <c r="CN51" s="5">
        <f t="shared" si="25"/>
        <v>5.5673427405219224E-2</v>
      </c>
      <c r="CU51" s="3">
        <f t="shared" si="26"/>
        <v>1966</v>
      </c>
      <c r="CV51" s="3">
        <v>1716</v>
      </c>
      <c r="CW51" s="4">
        <f>Praesyu!C51 + Lycroa!C51 + Emara!C51 + Eldjo!C51 + Easuhura!C51 + Ilicuhe!C51 + Tonder!C51</f>
        <v>202151169.49062812</v>
      </c>
      <c r="CX51" s="7">
        <f t="shared" si="27"/>
        <v>8.0149922435458747E-3</v>
      </c>
      <c r="CY51" s="5">
        <f t="shared" si="28"/>
        <v>5.9034123562427356E-2</v>
      </c>
      <c r="DF51" s="3">
        <f t="shared" si="29"/>
        <v>1966</v>
      </c>
      <c r="DG51" s="3">
        <v>1716</v>
      </c>
      <c r="DH51" s="4">
        <f>Verusa!C51 + Darewa!C51 + Siana!C51 + Yaxuto!C51 + 'Merela Sta'!C51 + Palina!C51</f>
        <v>135971073.93287736</v>
      </c>
      <c r="DI51" s="7">
        <f t="shared" si="30"/>
        <v>9.6794909901573231E-3</v>
      </c>
      <c r="DJ51" s="5">
        <f t="shared" si="31"/>
        <v>3.9707577253672834E-2</v>
      </c>
      <c r="DQ51" s="3">
        <f t="shared" si="32"/>
        <v>1966</v>
      </c>
      <c r="DR51" s="3">
        <v>1716</v>
      </c>
      <c r="DS51" s="4">
        <f>Sunsokua!C51 + Vayvele!C51 + Selaja!C51 + Sadain!C51</f>
        <v>80262160.080982983</v>
      </c>
      <c r="DT51" s="7">
        <f t="shared" si="33"/>
        <v>2.7512643386357286E-2</v>
      </c>
      <c r="DU51" s="5">
        <f t="shared" si="34"/>
        <v>2.3438925866949983E-2</v>
      </c>
      <c r="EB51" s="3">
        <f t="shared" si="35"/>
        <v>1966</v>
      </c>
      <c r="EC51" s="3">
        <v>1716</v>
      </c>
      <c r="ED51" s="4">
        <f>Pelugrotoa!C51 + Lieri!C51 + 'Rtesania'!C51 + Ozinia!C51</f>
        <v>221520465.01136416</v>
      </c>
      <c r="EE51" s="7">
        <f t="shared" si="36"/>
        <v>2.929175976671473E-2</v>
      </c>
      <c r="EF51" s="5">
        <f t="shared" si="37"/>
        <v>6.4690531031993403E-2</v>
      </c>
      <c r="EM51" s="3">
        <f t="shared" si="38"/>
        <v>1966</v>
      </c>
      <c r="EN51" s="3">
        <v>1716</v>
      </c>
      <c r="EO51" s="4">
        <f>Ocaun!C51 + 'Dual Cenryia'!C51 + Byllu!C51 + Exilium!C51 + Inrea!C51 + Amcha!C51 + Isnti!C51 + Galca!C51 + Otiiric!C51 + Taing!C51 + 'Cruthi Anoso'!C51</f>
        <v>95336518.437036797</v>
      </c>
      <c r="EP51" s="7">
        <f t="shared" si="39"/>
        <v>2.5556084021836727E-2</v>
      </c>
      <c r="EQ51" s="5">
        <f t="shared" si="40"/>
        <v>2.7841084588355977E-2</v>
      </c>
      <c r="EX51" s="3">
        <f t="shared" si="41"/>
        <v>1966</v>
      </c>
      <c r="EY51" s="3">
        <v>1716</v>
      </c>
      <c r="EZ51" s="4">
        <f>Sivoso!C51 + Taoisia!C51 + Seytinemas!C51 + Trian!C51 + 'Chaenia'!C51</f>
        <v>61771011.190952614</v>
      </c>
      <c r="FA51" s="7">
        <f t="shared" si="42"/>
        <v>2.5716203571021595E-2</v>
      </c>
      <c r="FB51" s="5">
        <f t="shared" si="43"/>
        <v>1.8038963199724839E-2</v>
      </c>
      <c r="FI51" s="3">
        <f t="shared" si="44"/>
        <v>1966</v>
      </c>
      <c r="FJ51" s="3">
        <v>1716</v>
      </c>
      <c r="FK51" s="4">
        <f>Migoku!C51 + 'Welenu Fana'!C51 + Haiza!C51 + Ucrua!C51 + Ihner!C51 + Oscairia!C51 + Shinam!C51 + 'Ruylku'!C51 + Taval!C51 + 'Western Migoku'!C51 + 'Pruim Fijan'!C51 + 'Canldives'!C51</f>
        <v>71689615.17472364</v>
      </c>
      <c r="FL51" s="7">
        <f t="shared" si="45"/>
        <v>2.003534487249092E-2</v>
      </c>
      <c r="FM51" s="5">
        <f t="shared" si="46"/>
        <v>2.0935489074990026E-2</v>
      </c>
      <c r="FT51" s="3">
        <f t="shared" si="47"/>
        <v>1966</v>
      </c>
      <c r="FU51" s="3">
        <v>1716</v>
      </c>
      <c r="FV51" s="4">
        <f>Vesozata!C51 + Etretes!C51 + Kusierna!C51 + Eparia!C51</f>
        <v>47224254.873069279</v>
      </c>
      <c r="FW51" s="7">
        <f t="shared" si="48"/>
        <v>2.4038497365184333E-2</v>
      </c>
      <c r="FX51" s="5">
        <f t="shared" si="49"/>
        <v>1.3790879886300041E-2</v>
      </c>
      <c r="GE51" s="3">
        <f t="shared" si="50"/>
        <v>1966</v>
      </c>
      <c r="GF51" s="3">
        <v>1716</v>
      </c>
      <c r="GG51" s="4">
        <f>Dahe!C51 + Kaastini!C51 + Suenan!C51 + Oyreain!C51 + Sanagara!C51 + 'North Ayre'!C51 + Stinebar!C51 + 'Cloja'!C51 + 'Pha Hii'!C51 + 'Prystr Hii'!C51</f>
        <v>695386676.04380798</v>
      </c>
      <c r="GH51" s="7">
        <f t="shared" si="51"/>
        <v>1.2365384428184235E-2</v>
      </c>
      <c r="GI51" s="5">
        <f t="shared" si="52"/>
        <v>0.20307348733463046</v>
      </c>
      <c r="GP51" s="3">
        <f t="shared" si="53"/>
        <v>1966</v>
      </c>
      <c r="GQ51" s="3">
        <v>1716</v>
      </c>
      <c r="GR51" s="4">
        <f>Maalle!C51 + 'United Delet'!C51 + Ohtina!C51 + Astye!C51 + Prstreula!C51 + Veelmit!C51 + Aplasia!C51 + 'Elja and Munusia'!C51 + Walporein!C51 + 'Crila Republic'!C51 + 'Niretui and Anulan'!C51 + 'Rethern'!C51 + Tvecoca!C51</f>
        <v>82016027.197914958</v>
      </c>
      <c r="GS51" s="7">
        <f t="shared" si="54"/>
        <v>1.9939301130479675E-2</v>
      </c>
      <c r="GT51" s="5">
        <f t="shared" si="55"/>
        <v>2.3951106965649196E-2</v>
      </c>
      <c r="HA51" s="3">
        <f t="shared" si="56"/>
        <v>1966</v>
      </c>
      <c r="HB51" s="3">
        <v>1716</v>
      </c>
      <c r="HC51" s="4">
        <f>Andsaudare!C51 + Nia!C51 + Umarcia!C51 + Mendereide!C51 + Iainoa!C51 + Isari!C51 + 'Rkmepuia'!C51 + Hiwush!C51 + Isuibul!C51 + Yutnitu!C51</f>
        <v>27237956.998555932</v>
      </c>
      <c r="HD51" s="7">
        <f t="shared" si="57"/>
        <v>2.5557281322295487E-2</v>
      </c>
      <c r="HE51" s="5">
        <f t="shared" si="58"/>
        <v>7.9542894710553751E-3</v>
      </c>
      <c r="HL51" s="3">
        <f t="shared" si="59"/>
        <v>1966</v>
      </c>
      <c r="HM51" s="3">
        <v>1716</v>
      </c>
      <c r="HN51" s="4">
        <f>Zhanshe!C51 + Volver!C51 + Finae!C51 + Myla!C51 + 'Nheyes Si'!C51 + Onphello!C51 + Hyelen!C51</f>
        <v>51294638.588963293</v>
      </c>
      <c r="HO51" s="7">
        <f t="shared" si="60"/>
        <v>2.7693008461671872E-2</v>
      </c>
      <c r="HP51" s="5">
        <f t="shared" si="61"/>
        <v>1.4979552382413004E-2</v>
      </c>
      <c r="HW51" s="3">
        <f t="shared" si="62"/>
        <v>1966</v>
      </c>
      <c r="HX51" s="3">
        <v>1716</v>
      </c>
      <c r="HY51" s="4">
        <f>Yihnurda!C51 + Ztesh!C51 + Wundry!C51 + Anymna!C51 + Shomjind!C51 + Baluyde!C51 + Letan!C51</f>
        <v>205722232.68915394</v>
      </c>
      <c r="HZ51" s="7">
        <f t="shared" si="63"/>
        <v>2.1885078505149272E-2</v>
      </c>
      <c r="IA51" s="5">
        <f t="shared" si="64"/>
        <v>6.0076979691542076E-2</v>
      </c>
      <c r="IH51" s="3">
        <f t="shared" si="65"/>
        <v>1966</v>
      </c>
      <c r="II51" s="3">
        <v>1716</v>
      </c>
      <c r="IJ51" s="4">
        <f>Iareva!C51 + 'United Mihili'!C51 + 'Mesjan Hyaa'!C51 + Desaki!C51 + 'Far Lands'!C51</f>
        <v>23820257.631243415</v>
      </c>
      <c r="IK51" s="7">
        <f t="shared" si="66"/>
        <v>1.7887807571099829E-2</v>
      </c>
      <c r="IL51" s="5">
        <f t="shared" si="67"/>
        <v>6.9562201190078686E-3</v>
      </c>
      <c r="IS51" s="3">
        <f t="shared" si="68"/>
        <v>1966</v>
      </c>
      <c r="IT51" s="3">
        <v>1716</v>
      </c>
      <c r="IU51" s="4">
        <f>Verste!C51 + Quidic!C51 + Erkizil!C51 + Ashain!C51 + Ahokini!C51</f>
        <v>165006590.13326222</v>
      </c>
      <c r="IV51" s="7">
        <f t="shared" si="69"/>
        <v>2.282164327214312E-2</v>
      </c>
      <c r="IW51" s="5">
        <f t="shared" si="70"/>
        <v>4.818680720515648E-2</v>
      </c>
    </row>
    <row r="52" spans="1:257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3358997153.7452378</v>
      </c>
      <c r="D52" s="5">
        <f t="shared" si="1"/>
        <v>1.9527612749616213E-2</v>
      </c>
      <c r="K52" s="3">
        <f t="shared" si="2"/>
        <v>1965</v>
      </c>
      <c r="L52" s="3">
        <v>1715</v>
      </c>
      <c r="M52" s="4">
        <f>Eldavpir!C52 + Iquir!C52 + Viussi!C52 + Umendel!C52 + 'Reerica'!C52 + Saa!C52 + Sattle!C52</f>
        <v>26692983.48270911</v>
      </c>
      <c r="N52" s="5">
        <f t="shared" si="3"/>
        <v>2.9480210175158804E-2</v>
      </c>
      <c r="O52" s="5">
        <f t="shared" si="4"/>
        <v>7.9467121467926179E-3</v>
      </c>
      <c r="V52" s="3">
        <f t="shared" si="5"/>
        <v>1965</v>
      </c>
      <c r="W52" s="3">
        <v>1715</v>
      </c>
      <c r="X52" s="4">
        <f>'Areoix Lie'!C52 + Jau!C52 + Terressin!C52 + Acetoa!C52 + 'Feio Lie'!C52</f>
        <v>376061034.46183491</v>
      </c>
      <c r="Y52" s="5">
        <f t="shared" si="6"/>
        <v>2.3683881824784998E-2</v>
      </c>
      <c r="Z52" s="5">
        <f t="shared" si="7"/>
        <v>0.11195634210125238</v>
      </c>
      <c r="AG52" s="3">
        <f t="shared" si="8"/>
        <v>1965</v>
      </c>
      <c r="AH52" s="3">
        <v>1715</v>
      </c>
      <c r="AI52" s="4">
        <f>Taniduna!C52 + Jathua!C52 + Deschon!C52 + Pelines!C52 + 'Candenat'!C52 + Othya!C52 + Yoprioq!C52 + Jshain!C52 + 'Fire Coast'!C52 + 'Rijan bu'!C52 + 'Rinew'!C52 + Enina!C52 + Trevilla!C52</f>
        <v>61546057.659314305</v>
      </c>
      <c r="AJ52" s="5">
        <f t="shared" si="9"/>
        <v>2.3631623334551721E-2</v>
      </c>
      <c r="AK52" s="5">
        <f t="shared" si="10"/>
        <v>1.8322747785210612E-2</v>
      </c>
      <c r="AR52" s="3">
        <f t="shared" si="11"/>
        <v>1965</v>
      </c>
      <c r="AS52" s="3">
        <v>1715</v>
      </c>
      <c r="AT52" s="4">
        <f>Gaeiya!C52 + 'Raledria'!C52 + Arbiya!C52 + Fincen!C52 + 'Curata'!C52</f>
        <v>162026277.15933713</v>
      </c>
      <c r="AU52" s="5">
        <f t="shared" si="12"/>
        <v>1.869263571250137E-2</v>
      </c>
      <c r="AV52" s="5">
        <f t="shared" si="13"/>
        <v>4.8236503260706831E-2</v>
      </c>
      <c r="BC52" s="3">
        <f t="shared" si="14"/>
        <v>1965</v>
      </c>
      <c r="BD52" s="3">
        <v>1715</v>
      </c>
      <c r="BE52" s="4">
        <f>Etirha!C52 + Laselteh!C52 + Grazail!C52 + 'Disal Nila'!C52 + Pelan!C52 + Peka!C52 + Guise!C52</f>
        <v>62544280.093768612</v>
      </c>
      <c r="BF52" s="5">
        <f t="shared" si="15"/>
        <v>1.5985912479991583E-2</v>
      </c>
      <c r="BG52" s="5">
        <f t="shared" si="16"/>
        <v>1.8619926493248902E-2</v>
      </c>
      <c r="BN52" s="3">
        <f t="shared" si="17"/>
        <v>1965</v>
      </c>
      <c r="BO52" s="3">
        <v>1715</v>
      </c>
      <c r="BP52" s="4">
        <f>Genaire!C52 + 'New Misos'!C52 + Phuris!C52 + Lasri!C52 + Slyiaduun!C52 + Aetintio!C52 + Metndria!C52 + Tomscilus!C52</f>
        <v>46623817.458306327</v>
      </c>
      <c r="BQ52" s="5">
        <f t="shared" si="18"/>
        <v>2.5707555181835873E-2</v>
      </c>
      <c r="BR52" s="5">
        <f t="shared" si="19"/>
        <v>1.3880278941683944E-2</v>
      </c>
      <c r="BY52" s="3">
        <f t="shared" si="20"/>
        <v>1965</v>
      </c>
      <c r="BZ52" s="3">
        <v>1715</v>
      </c>
      <c r="CA52" s="4">
        <f>Ealdorii!C52 + Ukhdari!C52 + Hkuqo!C52 + Acrana!C52 + Zenashan!C52</f>
        <v>157731733.28776869</v>
      </c>
      <c r="CB52" s="6">
        <f t="shared" si="21"/>
        <v>1.957805725936778E-2</v>
      </c>
      <c r="CC52" s="5">
        <f t="shared" si="22"/>
        <v>4.6957983608857744E-2</v>
      </c>
      <c r="CJ52" s="3">
        <f t="shared" si="23"/>
        <v>1965</v>
      </c>
      <c r="CK52" s="3">
        <v>1715</v>
      </c>
      <c r="CL52" s="4">
        <f>Estijan!C52 + Ikzen!C52 + Urbiqu!C52 + Danocia!C52 + Koruch!C52 + 'New Kizura'!C52 + Lydroa!C52 + Fermori!C52 + Uularin!C52 + 'Niul Spijan'!C52</f>
        <v>187747398.12440118</v>
      </c>
      <c r="CM52" s="6">
        <f t="shared" si="24"/>
        <v>1.671003945109022E-2</v>
      </c>
      <c r="CN52" s="5">
        <f t="shared" si="25"/>
        <v>5.5893884255026921E-2</v>
      </c>
      <c r="CU52" s="3">
        <f t="shared" si="26"/>
        <v>1965</v>
      </c>
      <c r="CV52" s="3">
        <v>1715</v>
      </c>
      <c r="CW52" s="4">
        <f>Praesyu!C52 + Lycroa!C52 + Emara!C52 + Eldjo!C52 + Easuhura!C52 + Ilicuhe!C52 + Tonder!C52</f>
        <v>200543812.3898325</v>
      </c>
      <c r="CX52" s="6">
        <f t="shared" si="27"/>
        <v>7.9317557008296239E-3</v>
      </c>
      <c r="CY52" s="5">
        <f t="shared" si="28"/>
        <v>5.9703477916386076E-2</v>
      </c>
      <c r="DF52" s="3">
        <f t="shared" si="29"/>
        <v>1965</v>
      </c>
      <c r="DG52" s="3">
        <v>1715</v>
      </c>
      <c r="DH52" s="4">
        <f>Verusa!C52 + Darewa!C52 + Siana!C52 + Yaxuto!C52 + 'Merela Sta'!C52 + Palina!C52</f>
        <v>134667560.4944053</v>
      </c>
      <c r="DI52" s="6">
        <f t="shared" si="30"/>
        <v>9.6540072239621397E-3</v>
      </c>
      <c r="DJ52" s="5">
        <f t="shared" si="31"/>
        <v>4.0091597084044188E-2</v>
      </c>
      <c r="DQ52" s="3">
        <f t="shared" si="32"/>
        <v>1965</v>
      </c>
      <c r="DR52" s="3">
        <v>1715</v>
      </c>
      <c r="DS52" s="4">
        <f>Sunsokua!C52 + Vayvele!C52 + Selaja!C52 + Sadain!C52</f>
        <v>78113063.228559643</v>
      </c>
      <c r="DT52" s="6">
        <f t="shared" si="33"/>
        <v>2.6307652303880848E-2</v>
      </c>
      <c r="DU52" s="5">
        <f t="shared" si="34"/>
        <v>2.3254876278017859E-2</v>
      </c>
      <c r="EB52" s="3">
        <f t="shared" si="35"/>
        <v>1965</v>
      </c>
      <c r="EC52" s="3">
        <v>1715</v>
      </c>
      <c r="ED52" s="4">
        <f>Pelugrotoa!C52 + Lieri!C52 + 'Rtesania'!C52 + Ozinia!C52</f>
        <v>215216397.98376602</v>
      </c>
      <c r="EE52" s="6">
        <f t="shared" si="36"/>
        <v>3.0610113002563045E-2</v>
      </c>
      <c r="EF52" s="5">
        <f t="shared" si="37"/>
        <v>6.4071622610278947E-2</v>
      </c>
      <c r="EM52" s="3">
        <f t="shared" si="38"/>
        <v>1965</v>
      </c>
      <c r="EN52" s="3">
        <v>1715</v>
      </c>
      <c r="EO52" s="4">
        <f>Ocaun!C52 + 'Dual Cenryia'!C52 + Byllu!C52 + Exilium!C52 + Inrea!C52 + Amcha!C52 + Isnti!C52 + Galca!C52 + Otiiric!C52 + Taing!C52 + 'Cruthi Anoso'!C52</f>
        <v>92960804.311319202</v>
      </c>
      <c r="EP52" s="6">
        <f t="shared" si="39"/>
        <v>2.5547350604428799E-2</v>
      </c>
      <c r="EQ52" s="5">
        <f t="shared" si="40"/>
        <v>2.7675166145249373E-2</v>
      </c>
      <c r="EX52" s="3">
        <f t="shared" si="41"/>
        <v>1965</v>
      </c>
      <c r="EY52" s="3">
        <v>1715</v>
      </c>
      <c r="EZ52" s="4">
        <f>Sivoso!C52 + Taoisia!C52 + Seytinemas!C52 + Trian!C52 + 'Chaenia'!C52</f>
        <v>60222321.706430495</v>
      </c>
      <c r="FA52" s="6">
        <f t="shared" si="42"/>
        <v>2.557119844345606E-2</v>
      </c>
      <c r="FB52" s="5">
        <f t="shared" si="43"/>
        <v>1.7928661130088602E-2</v>
      </c>
      <c r="FI52" s="3">
        <f t="shared" si="44"/>
        <v>1965</v>
      </c>
      <c r="FJ52" s="3">
        <v>1715</v>
      </c>
      <c r="FK52" s="4">
        <f>Migoku!C52 + 'Welenu Fana'!C52 + Haiza!C52 + Ucrua!C52 + Ihner!C52 + Oscairia!C52 + Shinam!C52 + 'Ruylku'!C52 + Taval!C52 + 'Western Migoku'!C52 + 'Pruim Fijan'!C52 + 'Canldives'!C52</f>
        <v>70281501.062774613</v>
      </c>
      <c r="FL52" s="6">
        <f t="shared" si="45"/>
        <v>1.9891020631369521E-2</v>
      </c>
      <c r="FM52" s="5">
        <f t="shared" si="46"/>
        <v>2.0923358325687078E-2</v>
      </c>
      <c r="FT52" s="3">
        <f t="shared" si="47"/>
        <v>1965</v>
      </c>
      <c r="FU52" s="3">
        <v>1715</v>
      </c>
      <c r="FV52" s="4">
        <f>Vesozata!C52 + Etretes!C52 + Kusierna!C52 + Eparia!C52</f>
        <v>46115702.675803356</v>
      </c>
      <c r="FW52" s="6">
        <f t="shared" si="48"/>
        <v>2.6094447620365821E-2</v>
      </c>
      <c r="FX52" s="5">
        <f t="shared" si="49"/>
        <v>1.3729009155123859E-2</v>
      </c>
      <c r="GE52" s="3">
        <f t="shared" si="50"/>
        <v>1965</v>
      </c>
      <c r="GF52" s="3">
        <v>1715</v>
      </c>
      <c r="GG52" s="4">
        <f>Dahe!C52 + Kaastini!C52 + Suenan!C52 + Oyreain!C52 + Sanagara!C52 + 'North Ayre'!C52 + Stinebar!C52 + 'Cloja'!C52 + 'Pha Hii'!C52 + 'Prystr Hii'!C52</f>
        <v>686892980.28160477</v>
      </c>
      <c r="GH52" s="6">
        <f t="shared" si="51"/>
        <v>1.2602401487164856E-2</v>
      </c>
      <c r="GI52" s="5">
        <f t="shared" si="52"/>
        <v>0.20449346898544649</v>
      </c>
      <c r="GP52" s="3">
        <f t="shared" si="53"/>
        <v>1965</v>
      </c>
      <c r="GQ52" s="3">
        <v>1715</v>
      </c>
      <c r="GR52" s="4">
        <f>Maalle!C52 + 'United Delet'!C52 + Ohtina!C52 + Astye!C52 + Prstreula!C52 + Veelmit!C52 + Aplasia!C52 + 'Elja and Munusia'!C52 + Walporein!C52 + 'Crila Republic'!C52 + 'Niretui and Anulan'!C52 + 'Rethern'!C52 + Tvecoca!C52</f>
        <v>80412655.054090068</v>
      </c>
      <c r="GS52" s="6">
        <f t="shared" si="54"/>
        <v>2.0037842407337976E-2</v>
      </c>
      <c r="GT52" s="5">
        <f t="shared" si="55"/>
        <v>2.3939482938957247E-2</v>
      </c>
      <c r="HA52" s="3">
        <f t="shared" si="56"/>
        <v>1965</v>
      </c>
      <c r="HB52" s="3">
        <v>1715</v>
      </c>
      <c r="HC52" s="4">
        <f>Andsaudare!C52 + Nia!C52 + Umarcia!C52 + Mendereide!C52 + Iainoa!C52 + Isari!C52 + 'Rkmepuia'!C52 + Hiwush!C52 + Isuibul!C52 + Yutnitu!C52</f>
        <v>26559176.649242695</v>
      </c>
      <c r="HD52" s="6">
        <f t="shared" si="57"/>
        <v>2.5558183603596005E-2</v>
      </c>
      <c r="HE52" s="5">
        <f t="shared" si="58"/>
        <v>7.9068767949474327E-3</v>
      </c>
      <c r="HL52" s="3">
        <f t="shared" si="59"/>
        <v>1965</v>
      </c>
      <c r="HM52" s="3">
        <v>1715</v>
      </c>
      <c r="HN52" s="4">
        <f>Zhanshe!C52 + Volver!C52 + Finae!C52 + Myla!C52 + 'Nheyes Si'!C52 + Onphello!C52 + Hyelen!C52</f>
        <v>49912413.694187686</v>
      </c>
      <c r="HO52" s="6">
        <f t="shared" si="60"/>
        <v>2.9313978796966782E-2</v>
      </c>
      <c r="HP52" s="5">
        <f t="shared" si="61"/>
        <v>1.4859320032032775E-2</v>
      </c>
      <c r="HW52" s="3">
        <f t="shared" si="62"/>
        <v>1965</v>
      </c>
      <c r="HX52" s="3">
        <v>1715</v>
      </c>
      <c r="HY52" s="4">
        <f>Yihnurda!C52 + Ztesh!C52 + Wundry!C52 + Anymna!C52 + Shomjind!C52 + Baluyde!C52 + Letan!C52</f>
        <v>201316407.31078285</v>
      </c>
      <c r="HZ52" s="6">
        <f t="shared" si="63"/>
        <v>2.148635692030948E-2</v>
      </c>
      <c r="IA52" s="5">
        <f t="shared" si="64"/>
        <v>5.993348553044104E-2</v>
      </c>
      <c r="IH52" s="3">
        <f t="shared" si="65"/>
        <v>1965</v>
      </c>
      <c r="II52" s="3">
        <v>1715</v>
      </c>
      <c r="IJ52" s="4">
        <f>Iareva!C52 + 'United Mihili'!C52 + 'Mesjan Hyaa'!C52 + Desaki!C52 + 'Far Lands'!C52</f>
        <v>23401653.359110072</v>
      </c>
      <c r="IK52" s="6">
        <f t="shared" si="66"/>
        <v>1.6434595445697926E-2</v>
      </c>
      <c r="IL52" s="5">
        <f t="shared" si="67"/>
        <v>6.9668571564633613E-3</v>
      </c>
      <c r="IS52" s="3">
        <f t="shared" si="68"/>
        <v>1965</v>
      </c>
      <c r="IT52" s="3">
        <v>1715</v>
      </c>
      <c r="IU52" s="4">
        <f>Verste!C52 + Quidic!C52 + Erkizil!C52 + Ashain!C52 + Ahokini!C52</f>
        <v>161324891.01949787</v>
      </c>
      <c r="IV52" s="6">
        <f t="shared" si="69"/>
        <v>2.3274395061955794E-2</v>
      </c>
      <c r="IW52" s="5">
        <f t="shared" si="70"/>
        <v>4.8027695063576556E-2</v>
      </c>
    </row>
    <row r="53" spans="1:257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3294660303.2027612</v>
      </c>
      <c r="D53" s="5">
        <f t="shared" si="1"/>
        <v>1.9850666291378678E-2</v>
      </c>
      <c r="K53" s="3">
        <f t="shared" si="2"/>
        <v>1964</v>
      </c>
      <c r="L53" s="3">
        <v>1714</v>
      </c>
      <c r="M53" s="4">
        <f>Eldavpir!C53 + Iquir!C53 + Viussi!C53 + Umendel!C53 + 'Reerica'!C53 + Saa!C53 + Sattle!C53</f>
        <v>25928602.821969241</v>
      </c>
      <c r="N53" s="5">
        <f t="shared" si="3"/>
        <v>2.8461464625414542E-2</v>
      </c>
      <c r="O53" s="5">
        <f t="shared" si="4"/>
        <v>7.8698865545452062E-3</v>
      </c>
      <c r="V53" s="3">
        <f t="shared" si="5"/>
        <v>1964</v>
      </c>
      <c r="W53" s="3">
        <v>1714</v>
      </c>
      <c r="X53" s="4">
        <f>'Areoix Lie'!C53 + Jau!C53 + Terressin!C53 + Acetoa!C53 + 'Feio Lie'!C53</f>
        <v>367360511.51990491</v>
      </c>
      <c r="Y53" s="5">
        <f t="shared" si="6"/>
        <v>2.4314672794485667E-2</v>
      </c>
      <c r="Z53" s="5">
        <f t="shared" si="7"/>
        <v>0.1115017870469958</v>
      </c>
      <c r="AG53" s="3">
        <f t="shared" si="8"/>
        <v>1964</v>
      </c>
      <c r="AH53" s="3">
        <v>1714</v>
      </c>
      <c r="AI53" s="4">
        <f>Taniduna!C53 + Jathua!C53 + Deschon!C53 + Pelines!C53 + 'Candenat'!C53 + Othya!C53 + Yoprioq!C53 + Jshain!C53 + 'Fire Coast'!C53 + 'Rijan bu'!C53 + 'Rinew'!C53 + Enina!C53 + Trevilla!C53</f>
        <v>60125201.543523744</v>
      </c>
      <c r="AJ53" s="5">
        <f t="shared" si="9"/>
        <v>2.3582889973910812E-2</v>
      </c>
      <c r="AK53" s="5">
        <f t="shared" si="10"/>
        <v>1.8249287031223107E-2</v>
      </c>
      <c r="AR53" s="3">
        <f t="shared" si="11"/>
        <v>1964</v>
      </c>
      <c r="AS53" s="3">
        <v>1714</v>
      </c>
      <c r="AT53" s="4">
        <f>Gaeiya!C53 + 'Raledria'!C53 + Arbiya!C53 + Fincen!C53 + 'Curata'!C53</f>
        <v>159053154.48365006</v>
      </c>
      <c r="AU53" s="5">
        <f t="shared" si="12"/>
        <v>1.8630781581287059E-2</v>
      </c>
      <c r="AV53" s="5">
        <f t="shared" si="13"/>
        <v>4.8276040576636516E-2</v>
      </c>
      <c r="BC53" s="3">
        <f t="shared" si="14"/>
        <v>1964</v>
      </c>
      <c r="BD53" s="3">
        <v>1714</v>
      </c>
      <c r="BE53" s="4">
        <f>Etirha!C53 + Laselteh!C53 + Grazail!C53 + 'Disal Nila'!C53 + Pelan!C53 + Peka!C53 + Guise!C53</f>
        <v>61560184.374111913</v>
      </c>
      <c r="BF53" s="5">
        <f t="shared" si="15"/>
        <v>1.481200988080608E-2</v>
      </c>
      <c r="BG53" s="5">
        <f t="shared" si="16"/>
        <v>1.86848350691174E-2</v>
      </c>
      <c r="BN53" s="3">
        <f t="shared" si="17"/>
        <v>1964</v>
      </c>
      <c r="BO53" s="3">
        <v>1714</v>
      </c>
      <c r="BP53" s="4">
        <f>Genaire!C53 + 'New Misos'!C53 + Phuris!C53 + Lasri!C53 + Slyiaduun!C53 + Aetintio!C53 + Metndria!C53 + Tomscilus!C53</f>
        <v>45455273.506336734</v>
      </c>
      <c r="BQ53" s="5">
        <f t="shared" si="18"/>
        <v>2.5630737930789838E-2</v>
      </c>
      <c r="BR53" s="5">
        <f t="shared" si="19"/>
        <v>1.3796649524732295E-2</v>
      </c>
      <c r="BY53" s="3">
        <f t="shared" si="20"/>
        <v>1964</v>
      </c>
      <c r="BZ53" s="3">
        <v>1714</v>
      </c>
      <c r="CA53" s="4">
        <f>Ealdorii!C53 + Ukhdari!C53 + Hkuqo!C53 + Acrana!C53 + Zenashan!C53</f>
        <v>154702950.07304549</v>
      </c>
      <c r="CB53" s="7">
        <f t="shared" si="21"/>
        <v>2.0340629612747987E-2</v>
      </c>
      <c r="CC53" s="5">
        <f t="shared" si="22"/>
        <v>4.6955660321841897E-2</v>
      </c>
      <c r="CJ53" s="3">
        <f t="shared" si="23"/>
        <v>1964</v>
      </c>
      <c r="CK53" s="3">
        <v>1714</v>
      </c>
      <c r="CL53" s="4">
        <f>Estijan!C53 + Ikzen!C53 + Urbiqu!C53 + Danocia!C53 + Koruch!C53 + 'New Kizura'!C53 + Lydroa!C53 + Fermori!C53 + Uularin!C53 + 'Niul Spijan'!C53</f>
        <v>184661693.9336645</v>
      </c>
      <c r="CM53" s="7">
        <f t="shared" si="24"/>
        <v>1.8047072786554538E-2</v>
      </c>
      <c r="CN53" s="5">
        <f t="shared" si="25"/>
        <v>5.6048781039475797E-2</v>
      </c>
      <c r="CU53" s="3">
        <f t="shared" si="26"/>
        <v>1964</v>
      </c>
      <c r="CV53" s="3">
        <v>1714</v>
      </c>
      <c r="CW53" s="4">
        <f>Praesyu!C53 + Lycroa!C53 + Emara!C53 + Eldjo!C53 + Easuhura!C53 + Ilicuhe!C53 + Tonder!C53</f>
        <v>198965665.33950651</v>
      </c>
      <c r="CX53" s="7">
        <f t="shared" si="27"/>
        <v>8.5637126317853769E-3</v>
      </c>
      <c r="CY53" s="5">
        <f t="shared" si="28"/>
        <v>6.0390342866635041E-2</v>
      </c>
      <c r="DF53" s="3">
        <f t="shared" si="29"/>
        <v>1964</v>
      </c>
      <c r="DG53" s="3">
        <v>1714</v>
      </c>
      <c r="DH53" s="4">
        <f>Verusa!C53 + Darewa!C53 + Siana!C53 + Yaxuto!C53 + 'Merela Sta'!C53 + Palina!C53</f>
        <v>133379909.88088383</v>
      </c>
      <c r="DI53" s="7">
        <f t="shared" si="30"/>
        <v>1.022567351742699E-2</v>
      </c>
      <c r="DJ53" s="5">
        <f t="shared" si="31"/>
        <v>4.0483660713435107E-2</v>
      </c>
      <c r="DQ53" s="3">
        <f t="shared" si="32"/>
        <v>1964</v>
      </c>
      <c r="DR53" s="3">
        <v>1714</v>
      </c>
      <c r="DS53" s="4">
        <f>Sunsokua!C53 + Vayvele!C53 + Selaja!C53 + Sadain!C53</f>
        <v>76110767.617497057</v>
      </c>
      <c r="DT53" s="7">
        <f t="shared" si="33"/>
        <v>2.4302119736573615E-2</v>
      </c>
      <c r="DU53" s="5">
        <f t="shared" si="34"/>
        <v>2.3101248873369212E-2</v>
      </c>
      <c r="EB53" s="3">
        <f t="shared" si="35"/>
        <v>1964</v>
      </c>
      <c r="EC53" s="3">
        <v>1714</v>
      </c>
      <c r="ED53" s="4">
        <f>Pelugrotoa!C53 + Lieri!C53 + 'Rtesania'!C53 + Ozinia!C53</f>
        <v>208824263.67499733</v>
      </c>
      <c r="EE53" s="7">
        <f t="shared" si="36"/>
        <v>3.1886594901790813E-2</v>
      </c>
      <c r="EF53" s="5">
        <f t="shared" si="37"/>
        <v>6.338263871149262E-2</v>
      </c>
      <c r="EM53" s="3">
        <f t="shared" si="38"/>
        <v>1964</v>
      </c>
      <c r="EN53" s="3">
        <v>1714</v>
      </c>
      <c r="EO53" s="4">
        <f>Ocaun!C53 + 'Dual Cenryia'!C53 + Byllu!C53 + Exilium!C53 + Inrea!C53 + Amcha!C53 + Isnti!C53 + Galca!C53 + Otiiric!C53 + Taing!C53 + 'Cruthi Anoso'!C53</f>
        <v>90645063.103649691</v>
      </c>
      <c r="EP53" s="7">
        <f t="shared" si="39"/>
        <v>2.5105902653251119E-2</v>
      </c>
      <c r="EQ53" s="5">
        <f t="shared" si="40"/>
        <v>2.7512718994286915E-2</v>
      </c>
      <c r="EX53" s="3">
        <f t="shared" si="41"/>
        <v>1964</v>
      </c>
      <c r="EY53" s="3">
        <v>1714</v>
      </c>
      <c r="EZ53" s="4">
        <f>Sivoso!C53 + Taoisia!C53 + Seytinemas!C53 + Trian!C53 + 'Chaenia'!C53</f>
        <v>58720761.462326497</v>
      </c>
      <c r="FA53" s="7">
        <f t="shared" si="42"/>
        <v>2.5364583526312642E-2</v>
      </c>
      <c r="FB53" s="5">
        <f t="shared" si="43"/>
        <v>1.782300937223897E-2</v>
      </c>
      <c r="FI53" s="3">
        <f t="shared" si="44"/>
        <v>1964</v>
      </c>
      <c r="FJ53" s="3">
        <v>1714</v>
      </c>
      <c r="FK53" s="4">
        <f>Migoku!C53 + 'Welenu Fana'!C53 + Haiza!C53 + Ucrua!C53 + Ihner!C53 + Oscairia!C53 + Shinam!C53 + 'Ruylku'!C53 + Taval!C53 + 'Western Migoku'!C53 + 'Pruim Fijan'!C53 + 'Canldives'!C53</f>
        <v>68910795.017360225</v>
      </c>
      <c r="FL53" s="7">
        <f t="shared" si="45"/>
        <v>1.9808480981413207E-2</v>
      </c>
      <c r="FM53" s="5">
        <f t="shared" si="46"/>
        <v>2.0915902908221397E-2</v>
      </c>
      <c r="FT53" s="3">
        <f t="shared" si="47"/>
        <v>1964</v>
      </c>
      <c r="FU53" s="3">
        <v>1714</v>
      </c>
      <c r="FV53" s="4">
        <f>Vesozata!C53 + Etretes!C53 + Kusierna!C53 + Eparia!C53</f>
        <v>44942941.444377869</v>
      </c>
      <c r="FW53" s="7">
        <f t="shared" si="48"/>
        <v>2.6927991399285107E-2</v>
      </c>
      <c r="FX53" s="5">
        <f t="shared" si="49"/>
        <v>1.3641145765676824E-2</v>
      </c>
      <c r="GE53" s="3">
        <f t="shared" si="50"/>
        <v>1964</v>
      </c>
      <c r="GF53" s="3">
        <v>1714</v>
      </c>
      <c r="GG53" s="4">
        <f>Dahe!C53 + Kaastini!C53 + Suenan!C53 + Oyreain!C53 + Sanagara!C53 + 'North Ayre'!C53 + Stinebar!C53 + 'Cloja'!C53 + 'Pha Hii'!C53 + 'Prystr Hii'!C53</f>
        <v>678344214.14841115</v>
      </c>
      <c r="GH53" s="7">
        <f t="shared" si="51"/>
        <v>1.3041590706360611E-2</v>
      </c>
      <c r="GI53" s="5">
        <f t="shared" si="52"/>
        <v>0.20589200455324277</v>
      </c>
      <c r="GP53" s="3">
        <f t="shared" si="53"/>
        <v>1964</v>
      </c>
      <c r="GQ53" s="3">
        <v>1714</v>
      </c>
      <c r="GR53" s="4">
        <f>Maalle!C53 + 'United Delet'!C53 + Ohtina!C53 + Astye!C53 + Prstreula!C53 + Veelmit!C53 + Aplasia!C53 + 'Elja and Munusia'!C53 + Walporein!C53 + 'Crila Republic'!C53 + 'Niretui and Anulan'!C53 + 'Rethern'!C53 + Tvecoca!C53</f>
        <v>78833011.591327205</v>
      </c>
      <c r="GS53" s="7">
        <f t="shared" si="54"/>
        <v>2.008799111381741E-2</v>
      </c>
      <c r="GT53" s="5">
        <f t="shared" si="55"/>
        <v>2.3927508251668044E-2</v>
      </c>
      <c r="HA53" s="3">
        <f t="shared" si="56"/>
        <v>1964</v>
      </c>
      <c r="HB53" s="3">
        <v>1714</v>
      </c>
      <c r="HC53" s="4">
        <f>Andsaudare!C53 + Nia!C53 + Umarcia!C53 + Mendereide!C53 + Iainoa!C53 + Isari!C53 + 'Rkmepuia'!C53 + Hiwush!C53 + Isuibul!C53 + Yutnitu!C53</f>
        <v>25897288.982590269</v>
      </c>
      <c r="HD53" s="7">
        <f t="shared" si="57"/>
        <v>2.5604821897174848E-2</v>
      </c>
      <c r="HE53" s="5">
        <f t="shared" si="58"/>
        <v>7.8603821333007671E-3</v>
      </c>
      <c r="HL53" s="3">
        <f t="shared" si="59"/>
        <v>1964</v>
      </c>
      <c r="HM53" s="3">
        <v>1714</v>
      </c>
      <c r="HN53" s="4">
        <f>Zhanshe!C53 + Volver!C53 + Finae!C53 + Myla!C53 + 'Nheyes Si'!C53 + Onphello!C53 + Hyelen!C53</f>
        <v>48490950.985163838</v>
      </c>
      <c r="HO53" s="7">
        <f t="shared" si="60"/>
        <v>3.0455799589254175E-2</v>
      </c>
      <c r="HP53" s="5">
        <f t="shared" si="61"/>
        <v>1.471804268805056E-2</v>
      </c>
      <c r="HW53" s="3">
        <f t="shared" si="62"/>
        <v>1964</v>
      </c>
      <c r="HX53" s="3">
        <v>1714</v>
      </c>
      <c r="HY53" s="4">
        <f>Yihnurda!C53 + Ztesh!C53 + Wundry!C53 + Anymna!C53 + Shomjind!C53 + Baluyde!C53 + Letan!C53</f>
        <v>197081836.62651542</v>
      </c>
      <c r="HZ53" s="7">
        <f t="shared" si="63"/>
        <v>2.1061471949574209E-2</v>
      </c>
      <c r="IA53" s="5">
        <f t="shared" si="64"/>
        <v>5.9818560485562305E-2</v>
      </c>
      <c r="IH53" s="3">
        <f t="shared" si="65"/>
        <v>1964</v>
      </c>
      <c r="II53" s="3">
        <v>1714</v>
      </c>
      <c r="IJ53" s="4">
        <f>Iareva!C53 + 'United Mihili'!C53 + 'Mesjan Hyaa'!C53 + Desaki!C53 + 'Far Lands'!C53</f>
        <v>23023275.146246519</v>
      </c>
      <c r="IK53" s="7">
        <f t="shared" si="66"/>
        <v>1.6756131814519751E-2</v>
      </c>
      <c r="IL53" s="5">
        <f t="shared" si="67"/>
        <v>6.9880573496045829E-3</v>
      </c>
      <c r="IS53" s="3">
        <f t="shared" si="68"/>
        <v>1964</v>
      </c>
      <c r="IT53" s="3">
        <v>1714</v>
      </c>
      <c r="IU53" s="4">
        <f>Verste!C53 + Quidic!C53 + Erkizil!C53 + Ashain!C53 + Ahokini!C53</f>
        <v>157655553.38627446</v>
      </c>
      <c r="IV53" s="7">
        <f t="shared" si="69"/>
        <v>2.3605586930683257E-2</v>
      </c>
      <c r="IW53" s="5">
        <f t="shared" si="70"/>
        <v>4.7851838695787983E-2</v>
      </c>
    </row>
    <row r="54" spans="1:257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3230532088.7650948</v>
      </c>
      <c r="D54" s="5">
        <f t="shared" si="1"/>
        <v>1.9966412956023485E-2</v>
      </c>
      <c r="K54" s="3">
        <f t="shared" si="2"/>
        <v>1963</v>
      </c>
      <c r="L54" s="3">
        <v>1713</v>
      </c>
      <c r="M54" s="4">
        <f>Eldavpir!C54 + Iquir!C54 + Viussi!C54 + Umendel!C54 + 'Reerica'!C54 + Saa!C54 + Sattle!C54</f>
        <v>25211059.153697059</v>
      </c>
      <c r="N54" s="5">
        <f t="shared" si="3"/>
        <v>2.7829443987956424E-2</v>
      </c>
      <c r="O54" s="5">
        <f t="shared" si="4"/>
        <v>7.803995893238211E-3</v>
      </c>
      <c r="V54" s="3">
        <f t="shared" si="5"/>
        <v>1963</v>
      </c>
      <c r="W54" s="3">
        <v>1713</v>
      </c>
      <c r="X54" s="4">
        <f>'Areoix Lie'!C54 + Jau!C54 + Terressin!C54 + Acetoa!C54 + 'Feio Lie'!C54</f>
        <v>358640290.21246934</v>
      </c>
      <c r="Y54" s="5">
        <f t="shared" si="6"/>
        <v>2.4757933571369007E-2</v>
      </c>
      <c r="Z54" s="5">
        <f t="shared" si="7"/>
        <v>0.11101585756096402</v>
      </c>
      <c r="AG54" s="3">
        <f t="shared" si="8"/>
        <v>1963</v>
      </c>
      <c r="AH54" s="3">
        <v>1713</v>
      </c>
      <c r="AI54" s="4">
        <f>Taniduna!C54 + Jathua!C54 + Deschon!C54 + Pelines!C54 + 'Candenat'!C54 + Othya!C54 + Yoprioq!C54 + Jshain!C54 + 'Fire Coast'!C54 + 'Rijan bu'!C54 + 'Rinew'!C54 + Enina!C54 + Trevilla!C54</f>
        <v>58739943.90923848</v>
      </c>
      <c r="AJ54" s="5">
        <f t="shared" si="9"/>
        <v>2.3544244710167129E-2</v>
      </c>
      <c r="AK54" s="5">
        <f t="shared" si="10"/>
        <v>1.8182745843485011E-2</v>
      </c>
      <c r="AR54" s="3">
        <f t="shared" si="11"/>
        <v>1963</v>
      </c>
      <c r="AS54" s="3">
        <v>1713</v>
      </c>
      <c r="AT54" s="4">
        <f>Gaeiya!C54 + 'Raledria'!C54 + Arbiya!C54 + Fincen!C54 + 'Curata'!C54</f>
        <v>156144068.44916022</v>
      </c>
      <c r="AU54" s="5">
        <f t="shared" si="12"/>
        <v>1.8206932400032513E-2</v>
      </c>
      <c r="AV54" s="5">
        <f t="shared" si="13"/>
        <v>4.8333854658861461E-2</v>
      </c>
      <c r="BC54" s="3">
        <f t="shared" si="14"/>
        <v>1963</v>
      </c>
      <c r="BD54" s="3">
        <v>1713</v>
      </c>
      <c r="BE54" s="4">
        <f>Etirha!C54 + Laselteh!C54 + Grazail!C54 + 'Disal Nila'!C54 + Pelan!C54 + Peka!C54 + Guise!C54</f>
        <v>60661663.219124116</v>
      </c>
      <c r="BF54" s="5">
        <f t="shared" si="15"/>
        <v>1.6292262426927741E-2</v>
      </c>
      <c r="BG54" s="5">
        <f t="shared" si="16"/>
        <v>1.8777607388605969E-2</v>
      </c>
      <c r="BN54" s="3">
        <f t="shared" si="17"/>
        <v>1963</v>
      </c>
      <c r="BO54" s="3">
        <v>1713</v>
      </c>
      <c r="BP54" s="4">
        <f>Genaire!C54 + 'New Misos'!C54 + Phuris!C54 + Lasri!C54 + Slyiaduun!C54 + Aetintio!C54 + Metndria!C54 + Tomscilus!C54</f>
        <v>44319336.214554913</v>
      </c>
      <c r="BQ54" s="5">
        <f t="shared" si="18"/>
        <v>2.5527194501077422E-2</v>
      </c>
      <c r="BR54" s="5">
        <f t="shared" si="19"/>
        <v>1.3718896762760975E-2</v>
      </c>
      <c r="BY54" s="3">
        <f t="shared" si="20"/>
        <v>1963</v>
      </c>
      <c r="BZ54" s="3">
        <v>1713</v>
      </c>
      <c r="CA54" s="4">
        <f>Ealdorii!C54 + Ukhdari!C54 + Hkuqo!C54 + Acrana!C54 + Zenashan!C54</f>
        <v>151618925.66383466</v>
      </c>
      <c r="CB54" s="6">
        <f t="shared" si="21"/>
        <v>2.1012086533536919E-2</v>
      </c>
      <c r="CC54" s="5">
        <f t="shared" si="22"/>
        <v>4.6933112409291253E-2</v>
      </c>
      <c r="CJ54" s="3">
        <f t="shared" si="23"/>
        <v>1963</v>
      </c>
      <c r="CK54" s="3">
        <v>1713</v>
      </c>
      <c r="CL54" s="4">
        <f>Estijan!C54 + Ikzen!C54 + Urbiqu!C54 + Danocia!C54 + Koruch!C54 + 'New Kizura'!C54 + Lydroa!C54 + Fermori!C54 + Uularin!C54 + 'Niul Spijan'!C54</f>
        <v>181388168.45493841</v>
      </c>
      <c r="CM54" s="6">
        <f t="shared" si="24"/>
        <v>1.9541730826638185E-2</v>
      </c>
      <c r="CN54" s="5">
        <f t="shared" si="25"/>
        <v>5.6148078233228746E-2</v>
      </c>
      <c r="CU54" s="3">
        <f t="shared" si="26"/>
        <v>1963</v>
      </c>
      <c r="CV54" s="3">
        <v>1713</v>
      </c>
      <c r="CW54" s="4">
        <f>Praesyu!C54 + Lycroa!C54 + Emara!C54 + Eldjo!C54 + Easuhura!C54 + Ilicuhe!C54 + Tonder!C54</f>
        <v>197276248.24049813</v>
      </c>
      <c r="CX54" s="6">
        <f t="shared" si="27"/>
        <v>7.9751479549941412E-3</v>
      </c>
      <c r="CY54" s="5">
        <f t="shared" si="28"/>
        <v>6.1066178208404383E-2</v>
      </c>
      <c r="DF54" s="3">
        <f t="shared" si="29"/>
        <v>1963</v>
      </c>
      <c r="DG54" s="3">
        <v>1713</v>
      </c>
      <c r="DH54" s="4">
        <f>Verusa!C54 + Darewa!C54 + Siana!C54 + Yaxuto!C54 + 'Merela Sta'!C54 + Palina!C54</f>
        <v>132029816.08701211</v>
      </c>
      <c r="DI54" s="6">
        <f t="shared" si="30"/>
        <v>9.9980621374232519E-3</v>
      </c>
      <c r="DJ54" s="5">
        <f t="shared" si="31"/>
        <v>4.0869371502662247E-2</v>
      </c>
      <c r="DQ54" s="3">
        <f t="shared" si="32"/>
        <v>1963</v>
      </c>
      <c r="DR54" s="3">
        <v>1713</v>
      </c>
      <c r="DS54" s="4">
        <f>Sunsokua!C54 + Vayvele!C54 + Selaja!C54 + Sadain!C54</f>
        <v>74304998.64343828</v>
      </c>
      <c r="DT54" s="6">
        <f t="shared" si="33"/>
        <v>2.3195233435442528E-2</v>
      </c>
      <c r="DU54" s="5">
        <f t="shared" si="34"/>
        <v>2.3000854534722222E-2</v>
      </c>
      <c r="EB54" s="3">
        <f t="shared" si="35"/>
        <v>1963</v>
      </c>
      <c r="EC54" s="3">
        <v>1713</v>
      </c>
      <c r="ED54" s="4">
        <f>Pelugrotoa!C54 + Lieri!C54 + 'Rtesania'!C54 + Ozinia!C54</f>
        <v>202371331.02293286</v>
      </c>
      <c r="EE54" s="6">
        <f t="shared" si="36"/>
        <v>3.3066299702711688E-2</v>
      </c>
      <c r="EF54" s="5">
        <f t="shared" si="37"/>
        <v>6.2643343406717705E-2</v>
      </c>
      <c r="EM54" s="3">
        <f t="shared" si="38"/>
        <v>1963</v>
      </c>
      <c r="EN54" s="3">
        <v>1713</v>
      </c>
      <c r="EO54" s="4">
        <f>Ocaun!C54 + 'Dual Cenryia'!C54 + Byllu!C54 + Exilium!C54 + Inrea!C54 + Amcha!C54 + Isnti!C54 + Galca!C54 + Otiiric!C54 + Taing!C54 + 'Cruthi Anoso'!C54</f>
        <v>88425071.857488841</v>
      </c>
      <c r="EP54" s="6">
        <f t="shared" si="39"/>
        <v>2.4839619429647242E-2</v>
      </c>
      <c r="EQ54" s="5">
        <f t="shared" si="40"/>
        <v>2.7371674209647076E-2</v>
      </c>
      <c r="EX54" s="3">
        <f t="shared" si="41"/>
        <v>1963</v>
      </c>
      <c r="EY54" s="3">
        <v>1713</v>
      </c>
      <c r="EZ54" s="4">
        <f>Sivoso!C54 + Taoisia!C54 + Seytinemas!C54 + Trian!C54 + 'Chaenia'!C54</f>
        <v>57268177.978588842</v>
      </c>
      <c r="FA54" s="6">
        <f t="shared" si="42"/>
        <v>2.5157452061495812E-2</v>
      </c>
      <c r="FB54" s="5">
        <f t="shared" si="43"/>
        <v>1.7727165805828664E-2</v>
      </c>
      <c r="FI54" s="3">
        <f t="shared" si="44"/>
        <v>1963</v>
      </c>
      <c r="FJ54" s="3">
        <v>1713</v>
      </c>
      <c r="FK54" s="4">
        <f>Migoku!C54 + 'Welenu Fana'!C54 + Haiza!C54 + Ucrua!C54 + Ihner!C54 + Oscairia!C54 + Shinam!C54 + 'Ruylku'!C54 + Taval!C54 + 'Western Migoku'!C54 + 'Pruim Fijan'!C54 + 'Canldives'!C54</f>
        <v>67572290.584447667</v>
      </c>
      <c r="FL54" s="6">
        <f t="shared" si="45"/>
        <v>1.965039799606531E-2</v>
      </c>
      <c r="FM54" s="5">
        <f t="shared" si="46"/>
        <v>2.0916768113663248E-2</v>
      </c>
      <c r="FT54" s="3">
        <f t="shared" si="47"/>
        <v>1963</v>
      </c>
      <c r="FU54" s="3">
        <v>1713</v>
      </c>
      <c r="FV54" s="4">
        <f>Vesozata!C54 + Etretes!C54 + Kusierna!C54 + Eparia!C54</f>
        <v>43764452.640091076</v>
      </c>
      <c r="FW54" s="6">
        <f t="shared" si="48"/>
        <v>2.6095450771686537E-2</v>
      </c>
      <c r="FX54" s="5">
        <f t="shared" si="49"/>
        <v>1.3547134477410655E-2</v>
      </c>
      <c r="GE54" s="3">
        <f t="shared" si="50"/>
        <v>1963</v>
      </c>
      <c r="GF54" s="3">
        <v>1713</v>
      </c>
      <c r="GG54" s="4">
        <f>Dahe!C54 + Kaastini!C54 + Suenan!C54 + Oyreain!C54 + Sanagara!C54 + 'North Ayre'!C54 + Stinebar!C54 + 'Cloja'!C54 + 'Pha Hii'!C54 + 'Prystr Hii'!C54</f>
        <v>669611416.12697661</v>
      </c>
      <c r="GH54" s="6">
        <f t="shared" si="51"/>
        <v>1.3250654458124218E-2</v>
      </c>
      <c r="GI54" s="5">
        <f t="shared" si="52"/>
        <v>0.20727589069791369</v>
      </c>
      <c r="GP54" s="3">
        <f t="shared" si="53"/>
        <v>1963</v>
      </c>
      <c r="GQ54" s="3">
        <v>1713</v>
      </c>
      <c r="GR54" s="4">
        <f>Maalle!C54 + 'United Delet'!C54 + Ohtina!C54 + Astye!C54 + Prstreula!C54 + Veelmit!C54 + Aplasia!C54 + 'Elja and Munusia'!C54 + Walporein!C54 + 'Crila Republic'!C54 + 'Niretui and Anulan'!C54 + 'Rethern'!C54 + Tvecoca!C54</f>
        <v>77280599.593424022</v>
      </c>
      <c r="GS54" s="6">
        <f t="shared" si="54"/>
        <v>2.0239575744498736E-2</v>
      </c>
      <c r="GT54" s="5">
        <f t="shared" si="55"/>
        <v>2.3921941485176627E-2</v>
      </c>
      <c r="HA54" s="3">
        <f t="shared" si="56"/>
        <v>1963</v>
      </c>
      <c r="HB54" s="3">
        <v>1713</v>
      </c>
      <c r="HC54" s="4">
        <f>Andsaudare!C54 + Nia!C54 + Umarcia!C54 + Mendereide!C54 + Iainoa!C54 + Isari!C54 + 'Rkmepuia'!C54 + Hiwush!C54 + Isuibul!C54 + Yutnitu!C54</f>
        <v>25250748.075350489</v>
      </c>
      <c r="HD54" s="6">
        <f t="shared" si="57"/>
        <v>2.5655691915465718E-2</v>
      </c>
      <c r="HE54" s="5">
        <f t="shared" si="58"/>
        <v>7.8162814612384359E-3</v>
      </c>
      <c r="HL54" s="3">
        <f t="shared" si="59"/>
        <v>1963</v>
      </c>
      <c r="HM54" s="3">
        <v>1713</v>
      </c>
      <c r="HN54" s="4">
        <f>Zhanshe!C54 + Volver!C54 + Finae!C54 + Myla!C54 + 'Nheyes Si'!C54 + Onphello!C54 + Hyelen!C54</f>
        <v>47057769.00328245</v>
      </c>
      <c r="HO54" s="6">
        <f t="shared" si="60"/>
        <v>2.8839390082081747E-2</v>
      </c>
      <c r="HP54" s="5">
        <f t="shared" si="61"/>
        <v>1.4566569131734203E-2</v>
      </c>
      <c r="HW54" s="3">
        <f t="shared" si="62"/>
        <v>1963</v>
      </c>
      <c r="HX54" s="3">
        <v>1713</v>
      </c>
      <c r="HY54" s="4">
        <f>Yihnurda!C54 + Ztesh!C54 + Wundry!C54 + Anymna!C54 + Shomjind!C54 + Baluyde!C54 + Letan!C54</f>
        <v>193016622.44704542</v>
      </c>
      <c r="HZ54" s="6">
        <f t="shared" si="63"/>
        <v>2.0679194501985229E-2</v>
      </c>
      <c r="IA54" s="5">
        <f t="shared" si="64"/>
        <v>5.9747625822478077E-2</v>
      </c>
      <c r="IH54" s="3">
        <f t="shared" si="65"/>
        <v>1963</v>
      </c>
      <c r="II54" s="3">
        <v>1713</v>
      </c>
      <c r="IJ54" s="4">
        <f>Iareva!C54 + 'United Mihili'!C54 + 'Mesjan Hyaa'!C54 + Desaki!C54 + 'Far Lands'!C54</f>
        <v>22643851.781015377</v>
      </c>
      <c r="IK54" s="6">
        <f t="shared" si="66"/>
        <v>1.6214031946604274E-2</v>
      </c>
      <c r="IL54" s="5">
        <f t="shared" si="67"/>
        <v>7.0093257577488518E-3</v>
      </c>
      <c r="IS54" s="3">
        <f t="shared" si="68"/>
        <v>1963</v>
      </c>
      <c r="IT54" s="3">
        <v>1713</v>
      </c>
      <c r="IU54" s="4">
        <f>Verste!C54 + Quidic!C54 + Erkizil!C54 + Ashain!C54 + Ahokini!C54</f>
        <v>154019825.01776889</v>
      </c>
      <c r="IV54" s="6">
        <f t="shared" si="69"/>
        <v>2.3524800182979928E-2</v>
      </c>
      <c r="IW54" s="5">
        <f t="shared" si="70"/>
        <v>4.7676302474569943E-2</v>
      </c>
    </row>
    <row r="55" spans="1:257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3167292616.4328327</v>
      </c>
      <c r="D55" s="5">
        <f t="shared" si="1"/>
        <v>2.0357243397523764E-2</v>
      </c>
      <c r="K55" s="3">
        <f t="shared" si="2"/>
        <v>1962</v>
      </c>
      <c r="L55" s="3">
        <v>1712</v>
      </c>
      <c r="M55" s="4">
        <f>Eldavpir!C55 + Iquir!C55 + Viussi!C55 + Umendel!C55 + 'Reerica'!C55 + Saa!C55 + Sattle!C55</f>
        <v>24528446.135847874</v>
      </c>
      <c r="N55" s="5">
        <f t="shared" si="3"/>
        <v>2.7465294758169341E-2</v>
      </c>
      <c r="O55" s="5">
        <f t="shared" si="4"/>
        <v>7.7442942936775663E-3</v>
      </c>
      <c r="V55" s="3">
        <f t="shared" si="5"/>
        <v>1962</v>
      </c>
      <c r="W55" s="3">
        <v>1712</v>
      </c>
      <c r="X55" s="4">
        <f>'Areoix Lie'!C55 + Jau!C55 + Terressin!C55 + Acetoa!C55 + 'Feio Lie'!C55</f>
        <v>349975617.13191843</v>
      </c>
      <c r="Y55" s="5">
        <f t="shared" si="6"/>
        <v>2.5010173437197091E-2</v>
      </c>
      <c r="Z55" s="5">
        <f t="shared" si="7"/>
        <v>0.11049677422166282</v>
      </c>
      <c r="AG55" s="3">
        <f t="shared" si="8"/>
        <v>1962</v>
      </c>
      <c r="AH55" s="3">
        <v>1712</v>
      </c>
      <c r="AI55" s="4">
        <f>Taniduna!C55 + Jathua!C55 + Deschon!C55 + Pelines!C55 + 'Candenat'!C55 + Othya!C55 + Yoprioq!C55 + Jshain!C55 + 'Fire Coast'!C55 + 'Rijan bu'!C55 + 'Rinew'!C55 + Enina!C55 + Trevilla!C55</f>
        <v>57388768.695457451</v>
      </c>
      <c r="AJ55" s="5">
        <f t="shared" si="9"/>
        <v>2.3351866890448551E-2</v>
      </c>
      <c r="AK55" s="5">
        <f t="shared" si="10"/>
        <v>1.8119187471883045E-2</v>
      </c>
      <c r="AR55" s="3">
        <f t="shared" si="11"/>
        <v>1962</v>
      </c>
      <c r="AS55" s="3">
        <v>1712</v>
      </c>
      <c r="AT55" s="4">
        <f>Gaeiya!C55 + 'Raledria'!C55 + Arbiya!C55 + Fincen!C55 + 'Curata'!C55</f>
        <v>153351998.97049457</v>
      </c>
      <c r="AU55" s="5">
        <f t="shared" si="12"/>
        <v>2.2768982660601626E-2</v>
      </c>
      <c r="AV55" s="5">
        <f t="shared" si="13"/>
        <v>4.841737646053286E-2</v>
      </c>
      <c r="BC55" s="3">
        <f t="shared" si="14"/>
        <v>1962</v>
      </c>
      <c r="BD55" s="3">
        <v>1712</v>
      </c>
      <c r="BE55" s="4">
        <f>Etirha!C55 + Laselteh!C55 + Grazail!C55 + 'Disal Nila'!C55 + Pelan!C55 + Peka!C55 + Guise!C55</f>
        <v>59689191.25120835</v>
      </c>
      <c r="BF55" s="5">
        <f t="shared" si="15"/>
        <v>1.8320019401901894E-2</v>
      </c>
      <c r="BG55" s="5">
        <f t="shared" si="16"/>
        <v>1.8845493132375428E-2</v>
      </c>
      <c r="BN55" s="3">
        <f t="shared" si="17"/>
        <v>1962</v>
      </c>
      <c r="BO55" s="3">
        <v>1712</v>
      </c>
      <c r="BP55" s="4">
        <f>Genaire!C55 + 'New Misos'!C55 + Phuris!C55 + Lasri!C55 + Slyiaduun!C55 + Aetintio!C55 + Metndria!C55 + Tomscilus!C55</f>
        <v>43216149.169127032</v>
      </c>
      <c r="BQ55" s="5">
        <f t="shared" si="18"/>
        <v>2.5371809820284974E-2</v>
      </c>
      <c r="BR55" s="5">
        <f t="shared" si="19"/>
        <v>1.3644507913449207E-2</v>
      </c>
      <c r="BY55" s="3">
        <f t="shared" si="20"/>
        <v>1962</v>
      </c>
      <c r="BZ55" s="3">
        <v>1712</v>
      </c>
      <c r="CA55" s="4">
        <f>Ealdorii!C55 + Ukhdari!C55 + Hkuqo!C55 + Acrana!C55 + Zenashan!C55</f>
        <v>148498658.99100155</v>
      </c>
      <c r="CB55" s="7">
        <f t="shared" si="21"/>
        <v>2.1031745586230693E-2</v>
      </c>
      <c r="CC55" s="5">
        <f t="shared" si="22"/>
        <v>4.6885045676091759E-2</v>
      </c>
      <c r="CJ55" s="3">
        <f t="shared" si="23"/>
        <v>1962</v>
      </c>
      <c r="CK55" s="3">
        <v>1712</v>
      </c>
      <c r="CL55" s="4">
        <f>Estijan!C55 + Ikzen!C55 + Urbiqu!C55 + Danocia!C55 + Koruch!C55 + 'New Kizura'!C55 + Lydroa!C55 + Fermori!C55 + Uularin!C55 + 'Niul Spijan'!C55</f>
        <v>177911470.38961318</v>
      </c>
      <c r="CM55" s="7">
        <f t="shared" si="24"/>
        <v>2.0529215566326513E-2</v>
      </c>
      <c r="CN55" s="5">
        <f t="shared" si="25"/>
        <v>5.6171466275820828E-2</v>
      </c>
      <c r="CU55" s="3">
        <f t="shared" si="26"/>
        <v>1962</v>
      </c>
      <c r="CV55" s="3">
        <v>1712</v>
      </c>
      <c r="CW55" s="4">
        <f>Praesyu!C55 + Lycroa!C55 + Emara!C55 + Eldjo!C55 + Easuhura!C55 + Ilicuhe!C55 + Tonder!C55</f>
        <v>195715389.0557096</v>
      </c>
      <c r="CX55" s="7">
        <f t="shared" si="27"/>
        <v>7.8710910028181955E-3</v>
      </c>
      <c r="CY55" s="5">
        <f t="shared" si="28"/>
        <v>6.1792645251746367E-2</v>
      </c>
      <c r="DF55" s="3">
        <f t="shared" si="29"/>
        <v>1962</v>
      </c>
      <c r="DG55" s="3">
        <v>1712</v>
      </c>
      <c r="DH55" s="4">
        <f>Verusa!C55 + Darewa!C55 + Siana!C55 + Yaxuto!C55 + 'Merela Sta'!C55 + Palina!C55</f>
        <v>130722840.99991447</v>
      </c>
      <c r="DI55" s="7">
        <f t="shared" si="30"/>
        <v>1.0029263280754867E-2</v>
      </c>
      <c r="DJ55" s="5">
        <f t="shared" si="31"/>
        <v>4.1272738843795627E-2</v>
      </c>
      <c r="DQ55" s="3">
        <f t="shared" si="32"/>
        <v>1962</v>
      </c>
      <c r="DR55" s="3">
        <v>1712</v>
      </c>
      <c r="DS55" s="4">
        <f>Sunsokua!C55 + Vayvele!C55 + Selaja!C55 + Sadain!C55</f>
        <v>72620548.078546613</v>
      </c>
      <c r="DT55" s="7">
        <f t="shared" si="33"/>
        <v>2.401424410761303E-2</v>
      </c>
      <c r="DU55" s="5">
        <f t="shared" si="34"/>
        <v>2.2928272462661058E-2</v>
      </c>
      <c r="EB55" s="3">
        <f t="shared" si="35"/>
        <v>1962</v>
      </c>
      <c r="EC55" s="3">
        <v>1712</v>
      </c>
      <c r="ED55" s="4">
        <f>Pelugrotoa!C55 + Lieri!C55 + 'Rtesania'!C55 + Ozinia!C55</f>
        <v>195893846.38833907</v>
      </c>
      <c r="EE55" s="7">
        <f t="shared" si="36"/>
        <v>3.3667354977766246E-2</v>
      </c>
      <c r="EF55" s="5">
        <f t="shared" si="37"/>
        <v>6.1848989061504767E-2</v>
      </c>
      <c r="EM55" s="3">
        <f t="shared" si="38"/>
        <v>1962</v>
      </c>
      <c r="EN55" s="3">
        <v>1712</v>
      </c>
      <c r="EO55" s="4">
        <f>Ocaun!C55 + 'Dual Cenryia'!C55 + Byllu!C55 + Exilium!C55 + Inrea!C55 + Amcha!C55 + Isnti!C55 + Galca!C55 + Otiiric!C55 + Taing!C55 + 'Cruthi Anoso'!C55</f>
        <v>86281863.211631045</v>
      </c>
      <c r="EP55" s="7">
        <f t="shared" si="39"/>
        <v>2.4428740973066375E-2</v>
      </c>
      <c r="EQ55" s="5">
        <f t="shared" si="40"/>
        <v>2.7241519385981489E-2</v>
      </c>
      <c r="EX55" s="3">
        <f t="shared" si="41"/>
        <v>1962</v>
      </c>
      <c r="EY55" s="3">
        <v>1712</v>
      </c>
      <c r="EZ55" s="4">
        <f>Sivoso!C55 + Taoisia!C55 + Seytinemas!C55 + Trian!C55 + 'Chaenia'!C55</f>
        <v>55862811.964569822</v>
      </c>
      <c r="FA55" s="7">
        <f t="shared" si="42"/>
        <v>2.5005512692210161E-2</v>
      </c>
      <c r="FB55" s="5">
        <f t="shared" si="43"/>
        <v>1.7637401632781685E-2</v>
      </c>
      <c r="FI55" s="3">
        <f t="shared" si="44"/>
        <v>1962</v>
      </c>
      <c r="FJ55" s="3">
        <v>1712</v>
      </c>
      <c r="FK55" s="4">
        <f>Migoku!C55 + 'Welenu Fana'!C55 + Haiza!C55 + Ucrua!C55 + Ihner!C55 + Oscairia!C55 + Shinam!C55 + 'Ruylku'!C55 + Taval!C55 + 'Western Migoku'!C55 + 'Pruim Fijan'!C55 + 'Canldives'!C55</f>
        <v>66270057.577821314</v>
      </c>
      <c r="FL55" s="7">
        <f t="shared" si="45"/>
        <v>1.9235863649802953E-2</v>
      </c>
      <c r="FM55" s="5">
        <f t="shared" si="46"/>
        <v>2.092325073913065E-2</v>
      </c>
      <c r="FT55" s="3">
        <f t="shared" si="47"/>
        <v>1962</v>
      </c>
      <c r="FU55" s="3">
        <v>1712</v>
      </c>
      <c r="FV55" s="4">
        <f>Vesozata!C55 + Etretes!C55 + Kusierna!C55 + Eparia!C55</f>
        <v>42651443.983283944</v>
      </c>
      <c r="FW55" s="7">
        <f t="shared" si="48"/>
        <v>2.8589668321057488E-2</v>
      </c>
      <c r="FX55" s="5">
        <f t="shared" si="49"/>
        <v>1.3466215202850499E-2</v>
      </c>
      <c r="GE55" s="3">
        <f t="shared" si="50"/>
        <v>1962</v>
      </c>
      <c r="GF55" s="3">
        <v>1712</v>
      </c>
      <c r="GG55" s="4">
        <f>Dahe!C55 + Kaastini!C55 + Suenan!C55 + Oyreain!C55 + Sanagara!C55 + 'North Ayre'!C55 + Stinebar!C55 + 'Cloja'!C55 + 'Pha Hii'!C55 + 'Prystr Hii'!C55</f>
        <v>660854659.38837981</v>
      </c>
      <c r="GH55" s="7">
        <f t="shared" si="51"/>
        <v>1.3539670239853143E-2</v>
      </c>
      <c r="GI55" s="5">
        <f t="shared" si="52"/>
        <v>0.20864970162834787</v>
      </c>
      <c r="GP55" s="3">
        <f t="shared" si="53"/>
        <v>1962</v>
      </c>
      <c r="GQ55" s="3">
        <v>1712</v>
      </c>
      <c r="GR55" s="4">
        <f>Maalle!C55 + 'United Delet'!C55 + Ohtina!C55 + Astye!C55 + Prstreula!C55 + Veelmit!C55 + Aplasia!C55 + 'Elja and Munusia'!C55 + Walporein!C55 + 'Crila Republic'!C55 + 'Niretui and Anulan'!C55 + 'Rethern'!C55 + Tvecoca!C55</f>
        <v>75747502.283500522</v>
      </c>
      <c r="GS55" s="7">
        <f t="shared" si="54"/>
        <v>1.9710157591676075E-2</v>
      </c>
      <c r="GT55" s="5">
        <f t="shared" si="55"/>
        <v>2.3915536534420759E-2</v>
      </c>
      <c r="HA55" s="3">
        <f t="shared" si="56"/>
        <v>1962</v>
      </c>
      <c r="HB55" s="3">
        <v>1712</v>
      </c>
      <c r="HC55" s="4">
        <f>Andsaudare!C55 + Nia!C55 + Umarcia!C55 + Mendereide!C55 + Iainoa!C55 + Isari!C55 + 'Rkmepuia'!C55 + Hiwush!C55 + Isuibul!C55 + Yutnitu!C55</f>
        <v>24619127.329360787</v>
      </c>
      <c r="HD55" s="7">
        <f t="shared" si="57"/>
        <v>2.5071285091644101E-2</v>
      </c>
      <c r="HE55" s="5">
        <f t="shared" si="58"/>
        <v>7.7729248007050609E-3</v>
      </c>
      <c r="HL55" s="3">
        <f t="shared" si="59"/>
        <v>1962</v>
      </c>
      <c r="HM55" s="3">
        <v>1712</v>
      </c>
      <c r="HN55" s="4">
        <f>Zhanshe!C55 + Volver!C55 + Finae!C55 + Myla!C55 + 'Nheyes Si'!C55 + Onphello!C55 + Hyelen!C55</f>
        <v>45738692.99417875</v>
      </c>
      <c r="HO55" s="7">
        <f t="shared" si="60"/>
        <v>2.959544319372245E-2</v>
      </c>
      <c r="HP55" s="5">
        <f t="shared" si="61"/>
        <v>1.4440943270247007E-2</v>
      </c>
      <c r="HW55" s="3">
        <f t="shared" si="62"/>
        <v>1962</v>
      </c>
      <c r="HX55" s="3">
        <v>1712</v>
      </c>
      <c r="HY55" s="4">
        <f>Yihnurda!C55 + Ztesh!C55 + Wundry!C55 + Anymna!C55 + Shomjind!C55 + Baluyde!C55 + Letan!C55</f>
        <v>189106061.42140776</v>
      </c>
      <c r="HZ55" s="7">
        <f t="shared" si="63"/>
        <v>2.0242545558317483E-2</v>
      </c>
      <c r="IA55" s="5">
        <f t="shared" si="64"/>
        <v>5.9705901639864493E-2</v>
      </c>
      <c r="IH55" s="3">
        <f t="shared" si="65"/>
        <v>1962</v>
      </c>
      <c r="II55" s="3">
        <v>1712</v>
      </c>
      <c r="IJ55" s="4">
        <f>Iareva!C55 + 'United Mihili'!C55 + 'Mesjan Hyaa'!C55 + Desaki!C55 + 'Far Lands'!C55</f>
        <v>22282561.615135394</v>
      </c>
      <c r="IK55" s="7">
        <f t="shared" si="66"/>
        <v>1.5908245404925837E-2</v>
      </c>
      <c r="IL55" s="5">
        <f t="shared" si="67"/>
        <v>7.0352077668880365E-3</v>
      </c>
      <c r="IS55" s="3">
        <f t="shared" si="68"/>
        <v>1962</v>
      </c>
      <c r="IT55" s="3">
        <v>1712</v>
      </c>
      <c r="IU55" s="4">
        <f>Verste!C55 + Quidic!C55 + Erkizil!C55 + Ashain!C55 + Ahokini!C55</f>
        <v>150479817.38227946</v>
      </c>
      <c r="IV55" s="7">
        <f t="shared" si="69"/>
        <v>2.354744557478956E-2</v>
      </c>
      <c r="IW55" s="5">
        <f t="shared" si="70"/>
        <v>4.7510550999155091E-2</v>
      </c>
    </row>
    <row r="56" spans="1:257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3104101663.3415308</v>
      </c>
      <c r="D56" s="5">
        <f t="shared" si="1"/>
        <v>1.9918775252385671E-2</v>
      </c>
      <c r="K56" s="3">
        <f t="shared" si="2"/>
        <v>1961</v>
      </c>
      <c r="L56" s="3">
        <v>1711</v>
      </c>
      <c r="M56" s="4">
        <f>Eldavpir!C56 + Iquir!C56 + Viussi!C56 + Umendel!C56 + 'Reerica'!C56 + Saa!C56 + Sattle!C56</f>
        <v>23872773.378317408</v>
      </c>
      <c r="N56" s="5">
        <f t="shared" si="3"/>
        <v>2.7135057411185728E-2</v>
      </c>
      <c r="O56" s="5">
        <f t="shared" si="4"/>
        <v>7.6907189156358476E-3</v>
      </c>
      <c r="V56" s="3">
        <f t="shared" si="5"/>
        <v>1961</v>
      </c>
      <c r="W56" s="3">
        <v>1711</v>
      </c>
      <c r="X56" s="4">
        <f>'Areoix Lie'!C56 + Jau!C56 + Terressin!C56 + Acetoa!C56 + 'Feio Lie'!C56</f>
        <v>341436237.61151052</v>
      </c>
      <c r="Y56" s="5">
        <f t="shared" si="6"/>
        <v>2.5255225391896098E-2</v>
      </c>
      <c r="Z56" s="5">
        <f t="shared" si="7"/>
        <v>0.1099951852878292</v>
      </c>
      <c r="AG56" s="3">
        <f t="shared" si="8"/>
        <v>1961</v>
      </c>
      <c r="AH56" s="3">
        <v>1711</v>
      </c>
      <c r="AI56" s="4">
        <f>Taniduna!C56 + Jathua!C56 + Deschon!C56 + Pelines!C56 + 'Candenat'!C56 + Othya!C56 + Yoprioq!C56 + Jshain!C56 + 'Fire Coast'!C56 + 'Rijan bu'!C56 + 'Rinew'!C56 + Enina!C56 + Trevilla!C56</f>
        <v>56079214.346712098</v>
      </c>
      <c r="AJ56" s="5">
        <f t="shared" si="9"/>
        <v>2.3318799348512359E-2</v>
      </c>
      <c r="AK56" s="5">
        <f t="shared" si="10"/>
        <v>1.8066165489677759E-2</v>
      </c>
      <c r="AR56" s="3">
        <f t="shared" si="11"/>
        <v>1961</v>
      </c>
      <c r="AS56" s="3">
        <v>1711</v>
      </c>
      <c r="AT56" s="4">
        <f>Gaeiya!C56 + 'Raledria'!C56 + Arbiya!C56 + Fincen!C56 + 'Curata'!C56</f>
        <v>149938061.84028882</v>
      </c>
      <c r="AU56" s="5">
        <f t="shared" si="12"/>
        <v>1.8655484625762591E-2</v>
      </c>
      <c r="AV56" s="5">
        <f t="shared" si="13"/>
        <v>4.8303205919770734E-2</v>
      </c>
      <c r="BC56" s="3">
        <f t="shared" si="14"/>
        <v>1961</v>
      </c>
      <c r="BD56" s="3">
        <v>1711</v>
      </c>
      <c r="BE56" s="4">
        <f>Etirha!C56 + Laselteh!C56 + Grazail!C56 + 'Disal Nila'!C56 + Pelan!C56 + Peka!C56 + Guise!C56</f>
        <v>58615356.777789839</v>
      </c>
      <c r="BF56" s="5">
        <f t="shared" si="15"/>
        <v>5.3255541567913513E-3</v>
      </c>
      <c r="BG56" s="5">
        <f t="shared" si="16"/>
        <v>1.888319492561048E-2</v>
      </c>
      <c r="BN56" s="3">
        <f t="shared" si="17"/>
        <v>1961</v>
      </c>
      <c r="BO56" s="3">
        <v>1711</v>
      </c>
      <c r="BP56" s="4">
        <f>Genaire!C56 + 'New Misos'!C56 + Phuris!C56 + Lasri!C56 + Slyiaduun!C56 + Aetintio!C56 + Metndria!C56 + Tomscilus!C56</f>
        <v>42146808.362813726</v>
      </c>
      <c r="BQ56" s="5">
        <f t="shared" si="18"/>
        <v>2.4964198539725917E-2</v>
      </c>
      <c r="BR56" s="5">
        <f t="shared" si="19"/>
        <v>1.3577779639292856E-2</v>
      </c>
      <c r="BY56" s="3">
        <f t="shared" si="20"/>
        <v>1961</v>
      </c>
      <c r="BZ56" s="3">
        <v>1711</v>
      </c>
      <c r="CA56" s="4">
        <f>Ealdorii!C56 + Ukhdari!C56 + Hkuqo!C56 + Acrana!C56 + Zenashan!C56</f>
        <v>145439805.99324095</v>
      </c>
      <c r="CB56" s="6">
        <f t="shared" si="21"/>
        <v>2.079079634480261E-2</v>
      </c>
      <c r="CC56" s="5">
        <f t="shared" si="22"/>
        <v>4.6854073019205376E-2</v>
      </c>
      <c r="CJ56" s="3">
        <f t="shared" si="23"/>
        <v>1961</v>
      </c>
      <c r="CK56" s="3">
        <v>1711</v>
      </c>
      <c r="CL56" s="4">
        <f>Estijan!C56 + Ikzen!C56 + Urbiqu!C56 + Danocia!C56 + Koruch!C56 + 'New Kizura'!C56 + Lydroa!C56 + Fermori!C56 + Uularin!C56 + 'Niul Spijan'!C56</f>
        <v>174332559.69147736</v>
      </c>
      <c r="CM56" s="6">
        <f t="shared" si="24"/>
        <v>2.1367159602038614E-2</v>
      </c>
      <c r="CN56" s="5">
        <f t="shared" si="25"/>
        <v>5.6162000668435033E-2</v>
      </c>
      <c r="CU56" s="3">
        <f t="shared" si="26"/>
        <v>1961</v>
      </c>
      <c r="CV56" s="3">
        <v>1711</v>
      </c>
      <c r="CW56" s="4">
        <f>Praesyu!C56 + Lycroa!C56 + Emara!C56 + Eldjo!C56 + Easuhura!C56 + Ilicuhe!C56 + Tonder!C56</f>
        <v>194186926.08890629</v>
      </c>
      <c r="CX56" s="6">
        <f t="shared" si="27"/>
        <v>7.3424604790440174E-3</v>
      </c>
      <c r="CY56" s="5">
        <f t="shared" si="28"/>
        <v>6.2558172105699084E-2</v>
      </c>
      <c r="DF56" s="3">
        <f t="shared" si="29"/>
        <v>1961</v>
      </c>
      <c r="DG56" s="3">
        <v>1711</v>
      </c>
      <c r="DH56" s="4">
        <f>Verusa!C56 + Darewa!C56 + Siana!C56 + Yaxuto!C56 + 'Merela Sta'!C56 + Palina!C56</f>
        <v>129424805.54999308</v>
      </c>
      <c r="DI56" s="6">
        <f t="shared" si="30"/>
        <v>1.0191940543440641E-2</v>
      </c>
      <c r="DJ56" s="5">
        <f t="shared" si="31"/>
        <v>4.169477020629174E-2</v>
      </c>
      <c r="DQ56" s="3">
        <f t="shared" si="32"/>
        <v>1961</v>
      </c>
      <c r="DR56" s="3">
        <v>1711</v>
      </c>
      <c r="DS56" s="4">
        <f>Sunsokua!C56 + Vayvele!C56 + Selaja!C56 + Sadain!C56</f>
        <v>70917517.501753584</v>
      </c>
      <c r="DT56" s="6">
        <f t="shared" si="33"/>
        <v>2.524360944156211E-2</v>
      </c>
      <c r="DU56" s="5">
        <f t="shared" si="34"/>
        <v>2.2846390097098709E-2</v>
      </c>
      <c r="EB56" s="3">
        <f t="shared" si="35"/>
        <v>1961</v>
      </c>
      <c r="EC56" s="3">
        <v>1711</v>
      </c>
      <c r="ED56" s="4">
        <f>Pelugrotoa!C56 + Lieri!C56 + 'Rtesania'!C56 + Ozinia!C56</f>
        <v>189513430.45224899</v>
      </c>
      <c r="EE56" s="6">
        <f t="shared" si="36"/>
        <v>3.4266813052341499E-2</v>
      </c>
      <c r="EF56" s="5">
        <f t="shared" si="37"/>
        <v>6.1052584936358012E-2</v>
      </c>
      <c r="EM56" s="3">
        <f t="shared" si="38"/>
        <v>1961</v>
      </c>
      <c r="EN56" s="3">
        <v>1711</v>
      </c>
      <c r="EO56" s="4">
        <f>Ocaun!C56 + 'Dual Cenryia'!C56 + Byllu!C56 + Exilium!C56 + Inrea!C56 + Amcha!C56 + Isnti!C56 + Galca!C56 + Otiiric!C56 + Taing!C56 + 'Cruthi Anoso'!C56</f>
        <v>84224367.943518594</v>
      </c>
      <c r="EP56" s="6">
        <f t="shared" si="39"/>
        <v>2.3951307905392922E-2</v>
      </c>
      <c r="EQ56" s="5">
        <f t="shared" si="40"/>
        <v>2.7133250478933092E-2</v>
      </c>
      <c r="EX56" s="3">
        <f t="shared" si="41"/>
        <v>1961</v>
      </c>
      <c r="EY56" s="3">
        <v>1711</v>
      </c>
      <c r="EZ56" s="4">
        <f>Sivoso!C56 + Taoisia!C56 + Seytinemas!C56 + Trian!C56 + 'Chaenia'!C56</f>
        <v>54500011.241738923</v>
      </c>
      <c r="FA56" s="6">
        <f t="shared" si="42"/>
        <v>2.5070643714343477E-2</v>
      </c>
      <c r="FB56" s="5">
        <f t="shared" si="43"/>
        <v>1.7557418265441174E-2</v>
      </c>
      <c r="FI56" s="3">
        <f t="shared" si="44"/>
        <v>1961</v>
      </c>
      <c r="FJ56" s="3">
        <v>1711</v>
      </c>
      <c r="FK56" s="4">
        <f>Migoku!C56 + 'Welenu Fana'!C56 + Haiza!C56 + Ucrua!C56 + Ihner!C56 + Oscairia!C56 + Shinam!C56 + 'Ruylku'!C56 + Taval!C56 + 'Western Migoku'!C56 + 'Pruim Fijan'!C56 + 'Canldives'!C56</f>
        <v>65019354.146854177</v>
      </c>
      <c r="FL56" s="6">
        <f t="shared" si="45"/>
        <v>1.8892499967734819E-2</v>
      </c>
      <c r="FM56" s="5">
        <f t="shared" si="46"/>
        <v>2.0946270837296471E-2</v>
      </c>
      <c r="FT56" s="3">
        <f t="shared" si="47"/>
        <v>1961</v>
      </c>
      <c r="FU56" s="3">
        <v>1711</v>
      </c>
      <c r="FV56" s="4">
        <f>Vesozata!C56 + Etretes!C56 + Kusierna!C56 + Eparia!C56</f>
        <v>41465946.331060164</v>
      </c>
      <c r="FW56" s="6">
        <f t="shared" si="48"/>
        <v>2.4705198379635494E-2</v>
      </c>
      <c r="FX56" s="5">
        <f t="shared" si="49"/>
        <v>1.3358436941921075E-2</v>
      </c>
      <c r="GE56" s="3">
        <f t="shared" si="50"/>
        <v>1961</v>
      </c>
      <c r="GF56" s="3">
        <v>1711</v>
      </c>
      <c r="GG56" s="4">
        <f>Dahe!C56 + Kaastini!C56 + Suenan!C56 + Oyreain!C56 + Sanagara!C56 + 'North Ayre'!C56 + Stinebar!C56 + 'Cloja'!C56 + 'Pha Hii'!C56 + 'Prystr Hii'!C56</f>
        <v>652026436.45116448</v>
      </c>
      <c r="GH56" s="6">
        <f t="shared" si="51"/>
        <v>1.3765317053552384E-2</v>
      </c>
      <c r="GI56" s="5">
        <f t="shared" si="52"/>
        <v>0.21005318355110358</v>
      </c>
      <c r="GP56" s="3">
        <f t="shared" si="53"/>
        <v>1961</v>
      </c>
      <c r="GQ56" s="3">
        <v>1711</v>
      </c>
      <c r="GR56" s="4">
        <f>Maalle!C56 + 'United Delet'!C56 + Ohtina!C56 + Astye!C56 + Prstreula!C56 + Veelmit!C56 + Aplasia!C56 + 'Elja and Munusia'!C56 + Walporein!C56 + 'Crila Republic'!C56 + 'Niretui and Anulan'!C56 + 'Rethern'!C56 + Tvecoca!C56</f>
        <v>74283365.44415614</v>
      </c>
      <c r="GS56" s="6">
        <f t="shared" si="54"/>
        <v>1.9748067819888505E-2</v>
      </c>
      <c r="GT56" s="5">
        <f t="shared" si="55"/>
        <v>2.3930712811831983E-2</v>
      </c>
      <c r="HA56" s="3">
        <f t="shared" si="56"/>
        <v>1961</v>
      </c>
      <c r="HB56" s="3">
        <v>1711</v>
      </c>
      <c r="HC56" s="4">
        <f>Andsaudare!C56 + Nia!C56 + Umarcia!C56 + Mendereide!C56 + Iainoa!C56 + Isari!C56 + 'Rkmepuia'!C56 + Hiwush!C56 + Isuibul!C56 + Yutnitu!C56</f>
        <v>24016990.513161991</v>
      </c>
      <c r="HD56" s="6">
        <f t="shared" si="57"/>
        <v>2.4676056451006564E-2</v>
      </c>
      <c r="HE56" s="5">
        <f t="shared" si="58"/>
        <v>7.7371790997682625E-3</v>
      </c>
      <c r="HL56" s="3">
        <f t="shared" si="59"/>
        <v>1961</v>
      </c>
      <c r="HM56" s="3">
        <v>1711</v>
      </c>
      <c r="HN56" s="4">
        <f>Zhanshe!C56 + Volver!C56 + Finae!C56 + Myla!C56 + 'Nheyes Si'!C56 + Onphello!C56 + Hyelen!C56</f>
        <v>44423946.605961069</v>
      </c>
      <c r="HO56" s="6">
        <f t="shared" si="60"/>
        <v>2.9389568872490331E-2</v>
      </c>
      <c r="HP56" s="5">
        <f t="shared" si="61"/>
        <v>1.4311369737207378E-2</v>
      </c>
      <c r="HW56" s="3">
        <f t="shared" si="62"/>
        <v>1961</v>
      </c>
      <c r="HX56" s="3">
        <v>1711</v>
      </c>
      <c r="HY56" s="4">
        <f>Yihnurda!C56 + Ztesh!C56 + Wundry!C56 + Anymna!C56 + Shomjind!C56 + Baluyde!C56 + Letan!C56</f>
        <v>185354024.14327013</v>
      </c>
      <c r="HZ56" s="6">
        <f t="shared" si="63"/>
        <v>1.9964680328113629E-2</v>
      </c>
      <c r="IA56" s="5">
        <f t="shared" si="64"/>
        <v>5.9712613904448798E-2</v>
      </c>
      <c r="IH56" s="3">
        <f t="shared" si="65"/>
        <v>1961</v>
      </c>
      <c r="II56" s="3">
        <v>1711</v>
      </c>
      <c r="IJ56" s="4">
        <f>Iareva!C56 + 'United Mihili'!C56 + 'Mesjan Hyaa'!C56 + Desaki!C56 + 'Far Lands'!C56</f>
        <v>21933635.951791983</v>
      </c>
      <c r="IK56" s="6">
        <f t="shared" si="66"/>
        <v>1.6999856056341467E-2</v>
      </c>
      <c r="IL56" s="5">
        <f t="shared" si="67"/>
        <v>7.0660172670313475E-3</v>
      </c>
      <c r="IS56" s="3">
        <f t="shared" si="68"/>
        <v>1961</v>
      </c>
      <c r="IT56" s="3">
        <v>1711</v>
      </c>
      <c r="IU56" s="4">
        <f>Verste!C56 + Quidic!C56 + Erkizil!C56 + Ashain!C56 + Ahokini!C56</f>
        <v>147017920.89156657</v>
      </c>
      <c r="IV56" s="6">
        <f t="shared" si="69"/>
        <v>2.3276097266358858E-2</v>
      </c>
      <c r="IW56" s="5">
        <f t="shared" si="70"/>
        <v>4.736246967288546E-2</v>
      </c>
    </row>
    <row r="57" spans="1:257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3043479283.5080423</v>
      </c>
      <c r="D57" s="5">
        <f t="shared" si="1"/>
        <v>2.0245001324829266E-2</v>
      </c>
      <c r="K57" s="3">
        <f t="shared" si="2"/>
        <v>1960</v>
      </c>
      <c r="L57" s="3">
        <v>1710</v>
      </c>
      <c r="M57" s="4">
        <f>Eldavpir!C57 + Iquir!C57 + Viussi!C57 + Umendel!C57 + 'Reerica'!C57 + Saa!C57 + Sattle!C57</f>
        <v>23242097.722267296</v>
      </c>
      <c r="N57" s="5">
        <f t="shared" si="3"/>
        <v>2.6887207541445159E-2</v>
      </c>
      <c r="O57" s="5">
        <f t="shared" si="4"/>
        <v>7.636686685600658E-3</v>
      </c>
      <c r="V57" s="3">
        <f t="shared" si="5"/>
        <v>1960</v>
      </c>
      <c r="W57" s="3">
        <v>1710</v>
      </c>
      <c r="X57" s="4">
        <f>'Areoix Lie'!C57 + Jau!C57 + Terressin!C57 + Acetoa!C57 + 'Feio Lie'!C57</f>
        <v>333025600.99705815</v>
      </c>
      <c r="Y57" s="5">
        <f t="shared" si="6"/>
        <v>2.5401626818183299E-2</v>
      </c>
      <c r="Z57" s="5">
        <f t="shared" si="7"/>
        <v>0.10942266070337724</v>
      </c>
      <c r="AG57" s="3">
        <f t="shared" si="8"/>
        <v>1960</v>
      </c>
      <c r="AH57" s="3">
        <v>1710</v>
      </c>
      <c r="AI57" s="4">
        <f>Taniduna!C57 + Jathua!C57 + Deschon!C57 + Pelines!C57 + 'Candenat'!C57 + Othya!C57 + Yoprioq!C57 + Jshain!C57 + 'Fire Coast'!C57 + 'Rijan bu'!C57 + 'Rinew'!C57 + Enina!C57 + Trevilla!C57</f>
        <v>54801313.51287055</v>
      </c>
      <c r="AJ57" s="5">
        <f t="shared" si="9"/>
        <v>2.3043748503137208E-2</v>
      </c>
      <c r="AK57" s="5">
        <f t="shared" si="10"/>
        <v>1.8006139818275434E-2</v>
      </c>
      <c r="AR57" s="3">
        <f t="shared" si="11"/>
        <v>1960</v>
      </c>
      <c r="AS57" s="3">
        <v>1710</v>
      </c>
      <c r="AT57" s="4">
        <f>Gaeiya!C57 + 'Raledria'!C57 + Arbiya!C57 + Fincen!C57 + 'Curata'!C57</f>
        <v>147192121.48096725</v>
      </c>
      <c r="AU57" s="5">
        <f t="shared" si="12"/>
        <v>1.8555099340899148E-2</v>
      </c>
      <c r="AV57" s="5">
        <f t="shared" si="13"/>
        <v>4.8363109378982666E-2</v>
      </c>
      <c r="BC57" s="3">
        <f t="shared" si="14"/>
        <v>1960</v>
      </c>
      <c r="BD57" s="3">
        <v>1710</v>
      </c>
      <c r="BE57" s="4">
        <f>Etirha!C57 + Laselteh!C57 + Grazail!C57 + 'Disal Nila'!C57 + Pelan!C57 + Peka!C57 + Guise!C57</f>
        <v>58304851.135464266</v>
      </c>
      <c r="BF57" s="5">
        <f t="shared" si="15"/>
        <v>2.2995053947112813E-2</v>
      </c>
      <c r="BG57" s="5">
        <f t="shared" si="16"/>
        <v>1.9157301793183111E-2</v>
      </c>
      <c r="BN57" s="3">
        <f t="shared" si="17"/>
        <v>1960</v>
      </c>
      <c r="BO57" s="3">
        <v>1710</v>
      </c>
      <c r="BP57" s="4">
        <f>Genaire!C57 + 'New Misos'!C57 + Phuris!C57 + Lasri!C57 + Slyiaduun!C57 + Aetintio!C57 + Metndria!C57 + Tomscilus!C57</f>
        <v>41120273.686496168</v>
      </c>
      <c r="BQ57" s="5">
        <f t="shared" si="18"/>
        <v>2.4740120955626357E-2</v>
      </c>
      <c r="BR57" s="5">
        <f t="shared" si="19"/>
        <v>1.3510942528611271E-2</v>
      </c>
      <c r="BY57" s="3">
        <f t="shared" si="20"/>
        <v>1960</v>
      </c>
      <c r="BZ57" s="3">
        <v>1710</v>
      </c>
      <c r="CA57" s="4">
        <f>Ealdorii!C57 + Ukhdari!C57 + Hkuqo!C57 + Acrana!C57 + Zenashan!C57</f>
        <v>142477583.56954691</v>
      </c>
      <c r="CB57" s="7">
        <f t="shared" si="21"/>
        <v>2.0590694874475807E-2</v>
      </c>
      <c r="CC57" s="5">
        <f t="shared" si="22"/>
        <v>4.6814047442873097E-2</v>
      </c>
      <c r="CJ57" s="3">
        <f t="shared" si="23"/>
        <v>1960</v>
      </c>
      <c r="CK57" s="3">
        <v>1710</v>
      </c>
      <c r="CL57" s="4">
        <f>Estijan!C57 + Ikzen!C57 + Urbiqu!C57 + Danocia!C57 + Koruch!C57 + 'New Kizura'!C57 + Lydroa!C57 + Fermori!C57 + Uularin!C57 + 'Niul Spijan'!C57</f>
        <v>170685495.46805832</v>
      </c>
      <c r="CM57" s="7">
        <f t="shared" si="24"/>
        <v>2.2451900685850731E-2</v>
      </c>
      <c r="CN57" s="5">
        <f t="shared" si="25"/>
        <v>5.6082358238140867E-2</v>
      </c>
      <c r="CU57" s="3">
        <f t="shared" si="26"/>
        <v>1960</v>
      </c>
      <c r="CV57" s="3">
        <v>1710</v>
      </c>
      <c r="CW57" s="4">
        <f>Praesyu!C57 + Lycroa!C57 + Emara!C57 + Eldjo!C57 + Easuhura!C57 + Ilicuhe!C57 + Tonder!C57</f>
        <v>192771508.90329814</v>
      </c>
      <c r="CX57" s="7">
        <f t="shared" si="27"/>
        <v>6.7195493071248117E-3</v>
      </c>
      <c r="CY57" s="5">
        <f t="shared" si="28"/>
        <v>6.3339188785639308E-2</v>
      </c>
      <c r="DF57" s="3">
        <f t="shared" si="29"/>
        <v>1960</v>
      </c>
      <c r="DG57" s="3">
        <v>1710</v>
      </c>
      <c r="DH57" s="4">
        <f>Verusa!C57 + Darewa!C57 + Siana!C57 + Yaxuto!C57 + 'Merela Sta'!C57 + Palina!C57</f>
        <v>128119024.07414575</v>
      </c>
      <c r="DI57" s="7">
        <f t="shared" si="30"/>
        <v>9.4528164491322602E-3</v>
      </c>
      <c r="DJ57" s="5">
        <f t="shared" si="31"/>
        <v>4.2096236622471889E-2</v>
      </c>
      <c r="DQ57" s="3">
        <f t="shared" si="32"/>
        <v>1960</v>
      </c>
      <c r="DR57" s="3">
        <v>1710</v>
      </c>
      <c r="DS57" s="4">
        <f>Sunsokua!C57 + Vayvele!C57 + Selaja!C57 + Sadain!C57</f>
        <v>69171382.146318868</v>
      </c>
      <c r="DT57" s="7">
        <f t="shared" si="33"/>
        <v>2.5056999397713761E-2</v>
      </c>
      <c r="DU57" s="5">
        <f t="shared" si="34"/>
        <v>2.2727732211335779E-2</v>
      </c>
      <c r="EB57" s="3">
        <f t="shared" si="35"/>
        <v>1960</v>
      </c>
      <c r="EC57" s="3">
        <v>1710</v>
      </c>
      <c r="ED57" s="4">
        <f>Pelugrotoa!C57 + Lieri!C57 + 'Rtesania'!C57 + Ozinia!C57</f>
        <v>183234565.83988664</v>
      </c>
      <c r="EE57" s="7">
        <f t="shared" si="36"/>
        <v>3.4922389790511342E-2</v>
      </c>
      <c r="EF57" s="5">
        <f t="shared" si="37"/>
        <v>6.020562283199863E-2</v>
      </c>
      <c r="EM57" s="3">
        <f t="shared" si="38"/>
        <v>1960</v>
      </c>
      <c r="EN57" s="3">
        <v>1710</v>
      </c>
      <c r="EO57" s="4">
        <f>Ocaun!C57 + 'Dual Cenryia'!C57 + Byllu!C57 + Exilium!C57 + Inrea!C57 + Amcha!C57 + Isnti!C57 + Galca!C57 + Otiiric!C57 + Taing!C57 + 'Cruthi Anoso'!C57</f>
        <v>82254270.582269162</v>
      </c>
      <c r="EP57" s="7">
        <f t="shared" si="39"/>
        <v>2.3639810637070418E-2</v>
      </c>
      <c r="EQ57" s="5">
        <f t="shared" si="40"/>
        <v>2.7026394110184128E-2</v>
      </c>
      <c r="EX57" s="3">
        <f t="shared" si="41"/>
        <v>1960</v>
      </c>
      <c r="EY57" s="3">
        <v>1710</v>
      </c>
      <c r="EZ57" s="4">
        <f>Sivoso!C57 + Taoisia!C57 + Seytinemas!C57 + Trian!C57 + 'Chaenia'!C57</f>
        <v>53167078.362773255</v>
      </c>
      <c r="FA57" s="7">
        <f t="shared" si="42"/>
        <v>2.5463780153622492E-2</v>
      </c>
      <c r="FB57" s="5">
        <f t="shared" si="43"/>
        <v>1.7469177020811077E-2</v>
      </c>
      <c r="FI57" s="3">
        <f t="shared" si="44"/>
        <v>1960</v>
      </c>
      <c r="FJ57" s="3">
        <v>1710</v>
      </c>
      <c r="FK57" s="4">
        <f>Migoku!C57 + 'Welenu Fana'!C57 + Haiza!C57 + Ucrua!C57 + Ihner!C57 + Oscairia!C57 + Shinam!C57 + 'Ruylku'!C57 + Taval!C57 + 'Western Migoku'!C57 + 'Pruim Fijan'!C57 + 'Canldives'!C57</f>
        <v>63813752.823691547</v>
      </c>
      <c r="FL57" s="7">
        <f t="shared" si="45"/>
        <v>1.8323045603010554E-2</v>
      </c>
      <c r="FM57" s="5">
        <f t="shared" si="46"/>
        <v>2.0967368882543247E-2</v>
      </c>
      <c r="FT57" s="3">
        <f t="shared" si="47"/>
        <v>1960</v>
      </c>
      <c r="FU57" s="3">
        <v>1710</v>
      </c>
      <c r="FV57" s="4">
        <f>Vesozata!C57 + Etretes!C57 + Kusierna!C57 + Eparia!C57</f>
        <v>40466220.330130257</v>
      </c>
      <c r="FW57" s="7">
        <f t="shared" si="48"/>
        <v>2.4930571728807114E-2</v>
      </c>
      <c r="FX57" s="5">
        <f t="shared" si="49"/>
        <v>1.3296039355157755E-2</v>
      </c>
      <c r="GE57" s="3">
        <f t="shared" si="50"/>
        <v>1960</v>
      </c>
      <c r="GF57" s="3">
        <v>1710</v>
      </c>
      <c r="GG57" s="4">
        <f>Dahe!C57 + Kaastini!C57 + Suenan!C57 + Oyreain!C57 + Sanagara!C57 + 'North Ayre'!C57 + Stinebar!C57 + 'Cloja'!C57 + 'Pha Hii'!C57 + 'Prystr Hii'!C57</f>
        <v>643172956.78080595</v>
      </c>
      <c r="GH57" s="7">
        <f t="shared" si="51"/>
        <v>1.3974020545081374E-2</v>
      </c>
      <c r="GI57" s="5">
        <f t="shared" si="52"/>
        <v>0.21132818621964061</v>
      </c>
      <c r="GP57" s="3">
        <f t="shared" si="53"/>
        <v>1960</v>
      </c>
      <c r="GQ57" s="3">
        <v>1710</v>
      </c>
      <c r="GR57" s="4">
        <f>Maalle!C57 + 'United Delet'!C57 + Ohtina!C57 + Astye!C57 + Prstreula!C57 + Veelmit!C57 + Aplasia!C57 + 'Elja and Munusia'!C57 + Walporein!C57 + 'Crila Republic'!C57 + 'Niretui and Anulan'!C57 + 'Rethern'!C57 + Tvecoca!C57</f>
        <v>72844820.979132593</v>
      </c>
      <c r="GS57" s="7">
        <f t="shared" si="54"/>
        <v>2.0177391309891799E-2</v>
      </c>
      <c r="GT57" s="5">
        <f t="shared" si="55"/>
        <v>2.3934718850843823E-2</v>
      </c>
      <c r="HA57" s="3">
        <f t="shared" si="56"/>
        <v>1960</v>
      </c>
      <c r="HB57" s="3">
        <v>1710</v>
      </c>
      <c r="HC57" s="4">
        <f>Andsaudare!C57 + Nia!C57 + Umarcia!C57 + Mendereide!C57 + Iainoa!C57 + Isari!C57 + 'Rkmepuia'!C57 + Hiwush!C57 + Isuibul!C57 + Yutnitu!C57</f>
        <v>23438617.855818249</v>
      </c>
      <c r="HD57" s="7">
        <f t="shared" si="57"/>
        <v>2.5106790582513736E-2</v>
      </c>
      <c r="HE57" s="5">
        <f t="shared" si="58"/>
        <v>7.7012575649280952E-3</v>
      </c>
      <c r="HL57" s="3">
        <f t="shared" si="59"/>
        <v>1960</v>
      </c>
      <c r="HM57" s="3">
        <v>1710</v>
      </c>
      <c r="HN57" s="4">
        <f>Zhanshe!C57 + Volver!C57 + Finae!C57 + Myla!C57 + 'Nheyes Si'!C57 + Onphello!C57 + Hyelen!C57</f>
        <v>43155621.495775841</v>
      </c>
      <c r="HO57" s="7">
        <f t="shared" si="60"/>
        <v>2.8277990437675801E-2</v>
      </c>
      <c r="HP57" s="5">
        <f t="shared" si="61"/>
        <v>1.4179699441237153E-2</v>
      </c>
      <c r="HW57" s="3">
        <f t="shared" si="62"/>
        <v>1960</v>
      </c>
      <c r="HX57" s="3">
        <v>1710</v>
      </c>
      <c r="HY57" s="4">
        <f>Yihnurda!C57 + Ztesh!C57 + Wundry!C57 + Anymna!C57 + Shomjind!C57 + Baluyde!C57 + Letan!C57</f>
        <v>181725924.16008306</v>
      </c>
      <c r="HZ57" s="7">
        <f t="shared" si="63"/>
        <v>1.9823695177194275E-2</v>
      </c>
      <c r="IA57" s="5">
        <f t="shared" si="64"/>
        <v>5.9709926446622007E-2</v>
      </c>
      <c r="IH57" s="3">
        <f t="shared" si="65"/>
        <v>1960</v>
      </c>
      <c r="II57" s="3">
        <v>1710</v>
      </c>
      <c r="IJ57" s="4">
        <f>Iareva!C57 + 'United Mihili'!C57 + 'Mesjan Hyaa'!C57 + Desaki!C57 + 'Far Lands'!C57</f>
        <v>21567000.055285029</v>
      </c>
      <c r="IK57" s="7">
        <f t="shared" si="66"/>
        <v>1.7297845029925134E-2</v>
      </c>
      <c r="IL57" s="5">
        <f t="shared" si="67"/>
        <v>7.0862976370997333E-3</v>
      </c>
      <c r="IS57" s="3">
        <f t="shared" si="68"/>
        <v>1960</v>
      </c>
      <c r="IT57" s="3">
        <v>1710</v>
      </c>
      <c r="IU57" s="4">
        <f>Verste!C57 + Quidic!C57 + Erkizil!C57 + Ashain!C57 + Ahokini!C57</f>
        <v>143673756.55926985</v>
      </c>
      <c r="IV57" s="7">
        <f t="shared" si="69"/>
        <v>2.2950365542557808E-2</v>
      </c>
      <c r="IW57" s="5">
        <f t="shared" si="70"/>
        <v>4.7207075578863618E-2</v>
      </c>
    </row>
    <row r="58" spans="1:257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2983086689.5264978</v>
      </c>
      <c r="D58" s="5">
        <f t="shared" si="1"/>
        <v>2.0239838961790796E-2</v>
      </c>
      <c r="K58" s="3">
        <f t="shared" si="2"/>
        <v>1959</v>
      </c>
      <c r="L58" s="3">
        <v>1709</v>
      </c>
      <c r="M58" s="4">
        <f>Eldavpir!C58 + Iquir!C58 + Viussi!C58 + Umendel!C58 + 'Reerica'!C58 + Saa!C58 + Sattle!C58</f>
        <v>22633544.903060101</v>
      </c>
      <c r="N58" s="5">
        <f t="shared" si="3"/>
        <v>2.6570552907063127E-2</v>
      </c>
      <c r="O58" s="5">
        <f t="shared" si="4"/>
        <v>7.5872903668960084E-3</v>
      </c>
      <c r="V58" s="3">
        <f t="shared" si="5"/>
        <v>1959</v>
      </c>
      <c r="W58" s="3">
        <v>1709</v>
      </c>
      <c r="X58" s="4">
        <f>'Areoix Lie'!C58 + Jau!C58 + Terressin!C58 + Acetoa!C58 + 'Feio Lie'!C58</f>
        <v>324775768.13529652</v>
      </c>
      <c r="Y58" s="5">
        <f t="shared" si="6"/>
        <v>2.5577682643020554E-2</v>
      </c>
      <c r="Z58" s="5">
        <f t="shared" si="7"/>
        <v>0.10887238687215216</v>
      </c>
      <c r="AG58" s="3">
        <f t="shared" si="8"/>
        <v>1959</v>
      </c>
      <c r="AH58" s="3">
        <v>1709</v>
      </c>
      <c r="AI58" s="4">
        <f>Taniduna!C58 + Jathua!C58 + Deschon!C58 + Pelines!C58 + 'Candenat'!C58 + Othya!C58 + Yoprioq!C58 + Jshain!C58 + 'Fire Coast'!C58 + 'Rijan bu'!C58 + 'Rinew'!C58 + Enina!C58 + Trevilla!C58</f>
        <v>53566930.635227375</v>
      </c>
      <c r="AJ58" s="5">
        <f t="shared" si="9"/>
        <v>2.2988384654991062E-2</v>
      </c>
      <c r="AK58" s="5">
        <f t="shared" si="10"/>
        <v>1.7956880309009726E-2</v>
      </c>
      <c r="AR58" s="3">
        <f t="shared" si="11"/>
        <v>1959</v>
      </c>
      <c r="AS58" s="3">
        <v>1709</v>
      </c>
      <c r="AT58" s="4">
        <f>Gaeiya!C58 + 'Raledria'!C58 + Arbiya!C58 + Fincen!C58 + 'Curata'!C58</f>
        <v>144510710.8846781</v>
      </c>
      <c r="AU58" s="5">
        <f t="shared" si="12"/>
        <v>1.9305946291880614E-2</v>
      </c>
      <c r="AV58" s="5">
        <f t="shared" si="13"/>
        <v>4.8443349431328837E-2</v>
      </c>
      <c r="BC58" s="3">
        <f t="shared" si="14"/>
        <v>1959</v>
      </c>
      <c r="BD58" s="3">
        <v>1709</v>
      </c>
      <c r="BE58" s="4">
        <f>Etirha!C58 + Laselteh!C58 + Grazail!C58 + 'Disal Nila'!C58 + Pelan!C58 + Peka!C58 + Guise!C58</f>
        <v>56994264.938526802</v>
      </c>
      <c r="BF58" s="5">
        <f t="shared" si="15"/>
        <v>1.9564664579013992E-2</v>
      </c>
      <c r="BG58" s="5">
        <f t="shared" si="16"/>
        <v>1.9105802435655479E-2</v>
      </c>
      <c r="BN58" s="3">
        <f t="shared" si="17"/>
        <v>1959</v>
      </c>
      <c r="BO58" s="3">
        <v>1709</v>
      </c>
      <c r="BP58" s="4">
        <f>Genaire!C58 + 'New Misos'!C58 + Phuris!C58 + Lasri!C58 + Slyiaduun!C58 + Aetintio!C58 + Metndria!C58 + Tomscilus!C58</f>
        <v>40127514.133192383</v>
      </c>
      <c r="BQ58" s="5">
        <f t="shared" si="18"/>
        <v>2.5023784629408009E-2</v>
      </c>
      <c r="BR58" s="5">
        <f t="shared" si="19"/>
        <v>1.3451675499099149E-2</v>
      </c>
      <c r="BY58" s="3">
        <f t="shared" si="20"/>
        <v>1959</v>
      </c>
      <c r="BZ58" s="3">
        <v>1709</v>
      </c>
      <c r="CA58" s="4">
        <f>Ealdorii!C58 + Ukhdari!C58 + Hkuqo!C58 + Acrana!C58 + Zenashan!C58</f>
        <v>139603059.56647044</v>
      </c>
      <c r="CB58" s="6">
        <f t="shared" si="21"/>
        <v>2.0170557544732803E-2</v>
      </c>
      <c r="CC58" s="5">
        <f t="shared" si="22"/>
        <v>4.6798190631405848E-2</v>
      </c>
      <c r="CJ58" s="3">
        <f t="shared" si="23"/>
        <v>1959</v>
      </c>
      <c r="CK58" s="3">
        <v>1709</v>
      </c>
      <c r="CL58" s="4">
        <f>Estijan!C58 + Ikzen!C58 + Urbiqu!C58 + Danocia!C58 + Koruch!C58 + 'New Kizura'!C58 + Lydroa!C58 + Fermori!C58 + Uularin!C58 + 'Niul Spijan'!C58</f>
        <v>166937432.80594829</v>
      </c>
      <c r="CM58" s="6">
        <f t="shared" si="24"/>
        <v>2.3282027062821196E-2</v>
      </c>
      <c r="CN58" s="5">
        <f t="shared" si="25"/>
        <v>5.5961307927141095E-2</v>
      </c>
      <c r="CU58" s="3">
        <f t="shared" si="26"/>
        <v>1959</v>
      </c>
      <c r="CV58" s="3">
        <v>1709</v>
      </c>
      <c r="CW58" s="4">
        <f>Praesyu!C58 + Lycroa!C58 + Emara!C58 + Eldjo!C58 + Easuhura!C58 + Ilicuhe!C58 + Tonder!C58</f>
        <v>191484817.23233965</v>
      </c>
      <c r="CX58" s="6">
        <f t="shared" si="27"/>
        <v>6.5051983782039146E-3</v>
      </c>
      <c r="CY58" s="5">
        <f t="shared" si="28"/>
        <v>6.4190161789342379E-2</v>
      </c>
      <c r="DF58" s="3">
        <f t="shared" si="29"/>
        <v>1959</v>
      </c>
      <c r="DG58" s="3">
        <v>1709</v>
      </c>
      <c r="DH58" s="4">
        <f>Verusa!C58 + Darewa!C58 + Siana!C58 + Yaxuto!C58 + 'Merela Sta'!C58 + Palina!C58</f>
        <v>126919279.42191426</v>
      </c>
      <c r="DI58" s="6">
        <f t="shared" si="30"/>
        <v>8.9700613663511002E-3</v>
      </c>
      <c r="DJ58" s="5">
        <f t="shared" si="31"/>
        <v>4.2546292693243865E-2</v>
      </c>
      <c r="DQ58" s="3">
        <f t="shared" si="32"/>
        <v>1959</v>
      </c>
      <c r="DR58" s="3">
        <v>1709</v>
      </c>
      <c r="DS58" s="4">
        <f>Sunsokua!C58 + Vayvele!C58 + Selaja!C58 + Sadain!C58</f>
        <v>67480522.72894235</v>
      </c>
      <c r="DT58" s="6">
        <f t="shared" si="33"/>
        <v>2.5011185447577401E-2</v>
      </c>
      <c r="DU58" s="5">
        <f t="shared" si="34"/>
        <v>2.2621039799434545E-2</v>
      </c>
      <c r="EB58" s="3">
        <f t="shared" si="35"/>
        <v>1959</v>
      </c>
      <c r="EC58" s="3">
        <v>1709</v>
      </c>
      <c r="ED58" s="4">
        <f>Pelugrotoa!C58 + Lieri!C58 + 'Rtesania'!C58 + Ozinia!C58</f>
        <v>177051504.19731176</v>
      </c>
      <c r="EE58" s="6">
        <f t="shared" si="36"/>
        <v>3.5736080869898393E-2</v>
      </c>
      <c r="EF58" s="5">
        <f t="shared" si="37"/>
        <v>5.9351779758507438E-2</v>
      </c>
      <c r="EM58" s="3">
        <f t="shared" si="38"/>
        <v>1959</v>
      </c>
      <c r="EN58" s="3">
        <v>1709</v>
      </c>
      <c r="EO58" s="4">
        <f>Ocaun!C58 + 'Dual Cenryia'!C58 + Byllu!C58 + Exilium!C58 + Inrea!C58 + Amcha!C58 + Isnti!C58 + Galca!C58 + Otiiric!C58 + Taing!C58 + 'Cruthi Anoso'!C58</f>
        <v>80354700.674524918</v>
      </c>
      <c r="EP58" s="6">
        <f t="shared" si="39"/>
        <v>2.3632706728197478E-2</v>
      </c>
      <c r="EQ58" s="5">
        <f t="shared" si="40"/>
        <v>2.6936763506286012E-2</v>
      </c>
      <c r="EX58" s="3">
        <f t="shared" si="41"/>
        <v>1959</v>
      </c>
      <c r="EY58" s="3">
        <v>1709</v>
      </c>
      <c r="EZ58" s="4">
        <f>Sivoso!C58 + Taoisia!C58 + Seytinemas!C58 + Trian!C58 + 'Chaenia'!C58</f>
        <v>51846861.285347797</v>
      </c>
      <c r="FA58" s="6">
        <f t="shared" si="42"/>
        <v>2.5934467597732984E-2</v>
      </c>
      <c r="FB58" s="5">
        <f t="shared" si="43"/>
        <v>1.7380273080021484E-2</v>
      </c>
      <c r="FI58" s="3">
        <f t="shared" si="44"/>
        <v>1959</v>
      </c>
      <c r="FJ58" s="3">
        <v>1709</v>
      </c>
      <c r="FK58" s="4">
        <f>Migoku!C58 + 'Welenu Fana'!C58 + Haiza!C58 + Ucrua!C58 + Ihner!C58 + Oscairia!C58 + Shinam!C58 + 'Ruylku'!C58 + Taval!C58 + 'Western Migoku'!C58 + 'Pruim Fijan'!C58 + 'Canldives'!C58</f>
        <v>62665529.469485365</v>
      </c>
      <c r="FL58" s="6">
        <f t="shared" si="45"/>
        <v>1.8229029190388452E-2</v>
      </c>
      <c r="FM58" s="5">
        <f t="shared" si="46"/>
        <v>2.1006942134635786E-2</v>
      </c>
      <c r="FT58" s="3">
        <f t="shared" si="47"/>
        <v>1959</v>
      </c>
      <c r="FU58" s="3">
        <v>1709</v>
      </c>
      <c r="FV58" s="4">
        <f>Vesozata!C58 + Etretes!C58 + Kusierna!C58 + Eparia!C58</f>
        <v>39481913.649891078</v>
      </c>
      <c r="FW58" s="6">
        <f t="shared" si="48"/>
        <v>2.3536535536462486E-2</v>
      </c>
      <c r="FX58" s="5">
        <f t="shared" si="49"/>
        <v>1.323525521015214E-2</v>
      </c>
      <c r="GE58" s="3">
        <f t="shared" si="50"/>
        <v>1959</v>
      </c>
      <c r="GF58" s="3">
        <v>1709</v>
      </c>
      <c r="GG58" s="4">
        <f>Dahe!C58 + Kaastini!C58 + Suenan!C58 + Oyreain!C58 + Sanagara!C58 + 'North Ayre'!C58 + Stinebar!C58 + 'Cloja'!C58 + 'Pha Hii'!C58 + 'Prystr Hii'!C58</f>
        <v>634309108.26990998</v>
      </c>
      <c r="GH58" s="6">
        <f t="shared" si="51"/>
        <v>1.4139909196441539E-2</v>
      </c>
      <c r="GI58" s="5">
        <f t="shared" si="52"/>
        <v>0.21263515756915305</v>
      </c>
      <c r="GP58" s="3">
        <f t="shared" si="53"/>
        <v>1959</v>
      </c>
      <c r="GQ58" s="3">
        <v>1709</v>
      </c>
      <c r="GR58" s="4">
        <f>Maalle!C58 + 'United Delet'!C58 + Ohtina!C58 + Astye!C58 + Prstreula!C58 + Veelmit!C58 + Aplasia!C58 + 'Elja and Munusia'!C58 + Walporein!C58 + 'Crila Republic'!C58 + 'Niretui and Anulan'!C58 + 'Rethern'!C58 + Tvecoca!C58</f>
        <v>71404073.055962339</v>
      </c>
      <c r="GS58" s="6">
        <f t="shared" si="54"/>
        <v>2.0034525091292766E-2</v>
      </c>
      <c r="GT58" s="5">
        <f t="shared" si="55"/>
        <v>2.3936305071743064E-2</v>
      </c>
      <c r="HA58" s="3">
        <f t="shared" si="56"/>
        <v>1959</v>
      </c>
      <c r="HB58" s="3">
        <v>1709</v>
      </c>
      <c r="HC58" s="4">
        <f>Andsaudare!C58 + Nia!C58 + Umarcia!C58 + Mendereide!C58 + Iainoa!C58 + Isari!C58 + 'Rkmepuia'!C58 + Hiwush!C58 + Isuibul!C58 + Yutnitu!C58</f>
        <v>22864562.083818924</v>
      </c>
      <c r="HD58" s="6">
        <f t="shared" si="57"/>
        <v>2.506192618223254E-2</v>
      </c>
      <c r="HE58" s="5">
        <f t="shared" si="58"/>
        <v>7.6647326958668412E-3</v>
      </c>
      <c r="HL58" s="3">
        <f t="shared" si="59"/>
        <v>1959</v>
      </c>
      <c r="HM58" s="3">
        <v>1709</v>
      </c>
      <c r="HN58" s="4">
        <f>Zhanshe!C58 + Volver!C58 + Finae!C58 + Myla!C58 + 'Nheyes Si'!C58 + Onphello!C58 + Hyelen!C58</f>
        <v>41968827.395991527</v>
      </c>
      <c r="HO58" s="6">
        <f t="shared" si="60"/>
        <v>3.0367607569834826E-2</v>
      </c>
      <c r="HP58" s="5">
        <f t="shared" si="61"/>
        <v>1.4068926506005493E-2</v>
      </c>
      <c r="HW58" s="3">
        <f t="shared" si="62"/>
        <v>1959</v>
      </c>
      <c r="HX58" s="3">
        <v>1709</v>
      </c>
      <c r="HY58" s="4">
        <f>Yihnurda!C58 + Ztesh!C58 + Wundry!C58 + Anymna!C58 + Shomjind!C58 + Baluyde!C58 + Letan!C58</f>
        <v>178193471.10630548</v>
      </c>
      <c r="HZ58" s="6">
        <f t="shared" si="63"/>
        <v>1.952010824051827E-2</v>
      </c>
      <c r="IA58" s="5">
        <f t="shared" si="64"/>
        <v>5.9734593611354261E-2</v>
      </c>
      <c r="IH58" s="3">
        <f t="shared" si="65"/>
        <v>1959</v>
      </c>
      <c r="II58" s="3">
        <v>1709</v>
      </c>
      <c r="IJ58" s="4">
        <f>Iareva!C58 + 'United Mihili'!C58 + 'Mesjan Hyaa'!C58 + Desaki!C58 + 'Far Lands'!C58</f>
        <v>21200280.881997354</v>
      </c>
      <c r="IK58" s="6">
        <f t="shared" si="66"/>
        <v>1.7423330558702519E-2</v>
      </c>
      <c r="IL58" s="5">
        <f t="shared" si="67"/>
        <v>7.1068269508997913E-3</v>
      </c>
      <c r="IS58" s="3">
        <f t="shared" si="68"/>
        <v>1959</v>
      </c>
      <c r="IT58" s="3">
        <v>1709</v>
      </c>
      <c r="IU58" s="4">
        <f>Verste!C58 + Quidic!C58 + Erkizil!C58 + Ashain!C58 + Ahokini!C58</f>
        <v>140450369.24452087</v>
      </c>
      <c r="IV58" s="6">
        <f t="shared" si="69"/>
        <v>2.2416740275191426E-2</v>
      </c>
      <c r="IW58" s="5">
        <f t="shared" si="70"/>
        <v>4.708222853115087E-2</v>
      </c>
    </row>
    <row r="59" spans="1:257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2923907277.0988097</v>
      </c>
      <c r="D59" s="5">
        <f t="shared" si="1"/>
        <v>2.0292839866622121E-2</v>
      </c>
      <c r="K59" s="3">
        <f t="shared" si="2"/>
        <v>1958</v>
      </c>
      <c r="L59" s="3">
        <v>1708</v>
      </c>
      <c r="M59" s="4">
        <f>Eldavpir!C59 + Iquir!C59 + Viussi!C59 + Umendel!C59 + 'Reerica'!C59 + Saa!C59 + Sattle!C59</f>
        <v>22047724.668281175</v>
      </c>
      <c r="N59" s="5">
        <f t="shared" si="3"/>
        <v>2.5939617116992889E-2</v>
      </c>
      <c r="O59" s="5">
        <f t="shared" si="4"/>
        <v>7.5405006311135836E-3</v>
      </c>
      <c r="V59" s="3">
        <f t="shared" si="5"/>
        <v>1958</v>
      </c>
      <c r="W59" s="3">
        <v>1708</v>
      </c>
      <c r="X59" s="4">
        <f>'Areoix Lie'!C59 + Jau!C59 + Terressin!C59 + Acetoa!C59 + 'Feio Lie'!C59</f>
        <v>316675931.6547485</v>
      </c>
      <c r="Y59" s="5">
        <f t="shared" si="6"/>
        <v>2.5726154447991721E-2</v>
      </c>
      <c r="Z59" s="5">
        <f t="shared" si="7"/>
        <v>0.10830573668839596</v>
      </c>
      <c r="AG59" s="3">
        <f t="shared" si="8"/>
        <v>1958</v>
      </c>
      <c r="AH59" s="3">
        <v>1708</v>
      </c>
      <c r="AI59" s="4">
        <f>Taniduna!C59 + Jathua!C59 + Deschon!C59 + Pelines!C59 + 'Candenat'!C59 + Othya!C59 + Yoprioq!C59 + Jshain!C59 + 'Fire Coast'!C59 + 'Rijan bu'!C59 + 'Rinew'!C59 + Enina!C59 + Trevilla!C59</f>
        <v>52363185.583278291</v>
      </c>
      <c r="AJ59" s="5">
        <f t="shared" si="9"/>
        <v>2.3014484465717355E-2</v>
      </c>
      <c r="AK59" s="5">
        <f t="shared" si="10"/>
        <v>1.7908634105262958E-2</v>
      </c>
      <c r="AR59" s="3">
        <f t="shared" si="11"/>
        <v>1958</v>
      </c>
      <c r="AS59" s="3">
        <v>1708</v>
      </c>
      <c r="AT59" s="4">
        <f>Gaeiya!C59 + 'Raledria'!C59 + Arbiya!C59 + Fincen!C59 + 'Curata'!C59</f>
        <v>141773636.66953152</v>
      </c>
      <c r="AU59" s="5">
        <f t="shared" si="12"/>
        <v>1.9252409412533131E-2</v>
      </c>
      <c r="AV59" s="5">
        <f t="shared" si="13"/>
        <v>4.8487733444886688E-2</v>
      </c>
      <c r="BC59" s="3">
        <f t="shared" si="14"/>
        <v>1958</v>
      </c>
      <c r="BD59" s="3">
        <v>1708</v>
      </c>
      <c r="BE59" s="4">
        <f>Etirha!C59 + Laselteh!C59 + Grazail!C59 + 'Disal Nila'!C59 + Pelan!C59 + Peka!C59 + Guise!C59</f>
        <v>55900588.671401404</v>
      </c>
      <c r="BF59" s="5">
        <f t="shared" si="15"/>
        <v>2.0599999534079604E-2</v>
      </c>
      <c r="BG59" s="5">
        <f t="shared" si="16"/>
        <v>1.9118454647736875E-2</v>
      </c>
      <c r="BN59" s="3">
        <f t="shared" si="17"/>
        <v>1958</v>
      </c>
      <c r="BO59" s="3">
        <v>1708</v>
      </c>
      <c r="BP59" s="4">
        <f>Genaire!C59 + 'New Misos'!C59 + Phuris!C59 + Lasri!C59 + Slyiaduun!C59 + Aetintio!C59 + Metndria!C59 + Tomscilus!C59</f>
        <v>39147885.868521847</v>
      </c>
      <c r="BQ59" s="5">
        <f t="shared" si="18"/>
        <v>2.5403621641215735E-2</v>
      </c>
      <c r="BR59" s="5">
        <f t="shared" si="19"/>
        <v>1.3388894434219397E-2</v>
      </c>
      <c r="BY59" s="3">
        <f t="shared" si="20"/>
        <v>1958</v>
      </c>
      <c r="BZ59" s="3">
        <v>1708</v>
      </c>
      <c r="CA59" s="4">
        <f>Ealdorii!C59 + Ukhdari!C59 + Hkuqo!C59 + Acrana!C59 + Zenashan!C59</f>
        <v>136842862.72920504</v>
      </c>
      <c r="CB59" s="7">
        <f t="shared" si="21"/>
        <v>1.9316930519377083E-2</v>
      </c>
      <c r="CC59" s="5">
        <f t="shared" si="22"/>
        <v>4.6801368771510678E-2</v>
      </c>
      <c r="CJ59" s="3">
        <f t="shared" si="23"/>
        <v>1958</v>
      </c>
      <c r="CK59" s="3">
        <v>1708</v>
      </c>
      <c r="CL59" s="4">
        <f>Estijan!C59 + Ikzen!C59 + Urbiqu!C59 + Danocia!C59 + Koruch!C59 + 'New Kizura'!C59 + Lydroa!C59 + Fermori!C59 + Uularin!C59 + 'Niul Spijan'!C59</f>
        <v>163139221.04653528</v>
      </c>
      <c r="CM59" s="7">
        <f t="shared" si="24"/>
        <v>2.4895283998658247E-2</v>
      </c>
      <c r="CN59" s="5">
        <f t="shared" si="25"/>
        <v>5.579493656461193E-2</v>
      </c>
      <c r="CU59" s="3">
        <f t="shared" si="26"/>
        <v>1958</v>
      </c>
      <c r="CV59" s="3">
        <v>1708</v>
      </c>
      <c r="CW59" s="4">
        <f>Praesyu!C59 + Lycroa!C59 + Emara!C59 + Eldjo!C59 + Easuhura!C59 + Ilicuhe!C59 + Tonder!C59</f>
        <v>190247221.31677198</v>
      </c>
      <c r="CX59" s="7">
        <f t="shared" si="27"/>
        <v>6.1864079005470654E-3</v>
      </c>
      <c r="CY59" s="5">
        <f t="shared" si="28"/>
        <v>6.5066092487563801E-2</v>
      </c>
      <c r="DF59" s="3">
        <f t="shared" si="29"/>
        <v>1958</v>
      </c>
      <c r="DG59" s="3">
        <v>1708</v>
      </c>
      <c r="DH59" s="4">
        <f>Verusa!C59 + Darewa!C59 + Siana!C59 + Yaxuto!C59 + 'Merela Sta'!C59 + Palina!C59</f>
        <v>125790927.08661711</v>
      </c>
      <c r="DI59" s="7">
        <f t="shared" si="30"/>
        <v>8.964800742711455E-3</v>
      </c>
      <c r="DJ59" s="5">
        <f t="shared" si="31"/>
        <v>4.3021517156806258E-2</v>
      </c>
      <c r="DQ59" s="3">
        <f t="shared" si="32"/>
        <v>1958</v>
      </c>
      <c r="DR59" s="3">
        <v>1708</v>
      </c>
      <c r="DS59" s="4">
        <f>Sunsokua!C59 + Vayvele!C59 + Selaja!C59 + Sadain!C59</f>
        <v>65833937.899396256</v>
      </c>
      <c r="DT59" s="7">
        <f t="shared" si="33"/>
        <v>2.4921238229376998E-2</v>
      </c>
      <c r="DU59" s="5">
        <f t="shared" si="34"/>
        <v>2.251574063754809E-2</v>
      </c>
      <c r="EB59" s="3">
        <f t="shared" si="35"/>
        <v>1958</v>
      </c>
      <c r="EC59" s="3">
        <v>1708</v>
      </c>
      <c r="ED59" s="4">
        <f>Pelugrotoa!C59 + Lieri!C59 + 'Rtesania'!C59 + Ozinia!C59</f>
        <v>170942682.66546145</v>
      </c>
      <c r="EE59" s="7">
        <f t="shared" si="36"/>
        <v>3.6692777414538504E-2</v>
      </c>
      <c r="EF59" s="5">
        <f t="shared" si="37"/>
        <v>5.8463783719939301E-2</v>
      </c>
      <c r="EM59" s="3">
        <f t="shared" si="38"/>
        <v>1958</v>
      </c>
      <c r="EN59" s="3">
        <v>1708</v>
      </c>
      <c r="EO59" s="4">
        <f>Ocaun!C59 + 'Dual Cenryia'!C59 + Byllu!C59 + Exilium!C59 + Inrea!C59 + Amcha!C59 + Isnti!C59 + Galca!C59 + Otiiric!C59 + Taing!C59 + 'Cruthi Anoso'!C59</f>
        <v>78499543.973501906</v>
      </c>
      <c r="EP59" s="7">
        <f t="shared" si="39"/>
        <v>2.2829254995478505E-2</v>
      </c>
      <c r="EQ59" s="5">
        <f t="shared" si="40"/>
        <v>2.6847480625784945E-2</v>
      </c>
      <c r="EX59" s="3">
        <f t="shared" si="41"/>
        <v>1958</v>
      </c>
      <c r="EY59" s="3">
        <v>1708</v>
      </c>
      <c r="EZ59" s="4">
        <f>Sivoso!C59 + Taoisia!C59 + Seytinemas!C59 + Trian!C59 + 'Chaenia'!C59</f>
        <v>50536231.038956434</v>
      </c>
      <c r="FA59" s="7">
        <f t="shared" si="42"/>
        <v>2.6601848878628171E-2</v>
      </c>
      <c r="FB59" s="5">
        <f t="shared" si="43"/>
        <v>1.7283800835538134E-2</v>
      </c>
      <c r="FI59" s="3">
        <f t="shared" si="44"/>
        <v>1958</v>
      </c>
      <c r="FJ59" s="3">
        <v>1708</v>
      </c>
      <c r="FK59" s="4">
        <f>Migoku!C59 + 'Welenu Fana'!C59 + Haiza!C59 + Ucrua!C59 + Ihner!C59 + Oscairia!C59 + Shinam!C59 + 'Ruylku'!C59 + Taval!C59 + 'Western Migoku'!C59 + 'Pruim Fijan'!C59 + 'Canldives'!C59</f>
        <v>61543648.504415371</v>
      </c>
      <c r="FL59" s="7">
        <f t="shared" si="45"/>
        <v>1.7893489147713038E-2</v>
      </c>
      <c r="FM59" s="5">
        <f t="shared" si="46"/>
        <v>2.1048426872647227E-2</v>
      </c>
      <c r="FT59" s="3">
        <f t="shared" si="47"/>
        <v>1958</v>
      </c>
      <c r="FU59" s="3">
        <v>1708</v>
      </c>
      <c r="FV59" s="4">
        <f>Vesozata!C59 + Etretes!C59 + Kusierna!C59 + Eparia!C59</f>
        <v>38574014.975633055</v>
      </c>
      <c r="FW59" s="7">
        <f t="shared" si="48"/>
        <v>2.4306139756282347E-2</v>
      </c>
      <c r="FX59" s="5">
        <f t="shared" si="49"/>
        <v>1.3192625935083472E-2</v>
      </c>
      <c r="GE59" s="3">
        <f t="shared" si="50"/>
        <v>1958</v>
      </c>
      <c r="GF59" s="3">
        <v>1708</v>
      </c>
      <c r="GG59" s="4">
        <f>Dahe!C59 + Kaastini!C59 + Suenan!C59 + Oyreain!C59 + Sanagara!C59 + 'North Ayre'!C59 + Stinebar!C59 + 'Cloja'!C59 + 'Pha Hii'!C59 + 'Prystr Hii'!C59</f>
        <v>625465088.71000624</v>
      </c>
      <c r="GH59" s="7">
        <f t="shared" si="51"/>
        <v>1.430709715977628E-2</v>
      </c>
      <c r="GI59" s="5">
        <f t="shared" si="52"/>
        <v>0.21391413250649036</v>
      </c>
      <c r="GP59" s="3">
        <f t="shared" si="53"/>
        <v>1958</v>
      </c>
      <c r="GQ59" s="3">
        <v>1708</v>
      </c>
      <c r="GR59" s="4">
        <f>Maalle!C59 + 'United Delet'!C59 + Ohtina!C59 + Astye!C59 + Prstreula!C59 + Veelmit!C59 + Aplasia!C59 + 'Elja and Munusia'!C59 + Walporein!C59 + 'Crila Republic'!C59 + 'Niretui and Anulan'!C59 + 'Rethern'!C59 + Tvecoca!C59</f>
        <v>70001623.768148139</v>
      </c>
      <c r="GS59" s="7">
        <f t="shared" si="54"/>
        <v>1.9816705710237695E-2</v>
      </c>
      <c r="GT59" s="5">
        <f t="shared" si="55"/>
        <v>2.3941123002233469E-2</v>
      </c>
      <c r="HA59" s="3">
        <f t="shared" si="56"/>
        <v>1958</v>
      </c>
      <c r="HB59" s="3">
        <v>1708</v>
      </c>
      <c r="HC59" s="4">
        <f>Andsaudare!C59 + Nia!C59 + Umarcia!C59 + Mendereide!C59 + Iainoa!C59 + Isari!C59 + 'Rkmepuia'!C59 + Hiwush!C59 + Isuibul!C59 + Yutnitu!C59</f>
        <v>22305542.230971642</v>
      </c>
      <c r="HD59" s="7">
        <f t="shared" si="57"/>
        <v>2.4900144877877679E-2</v>
      </c>
      <c r="HE59" s="5">
        <f t="shared" si="58"/>
        <v>7.628676328308155E-3</v>
      </c>
      <c r="HL59" s="3">
        <f t="shared" si="59"/>
        <v>1958</v>
      </c>
      <c r="HM59" s="3">
        <v>1708</v>
      </c>
      <c r="HN59" s="4">
        <f>Zhanshe!C59 + Volver!C59 + Finae!C59 + Myla!C59 + 'Nheyes Si'!C59 + Onphello!C59 + Hyelen!C59</f>
        <v>40731897.128420763</v>
      </c>
      <c r="HO59" s="7">
        <f t="shared" si="60"/>
        <v>3.1053524865835267E-2</v>
      </c>
      <c r="HP59" s="5">
        <f t="shared" si="61"/>
        <v>1.3930639130539118E-2</v>
      </c>
      <c r="HW59" s="3">
        <f t="shared" si="62"/>
        <v>1958</v>
      </c>
      <c r="HX59" s="3">
        <v>1708</v>
      </c>
      <c r="HY59" s="4">
        <f>Yihnurda!C59 + Ztesh!C59 + Wundry!C59 + Anymna!C59 + Shomjind!C59 + Baluyde!C59 + Letan!C59</f>
        <v>174781713.14720875</v>
      </c>
      <c r="HZ59" s="7">
        <f t="shared" si="63"/>
        <v>1.9216798035725863E-2</v>
      </c>
      <c r="IA59" s="5">
        <f t="shared" si="64"/>
        <v>5.9776763277060045E-2</v>
      </c>
      <c r="IH59" s="3">
        <f t="shared" si="65"/>
        <v>1958</v>
      </c>
      <c r="II59" s="3">
        <v>1708</v>
      </c>
      <c r="IJ59" s="4">
        <f>Iareva!C59 + 'United Mihili'!C59 + 'Mesjan Hyaa'!C59 + Desaki!C59 + 'Far Lands'!C59</f>
        <v>20837226.988254283</v>
      </c>
      <c r="IK59" s="7">
        <f t="shared" si="66"/>
        <v>1.7069328247966087E-2</v>
      </c>
      <c r="IL59" s="5">
        <f t="shared" si="67"/>
        <v>7.1265006080937074E-3</v>
      </c>
      <c r="IS59" s="3">
        <f t="shared" si="68"/>
        <v>1958</v>
      </c>
      <c r="IT59" s="3">
        <v>1708</v>
      </c>
      <c r="IU59" s="4">
        <f>Verste!C59 + Quidic!C59 + Erkizil!C59 + Ashain!C59 + Ahokini!C59</f>
        <v>137370960.11037296</v>
      </c>
      <c r="IV59" s="7">
        <f t="shared" si="69"/>
        <v>2.1970984260640768E-2</v>
      </c>
      <c r="IW59" s="5">
        <f t="shared" si="70"/>
        <v>4.6981982358440803E-2</v>
      </c>
    </row>
    <row r="60" spans="1:257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2865753010.1662164</v>
      </c>
      <c r="D60" s="5">
        <f t="shared" si="1"/>
        <v>2.0383910442590088E-2</v>
      </c>
      <c r="K60" s="3">
        <f t="shared" si="2"/>
        <v>1957</v>
      </c>
      <c r="L60" s="3">
        <v>1707</v>
      </c>
      <c r="M60" s="4">
        <f>Eldavpir!C60 + Iquir!C60 + Viussi!C60 + Umendel!C60 + 'Reerica'!C60 + Saa!C60 + Sattle!C60</f>
        <v>21490275.158919968</v>
      </c>
      <c r="N60" s="5">
        <f t="shared" si="3"/>
        <v>2.6001660022836232E-2</v>
      </c>
      <c r="O60" s="5">
        <f t="shared" si="4"/>
        <v>7.4989976744972561E-3</v>
      </c>
      <c r="V60" s="3">
        <f t="shared" si="5"/>
        <v>1957</v>
      </c>
      <c r="W60" s="3">
        <v>1707</v>
      </c>
      <c r="X60" s="4">
        <f>'Areoix Lie'!C60 + Jau!C60 + Terressin!C60 + Acetoa!C60 + 'Feio Lie'!C60</f>
        <v>308733408.30932784</v>
      </c>
      <c r="Y60" s="5">
        <f t="shared" si="6"/>
        <v>2.5748616338050003E-2</v>
      </c>
      <c r="Z60" s="5">
        <f t="shared" si="7"/>
        <v>0.10773203664590097</v>
      </c>
      <c r="AG60" s="3">
        <f t="shared" si="8"/>
        <v>1957</v>
      </c>
      <c r="AH60" s="3">
        <v>1707</v>
      </c>
      <c r="AI60" s="4">
        <f>Taniduna!C60 + Jathua!C60 + Deschon!C60 + Pelines!C60 + 'Candenat'!C60 + Othya!C60 + Yoprioq!C60 + Jshain!C60 + 'Fire Coast'!C60 + 'Rijan bu'!C60 + 'Rinew'!C60 + Enina!C60 + Trevilla!C60</f>
        <v>51185184.939610749</v>
      </c>
      <c r="AJ60" s="5">
        <f t="shared" si="9"/>
        <v>2.2621139821498548E-2</v>
      </c>
      <c r="AK60" s="5">
        <f t="shared" si="10"/>
        <v>1.7860989679861477E-2</v>
      </c>
      <c r="AR60" s="3">
        <f t="shared" si="11"/>
        <v>1957</v>
      </c>
      <c r="AS60" s="3">
        <v>1707</v>
      </c>
      <c r="AT60" s="4">
        <f>Gaeiya!C60 + 'Raledria'!C60 + Arbiya!C60 + Fincen!C60 + 'Curata'!C60</f>
        <v>139095709.12983727</v>
      </c>
      <c r="AU60" s="5">
        <f t="shared" si="12"/>
        <v>1.9195485677765557E-2</v>
      </c>
      <c r="AV60" s="5">
        <f t="shared" si="13"/>
        <v>4.8537228657318791E-2</v>
      </c>
      <c r="BC60" s="3">
        <f t="shared" si="14"/>
        <v>1957</v>
      </c>
      <c r="BD60" s="3">
        <v>1707</v>
      </c>
      <c r="BE60" s="4">
        <f>Etirha!C60 + Laselteh!C60 + Grazail!C60 + 'Disal Nila'!C60 + Pelan!C60 + Peka!C60 + Guise!C60</f>
        <v>54772279.734392442</v>
      </c>
      <c r="BF60" s="5">
        <f t="shared" si="15"/>
        <v>2.1781066352826978E-2</v>
      </c>
      <c r="BG60" s="5">
        <f t="shared" si="16"/>
        <v>1.9112700759656744E-2</v>
      </c>
      <c r="BN60" s="3">
        <f t="shared" si="17"/>
        <v>1957</v>
      </c>
      <c r="BO60" s="3">
        <v>1707</v>
      </c>
      <c r="BP60" s="4">
        <f>Genaire!C60 + 'New Misos'!C60 + Phuris!C60 + Lasri!C60 + Slyiaduun!C60 + Aetintio!C60 + Metndria!C60 + Tomscilus!C60</f>
        <v>38178025.747425653</v>
      </c>
      <c r="BQ60" s="5">
        <f t="shared" si="18"/>
        <v>2.5752359149507686E-2</v>
      </c>
      <c r="BR60" s="5">
        <f t="shared" si="19"/>
        <v>1.3322161963012748E-2</v>
      </c>
      <c r="BY60" s="3">
        <f t="shared" si="20"/>
        <v>1957</v>
      </c>
      <c r="BZ60" s="3">
        <v>1707</v>
      </c>
      <c r="CA60" s="4">
        <f>Ealdorii!C60 + Ukhdari!C60 + Hkuqo!C60 + Acrana!C60 + Zenashan!C60</f>
        <v>134249573.05425987</v>
      </c>
      <c r="CB60" s="6">
        <f t="shared" si="21"/>
        <v>1.7624624156421589E-2</v>
      </c>
      <c r="CC60" s="5">
        <f t="shared" si="22"/>
        <v>4.6846177105288378E-2</v>
      </c>
      <c r="CJ60" s="3">
        <f t="shared" si="23"/>
        <v>1957</v>
      </c>
      <c r="CK60" s="3">
        <v>1707</v>
      </c>
      <c r="CL60" s="4">
        <f>Estijan!C60 + Ikzen!C60 + Urbiqu!C60 + Danocia!C60 + Koruch!C60 + 'New Kizura'!C60 + Lydroa!C60 + Fermori!C60 + Uularin!C60 + 'Niul Spijan'!C60</f>
        <v>159176477.43488774</v>
      </c>
      <c r="CM60" s="6">
        <f t="shared" si="24"/>
        <v>2.665063207335933E-2</v>
      </c>
      <c r="CN60" s="5">
        <f t="shared" si="25"/>
        <v>5.5544381134805247E-2</v>
      </c>
      <c r="CU60" s="3">
        <f t="shared" si="26"/>
        <v>1957</v>
      </c>
      <c r="CV60" s="3">
        <v>1707</v>
      </c>
      <c r="CW60" s="4">
        <f>Praesyu!C60 + Lycroa!C60 + Emara!C60 + Eldjo!C60 + Easuhura!C60 + Ilicuhe!C60 + Tonder!C60</f>
        <v>189077510.71069556</v>
      </c>
      <c r="CX60" s="6">
        <f t="shared" si="27"/>
        <v>5.3010063451125631E-3</v>
      </c>
      <c r="CY60" s="5">
        <f t="shared" si="28"/>
        <v>6.5978299609193783E-2</v>
      </c>
      <c r="DF60" s="3">
        <f t="shared" si="29"/>
        <v>1957</v>
      </c>
      <c r="DG60" s="3">
        <v>1707</v>
      </c>
      <c r="DH60" s="4">
        <f>Verusa!C60 + Darewa!C60 + Siana!C60 + Yaxuto!C60 + 'Merela Sta'!C60 + Palina!C60</f>
        <v>124673256.18695603</v>
      </c>
      <c r="DI60" s="6">
        <f t="shared" si="30"/>
        <v>8.7835062504260722E-3</v>
      </c>
      <c r="DJ60" s="5">
        <f t="shared" si="31"/>
        <v>4.3504536414924633E-2</v>
      </c>
      <c r="DQ60" s="3">
        <f t="shared" si="32"/>
        <v>1957</v>
      </c>
      <c r="DR60" s="3">
        <v>1707</v>
      </c>
      <c r="DS60" s="4">
        <f>Sunsokua!C60 + Vayvele!C60 + Selaja!C60 + Sadain!C60</f>
        <v>64233167.82187964</v>
      </c>
      <c r="DT60" s="6">
        <f t="shared" si="33"/>
        <v>2.4732617897845723E-2</v>
      </c>
      <c r="DU60" s="5">
        <f t="shared" si="34"/>
        <v>2.2414062759077084E-2</v>
      </c>
      <c r="EB60" s="3">
        <f t="shared" si="35"/>
        <v>1957</v>
      </c>
      <c r="EC60" s="3">
        <v>1707</v>
      </c>
      <c r="ED60" s="4">
        <f>Pelugrotoa!C60 + Lieri!C60 + 'Rtesania'!C60 + Ozinia!C60</f>
        <v>164892325.27671719</v>
      </c>
      <c r="EE60" s="6">
        <f t="shared" si="36"/>
        <v>3.7959395310648278E-2</v>
      </c>
      <c r="EF60" s="5">
        <f t="shared" si="37"/>
        <v>5.7538917238074638E-2</v>
      </c>
      <c r="EM60" s="3">
        <f t="shared" si="38"/>
        <v>1957</v>
      </c>
      <c r="EN60" s="3">
        <v>1707</v>
      </c>
      <c r="EO60" s="4">
        <f>Ocaun!C60 + 'Dual Cenryia'!C60 + Byllu!C60 + Exilium!C60 + Inrea!C60 + Amcha!C60 + Isnti!C60 + Galca!C60 + Otiiric!C60 + Taing!C60 + 'Cruthi Anoso'!C60</f>
        <v>76747456.713925257</v>
      </c>
      <c r="EP60" s="6">
        <f t="shared" si="39"/>
        <v>2.2668777962597204E-2</v>
      </c>
      <c r="EQ60" s="5">
        <f t="shared" si="40"/>
        <v>2.6780904160848752E-2</v>
      </c>
      <c r="EX60" s="3">
        <f t="shared" si="41"/>
        <v>1957</v>
      </c>
      <c r="EY60" s="3">
        <v>1707</v>
      </c>
      <c r="EZ60" s="4">
        <f>Sivoso!C60 + Taoisia!C60 + Seytinemas!C60 + Trian!C60 + 'Chaenia'!C60</f>
        <v>49226709.550696678</v>
      </c>
      <c r="FA60" s="6">
        <f t="shared" si="42"/>
        <v>2.7481499907215066E-2</v>
      </c>
      <c r="FB60" s="5">
        <f t="shared" si="43"/>
        <v>1.7177582777045213E-2</v>
      </c>
      <c r="FI60" s="3">
        <f t="shared" si="44"/>
        <v>1957</v>
      </c>
      <c r="FJ60" s="3">
        <v>1707</v>
      </c>
      <c r="FK60" s="4">
        <f>Migoku!C60 + 'Welenu Fana'!C60 + Haiza!C60 + Ucrua!C60 + Ihner!C60 + Oscairia!C60 + Shinam!C60 + 'Ruylku'!C60 + Taval!C60 + 'Western Migoku'!C60 + 'Pruim Fijan'!C60 + 'Canldives'!C60</f>
        <v>60461776.365173683</v>
      </c>
      <c r="FL60" s="6">
        <f t="shared" si="45"/>
        <v>1.7462623103743777E-2</v>
      </c>
      <c r="FM60" s="5">
        <f t="shared" si="46"/>
        <v>2.1098041649327916E-2</v>
      </c>
      <c r="FT60" s="3">
        <f t="shared" si="47"/>
        <v>1957</v>
      </c>
      <c r="FU60" s="3">
        <v>1707</v>
      </c>
      <c r="FV60" s="4">
        <f>Vesozata!C60 + Etretes!C60 + Kusierna!C60 + Eparia!C60</f>
        <v>37658677.887854055</v>
      </c>
      <c r="FW60" s="6">
        <f t="shared" si="48"/>
        <v>2.9183818320280053E-2</v>
      </c>
      <c r="FX60" s="5">
        <f t="shared" si="49"/>
        <v>1.3140936345267876E-2</v>
      </c>
      <c r="GE60" s="3">
        <f t="shared" si="50"/>
        <v>1957</v>
      </c>
      <c r="GF60" s="3">
        <v>1707</v>
      </c>
      <c r="GG60" s="4">
        <f>Dahe!C60 + Kaastini!C60 + Suenan!C60 + Oyreain!C60 + Sanagara!C60 + 'North Ayre'!C60 + Stinebar!C60 + 'Cloja'!C60 + 'Pha Hii'!C60 + 'Prystr Hii'!C60</f>
        <v>616642721.38232052</v>
      </c>
      <c r="GH60" s="6">
        <f t="shared" si="51"/>
        <v>1.4548644780096274E-2</v>
      </c>
      <c r="GI60" s="5">
        <f t="shared" si="52"/>
        <v>0.21517650655684198</v>
      </c>
      <c r="GP60" s="3">
        <f t="shared" si="53"/>
        <v>1957</v>
      </c>
      <c r="GQ60" s="3">
        <v>1707</v>
      </c>
      <c r="GR60" s="4">
        <f>Maalle!C60 + 'United Delet'!C60 + Ohtina!C60 + Astye!C60 + Prstreula!C60 + Veelmit!C60 + Aplasia!C60 + 'Elja and Munusia'!C60 + Walporein!C60 + 'Crila Republic'!C60 + 'Niretui and Anulan'!C60 + 'Rethern'!C60 + Tvecoca!C60</f>
        <v>68641377.785036817</v>
      </c>
      <c r="GS60" s="6">
        <f t="shared" si="54"/>
        <v>1.9794418259314835E-2</v>
      </c>
      <c r="GT60" s="5">
        <f t="shared" si="55"/>
        <v>2.3952300683810695E-2</v>
      </c>
      <c r="HA60" s="3">
        <f t="shared" si="56"/>
        <v>1957</v>
      </c>
      <c r="HB60" s="3">
        <v>1707</v>
      </c>
      <c r="HC60" s="4">
        <f>Andsaudare!C60 + Nia!C60 + Umarcia!C60 + Mendereide!C60 + Iainoa!C60 + Isari!C60 + 'Rkmepuia'!C60 + Hiwush!C60 + Isuibul!C60 + Yutnitu!C60</f>
        <v>21763624.81988864</v>
      </c>
      <c r="HD60" s="6">
        <f t="shared" si="57"/>
        <v>2.4728075770150973E-2</v>
      </c>
      <c r="HE60" s="5">
        <f t="shared" si="58"/>
        <v>7.5943826082298452E-3</v>
      </c>
      <c r="HL60" s="3">
        <f t="shared" si="59"/>
        <v>1957</v>
      </c>
      <c r="HM60" s="3">
        <v>1707</v>
      </c>
      <c r="HN60" s="4">
        <f>Zhanshe!C60 + Volver!C60 + Finae!C60 + Myla!C60 + 'Nheyes Si'!C60 + Onphello!C60 + Hyelen!C60</f>
        <v>39505123.784646347</v>
      </c>
      <c r="HO60" s="6">
        <f t="shared" si="60"/>
        <v>3.0777167431661645E-2</v>
      </c>
      <c r="HP60" s="5">
        <f t="shared" si="61"/>
        <v>1.3785250733228756E-2</v>
      </c>
      <c r="HW60" s="3">
        <f t="shared" si="62"/>
        <v>1957</v>
      </c>
      <c r="HX60" s="3">
        <v>1707</v>
      </c>
      <c r="HY60" s="4">
        <f>Yihnurda!C60 + Ztesh!C60 + Wundry!C60 + Anymna!C60 + Shomjind!C60 + Baluyde!C60 + Letan!C60</f>
        <v>171486295.6380378</v>
      </c>
      <c r="HZ60" s="6">
        <f t="shared" si="63"/>
        <v>1.8860705051240469E-2</v>
      </c>
      <c r="IA60" s="5">
        <f t="shared" si="64"/>
        <v>5.9839872811680808E-2</v>
      </c>
      <c r="IH60" s="3">
        <f t="shared" si="65"/>
        <v>1957</v>
      </c>
      <c r="II60" s="3">
        <v>1707</v>
      </c>
      <c r="IJ60" s="4">
        <f>Iareva!C60 + 'United Mihili'!C60 + 'Mesjan Hyaa'!C60 + Desaki!C60 + 'Far Lands'!C60</f>
        <v>20487518.804788962</v>
      </c>
      <c r="IK60" s="6">
        <f t="shared" si="66"/>
        <v>1.8133612667280211E-2</v>
      </c>
      <c r="IL60" s="5">
        <f t="shared" si="67"/>
        <v>7.1490874238323374E-3</v>
      </c>
      <c r="IS60" s="3">
        <f t="shared" si="68"/>
        <v>1957</v>
      </c>
      <c r="IT60" s="3">
        <v>1707</v>
      </c>
      <c r="IU60" s="4">
        <f>Verste!C60 + Quidic!C60 + Erkizil!C60 + Ashain!C60 + Ahokini!C60</f>
        <v>134417671.56408644</v>
      </c>
      <c r="IV60" s="6">
        <f t="shared" si="69"/>
        <v>2.2207955762218151E-2</v>
      </c>
      <c r="IW60" s="5">
        <f t="shared" si="70"/>
        <v>4.6904834815576127E-2</v>
      </c>
    </row>
    <row r="61" spans="1:257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2808504701.8461905</v>
      </c>
      <c r="D61" s="5">
        <f t="shared" si="1"/>
        <v>2.0151681986547283E-2</v>
      </c>
      <c r="K61" s="3">
        <f t="shared" si="2"/>
        <v>1956</v>
      </c>
      <c r="L61" s="3">
        <v>1706</v>
      </c>
      <c r="M61" s="4">
        <f>Eldavpir!C61 + Iquir!C61 + Viussi!C61 + Umendel!C61 + 'Reerica'!C61 + Saa!C61 + Sattle!C61</f>
        <v>20945653.400250491</v>
      </c>
      <c r="N61" s="5">
        <f t="shared" si="3"/>
        <v>2.5308667157996512E-2</v>
      </c>
      <c r="O61" s="5">
        <f t="shared" si="4"/>
        <v>7.4579378081445682E-3</v>
      </c>
      <c r="V61" s="3">
        <f t="shared" si="5"/>
        <v>1956</v>
      </c>
      <c r="W61" s="3">
        <v>1706</v>
      </c>
      <c r="X61" s="4">
        <f>'Areoix Lie'!C61 + Jau!C61 + Terressin!C61 + Acetoa!C61 + 'Feio Lie'!C61</f>
        <v>300983499.65268719</v>
      </c>
      <c r="Y61" s="5">
        <f t="shared" si="6"/>
        <v>2.5731920524128406E-2</v>
      </c>
      <c r="Z61" s="5">
        <f t="shared" si="7"/>
        <v>0.10716859382675541</v>
      </c>
      <c r="AG61" s="3">
        <f t="shared" si="8"/>
        <v>1956</v>
      </c>
      <c r="AH61" s="3">
        <v>1706</v>
      </c>
      <c r="AI61" s="4">
        <f>Taniduna!C61 + Jathua!C61 + Deschon!C61 + Pelines!C61 + 'Candenat'!C61 + Othya!C61 + Yoprioq!C61 + Jshain!C61 + 'Fire Coast'!C61 + 'Rijan bu'!C61 + 'Rinew'!C61 + Enina!C61 + Trevilla!C61</f>
        <v>50052930.598075911</v>
      </c>
      <c r="AJ61" s="5">
        <f t="shared" si="9"/>
        <v>2.2472819507913699E-2</v>
      </c>
      <c r="AK61" s="5">
        <f t="shared" si="10"/>
        <v>1.7821914474692981E-2</v>
      </c>
      <c r="AR61" s="3">
        <f t="shared" si="11"/>
        <v>1956</v>
      </c>
      <c r="AS61" s="3">
        <v>1706</v>
      </c>
      <c r="AT61" s="4">
        <f>Gaeiya!C61 + 'Raledria'!C61 + Arbiya!C61 + Fincen!C61 + 'Curata'!C61</f>
        <v>136475986.28965527</v>
      </c>
      <c r="AU61" s="5">
        <f t="shared" si="12"/>
        <v>1.9160971212153204E-2</v>
      </c>
      <c r="AV61" s="5">
        <f t="shared" si="13"/>
        <v>4.8593825105559485E-2</v>
      </c>
      <c r="BC61" s="3">
        <f t="shared" si="14"/>
        <v>1956</v>
      </c>
      <c r="BD61" s="3">
        <v>1706</v>
      </c>
      <c r="BE61" s="4">
        <f>Etirha!C61 + Laselteh!C61 + Grazail!C61 + 'Disal Nila'!C61 + Pelan!C61 + Peka!C61 + Guise!C61</f>
        <v>53604711.946658105</v>
      </c>
      <c r="BF61" s="5">
        <f t="shared" si="15"/>
        <v>2.208644335505942E-2</v>
      </c>
      <c r="BG61" s="5">
        <f t="shared" si="16"/>
        <v>1.9086566567405306E-2</v>
      </c>
      <c r="BN61" s="3">
        <f t="shared" si="17"/>
        <v>1956</v>
      </c>
      <c r="BO61" s="3">
        <v>1706</v>
      </c>
      <c r="BP61" s="4">
        <f>Genaire!C61 + 'New Misos'!C61 + Phuris!C61 + Lasri!C61 + Slyiaduun!C61 + Aetintio!C61 + Metndria!C61 + Tomscilus!C61</f>
        <v>37219534.916868806</v>
      </c>
      <c r="BQ61" s="5">
        <f t="shared" si="18"/>
        <v>2.5989731083403543E-2</v>
      </c>
      <c r="BR61" s="5">
        <f t="shared" si="19"/>
        <v>1.3252438171957584E-2</v>
      </c>
      <c r="BY61" s="3">
        <f t="shared" si="20"/>
        <v>1956</v>
      </c>
      <c r="BZ61" s="3">
        <v>1706</v>
      </c>
      <c r="CA61" s="4">
        <f>Ealdorii!C61 + Ukhdari!C61 + Hkuqo!C61 + Acrana!C61 + Zenashan!C61</f>
        <v>131924454.1331225</v>
      </c>
      <c r="CB61" s="7">
        <f t="shared" si="21"/>
        <v>1.5549568182165201E-2</v>
      </c>
      <c r="CC61" s="5">
        <f t="shared" si="22"/>
        <v>4.6973200381826327E-2</v>
      </c>
      <c r="CJ61" s="3">
        <f t="shared" si="23"/>
        <v>1956</v>
      </c>
      <c r="CK61" s="3">
        <v>1706</v>
      </c>
      <c r="CL61" s="4">
        <f>Estijan!C61 + Ikzen!C61 + Urbiqu!C61 + Danocia!C61 + Koruch!C61 + 'New Kizura'!C61 + Lydroa!C61 + Fermori!C61 + Uularin!C61 + 'Niul Spijan'!C61</f>
        <v>155044444.97679302</v>
      </c>
      <c r="CM61" s="7">
        <f t="shared" si="24"/>
        <v>2.8471377427602484E-2</v>
      </c>
      <c r="CN61" s="5">
        <f t="shared" si="25"/>
        <v>5.5205335734304972E-2</v>
      </c>
      <c r="CU61" s="3">
        <f t="shared" si="26"/>
        <v>1956</v>
      </c>
      <c r="CV61" s="3">
        <v>1706</v>
      </c>
      <c r="CW61" s="4">
        <f>Praesyu!C61 + Lycroa!C61 + Emara!C61 + Eldjo!C61 + Easuhura!C61 + Ilicuhe!C61 + Tonder!C61</f>
        <v>188080494.81429309</v>
      </c>
      <c r="CX61" s="7">
        <f t="shared" si="27"/>
        <v>5.0681265098517598E-3</v>
      </c>
      <c r="CY61" s="5">
        <f t="shared" si="28"/>
        <v>6.6968196524882811E-2</v>
      </c>
      <c r="DF61" s="3">
        <f t="shared" si="29"/>
        <v>1956</v>
      </c>
      <c r="DG61" s="3">
        <v>1706</v>
      </c>
      <c r="DH61" s="4">
        <f>Verusa!C61 + Darewa!C61 + Siana!C61 + Yaxuto!C61 + 'Merela Sta'!C61 + Palina!C61</f>
        <v>123587722.65256134</v>
      </c>
      <c r="DI61" s="7">
        <f t="shared" si="30"/>
        <v>5.9177866873452306E-3</v>
      </c>
      <c r="DJ61" s="5">
        <f t="shared" si="31"/>
        <v>4.4004812443903002E-2</v>
      </c>
      <c r="DQ61" s="3">
        <f t="shared" si="32"/>
        <v>1956</v>
      </c>
      <c r="DR61" s="3">
        <v>1706</v>
      </c>
      <c r="DS61" s="4">
        <f>Sunsokua!C61 + Vayvele!C61 + Selaja!C61 + Sadain!C61</f>
        <v>62682856.678895101</v>
      </c>
      <c r="DT61" s="7">
        <f t="shared" si="33"/>
        <v>2.4444797194197589E-2</v>
      </c>
      <c r="DU61" s="5">
        <f t="shared" si="34"/>
        <v>2.231894311506407E-2</v>
      </c>
      <c r="EB61" s="3">
        <f t="shared" si="35"/>
        <v>1956</v>
      </c>
      <c r="EC61" s="3">
        <v>1706</v>
      </c>
      <c r="ED61" s="4">
        <f>Pelugrotoa!C61 + Lieri!C61 + 'Rtesania'!C61 + Ozinia!C61</f>
        <v>158862019.09407735</v>
      </c>
      <c r="EE61" s="7">
        <f t="shared" si="36"/>
        <v>3.7450676705052116E-2</v>
      </c>
      <c r="EF61" s="5">
        <f t="shared" si="37"/>
        <v>5.6564626361368837E-2</v>
      </c>
      <c r="EM61" s="3">
        <f t="shared" si="38"/>
        <v>1956</v>
      </c>
      <c r="EN61" s="3">
        <v>1706</v>
      </c>
      <c r="EO61" s="4">
        <f>Ocaun!C61 + 'Dual Cenryia'!C61 + Byllu!C61 + Exilium!C61 + Inrea!C61 + Amcha!C61 + Isnti!C61 + Galca!C61 + Otiiric!C61 + Taing!C61 + 'Cruthi Anoso'!C61</f>
        <v>75046249.937173888</v>
      </c>
      <c r="EP61" s="7">
        <f t="shared" si="39"/>
        <v>2.2659826704448143E-2</v>
      </c>
      <c r="EQ61" s="5">
        <f t="shared" si="40"/>
        <v>2.6721069716508471E-2</v>
      </c>
      <c r="EX61" s="3">
        <f t="shared" si="41"/>
        <v>1956</v>
      </c>
      <c r="EY61" s="3">
        <v>1706</v>
      </c>
      <c r="EZ61" s="4">
        <f>Sivoso!C61 + Taoisia!C61 + Seytinemas!C61 + Trian!C61 + 'Chaenia'!C61</f>
        <v>47910068.994081169</v>
      </c>
      <c r="FA61" s="7">
        <f t="shared" si="42"/>
        <v>2.8157984430694213E-2</v>
      </c>
      <c r="FB61" s="5">
        <f t="shared" si="43"/>
        <v>1.705892426051028E-2</v>
      </c>
      <c r="FI61" s="3">
        <f t="shared" si="44"/>
        <v>1956</v>
      </c>
      <c r="FJ61" s="3">
        <v>1706</v>
      </c>
      <c r="FK61" s="4">
        <f>Migoku!C61 + 'Welenu Fana'!C61 + Haiza!C61 + Ucrua!C61 + Ihner!C61 + Oscairia!C61 + Shinam!C61 + 'Ruylku'!C61 + Taval!C61 + 'Western Migoku'!C61 + 'Pruim Fijan'!C61 + 'Canldives'!C61</f>
        <v>59424076.120591611</v>
      </c>
      <c r="FL61" s="7">
        <f t="shared" si="45"/>
        <v>1.7103217044770247E-2</v>
      </c>
      <c r="FM61" s="5">
        <f t="shared" si="46"/>
        <v>2.1158617281832846E-2</v>
      </c>
      <c r="FT61" s="3">
        <f t="shared" si="47"/>
        <v>1956</v>
      </c>
      <c r="FU61" s="3">
        <v>1706</v>
      </c>
      <c r="FV61" s="4">
        <f>Vesozata!C61 + Etretes!C61 + Kusierna!C61 + Eparia!C61</f>
        <v>36590818.100226626</v>
      </c>
      <c r="FW61" s="7">
        <f t="shared" si="48"/>
        <v>2.709162991689985E-2</v>
      </c>
      <c r="FX61" s="5">
        <f t="shared" si="49"/>
        <v>1.3028576407998673E-2</v>
      </c>
      <c r="GE61" s="3">
        <f t="shared" si="50"/>
        <v>1956</v>
      </c>
      <c r="GF61" s="3">
        <v>1706</v>
      </c>
      <c r="GG61" s="4">
        <f>Dahe!C61 + Kaastini!C61 + Suenan!C61 + Oyreain!C61 + Sanagara!C61 + 'North Ayre'!C61 + Stinebar!C61 + 'Cloja'!C61 + 'Pha Hii'!C61 + 'Prystr Hii'!C61</f>
        <v>607800054.29505849</v>
      </c>
      <c r="GH61" s="7">
        <f t="shared" si="51"/>
        <v>1.478039889647526E-2</v>
      </c>
      <c r="GI61" s="5">
        <f t="shared" si="52"/>
        <v>0.21641411313839595</v>
      </c>
      <c r="GP61" s="3">
        <f t="shared" si="53"/>
        <v>1956</v>
      </c>
      <c r="GQ61" s="3">
        <v>1706</v>
      </c>
      <c r="GR61" s="4">
        <f>Maalle!C61 + 'United Delet'!C61 + Ohtina!C61 + Astye!C61 + Prstreula!C61 + Veelmit!C61 + Aplasia!C61 + 'Elja and Munusia'!C61 + Walporein!C61 + 'Crila Republic'!C61 + 'Niretui and Anulan'!C61 + 'Rethern'!C61 + Tvecoca!C61</f>
        <v>67309034.601503953</v>
      </c>
      <c r="GS61" s="7">
        <f t="shared" si="54"/>
        <v>1.9546602252184301E-2</v>
      </c>
      <c r="GT61" s="5">
        <f t="shared" si="55"/>
        <v>2.3966146311686032E-2</v>
      </c>
      <c r="HA61" s="3">
        <f t="shared" si="56"/>
        <v>1956</v>
      </c>
      <c r="HB61" s="3">
        <v>1706</v>
      </c>
      <c r="HC61" s="4">
        <f>Andsaudare!C61 + Nia!C61 + Umarcia!C61 + Mendereide!C61 + Iainoa!C61 + Isari!C61 + 'Rkmepuia'!C61 + Hiwush!C61 + Isuibul!C61 + Yutnitu!C61</f>
        <v>21238439.088859584</v>
      </c>
      <c r="HD61" s="7">
        <f t="shared" si="57"/>
        <v>2.4687249969572115E-2</v>
      </c>
      <c r="HE61" s="5">
        <f t="shared" si="58"/>
        <v>7.5621874782329348E-3</v>
      </c>
      <c r="HL61" s="3">
        <f t="shared" si="59"/>
        <v>1956</v>
      </c>
      <c r="HM61" s="3">
        <v>1706</v>
      </c>
      <c r="HN61" s="4">
        <f>Zhanshe!C61 + Volver!C61 + Finae!C61 + Myla!C61 + 'Nheyes Si'!C61 + Onphello!C61 + Hyelen!C61</f>
        <v>38325571.261031501</v>
      </c>
      <c r="HO61" s="7">
        <f t="shared" si="60"/>
        <v>3.0377341236860964E-2</v>
      </c>
      <c r="HP61" s="5">
        <f t="shared" si="61"/>
        <v>1.3646254975410194E-2</v>
      </c>
      <c r="HW61" s="3">
        <f t="shared" si="62"/>
        <v>1956</v>
      </c>
      <c r="HX61" s="3">
        <v>1706</v>
      </c>
      <c r="HY61" s="4">
        <f>Yihnurda!C61 + Ztesh!C61 + Wundry!C61 + Anymna!C61 + Shomjind!C61 + Baluyde!C61 + Letan!C61</f>
        <v>168311816.11760503</v>
      </c>
      <c r="HZ61" s="7">
        <f t="shared" si="63"/>
        <v>1.8375776620396526E-2</v>
      </c>
      <c r="IA61" s="5">
        <f t="shared" si="64"/>
        <v>5.9929333928821292E-2</v>
      </c>
      <c r="IH61" s="3">
        <f t="shared" si="65"/>
        <v>1956</v>
      </c>
      <c r="II61" s="3">
        <v>1706</v>
      </c>
      <c r="IJ61" s="4">
        <f>Iareva!C61 + 'United Mihili'!C61 + 'Mesjan Hyaa'!C61 + Desaki!C61 + 'Far Lands'!C61</f>
        <v>20122622.954286214</v>
      </c>
      <c r="IK61" s="7">
        <f t="shared" si="66"/>
        <v>1.926705416866728E-2</v>
      </c>
      <c r="IL61" s="5">
        <f t="shared" si="67"/>
        <v>7.1648884693190883E-3</v>
      </c>
      <c r="IS61" s="3">
        <f t="shared" si="68"/>
        <v>1956</v>
      </c>
      <c r="IT61" s="3">
        <v>1706</v>
      </c>
      <c r="IU61" s="4">
        <f>Verste!C61 + Quidic!C61 + Erkizil!C61 + Ashain!C61 + Ahokini!C61</f>
        <v>131497383.48872148</v>
      </c>
      <c r="IV61" s="7">
        <f t="shared" si="69"/>
        <v>2.2482738534115341E-2</v>
      </c>
      <c r="IW61" s="5">
        <f t="shared" si="70"/>
        <v>4.6821137027928325E-2</v>
      </c>
    </row>
    <row r="62" spans="1:257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2753026585.592814</v>
      </c>
      <c r="D62" s="5">
        <f t="shared" si="1"/>
        <v>2.0028125633084065E-2</v>
      </c>
      <c r="K62" s="3">
        <f t="shared" si="2"/>
        <v>1955</v>
      </c>
      <c r="L62" s="3">
        <v>1705</v>
      </c>
      <c r="M62" s="4">
        <f>Eldavpir!C62 + Iquir!C62 + Viussi!C62 + Umendel!C62 + 'Reerica'!C62 + Saa!C62 + Sattle!C62</f>
        <v>20428631.95364254</v>
      </c>
      <c r="N62" s="5">
        <f t="shared" si="3"/>
        <v>2.4550315033656095E-2</v>
      </c>
      <c r="O62" s="5">
        <f t="shared" si="4"/>
        <v>7.420426689865622E-3</v>
      </c>
      <c r="V62" s="3">
        <f t="shared" si="5"/>
        <v>1955</v>
      </c>
      <c r="W62" s="3">
        <v>1705</v>
      </c>
      <c r="X62" s="4">
        <f>'Areoix Lie'!C62 + Jau!C62 + Terressin!C62 + Acetoa!C62 + 'Feio Lie'!C62</f>
        <v>293432907.40029877</v>
      </c>
      <c r="Y62" s="5">
        <f t="shared" si="6"/>
        <v>2.5723343589769864E-2</v>
      </c>
      <c r="Z62" s="5">
        <f t="shared" si="7"/>
        <v>0.10658556983644724</v>
      </c>
      <c r="AG62" s="3">
        <f t="shared" si="8"/>
        <v>1955</v>
      </c>
      <c r="AH62" s="3">
        <v>1705</v>
      </c>
      <c r="AI62" s="4">
        <f>Taniduna!C62 + Jathua!C62 + Deschon!C62 + Pelines!C62 + 'Candenat'!C62 + Othya!C62 + Yoprioq!C62 + Jshain!C62 + 'Fire Coast'!C62 + 'Rijan bu'!C62 + 'Rinew'!C62 + Enina!C62 + Trevilla!C62</f>
        <v>48952822.650253847</v>
      </c>
      <c r="AJ62" s="5">
        <f t="shared" si="9"/>
        <v>2.2298326329513542E-2</v>
      </c>
      <c r="AK62" s="5">
        <f t="shared" si="10"/>
        <v>1.7781456563636035E-2</v>
      </c>
      <c r="AR62" s="3">
        <f t="shared" si="11"/>
        <v>1955</v>
      </c>
      <c r="AS62" s="3">
        <v>1705</v>
      </c>
      <c r="AT62" s="4">
        <f>Gaeiya!C62 + 'Raledria'!C62 + Arbiya!C62 + Fincen!C62 + 'Curata'!C62</f>
        <v>133910137.99060188</v>
      </c>
      <c r="AU62" s="5">
        <f t="shared" si="12"/>
        <v>2.0029568314875991E-2</v>
      </c>
      <c r="AV62" s="5">
        <f t="shared" si="13"/>
        <v>4.8641062418860292E-2</v>
      </c>
      <c r="BC62" s="3">
        <f t="shared" si="14"/>
        <v>1955</v>
      </c>
      <c r="BD62" s="3">
        <v>1705</v>
      </c>
      <c r="BE62" s="4">
        <f>Etirha!C62 + Laselteh!C62 + Grazail!C62 + 'Disal Nila'!C62 + Pelan!C62 + Peka!C62 + Guise!C62</f>
        <v>52446358.422187321</v>
      </c>
      <c r="BF62" s="5">
        <f t="shared" si="15"/>
        <v>1.995609480207558E-2</v>
      </c>
      <c r="BG62" s="5">
        <f t="shared" si="16"/>
        <v>1.9050436598269885E-2</v>
      </c>
      <c r="BN62" s="3">
        <f t="shared" si="17"/>
        <v>1955</v>
      </c>
      <c r="BO62" s="3">
        <v>1705</v>
      </c>
      <c r="BP62" s="4">
        <f>Genaire!C62 + 'New Misos'!C62 + Phuris!C62 + Lasri!C62 + Slyiaduun!C62 + Aetintio!C62 + Metndria!C62 + Tomscilus!C62</f>
        <v>36276712.903906442</v>
      </c>
      <c r="BQ62" s="5">
        <f t="shared" si="18"/>
        <v>2.553245910978515E-2</v>
      </c>
      <c r="BR62" s="5">
        <f t="shared" si="19"/>
        <v>1.3177029634857272E-2</v>
      </c>
      <c r="BY62" s="3">
        <f t="shared" si="20"/>
        <v>1955</v>
      </c>
      <c r="BZ62" s="3">
        <v>1705</v>
      </c>
      <c r="CA62" s="4">
        <f>Ealdorii!C62 + Ukhdari!C62 + Hkuqo!C62 + Acrana!C62 + Zenashan!C62</f>
        <v>129904495.32588293</v>
      </c>
      <c r="CB62" s="6">
        <f t="shared" si="21"/>
        <v>1.3726339092572511E-2</v>
      </c>
      <c r="CC62" s="5">
        <f t="shared" si="22"/>
        <v>4.718606642075357E-2</v>
      </c>
      <c r="CJ62" s="3">
        <f t="shared" si="23"/>
        <v>1955</v>
      </c>
      <c r="CK62" s="3">
        <v>1705</v>
      </c>
      <c r="CL62" s="4">
        <f>Estijan!C62 + Ikzen!C62 + Urbiqu!C62 + Danocia!C62 + Koruch!C62 + 'New Kizura'!C62 + Lydroa!C62 + Fermori!C62 + Uularin!C62 + 'Niul Spijan'!C62</f>
        <v>150752318.80987093</v>
      </c>
      <c r="CM62" s="6">
        <f t="shared" si="24"/>
        <v>2.6835314881639337E-2</v>
      </c>
      <c r="CN62" s="5">
        <f t="shared" si="25"/>
        <v>5.4758758814313871E-2</v>
      </c>
      <c r="CU62" s="3">
        <f t="shared" si="26"/>
        <v>1955</v>
      </c>
      <c r="CV62" s="3">
        <v>1705</v>
      </c>
      <c r="CW62" s="4">
        <f>Praesyu!C62 + Lycroa!C62 + Emara!C62 + Eldjo!C62 + Easuhura!C62 + Ilicuhe!C62 + Tonder!C62</f>
        <v>187132085.72976223</v>
      </c>
      <c r="CX62" s="6">
        <f t="shared" si="27"/>
        <v>5.346619651473E-3</v>
      </c>
      <c r="CY62" s="5">
        <f t="shared" si="28"/>
        <v>6.7973221438930184E-2</v>
      </c>
      <c r="DF62" s="3">
        <f t="shared" si="29"/>
        <v>1955</v>
      </c>
      <c r="DG62" s="3">
        <v>1705</v>
      </c>
      <c r="DH62" s="4">
        <f>Verusa!C62 + Darewa!C62 + Siana!C62 + Yaxuto!C62 + 'Merela Sta'!C62 + Palina!C62</f>
        <v>122860659.47750689</v>
      </c>
      <c r="DI62" s="6">
        <f t="shared" si="30"/>
        <v>1.0649243737979017E-2</v>
      </c>
      <c r="DJ62" s="5">
        <f t="shared" si="31"/>
        <v>4.4627487478858141E-2</v>
      </c>
      <c r="DQ62" s="3">
        <f t="shared" si="32"/>
        <v>1955</v>
      </c>
      <c r="DR62" s="3">
        <v>1705</v>
      </c>
      <c r="DS62" s="4">
        <f>Sunsokua!C62 + Vayvele!C62 + Selaja!C62 + Sadain!C62</f>
        <v>61187149.225194126</v>
      </c>
      <c r="DT62" s="6">
        <f t="shared" si="33"/>
        <v>2.3877527128889128E-2</v>
      </c>
      <c r="DU62" s="5">
        <f t="shared" si="34"/>
        <v>2.2225411677969174E-2</v>
      </c>
      <c r="EB62" s="3">
        <f t="shared" si="35"/>
        <v>1955</v>
      </c>
      <c r="EC62" s="3">
        <v>1705</v>
      </c>
      <c r="ED62" s="4">
        <f>Pelugrotoa!C62 + Lieri!C62 + 'Rtesania'!C62 + Ozinia!C62</f>
        <v>153127298.15611458</v>
      </c>
      <c r="EE62" s="6">
        <f t="shared" si="36"/>
        <v>3.6222971098715882E-2</v>
      </c>
      <c r="EF62" s="5">
        <f t="shared" si="37"/>
        <v>5.5621438222741106E-2</v>
      </c>
      <c r="EM62" s="3">
        <f t="shared" si="38"/>
        <v>1955</v>
      </c>
      <c r="EN62" s="3">
        <v>1705</v>
      </c>
      <c r="EO62" s="4">
        <f>Ocaun!C62 + 'Dual Cenryia'!C62 + Byllu!C62 + Exilium!C62 + Inrea!C62 + Amcha!C62 + Isnti!C62 + Galca!C62 + Otiiric!C62 + Taing!C62 + 'Cruthi Anoso'!C62</f>
        <v>73383394.925185114</v>
      </c>
      <c r="EP62" s="6">
        <f t="shared" si="39"/>
        <v>2.242141361989472E-2</v>
      </c>
      <c r="EQ62" s="5">
        <f t="shared" si="40"/>
        <v>2.6655534424991155E-2</v>
      </c>
      <c r="EX62" s="3">
        <f t="shared" si="41"/>
        <v>1955</v>
      </c>
      <c r="EY62" s="3">
        <v>1705</v>
      </c>
      <c r="EZ62" s="4">
        <f>Sivoso!C62 + Taoisia!C62 + Seytinemas!C62 + Trian!C62 + 'Chaenia'!C62</f>
        <v>46597964.242440484</v>
      </c>
      <c r="FA62" s="6">
        <f t="shared" si="42"/>
        <v>2.8322373205030973E-2</v>
      </c>
      <c r="FB62" s="5">
        <f t="shared" si="43"/>
        <v>1.6926085816351265E-2</v>
      </c>
      <c r="FI62" s="3">
        <f t="shared" si="44"/>
        <v>1955</v>
      </c>
      <c r="FJ62" s="3">
        <v>1705</v>
      </c>
      <c r="FK62" s="4">
        <f>Migoku!C62 + 'Welenu Fana'!C62 + Haiza!C62 + Ucrua!C62 + Ihner!C62 + Oscairia!C62 + Shinam!C62 + 'Ruylku'!C62 + Taval!C62 + 'Western Migoku'!C62 + 'Pruim Fijan'!C62 + 'Canldives'!C62</f>
        <v>58424823.680383578</v>
      </c>
      <c r="FL62" s="6">
        <f t="shared" si="45"/>
        <v>1.6936573227091929E-2</v>
      </c>
      <c r="FM62" s="5">
        <f t="shared" si="46"/>
        <v>2.1222033955695659E-2</v>
      </c>
      <c r="FT62" s="3">
        <f t="shared" si="47"/>
        <v>1955</v>
      </c>
      <c r="FU62" s="3">
        <v>1705</v>
      </c>
      <c r="FV62" s="4">
        <f>Vesozata!C62 + Etretes!C62 + Kusierna!C62 + Eparia!C62</f>
        <v>35625660.880117506</v>
      </c>
      <c r="FW62" s="6">
        <f t="shared" si="48"/>
        <v>2.4574321092040771E-2</v>
      </c>
      <c r="FX62" s="5">
        <f t="shared" si="49"/>
        <v>1.2940543715252996E-2</v>
      </c>
      <c r="GE62" s="3">
        <f t="shared" si="50"/>
        <v>1955</v>
      </c>
      <c r="GF62" s="3">
        <v>1705</v>
      </c>
      <c r="GG62" s="4">
        <f>Dahe!C62 + Kaastini!C62 + Suenan!C62 + Oyreain!C62 + Sanagara!C62 + 'North Ayre'!C62 + Stinebar!C62 + 'Cloja'!C62 + 'Pha Hii'!C62 + 'Prystr Hii'!C62</f>
        <v>598947373.20114946</v>
      </c>
      <c r="GH62" s="6">
        <f t="shared" si="51"/>
        <v>1.4976109459437805E-2</v>
      </c>
      <c r="GI62" s="5">
        <f t="shared" si="52"/>
        <v>0.21755960379589909</v>
      </c>
      <c r="GP62" s="3">
        <f t="shared" si="53"/>
        <v>1955</v>
      </c>
      <c r="GQ62" s="3">
        <v>1705</v>
      </c>
      <c r="GR62" s="4">
        <f>Maalle!C62 + 'United Delet'!C62 + Ohtina!C62 + Astye!C62 + Prstreula!C62 + Veelmit!C62 + Aplasia!C62 + 'Elja and Munusia'!C62 + Walporein!C62 + 'Crila Republic'!C62 + 'Niretui and Anulan'!C62 + 'Rethern'!C62 + Tvecoca!C62</f>
        <v>66018595.376432925</v>
      </c>
      <c r="GS62" s="6">
        <f t="shared" si="54"/>
        <v>1.9361708118930423E-2</v>
      </c>
      <c r="GT62" s="5">
        <f t="shared" si="55"/>
        <v>2.3980369721790039E-2</v>
      </c>
      <c r="HA62" s="3">
        <f t="shared" si="56"/>
        <v>1955</v>
      </c>
      <c r="HB62" s="3">
        <v>1705</v>
      </c>
      <c r="HC62" s="4">
        <f>Andsaudare!C62 + Nia!C62 + Umarcia!C62 + Mendereide!C62 + Iainoa!C62 + Isari!C62 + 'Rkmepuia'!C62 + Hiwush!C62 + Isuibul!C62 + Yutnitu!C62</f>
        <v>20726752.567176234</v>
      </c>
      <c r="HD62" s="6">
        <f t="shared" si="57"/>
        <v>2.4378896497915938E-2</v>
      </c>
      <c r="HE62" s="5">
        <f t="shared" si="58"/>
        <v>7.5287150061113944E-3</v>
      </c>
      <c r="HL62" s="3">
        <f t="shared" si="59"/>
        <v>1955</v>
      </c>
      <c r="HM62" s="3">
        <v>1705</v>
      </c>
      <c r="HN62" s="4">
        <f>Zhanshe!C62 + Volver!C62 + Finae!C62 + Myla!C62 + 'Nheyes Si'!C62 + Onphello!C62 + Hyelen!C62</f>
        <v>37195665.827652648</v>
      </c>
      <c r="HO62" s="6">
        <f t="shared" si="60"/>
        <v>2.9510593643324361E-2</v>
      </c>
      <c r="HP62" s="5">
        <f t="shared" si="61"/>
        <v>1.3510826964877726E-2</v>
      </c>
      <c r="HW62" s="3">
        <f t="shared" si="62"/>
        <v>1955</v>
      </c>
      <c r="HX62" s="3">
        <v>1705</v>
      </c>
      <c r="HY62" s="4">
        <f>Yihnurda!C62 + Ztesh!C62 + Wundry!C62 + Anymna!C62 + Shomjind!C62 + Baluyde!C62 + Letan!C62</f>
        <v>165274763.97383311</v>
      </c>
      <c r="HZ62" s="6">
        <f t="shared" si="63"/>
        <v>1.7858723282626009E-2</v>
      </c>
      <c r="IA62" s="5">
        <f t="shared" si="64"/>
        <v>6.0033842331473242E-2</v>
      </c>
      <c r="IH62" s="3">
        <f t="shared" si="65"/>
        <v>1955</v>
      </c>
      <c r="II62" s="3">
        <v>1705</v>
      </c>
      <c r="IJ62" s="4">
        <f>Iareva!C62 + 'United Mihili'!C62 + 'Mesjan Hyaa'!C62 + Desaki!C62 + 'Far Lands'!C62</f>
        <v>19742247.992797717</v>
      </c>
      <c r="IK62" s="6">
        <f t="shared" si="66"/>
        <v>1.9261059818068527E-2</v>
      </c>
      <c r="IL62" s="5">
        <f t="shared" si="67"/>
        <v>7.1711069177875682E-3</v>
      </c>
      <c r="IS62" s="3">
        <f t="shared" si="68"/>
        <v>1955</v>
      </c>
      <c r="IT62" s="3">
        <v>1705</v>
      </c>
      <c r="IU62" s="4">
        <f>Verste!C62 + Quidic!C62 + Erkizil!C62 + Ashain!C62 + Ahokini!C62</f>
        <v>128605969.11126636</v>
      </c>
      <c r="IV62" s="6">
        <f t="shared" si="69"/>
        <v>2.2878155930079525E-2</v>
      </c>
      <c r="IW62" s="5">
        <f t="shared" si="70"/>
        <v>4.67143941814036E-2</v>
      </c>
    </row>
    <row r="63" spans="1:257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2698971250.3114934</v>
      </c>
      <c r="D63" s="5">
        <f t="shared" si="1"/>
        <v>1.9559744449577997E-2</v>
      </c>
      <c r="K63" s="3">
        <f t="shared" si="2"/>
        <v>1954</v>
      </c>
      <c r="L63" s="3">
        <v>1704</v>
      </c>
      <c r="M63" s="4">
        <f>Eldavpir!C63 + Iquir!C63 + Viussi!C63 + Umendel!C63 + 'Reerica'!C63 + Saa!C63 + Sattle!C63</f>
        <v>19939120.269531582</v>
      </c>
      <c r="N63" s="5">
        <f t="shared" si="3"/>
        <v>2.37551849698849E-2</v>
      </c>
      <c r="O63" s="5">
        <f t="shared" si="4"/>
        <v>7.3876741989120373E-3</v>
      </c>
      <c r="V63" s="3">
        <f t="shared" si="5"/>
        <v>1954</v>
      </c>
      <c r="W63" s="3">
        <v>1704</v>
      </c>
      <c r="X63" s="4">
        <f>'Areoix Lie'!C63 + Jau!C63 + Terressin!C63 + Acetoa!C63 + 'Feio Lie'!C63</f>
        <v>286074124.40605915</v>
      </c>
      <c r="Y63" s="5">
        <f t="shared" si="6"/>
        <v>2.5704230312683179E-2</v>
      </c>
      <c r="Z63" s="5">
        <f t="shared" si="7"/>
        <v>0.10599376498472994</v>
      </c>
      <c r="AG63" s="3">
        <f t="shared" si="8"/>
        <v>1954</v>
      </c>
      <c r="AH63" s="3">
        <v>1704</v>
      </c>
      <c r="AI63" s="4">
        <f>Taniduna!C63 + Jathua!C63 + Deschon!C63 + Pelines!C63 + 'Candenat'!C63 + Othya!C63 + Yoprioq!C63 + Jshain!C63 + 'Fire Coast'!C63 + 'Rijan bu'!C63 + 'Rinew'!C63 + Enina!C63 + Trevilla!C63</f>
        <v>47885065.826152071</v>
      </c>
      <c r="AJ63" s="5">
        <f t="shared" si="9"/>
        <v>2.1671617288191242E-2</v>
      </c>
      <c r="AK63" s="5">
        <f t="shared" si="10"/>
        <v>1.7741969582160448E-2</v>
      </c>
      <c r="AR63" s="3">
        <f t="shared" si="11"/>
        <v>1954</v>
      </c>
      <c r="AS63" s="3">
        <v>1704</v>
      </c>
      <c r="AT63" s="4">
        <f>Gaeiya!C63 + 'Raledria'!C63 + Arbiya!C63 + Fincen!C63 + 'Curata'!C63</f>
        <v>131280643.37568767</v>
      </c>
      <c r="AU63" s="5">
        <f t="shared" si="12"/>
        <v>2.0031351762447538E-2</v>
      </c>
      <c r="AV63" s="5">
        <f t="shared" si="13"/>
        <v>4.8640993623231939E-2</v>
      </c>
      <c r="BC63" s="3">
        <f t="shared" si="14"/>
        <v>1954</v>
      </c>
      <c r="BD63" s="3">
        <v>1704</v>
      </c>
      <c r="BE63" s="4">
        <f>Etirha!C63 + Laselteh!C63 + Grazail!C63 + 'Disal Nila'!C63 + Pelan!C63 + Peka!C63 + Guise!C63</f>
        <v>51420211.800748773</v>
      </c>
      <c r="BF63" s="5">
        <f t="shared" si="15"/>
        <v>2.0600849646407331E-2</v>
      </c>
      <c r="BG63" s="5">
        <f t="shared" si="16"/>
        <v>1.9051781968709103E-2</v>
      </c>
      <c r="BN63" s="3">
        <f t="shared" si="17"/>
        <v>1954</v>
      </c>
      <c r="BO63" s="3">
        <v>1704</v>
      </c>
      <c r="BP63" s="4">
        <f>Genaire!C63 + 'New Misos'!C63 + Phuris!C63 + Lasri!C63 + Slyiaduun!C63 + Aetintio!C63 + Metndria!C63 + Tomscilus!C63</f>
        <v>35373539.454223119</v>
      </c>
      <c r="BQ63" s="5">
        <f t="shared" si="18"/>
        <v>2.5065324663524766E-2</v>
      </c>
      <c r="BR63" s="5">
        <f t="shared" si="19"/>
        <v>1.3106304652241328E-2</v>
      </c>
      <c r="BY63" s="3">
        <f t="shared" si="20"/>
        <v>1954</v>
      </c>
      <c r="BZ63" s="3">
        <v>1704</v>
      </c>
      <c r="CA63" s="4">
        <f>Ealdorii!C63 + Ukhdari!C63 + Hkuqo!C63 + Acrana!C63 + Zenashan!C63</f>
        <v>128145526.37762742</v>
      </c>
      <c r="CB63" s="7">
        <f t="shared" si="21"/>
        <v>1.2342442403616989E-2</v>
      </c>
      <c r="CC63" s="5">
        <f t="shared" si="22"/>
        <v>4.7479396589659079E-2</v>
      </c>
      <c r="CJ63" s="3">
        <f t="shared" si="23"/>
        <v>1954</v>
      </c>
      <c r="CK63" s="3">
        <v>1704</v>
      </c>
      <c r="CL63" s="4">
        <f>Estijan!C63 + Ikzen!C63 + Urbiqu!C63 + Danocia!C63 + Koruch!C63 + 'New Kizura'!C63 + Lydroa!C63 + Fermori!C63 + Uularin!C63 + 'Niul Spijan'!C63</f>
        <v>146812557.59814587</v>
      </c>
      <c r="CM63" s="7">
        <f t="shared" si="24"/>
        <v>2.2787120793680008E-2</v>
      </c>
      <c r="CN63" s="5">
        <f t="shared" si="25"/>
        <v>5.4395747113349935E-2</v>
      </c>
      <c r="CU63" s="3">
        <f t="shared" si="26"/>
        <v>1954</v>
      </c>
      <c r="CV63" s="3">
        <v>1704</v>
      </c>
      <c r="CW63" s="4">
        <f>Praesyu!C63 + Lycroa!C63 + Emara!C63 + Eldjo!C63 + Easuhura!C63 + Ilicuhe!C63 + Tonder!C63</f>
        <v>186136882.6153073</v>
      </c>
      <c r="CX63" s="7">
        <f t="shared" si="27"/>
        <v>5.6026430466782481E-3</v>
      </c>
      <c r="CY63" s="5">
        <f t="shared" si="28"/>
        <v>6.8965863416968559E-2</v>
      </c>
      <c r="DF63" s="3">
        <f t="shared" si="29"/>
        <v>1954</v>
      </c>
      <c r="DG63" s="3">
        <v>1704</v>
      </c>
      <c r="DH63" s="4">
        <f>Verusa!C63 + Darewa!C63 + Siana!C63 + Yaxuto!C63 + 'Merela Sta'!C63 + Palina!C63</f>
        <v>121566072.73864418</v>
      </c>
      <c r="DI63" s="7">
        <f t="shared" si="30"/>
        <v>1.1079965330683174E-2</v>
      </c>
      <c r="DJ63" s="5">
        <f t="shared" si="31"/>
        <v>4.5041633075792863E-2</v>
      </c>
      <c r="DQ63" s="3">
        <f t="shared" si="32"/>
        <v>1954</v>
      </c>
      <c r="DR63" s="3">
        <v>1704</v>
      </c>
      <c r="DS63" s="4">
        <f>Sunsokua!C63 + Vayvele!C63 + Selaja!C63 + Sadain!C63</f>
        <v>59760222.882098362</v>
      </c>
      <c r="DT63" s="7">
        <f t="shared" si="33"/>
        <v>2.315041484017873E-2</v>
      </c>
      <c r="DU63" s="5">
        <f t="shared" si="34"/>
        <v>2.2141852335478312E-2</v>
      </c>
      <c r="EB63" s="3">
        <f t="shared" si="35"/>
        <v>1954</v>
      </c>
      <c r="EC63" s="3">
        <v>1704</v>
      </c>
      <c r="ED63" s="4">
        <f>Pelugrotoa!C63 + Lieri!C63 + 'Rtesania'!C63 + Ozinia!C63</f>
        <v>147774467.87707517</v>
      </c>
      <c r="EE63" s="7">
        <f t="shared" si="36"/>
        <v>3.5021115185245019E-2</v>
      </c>
      <c r="EF63" s="5">
        <f t="shared" si="37"/>
        <v>5.4752145974144864E-2</v>
      </c>
      <c r="EM63" s="3">
        <f t="shared" si="38"/>
        <v>1954</v>
      </c>
      <c r="EN63" s="3">
        <v>1704</v>
      </c>
      <c r="EO63" s="4">
        <f>Ocaun!C63 + 'Dual Cenryia'!C63 + Byllu!C63 + Exilium!C63 + Inrea!C63 + Amcha!C63 + Isnti!C63 + Galca!C63 + Otiiric!C63 + Taing!C63 + 'Cruthi Anoso'!C63</f>
        <v>71774117.744042903</v>
      </c>
      <c r="EP63" s="7">
        <f t="shared" si="39"/>
        <v>2.1906847294745777E-2</v>
      </c>
      <c r="EQ63" s="5">
        <f t="shared" si="40"/>
        <v>2.6593139047242285E-2</v>
      </c>
      <c r="EX63" s="3">
        <f t="shared" si="41"/>
        <v>1954</v>
      </c>
      <c r="EY63" s="3">
        <v>1704</v>
      </c>
      <c r="EZ63" s="4">
        <f>Sivoso!C63 + Taoisia!C63 + Seytinemas!C63 + Trian!C63 + 'Chaenia'!C63</f>
        <v>45314548.68302238</v>
      </c>
      <c r="FA63" s="7">
        <f t="shared" si="42"/>
        <v>2.801761539276474E-2</v>
      </c>
      <c r="FB63" s="5">
        <f t="shared" si="43"/>
        <v>1.6789563311499722E-2</v>
      </c>
      <c r="FI63" s="3">
        <f t="shared" si="44"/>
        <v>1954</v>
      </c>
      <c r="FJ63" s="3">
        <v>1704</v>
      </c>
      <c r="FK63" s="4">
        <f>Migoku!C63 + 'Welenu Fana'!C63 + Haiza!C63 + Ucrua!C63 + Ihner!C63 + Oscairia!C63 + Shinam!C63 + 'Ruylku'!C63 + Taval!C63 + 'Western Migoku'!C63 + 'Pruim Fijan'!C63 + 'Canldives'!C63</f>
        <v>57451787.278120384</v>
      </c>
      <c r="FL63" s="7">
        <f t="shared" si="45"/>
        <v>1.6827057278964268E-2</v>
      </c>
      <c r="FM63" s="5">
        <f t="shared" si="46"/>
        <v>2.1286550300041087E-2</v>
      </c>
      <c r="FT63" s="3">
        <f t="shared" si="47"/>
        <v>1954</v>
      </c>
      <c r="FU63" s="3">
        <v>1704</v>
      </c>
      <c r="FV63" s="4">
        <f>Vesozata!C63 + Etretes!C63 + Kusierna!C63 + Eparia!C63</f>
        <v>34771182.672376521</v>
      </c>
      <c r="FW63" s="7">
        <f t="shared" si="48"/>
        <v>2.2222667909041347E-2</v>
      </c>
      <c r="FX63" s="5">
        <f t="shared" si="49"/>
        <v>1.2883124512113093E-2</v>
      </c>
      <c r="GE63" s="3">
        <f t="shared" si="50"/>
        <v>1954</v>
      </c>
      <c r="GF63" s="3">
        <v>1704</v>
      </c>
      <c r="GG63" s="4">
        <f>Dahe!C63 + Kaastini!C63 + Suenan!C63 + Oyreain!C63 + Sanagara!C63 + 'North Ayre'!C63 + Stinebar!C63 + 'Cloja'!C63 + 'Pha Hii'!C63 + 'Prystr Hii'!C63</f>
        <v>590109823.8855499</v>
      </c>
      <c r="GH63" s="7">
        <f t="shared" si="51"/>
        <v>1.5071581756922052E-2</v>
      </c>
      <c r="GI63" s="5">
        <f t="shared" si="52"/>
        <v>0.21864250084821918</v>
      </c>
      <c r="GP63" s="3">
        <f t="shared" si="53"/>
        <v>1954</v>
      </c>
      <c r="GQ63" s="3">
        <v>1704</v>
      </c>
      <c r="GR63" s="4">
        <f>Maalle!C63 + 'United Delet'!C63 + Ohtina!C63 + Astye!C63 + Prstreula!C63 + Veelmit!C63 + Aplasia!C63 + 'Elja and Munusia'!C63 + Walporein!C63 + 'Crila Republic'!C63 + 'Niretui and Anulan'!C63 + 'Rethern'!C63 + Tvecoca!C63</f>
        <v>64764641.295247123</v>
      </c>
      <c r="GS63" s="7">
        <f t="shared" si="54"/>
        <v>1.9097552581728024E-2</v>
      </c>
      <c r="GT63" s="5">
        <f t="shared" si="55"/>
        <v>2.3996047118980061E-2</v>
      </c>
      <c r="HA63" s="3">
        <f t="shared" si="56"/>
        <v>1954</v>
      </c>
      <c r="HB63" s="3">
        <v>1704</v>
      </c>
      <c r="HC63" s="4">
        <f>Andsaudare!C63 + Nia!C63 + Umarcia!C63 + Mendereide!C63 + Iainoa!C63 + Isari!C63 + 'Rkmepuia'!C63 + Hiwush!C63 + Isuibul!C63 + Yutnitu!C63</f>
        <v>20233482.58933837</v>
      </c>
      <c r="HD63" s="7">
        <f t="shared" si="57"/>
        <v>2.4397728454556362E-2</v>
      </c>
      <c r="HE63" s="5">
        <f t="shared" si="58"/>
        <v>7.4967388359558056E-3</v>
      </c>
      <c r="HL63" s="3">
        <f t="shared" si="59"/>
        <v>1954</v>
      </c>
      <c r="HM63" s="3">
        <v>1704</v>
      </c>
      <c r="HN63" s="4">
        <f>Zhanshe!C63 + Volver!C63 + Finae!C63 + Myla!C63 + 'Nheyes Si'!C63 + Onphello!C63 + Hyelen!C63</f>
        <v>36129463.899950065</v>
      </c>
      <c r="HO63" s="7">
        <f t="shared" si="60"/>
        <v>2.8842171223152691E-2</v>
      </c>
      <c r="HP63" s="5">
        <f t="shared" si="61"/>
        <v>1.3386383384328489E-2</v>
      </c>
      <c r="HW63" s="3">
        <f t="shared" si="62"/>
        <v>1954</v>
      </c>
      <c r="HX63" s="3">
        <v>1704</v>
      </c>
      <c r="HY63" s="4">
        <f>Yihnurda!C63 + Ztesh!C63 + Wundry!C63 + Anymna!C63 + Shomjind!C63 + Baluyde!C63 + Letan!C63</f>
        <v>162374954.59175009</v>
      </c>
      <c r="HZ63" s="7">
        <f t="shared" si="63"/>
        <v>1.7399628185785009E-2</v>
      </c>
      <c r="IA63" s="5">
        <f t="shared" si="64"/>
        <v>6.016179482201231E-2</v>
      </c>
      <c r="IH63" s="3">
        <f t="shared" si="65"/>
        <v>1954</v>
      </c>
      <c r="II63" s="3">
        <v>1704</v>
      </c>
      <c r="IJ63" s="4">
        <f>Iareva!C63 + 'United Mihili'!C63 + 'Mesjan Hyaa'!C63 + Desaki!C63 + 'Far Lands'!C63</f>
        <v>19369177.113782391</v>
      </c>
      <c r="IK63" s="7">
        <f t="shared" si="66"/>
        <v>1.9418819270710954E-2</v>
      </c>
      <c r="IL63" s="5">
        <f t="shared" si="67"/>
        <v>7.1765036813737672E-3</v>
      </c>
      <c r="IS63" s="3">
        <f t="shared" si="68"/>
        <v>1954</v>
      </c>
      <c r="IT63" s="3">
        <v>1704</v>
      </c>
      <c r="IU63" s="4">
        <f>Verste!C63 + Quidic!C63 + Erkizil!C63 + Ashain!C63 + Ahokini!C63</f>
        <v>125729509.78147335</v>
      </c>
      <c r="IV63" s="7">
        <f t="shared" si="69"/>
        <v>2.2834033082274018E-2</v>
      </c>
      <c r="IW63" s="5">
        <f t="shared" si="70"/>
        <v>4.6584234554911494E-2</v>
      </c>
    </row>
    <row r="64" spans="1:257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2647192834.9510961</v>
      </c>
      <c r="D64" s="5">
        <f t="shared" si="1"/>
        <v>1.9362706539855487E-2</v>
      </c>
      <c r="K64" s="3">
        <f t="shared" si="2"/>
        <v>1953</v>
      </c>
      <c r="L64" s="3">
        <v>1703</v>
      </c>
      <c r="M64" s="4">
        <f>Eldavpir!C64 + Iquir!C64 + Viussi!C64 + Umendel!C64 + 'Reerica'!C64 + Saa!C64 + Sattle!C64</f>
        <v>19476453.513754968</v>
      </c>
      <c r="N64" s="5">
        <f t="shared" si="3"/>
        <v>2.3004719629022369E-2</v>
      </c>
      <c r="O64" s="5">
        <f t="shared" si="4"/>
        <v>7.3573988477929576E-3</v>
      </c>
      <c r="V64" s="3">
        <f t="shared" si="5"/>
        <v>1953</v>
      </c>
      <c r="W64" s="3">
        <v>1703</v>
      </c>
      <c r="X64" s="4">
        <f>'Areoix Lie'!C64 + Jau!C64 + Terressin!C64 + Acetoa!C64 + 'Feio Lie'!C64</f>
        <v>278905083.89426279</v>
      </c>
      <c r="Y64" s="5">
        <f t="shared" si="6"/>
        <v>2.5586401507759069E-2</v>
      </c>
      <c r="Z64" s="5">
        <f t="shared" si="7"/>
        <v>0.1053588088528561</v>
      </c>
      <c r="AG64" s="3">
        <f t="shared" si="8"/>
        <v>1953</v>
      </c>
      <c r="AH64" s="3">
        <v>1703</v>
      </c>
      <c r="AI64" s="4">
        <f>Taniduna!C64 + Jathua!C64 + Deschon!C64 + Pelines!C64 + 'Candenat'!C64 + Othya!C64 + Yoprioq!C64 + Jshain!C64 + 'Fire Coast'!C64 + 'Rijan bu'!C64 + 'Rinew'!C64 + Enina!C64 + Trevilla!C64</f>
        <v>46869331.608969167</v>
      </c>
      <c r="AJ64" s="5">
        <f t="shared" si="9"/>
        <v>2.1471343689417385E-2</v>
      </c>
      <c r="AK64" s="5">
        <f t="shared" si="10"/>
        <v>1.7705295583362753E-2</v>
      </c>
      <c r="AR64" s="3">
        <f t="shared" si="11"/>
        <v>1953</v>
      </c>
      <c r="AS64" s="3">
        <v>1703</v>
      </c>
      <c r="AT64" s="4">
        <f>Gaeiya!C64 + 'Raledria'!C64 + Arbiya!C64 + Fincen!C64 + 'Curata'!C64</f>
        <v>128702557.18008684</v>
      </c>
      <c r="AU64" s="5">
        <f t="shared" si="12"/>
        <v>2.0035522837973593E-2</v>
      </c>
      <c r="AV64" s="5">
        <f t="shared" si="13"/>
        <v>4.8618504659281643E-2</v>
      </c>
      <c r="BC64" s="3">
        <f t="shared" si="14"/>
        <v>1953</v>
      </c>
      <c r="BD64" s="3">
        <v>1703</v>
      </c>
      <c r="BE64" s="4">
        <f>Etirha!C64 + Laselteh!C64 + Grazail!C64 + 'Disal Nila'!C64 + Pelan!C64 + Peka!C64 + Guise!C64</f>
        <v>50382293.74251803</v>
      </c>
      <c r="BF64" s="5">
        <f t="shared" si="15"/>
        <v>2.0786520360178959E-2</v>
      </c>
      <c r="BG64" s="5">
        <f t="shared" si="16"/>
        <v>1.9032347427552925E-2</v>
      </c>
      <c r="BN64" s="3">
        <f t="shared" si="17"/>
        <v>1953</v>
      </c>
      <c r="BO64" s="3">
        <v>1703</v>
      </c>
      <c r="BP64" s="4">
        <f>Genaire!C64 + 'New Misos'!C64 + Phuris!C64 + Lasri!C64 + Slyiaduun!C64 + Aetintio!C64 + Metndria!C64 + Tomscilus!C64</f>
        <v>34508570.920428313</v>
      </c>
      <c r="BQ64" s="5">
        <f t="shared" si="18"/>
        <v>2.5478843057716145E-2</v>
      </c>
      <c r="BR64" s="5">
        <f t="shared" si="19"/>
        <v>1.3035911273560779E-2</v>
      </c>
      <c r="BY64" s="3">
        <f t="shared" si="20"/>
        <v>1953</v>
      </c>
      <c r="BZ64" s="3">
        <v>1703</v>
      </c>
      <c r="CA64" s="4">
        <f>Ealdorii!C64 + Ukhdari!C64 + Hkuqo!C64 + Acrana!C64 + Zenashan!C64</f>
        <v>126583180.75983255</v>
      </c>
      <c r="CB64" s="6">
        <f t="shared" si="21"/>
        <v>1.1870086167691567E-2</v>
      </c>
      <c r="CC64" s="5">
        <f t="shared" si="22"/>
        <v>4.7817891877216051E-2</v>
      </c>
      <c r="CJ64" s="3">
        <f t="shared" si="23"/>
        <v>1953</v>
      </c>
      <c r="CK64" s="3">
        <v>1703</v>
      </c>
      <c r="CL64" s="4">
        <f>Estijan!C64 + Ikzen!C64 + Urbiqu!C64 + Danocia!C64 + Koruch!C64 + 'New Kizura'!C64 + Lydroa!C64 + Fermori!C64 + Uularin!C64 + 'Niul Spijan'!C64</f>
        <v>143541656.53183013</v>
      </c>
      <c r="CM64" s="6">
        <f t="shared" si="24"/>
        <v>2.0297351982310349E-2</v>
      </c>
      <c r="CN64" s="5">
        <f t="shared" si="25"/>
        <v>5.4224102844582497E-2</v>
      </c>
      <c r="CU64" s="3">
        <f t="shared" si="26"/>
        <v>1953</v>
      </c>
      <c r="CV64" s="3">
        <v>1703</v>
      </c>
      <c r="CW64" s="4">
        <f>Praesyu!C64 + Lycroa!C64 + Emara!C64 + Eldjo!C64 + Easuhura!C64 + Ilicuhe!C64 + Tonder!C64</f>
        <v>185099834.3156375</v>
      </c>
      <c r="CX64" s="6">
        <f t="shared" si="27"/>
        <v>7.6309143218865191E-3</v>
      </c>
      <c r="CY64" s="5">
        <f t="shared" si="28"/>
        <v>6.9923064112198313E-2</v>
      </c>
      <c r="DF64" s="3">
        <f t="shared" si="29"/>
        <v>1953</v>
      </c>
      <c r="DG64" s="3">
        <v>1703</v>
      </c>
      <c r="DH64" s="4">
        <f>Verusa!C64 + Darewa!C64 + Siana!C64 + Yaxuto!C64 + 'Merela Sta'!C64 + Palina!C64</f>
        <v>120233885.45621598</v>
      </c>
      <c r="DI64" s="6">
        <f t="shared" si="30"/>
        <v>1.109581386208704E-2</v>
      </c>
      <c r="DJ64" s="5">
        <f t="shared" si="31"/>
        <v>4.5419390634772988E-2</v>
      </c>
      <c r="DQ64" s="3">
        <f t="shared" si="32"/>
        <v>1953</v>
      </c>
      <c r="DR64" s="3">
        <v>1703</v>
      </c>
      <c r="DS64" s="4">
        <f>Sunsokua!C64 + Vayvele!C64 + Selaja!C64 + Sadain!C64</f>
        <v>58408052.242673635</v>
      </c>
      <c r="DT64" s="6">
        <f t="shared" si="33"/>
        <v>2.2458656041418341E-2</v>
      </c>
      <c r="DU64" s="5">
        <f t="shared" si="34"/>
        <v>2.2064147149201793E-2</v>
      </c>
      <c r="EB64" s="3">
        <f t="shared" si="35"/>
        <v>1953</v>
      </c>
      <c r="EC64" s="3">
        <v>1703</v>
      </c>
      <c r="ED64" s="4">
        <f>Pelugrotoa!C64 + Lieri!C64 + 'Rtesania'!C64 + Ozinia!C64</f>
        <v>142774350.88908976</v>
      </c>
      <c r="EE64" s="6">
        <f t="shared" si="36"/>
        <v>3.4538713112929685E-2</v>
      </c>
      <c r="EF64" s="5">
        <f t="shared" si="37"/>
        <v>5.3934246498414745E-2</v>
      </c>
      <c r="EM64" s="3">
        <f t="shared" si="38"/>
        <v>1953</v>
      </c>
      <c r="EN64" s="3">
        <v>1703</v>
      </c>
      <c r="EO64" s="4">
        <f>Ocaun!C64 + 'Dual Cenryia'!C64 + Byllu!C64 + Exilium!C64 + Inrea!C64 + Amcha!C64 + Isnti!C64 + Galca!C64 + Otiiric!C64 + Taing!C64 + 'Cruthi Anoso'!C64</f>
        <v>70235479.813104033</v>
      </c>
      <c r="EP64" s="6">
        <f t="shared" si="39"/>
        <v>2.1588814534206763E-2</v>
      </c>
      <c r="EQ64" s="5">
        <f t="shared" si="40"/>
        <v>2.6532060258617901E-2</v>
      </c>
      <c r="EX64" s="3">
        <f t="shared" si="41"/>
        <v>1953</v>
      </c>
      <c r="EY64" s="3">
        <v>1703</v>
      </c>
      <c r="EZ64" s="4">
        <f>Sivoso!C64 + Taoisia!C64 + Seytinemas!C64 + Trian!C64 + 'Chaenia'!C64</f>
        <v>44079544.946036249</v>
      </c>
      <c r="FA64" s="6">
        <f t="shared" si="42"/>
        <v>2.719366938910937E-2</v>
      </c>
      <c r="FB64" s="5">
        <f t="shared" si="43"/>
        <v>1.6651429530954654E-2</v>
      </c>
      <c r="FI64" s="3">
        <f t="shared" si="44"/>
        <v>1953</v>
      </c>
      <c r="FJ64" s="3">
        <v>1703</v>
      </c>
      <c r="FK64" s="4">
        <f>Migoku!C64 + 'Welenu Fana'!C64 + Haiza!C64 + Ucrua!C64 + Ihner!C64 + Oscairia!C64 + Shinam!C64 + 'Ruylku'!C64 + Taval!C64 + 'Western Migoku'!C64 + 'Pruim Fijan'!C64 + 'Canldives'!C64</f>
        <v>56501041.024480343</v>
      </c>
      <c r="FL64" s="6">
        <f t="shared" si="45"/>
        <v>1.6404071786542133E-2</v>
      </c>
      <c r="FM64" s="5">
        <f t="shared" si="46"/>
        <v>2.1343757159845947E-2</v>
      </c>
      <c r="FT64" s="3">
        <f t="shared" si="47"/>
        <v>1953</v>
      </c>
      <c r="FU64" s="3">
        <v>1703</v>
      </c>
      <c r="FV64" s="4">
        <f>Vesozata!C64 + Etretes!C64 + Kusierna!C64 + Eparia!C64</f>
        <v>34015272.566300109</v>
      </c>
      <c r="FW64" s="6">
        <f t="shared" si="48"/>
        <v>2.1065246396025458E-2</v>
      </c>
      <c r="FX64" s="5">
        <f t="shared" si="49"/>
        <v>1.2849563551696643E-2</v>
      </c>
      <c r="GE64" s="3">
        <f t="shared" si="50"/>
        <v>1953</v>
      </c>
      <c r="GF64" s="3">
        <v>1703</v>
      </c>
      <c r="GG64" s="4">
        <f>Dahe!C64 + Kaastini!C64 + Suenan!C64 + Oyreain!C64 + Sanagara!C64 + 'North Ayre'!C64 + Stinebar!C64 + 'Cloja'!C64 + 'Pha Hii'!C64 + 'Prystr Hii'!C64</f>
        <v>581347990.12318599</v>
      </c>
      <c r="GH64" s="6">
        <f t="shared" si="51"/>
        <v>1.5120621329353478E-2</v>
      </c>
      <c r="GI64" s="5">
        <f t="shared" si="52"/>
        <v>0.21960923376929803</v>
      </c>
      <c r="GP64" s="3">
        <f t="shared" si="53"/>
        <v>1953</v>
      </c>
      <c r="GQ64" s="3">
        <v>1703</v>
      </c>
      <c r="GR64" s="4">
        <f>Maalle!C64 + 'United Delet'!C64 + Ohtina!C64 + Astye!C64 + Prstreula!C64 + Veelmit!C64 + Aplasia!C64 + 'Elja and Munusia'!C64 + Walporein!C64 + 'Crila Republic'!C64 + 'Niretui and Anulan'!C64 + 'Rethern'!C64 + Tvecoca!C64</f>
        <v>63550973.24213545</v>
      </c>
      <c r="GS64" s="6">
        <f t="shared" si="54"/>
        <v>1.8816990993614339E-2</v>
      </c>
      <c r="GT64" s="5">
        <f t="shared" si="55"/>
        <v>2.4006930059294107E-2</v>
      </c>
      <c r="HA64" s="3">
        <f t="shared" si="56"/>
        <v>1953</v>
      </c>
      <c r="HB64" s="3">
        <v>1703</v>
      </c>
      <c r="HC64" s="4">
        <f>Andsaudare!C64 + Nia!C64 + Umarcia!C64 + Mendereide!C64 + Iainoa!C64 + Isari!C64 + 'Rkmepuia'!C64 + Hiwush!C64 + Isuibul!C64 + Yutnitu!C64</f>
        <v>19751588.69188761</v>
      </c>
      <c r="HD64" s="6">
        <f t="shared" si="57"/>
        <v>2.4154562727734068E-2</v>
      </c>
      <c r="HE64" s="5">
        <f t="shared" si="58"/>
        <v>7.4613335421227439E-3</v>
      </c>
      <c r="HL64" s="3">
        <f t="shared" si="59"/>
        <v>1953</v>
      </c>
      <c r="HM64" s="3">
        <v>1703</v>
      </c>
      <c r="HN64" s="4">
        <f>Zhanshe!C64 + Volver!C64 + Finae!C64 + Myla!C64 + 'Nheyes Si'!C64 + Onphello!C64 + Hyelen!C64</f>
        <v>35116624.211658306</v>
      </c>
      <c r="HO64" s="6">
        <f t="shared" si="60"/>
        <v>2.8250555151281189E-2</v>
      </c>
      <c r="HP64" s="5">
        <f t="shared" si="61"/>
        <v>1.3265608665908559E-2</v>
      </c>
      <c r="HW64" s="3">
        <f t="shared" si="62"/>
        <v>1953</v>
      </c>
      <c r="HX64" s="3">
        <v>1703</v>
      </c>
      <c r="HY64" s="4">
        <f>Yihnurda!C64 + Ztesh!C64 + Wundry!C64 + Anymna!C64 + Shomjind!C64 + Baluyde!C64 + Letan!C64</f>
        <v>159598008.5832105</v>
      </c>
      <c r="HZ64" s="6">
        <f t="shared" si="63"/>
        <v>1.6936707496371849E-2</v>
      </c>
      <c r="IA64" s="5">
        <f t="shared" si="64"/>
        <v>6.0289528770260101E-2</v>
      </c>
      <c r="IH64" s="3">
        <f t="shared" si="65"/>
        <v>1953</v>
      </c>
      <c r="II64" s="3">
        <v>1703</v>
      </c>
      <c r="IJ64" s="4">
        <f>Iareva!C64 + 'United Mihili'!C64 + 'Mesjan Hyaa'!C64 + Desaki!C64 + 'Far Lands'!C64</f>
        <v>19000215.365495253</v>
      </c>
      <c r="IK64" s="6">
        <f t="shared" si="66"/>
        <v>1.9199097048289693E-2</v>
      </c>
      <c r="IL64" s="5">
        <f t="shared" si="67"/>
        <v>7.1774957663204245E-3</v>
      </c>
      <c r="IS64" s="3">
        <f t="shared" si="68"/>
        <v>1953</v>
      </c>
      <c r="IT64" s="3">
        <v>1703</v>
      </c>
      <c r="IU64" s="4">
        <f>Verste!C64 + Quidic!C64 + Erkizil!C64 + Ashain!C64 + Ahokini!C64</f>
        <v>122922689.03351988</v>
      </c>
      <c r="IV64" s="6">
        <f t="shared" si="69"/>
        <v>2.276663818591779E-2</v>
      </c>
      <c r="IW64" s="5">
        <f t="shared" si="70"/>
        <v>4.6435109452761393E-2</v>
      </c>
    </row>
    <row r="65" spans="1:257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2596909635.7632885</v>
      </c>
      <c r="D65" s="5">
        <f t="shared" si="1"/>
        <v>1.90577792405189E-2</v>
      </c>
      <c r="K65" s="3">
        <f t="shared" si="2"/>
        <v>1952</v>
      </c>
      <c r="L65" s="3">
        <v>1702</v>
      </c>
      <c r="M65" s="4">
        <f>Eldavpir!C65 + Iquir!C65 + Viussi!C65 + Umendel!C65 + 'Reerica'!C65 + Saa!C65 + Sattle!C65</f>
        <v>19038478.650242999</v>
      </c>
      <c r="N65" s="5">
        <f t="shared" si="3"/>
        <v>2.2285246002083911E-2</v>
      </c>
      <c r="O65" s="5">
        <f t="shared" si="4"/>
        <v>7.331205671562451E-3</v>
      </c>
      <c r="V65" s="3">
        <f t="shared" si="5"/>
        <v>1952</v>
      </c>
      <c r="W65" s="3">
        <v>1702</v>
      </c>
      <c r="X65" s="4">
        <f>'Areoix Lie'!C65 + Jau!C65 + Terressin!C65 + Acetoa!C65 + 'Feio Lie'!C65</f>
        <v>271946940.29116642</v>
      </c>
      <c r="Y65" s="5">
        <f t="shared" si="6"/>
        <v>2.5549361133947492E-2</v>
      </c>
      <c r="Z65" s="5">
        <f t="shared" si="7"/>
        <v>0.1047194467401001</v>
      </c>
      <c r="AG65" s="3">
        <f t="shared" si="8"/>
        <v>1952</v>
      </c>
      <c r="AH65" s="3">
        <v>1702</v>
      </c>
      <c r="AI65" s="4">
        <f>Taniduna!C65 + Jathua!C65 + Deschon!C65 + Pelines!C65 + 'Candenat'!C65 + Othya!C65 + Yoprioq!C65 + Jshain!C65 + 'Fire Coast'!C65 + 'Rijan bu'!C65 + 'Rinew'!C65 + Enina!C65 + Trevilla!C65</f>
        <v>45884137.522334628</v>
      </c>
      <c r="AJ65" s="5">
        <f t="shared" si="9"/>
        <v>2.0856226300464464E-2</v>
      </c>
      <c r="AK65" s="5">
        <f t="shared" si="10"/>
        <v>1.7668746301543248E-2</v>
      </c>
      <c r="AR65" s="3">
        <f t="shared" si="11"/>
        <v>1952</v>
      </c>
      <c r="AS65" s="3">
        <v>1702</v>
      </c>
      <c r="AT65" s="4">
        <f>Gaeiya!C65 + 'Raledria'!C65 + Arbiya!C65 + Fincen!C65 + 'Curata'!C65</f>
        <v>126174583.43215999</v>
      </c>
      <c r="AU65" s="5">
        <f t="shared" si="12"/>
        <v>2.0914819897308486E-2</v>
      </c>
      <c r="AV65" s="5">
        <f t="shared" si="13"/>
        <v>4.8586435852271972E-2</v>
      </c>
      <c r="BC65" s="3">
        <f t="shared" si="14"/>
        <v>1952</v>
      </c>
      <c r="BD65" s="3">
        <v>1702</v>
      </c>
      <c r="BE65" s="4">
        <f>Etirha!C65 + Laselteh!C65 + Grazail!C65 + 'Disal Nila'!C65 + Pelan!C65 + Peka!C65 + Guise!C65</f>
        <v>49356347.030073352</v>
      </c>
      <c r="BF65" s="5">
        <f t="shared" si="15"/>
        <v>2.1342238328561802E-2</v>
      </c>
      <c r="BG65" s="5">
        <f t="shared" si="16"/>
        <v>1.9005800721890134E-2</v>
      </c>
      <c r="BN65" s="3">
        <f t="shared" si="17"/>
        <v>1952</v>
      </c>
      <c r="BO65" s="3">
        <v>1702</v>
      </c>
      <c r="BP65" s="4">
        <f>Genaire!C65 + 'New Misos'!C65 + Phuris!C65 + Lasri!C65 + Slyiaduun!C65 + Aetintio!C65 + Metndria!C65 + Tomscilus!C65</f>
        <v>33651177.841497503</v>
      </c>
      <c r="BQ65" s="5">
        <f t="shared" si="18"/>
        <v>2.5678515556064183E-2</v>
      </c>
      <c r="BR65" s="5">
        <f t="shared" si="19"/>
        <v>1.2958162801689743E-2</v>
      </c>
      <c r="BY65" s="3">
        <f t="shared" si="20"/>
        <v>1952</v>
      </c>
      <c r="BZ65" s="3">
        <v>1702</v>
      </c>
      <c r="CA65" s="4">
        <f>Ealdorii!C65 + Ukhdari!C65 + Hkuqo!C65 + Acrana!C65 + Zenashan!C65</f>
        <v>125098253.70888039</v>
      </c>
      <c r="CB65" s="7">
        <f t="shared" si="21"/>
        <v>1.160001591562892E-2</v>
      </c>
      <c r="CC65" s="5">
        <f t="shared" si="22"/>
        <v>4.817197024728636E-2</v>
      </c>
      <c r="CJ65" s="3">
        <f t="shared" si="23"/>
        <v>1952</v>
      </c>
      <c r="CK65" s="3">
        <v>1702</v>
      </c>
      <c r="CL65" s="4">
        <f>Estijan!C65 + Ikzen!C65 + Urbiqu!C65 + Danocia!C65 + Koruch!C65 + 'New Kizura'!C65 + Lydroa!C65 + Fermori!C65 + Uularin!C65 + 'Niul Spijan'!C65</f>
        <v>140686101.21642148</v>
      </c>
      <c r="CM65" s="7">
        <f t="shared" si="24"/>
        <v>1.8876568067716121E-2</v>
      </c>
      <c r="CN65" s="5">
        <f t="shared" si="25"/>
        <v>5.4174430746055116E-2</v>
      </c>
      <c r="CU65" s="3">
        <f t="shared" si="26"/>
        <v>1952</v>
      </c>
      <c r="CV65" s="3">
        <v>1702</v>
      </c>
      <c r="CW65" s="4">
        <f>Praesyu!C65 + Lycroa!C65 + Emara!C65 + Eldjo!C65 + Easuhura!C65 + Ilicuhe!C65 + Tonder!C65</f>
        <v>183698050.23321027</v>
      </c>
      <c r="CX65" s="7">
        <f t="shared" si="27"/>
        <v>5.8918982533503472E-3</v>
      </c>
      <c r="CY65" s="5">
        <f t="shared" si="28"/>
        <v>7.0737174564496311E-2</v>
      </c>
      <c r="DF65" s="3">
        <f t="shared" si="29"/>
        <v>1952</v>
      </c>
      <c r="DG65" s="3">
        <v>1702</v>
      </c>
      <c r="DH65" s="4">
        <f>Verusa!C65 + Darewa!C65 + Siana!C65 + Yaxuto!C65 + 'Merela Sta'!C65 + Palina!C65</f>
        <v>118914433.04166999</v>
      </c>
      <c r="DI65" s="7">
        <f t="shared" si="30"/>
        <v>1.1610242274599222E-2</v>
      </c>
      <c r="DJ65" s="5">
        <f t="shared" si="31"/>
        <v>4.5790747357567739E-2</v>
      </c>
      <c r="DQ65" s="3">
        <f t="shared" si="32"/>
        <v>1952</v>
      </c>
      <c r="DR65" s="3">
        <v>1702</v>
      </c>
      <c r="DS65" s="4">
        <f>Sunsokua!C65 + Vayvele!C65 + Selaja!C65 + Sadain!C65</f>
        <v>57125099.286467001</v>
      </c>
      <c r="DT65" s="7">
        <f t="shared" si="33"/>
        <v>2.1871170857457153E-2</v>
      </c>
      <c r="DU65" s="5">
        <f t="shared" si="34"/>
        <v>2.1997338105173108E-2</v>
      </c>
      <c r="EB65" s="3">
        <f t="shared" si="35"/>
        <v>1952</v>
      </c>
      <c r="EC65" s="3">
        <v>1702</v>
      </c>
      <c r="ED65" s="4">
        <f>Pelugrotoa!C65 + Lieri!C65 + 'Rtesania'!C65 + Ozinia!C65</f>
        <v>138007741.11147699</v>
      </c>
      <c r="EE65" s="7">
        <f t="shared" si="36"/>
        <v>3.4351550999723042E-2</v>
      </c>
      <c r="EF65" s="5">
        <f t="shared" si="37"/>
        <v>5.3143066362766798E-2</v>
      </c>
      <c r="EM65" s="3">
        <f t="shared" si="38"/>
        <v>1952</v>
      </c>
      <c r="EN65" s="3">
        <v>1702</v>
      </c>
      <c r="EO65" s="4">
        <f>Ocaun!C65 + 'Dual Cenryia'!C65 + Byllu!C65 + Exilium!C65 + Inrea!C65 + Amcha!C65 + Isnti!C65 + Galca!C65 + Otiiric!C65 + Taing!C65 + 'Cruthi Anoso'!C65</f>
        <v>68751222.423209369</v>
      </c>
      <c r="EP65" s="7">
        <f t="shared" si="39"/>
        <v>2.1357492311743262E-2</v>
      </c>
      <c r="EQ65" s="5">
        <f t="shared" si="40"/>
        <v>2.6474245186048562E-2</v>
      </c>
      <c r="EX65" s="3">
        <f t="shared" si="41"/>
        <v>1952</v>
      </c>
      <c r="EY65" s="3">
        <v>1702</v>
      </c>
      <c r="EZ65" s="4">
        <f>Sivoso!C65 + Taoisia!C65 + Seytinemas!C65 + Trian!C65 + 'Chaenia'!C65</f>
        <v>42912594.050790004</v>
      </c>
      <c r="FA65" s="7">
        <f t="shared" si="42"/>
        <v>2.613268655515856E-2</v>
      </c>
      <c r="FB65" s="5">
        <f t="shared" si="43"/>
        <v>1.6524484895361811E-2</v>
      </c>
      <c r="FI65" s="3">
        <f t="shared" si="44"/>
        <v>1952</v>
      </c>
      <c r="FJ65" s="3">
        <v>1702</v>
      </c>
      <c r="FK65" s="4">
        <f>Migoku!C65 + 'Welenu Fana'!C65 + Haiza!C65 + Ucrua!C65 + Ihner!C65 + Oscairia!C65 + Shinam!C65 + 'Ruylku'!C65 + Taval!C65 + 'Western Migoku'!C65 + 'Pruim Fijan'!C65 + 'Canldives'!C65</f>
        <v>55589152.575085595</v>
      </c>
      <c r="FL65" s="7">
        <f t="shared" si="45"/>
        <v>1.606533993693712E-2</v>
      </c>
      <c r="FM65" s="5">
        <f t="shared" si="46"/>
        <v>2.1405886369529652E-2</v>
      </c>
      <c r="FT65" s="3">
        <f t="shared" si="47"/>
        <v>1952</v>
      </c>
      <c r="FU65" s="3">
        <v>1702</v>
      </c>
      <c r="FV65" s="4">
        <f>Vesozata!C65 + Etretes!C65 + Kusierna!C65 + Eparia!C65</f>
        <v>33313515.161113523</v>
      </c>
      <c r="FW65" s="7">
        <f t="shared" si="48"/>
        <v>2.3384164473413946E-2</v>
      </c>
      <c r="FX65" s="5">
        <f t="shared" si="49"/>
        <v>1.2828137992303283E-2</v>
      </c>
      <c r="GE65" s="3">
        <f t="shared" si="50"/>
        <v>1952</v>
      </c>
      <c r="GF65" s="3">
        <v>1702</v>
      </c>
      <c r="GG65" s="4">
        <f>Dahe!C65 + Kaastini!C65 + Suenan!C65 + Oyreain!C65 + Sanagara!C65 + 'North Ayre'!C65 + Stinebar!C65 + 'Cloja'!C65 + 'Pha Hii'!C65 + 'Prystr Hii'!C65</f>
        <v>572688582.92119062</v>
      </c>
      <c r="GH65" s="7">
        <f t="shared" si="51"/>
        <v>1.5060338542681823E-2</v>
      </c>
      <c r="GI65" s="5">
        <f t="shared" si="52"/>
        <v>0.22052695828704294</v>
      </c>
      <c r="GP65" s="3">
        <f t="shared" si="53"/>
        <v>1952</v>
      </c>
      <c r="GQ65" s="3">
        <v>1702</v>
      </c>
      <c r="GR65" s="4">
        <f>Maalle!C65 + 'United Delet'!C65 + Ohtina!C65 + Astye!C65 + Prstreula!C65 + Veelmit!C65 + Aplasia!C65 + 'Elja and Munusia'!C65 + Walporein!C65 + 'Crila Republic'!C65 + 'Niretui and Anulan'!C65 + 'Rethern'!C65 + Tvecoca!C65</f>
        <v>62377221.624618322</v>
      </c>
      <c r="GS65" s="7">
        <f t="shared" si="54"/>
        <v>1.8415522404993008E-2</v>
      </c>
      <c r="GT65" s="5">
        <f t="shared" si="55"/>
        <v>2.4019789046793034E-2</v>
      </c>
      <c r="HA65" s="3">
        <f t="shared" si="56"/>
        <v>1952</v>
      </c>
      <c r="HB65" s="3">
        <v>1702</v>
      </c>
      <c r="HC65" s="4">
        <f>Andsaudare!C65 + Nia!C65 + Umarcia!C65 + Mendereide!C65 + Iainoa!C65 + Isari!C65 + 'Rkmepuia'!C65 + Hiwush!C65 + Isuibul!C65 + Yutnitu!C65</f>
        <v>19285749.837681934</v>
      </c>
      <c r="HD65" s="7">
        <f t="shared" si="57"/>
        <v>2.4065025408591158E-2</v>
      </c>
      <c r="HE65" s="5">
        <f t="shared" si="58"/>
        <v>7.4264231500736954E-3</v>
      </c>
      <c r="HL65" s="3">
        <f t="shared" si="59"/>
        <v>1952</v>
      </c>
      <c r="HM65" s="3">
        <v>1702</v>
      </c>
      <c r="HN65" s="4">
        <f>Zhanshe!C65 + Volver!C65 + Finae!C65 + Myla!C65 + 'Nheyes Si'!C65 + Onphello!C65 + Hyelen!C65</f>
        <v>34151816.437863998</v>
      </c>
      <c r="HO65" s="7">
        <f t="shared" si="60"/>
        <v>2.7839416106690249E-2</v>
      </c>
      <c r="HP65" s="5">
        <f t="shared" si="61"/>
        <v>1.3150945249516174E-2</v>
      </c>
      <c r="HW65" s="3">
        <f t="shared" si="62"/>
        <v>1952</v>
      </c>
      <c r="HX65" s="3">
        <v>1702</v>
      </c>
      <c r="HY65" s="4">
        <f>Yihnurda!C65 + Ztesh!C65 + Wundry!C65 + Anymna!C65 + Shomjind!C65 + Baluyde!C65 + Letan!C65</f>
        <v>156939962.34645694</v>
      </c>
      <c r="HZ65" s="7">
        <f t="shared" si="63"/>
        <v>1.660612637655531E-2</v>
      </c>
      <c r="IA65" s="5">
        <f t="shared" si="64"/>
        <v>6.0433355163830665E-2</v>
      </c>
      <c r="IH65" s="3">
        <f t="shared" si="65"/>
        <v>1952</v>
      </c>
      <c r="II65" s="3">
        <v>1702</v>
      </c>
      <c r="IJ65" s="4">
        <f>Iareva!C65 + 'United Mihili'!C65 + 'Mesjan Hyaa'!C65 + Desaki!C65 + 'Far Lands'!C65</f>
        <v>18642300.03786495</v>
      </c>
      <c r="IK65" s="7">
        <f t="shared" si="66"/>
        <v>1.8595051267007067E-2</v>
      </c>
      <c r="IL65" s="5">
        <f t="shared" si="67"/>
        <v>7.1786479518320132E-3</v>
      </c>
      <c r="IS65" s="3">
        <f t="shared" si="68"/>
        <v>1952</v>
      </c>
      <c r="IT65" s="3">
        <v>1702</v>
      </c>
      <c r="IU65" s="4">
        <f>Verste!C65 + Quidic!C65 + Erkizil!C65 + Ashain!C65 + Ahokini!C65</f>
        <v>120186447.6646872</v>
      </c>
      <c r="IV65" s="7">
        <f t="shared" si="69"/>
        <v>2.2246820951744833E-2</v>
      </c>
      <c r="IW65" s="5">
        <f t="shared" si="70"/>
        <v>4.6280565950213272E-2</v>
      </c>
    </row>
    <row r="66" spans="1:257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2548343861.0308313</v>
      </c>
      <c r="D66" s="5"/>
      <c r="K66" s="3">
        <f t="shared" si="2"/>
        <v>1951</v>
      </c>
      <c r="L66" s="3">
        <v>1701</v>
      </c>
      <c r="M66" s="4">
        <f>Eldavpir!C66 + Iquir!C66 + Viussi!C66 + Umendel!C66 + 'Reerica'!C66 + Saa!C66 + Sattle!C66</f>
        <v>18623450.474999998</v>
      </c>
      <c r="N66" s="7">
        <f t="shared" si="3"/>
        <v>2.154391715288877E-2</v>
      </c>
      <c r="O66" s="5">
        <f t="shared" si="4"/>
        <v>7.3080602503410273E-3</v>
      </c>
      <c r="V66" s="3">
        <f t="shared" si="5"/>
        <v>1951</v>
      </c>
      <c r="W66" s="3">
        <v>1701</v>
      </c>
      <c r="X66" s="4">
        <f>'Areoix Lie'!C66 + Jau!C66 + Terressin!C66 + Acetoa!C66 + 'Feio Lie'!C66</f>
        <v>265171965.97000006</v>
      </c>
      <c r="Y66" s="7">
        <f t="shared" si="6"/>
        <v>2.5586548892234183E-2</v>
      </c>
      <c r="Z66" s="5">
        <f t="shared" si="7"/>
        <v>0.10405658750571255</v>
      </c>
      <c r="AG66" s="3">
        <f t="shared" si="8"/>
        <v>1951</v>
      </c>
      <c r="AH66" s="3">
        <v>1701</v>
      </c>
      <c r="AI66" s="4">
        <f>Taniduna!C66 + Jathua!C66 + Deschon!C66 + Pelines!C66 + 'Candenat'!C66 + Othya!C66 + Yoprioq!C66 + Jshain!C66 + 'Fire Coast'!C66 + 'Rijan bu'!C66 + 'Rinew'!C66 + Enina!C66 + Trevilla!C66</f>
        <v>44946718.588000007</v>
      </c>
      <c r="AJ66" s="7">
        <f t="shared" si="9"/>
        <v>2.0643658021399634E-2</v>
      </c>
      <c r="AK66" s="5">
        <f t="shared" si="10"/>
        <v>1.7637619190770667E-2</v>
      </c>
      <c r="AR66" s="3">
        <f t="shared" si="11"/>
        <v>1951</v>
      </c>
      <c r="AS66" s="3">
        <v>1701</v>
      </c>
      <c r="AT66" s="4">
        <f>Gaeiya!C66 + 'Raledria'!C66 + Arbiya!C66 + Fincen!C66 + 'Curata'!C66</f>
        <v>123589726.55999999</v>
      </c>
      <c r="AU66" s="7">
        <f t="shared" si="12"/>
        <v>2.1753726135499505E-2</v>
      </c>
      <c r="AV66" s="5">
        <f t="shared" si="13"/>
        <v>4.8498057287295081E-2</v>
      </c>
      <c r="BC66" s="3">
        <f t="shared" si="14"/>
        <v>1951</v>
      </c>
      <c r="BD66" s="3">
        <v>1701</v>
      </c>
      <c r="BE66" s="4">
        <f>Etirha!C66 + Laselteh!C66 + Grazail!C66 + 'Disal Nila'!C66 + Pelan!C66 + Peka!C66 + Guise!C66</f>
        <v>48324983.710499994</v>
      </c>
      <c r="BF66" s="7">
        <f t="shared" si="15"/>
        <v>2.1867198041312937E-2</v>
      </c>
      <c r="BG66" s="5">
        <f t="shared" si="16"/>
        <v>1.8963290021210891E-2</v>
      </c>
      <c r="BN66" s="3">
        <f t="shared" si="17"/>
        <v>1951</v>
      </c>
      <c r="BO66" s="3">
        <v>1701</v>
      </c>
      <c r="BP66" s="4">
        <f>Genaire!C66 + 'New Misos'!C66 + Phuris!C66 + Lasri!C66 + Slyiaduun!C66 + Aetintio!C66 + Metndria!C66 + Tomscilus!C66</f>
        <v>32808699.149999999</v>
      </c>
      <c r="BQ66" s="7">
        <f t="shared" si="18"/>
        <v>2.5121283748949327E-2</v>
      </c>
      <c r="BR66" s="5">
        <f t="shared" si="19"/>
        <v>1.2874518094559084E-2</v>
      </c>
      <c r="BY66" s="3">
        <f t="shared" si="20"/>
        <v>1951</v>
      </c>
      <c r="BZ66" s="3">
        <v>1701</v>
      </c>
      <c r="CA66" s="4">
        <f>Ealdorii!C66 + Ukhdari!C66 + Hkuqo!C66 + Acrana!C66 + Zenashan!C66</f>
        <v>123663752.215</v>
      </c>
      <c r="CB66" s="7">
        <f t="shared" si="21"/>
        <v>1.1213467710143659E-2</v>
      </c>
      <c r="CC66" s="5">
        <f t="shared" si="22"/>
        <v>4.8527105821965774E-2</v>
      </c>
      <c r="CJ66" s="3">
        <f t="shared" si="23"/>
        <v>1951</v>
      </c>
      <c r="CK66" s="3">
        <v>1701</v>
      </c>
      <c r="CL66" s="4">
        <f>Estijan!C66 + Ikzen!C66 + Urbiqu!C66 + Danocia!C66 + Koruch!C66 + 'New Kizura'!C66 + Lydroa!C66 + Fermori!C66 + Uularin!C66 + 'Niul Spijan'!C66</f>
        <v>138079631.65079999</v>
      </c>
      <c r="CM66" s="7">
        <f t="shared" si="24"/>
        <v>1.6048365229154468E-2</v>
      </c>
      <c r="CN66" s="5">
        <f t="shared" si="25"/>
        <v>5.418406587992617E-2</v>
      </c>
      <c r="CU66" s="3">
        <f t="shared" si="26"/>
        <v>1951</v>
      </c>
      <c r="CV66" s="3">
        <v>1701</v>
      </c>
      <c r="CW66" s="4">
        <f>Praesyu!C66 + Lycroa!C66 + Emara!C66 + Eldjo!C66 + Easuhura!C66 + Ilicuhe!C66 + Tonder!C66</f>
        <v>182622059.639</v>
      </c>
      <c r="CX66" s="7">
        <f t="shared" si="27"/>
        <v>6.1687866238249872E-3</v>
      </c>
      <c r="CY66" s="5">
        <f t="shared" si="28"/>
        <v>7.1663036700678015E-2</v>
      </c>
      <c r="DF66" s="3">
        <f t="shared" si="29"/>
        <v>1951</v>
      </c>
      <c r="DG66" s="3">
        <v>1701</v>
      </c>
      <c r="DH66" s="4">
        <f>Verusa!C66 + Darewa!C66 + Siana!C66 + Yaxuto!C66 + 'Merela Sta'!C66 + Palina!C66</f>
        <v>117549653.09</v>
      </c>
      <c r="DI66" s="7">
        <f t="shared" si="30"/>
        <v>1.1746389505004553E-2</v>
      </c>
      <c r="DJ66" s="5">
        <f t="shared" si="31"/>
        <v>4.6127861662456318E-2</v>
      </c>
      <c r="DQ66" s="3">
        <f t="shared" si="32"/>
        <v>1951</v>
      </c>
      <c r="DR66" s="3">
        <v>1701</v>
      </c>
      <c r="DS66" s="4">
        <f>Sunsokua!C66 + Vayvele!C66 + Selaja!C66 + Sadain!C66</f>
        <v>55902447.309999995</v>
      </c>
      <c r="DT66" s="7">
        <f t="shared" si="33"/>
        <v>2.1547445238134302E-2</v>
      </c>
      <c r="DU66" s="5">
        <f t="shared" si="34"/>
        <v>2.1936775552490344E-2</v>
      </c>
      <c r="EB66" s="3">
        <f t="shared" si="35"/>
        <v>1951</v>
      </c>
      <c r="EC66" s="3">
        <v>1701</v>
      </c>
      <c r="ED66" s="4">
        <f>Pelugrotoa!C66 + Lieri!C66 + 'Rtesania'!C66 + Ozinia!C66</f>
        <v>133424405.83</v>
      </c>
      <c r="EE66" s="7">
        <f t="shared" si="36"/>
        <v>3.3353282774890219E-2</v>
      </c>
      <c r="EF66" s="5">
        <f t="shared" si="37"/>
        <v>5.2357300704320354E-2</v>
      </c>
      <c r="EM66" s="3">
        <f t="shared" si="38"/>
        <v>1951</v>
      </c>
      <c r="EN66" s="3">
        <v>1701</v>
      </c>
      <c r="EO66" s="4">
        <f>Ocaun!C66 + 'Dual Cenryia'!C66 + Byllu!C66 + Exilium!C66 + Inrea!C66 + Amcha!C66 + Isnti!C66 + Galca!C66 + Otiiric!C66 + Taing!C66 + 'Cruthi Anoso'!C66</f>
        <v>67313573.29900001</v>
      </c>
      <c r="EP66" s="7">
        <f t="shared" si="39"/>
        <v>2.1129172066271327E-2</v>
      </c>
      <c r="EQ66" s="5">
        <f t="shared" si="40"/>
        <v>2.6414635139455227E-2</v>
      </c>
      <c r="EX66" s="3">
        <f t="shared" si="41"/>
        <v>1951</v>
      </c>
      <c r="EY66" s="3">
        <v>1701</v>
      </c>
      <c r="EZ66" s="4">
        <f>Sivoso!C66 + Taoisia!C66 + Seytinemas!C66 + Trian!C66 + 'Chaenia'!C66</f>
        <v>41819732.100000001</v>
      </c>
      <c r="FA66" s="7">
        <f t="shared" si="42"/>
        <v>2.4862814053110915E-2</v>
      </c>
      <c r="FB66" s="5">
        <f t="shared" si="43"/>
        <v>1.6410553041724712E-2</v>
      </c>
      <c r="FI66" s="3">
        <f t="shared" si="44"/>
        <v>1951</v>
      </c>
      <c r="FJ66" s="3">
        <v>1701</v>
      </c>
      <c r="FK66" s="4">
        <f>Migoku!C66 + 'Welenu Fana'!C66 + Haiza!C66 + Ucrua!C66 + Ihner!C66 + Oscairia!C66 + Shinam!C66 + 'Ruylku'!C66 + Taval!C66 + 'Western Migoku'!C66 + 'Pruim Fijan'!C66 + 'Canldives'!C66</f>
        <v>54710214.382999994</v>
      </c>
      <c r="FL66" s="7">
        <f t="shared" si="45"/>
        <v>1.5516956301015678E-2</v>
      </c>
      <c r="FM66" s="5">
        <f t="shared" si="46"/>
        <v>2.1468929377870202E-2</v>
      </c>
      <c r="FT66" s="3">
        <f t="shared" si="47"/>
        <v>1951</v>
      </c>
      <c r="FU66" s="3">
        <v>1701</v>
      </c>
      <c r="FV66" s="4">
        <f>Vesozata!C66 + Etretes!C66 + Kusierna!C66 + Eparia!C66</f>
        <v>32552306.668000001</v>
      </c>
      <c r="FW66" s="7">
        <f t="shared" si="48"/>
        <v>2.4591818576689479E-2</v>
      </c>
      <c r="FX66" s="5">
        <f t="shared" si="49"/>
        <v>1.2773906679466819E-2</v>
      </c>
      <c r="GE66" s="3">
        <f t="shared" si="50"/>
        <v>1951</v>
      </c>
      <c r="GF66" s="3">
        <v>1701</v>
      </c>
      <c r="GG66" s="4">
        <f>Dahe!C66 + Kaastini!C66 + Suenan!C66 + Oyreain!C66 + Sanagara!C66 + 'North Ayre'!C66 + Stinebar!C66 + 'Cloja'!C66 + 'Pha Hii'!C66 + 'Prystr Hii'!C66</f>
        <v>564191665.43675363</v>
      </c>
      <c r="GH66" s="7">
        <f t="shared" si="51"/>
        <v>1.5117127949363469E-2</v>
      </c>
      <c r="GI66" s="5">
        <f t="shared" si="52"/>
        <v>0.22139542236208748</v>
      </c>
      <c r="GP66" s="3">
        <f t="shared" si="53"/>
        <v>1951</v>
      </c>
      <c r="GQ66" s="3">
        <v>1701</v>
      </c>
      <c r="GR66" s="4">
        <f>Maalle!C66 + 'United Delet'!C66 + Ohtina!C66 + Astye!C66 + Prstreula!C66 + Veelmit!C66 + Aplasia!C66 + 'Elja and Munusia'!C66 + Walporein!C66 + 'Crila Republic'!C66 + 'Niretui and Anulan'!C66 + 'Rethern'!C66 + Tvecoca!C66</f>
        <v>61249284.06169048</v>
      </c>
      <c r="GS66" s="7">
        <f t="shared" si="54"/>
        <v>1.8016680239391781E-2</v>
      </c>
      <c r="GT66" s="5">
        <f t="shared" si="55"/>
        <v>2.4034936963693163E-2</v>
      </c>
      <c r="HA66" s="3">
        <f t="shared" si="56"/>
        <v>1951</v>
      </c>
      <c r="HB66" s="3">
        <v>1701</v>
      </c>
      <c r="HC66" s="4">
        <f>Andsaudare!C66 + Nia!C66 + Umarcia!C66 + Mendereide!C66 + Iainoa!C66 + Isari!C66 + 'Rkmepuia'!C66 + Hiwush!C66 + Isuibul!C66 + Yutnitu!C66</f>
        <v>18832544.183399998</v>
      </c>
      <c r="HD66" s="7">
        <f t="shared" si="57"/>
        <v>1.9025784059568302E-2</v>
      </c>
      <c r="HE66" s="5">
        <f t="shared" si="58"/>
        <v>7.3901110722875678E-3</v>
      </c>
      <c r="HL66" s="3">
        <f t="shared" si="59"/>
        <v>1951</v>
      </c>
      <c r="HM66" s="3">
        <v>1701</v>
      </c>
      <c r="HN66" s="4">
        <f>Zhanshe!C66 + Volver!C66 + Finae!C66 + Myla!C66 + 'Nheyes Si'!C66 + Onphello!C66 + Hyelen!C66</f>
        <v>33226801.680000003</v>
      </c>
      <c r="HO66" s="7">
        <f t="shared" si="60"/>
        <v>2.7383080405179876E-2</v>
      </c>
      <c r="HP66" s="5">
        <f t="shared" si="61"/>
        <v>1.3038586427876895E-2</v>
      </c>
      <c r="HW66" s="3">
        <f t="shared" si="62"/>
        <v>1951</v>
      </c>
      <c r="HX66" s="3">
        <v>1701</v>
      </c>
      <c r="HY66" s="4">
        <f>Yihnurda!C66 + Ztesh!C66 + Wundry!C66 + Anymna!C66 + Shomjind!C66 + Baluyde!C66 + Letan!C66</f>
        <v>154376368.85568571</v>
      </c>
      <c r="HZ66" s="7">
        <f t="shared" si="63"/>
        <v>1.640782633002812E-2</v>
      </c>
      <c r="IA66" s="5">
        <f t="shared" si="64"/>
        <v>6.0579096571857019E-2</v>
      </c>
      <c r="IH66" s="3">
        <f t="shared" si="65"/>
        <v>1951</v>
      </c>
      <c r="II66" s="3">
        <v>1701</v>
      </c>
      <c r="IJ66" s="4">
        <f>Iareva!C66 + 'United Mihili'!C66 + 'Mesjan Hyaa'!C66 + Desaki!C66 + 'Far Lands'!C66</f>
        <v>18301973.895</v>
      </c>
      <c r="IK66" s="7">
        <f t="shared" si="66"/>
        <v>1.7570371579956202E-2</v>
      </c>
      <c r="IL66" s="5">
        <f t="shared" si="67"/>
        <v>7.1819090723481338E-3</v>
      </c>
      <c r="IS66" s="3">
        <f t="shared" si="68"/>
        <v>1951</v>
      </c>
      <c r="IT66" s="3">
        <v>1701</v>
      </c>
      <c r="IU66" s="4">
        <f>Verste!C66 + Quidic!C66 + Erkizil!C66 + Ashain!C66 + Ahokini!C66</f>
        <v>117570869.58</v>
      </c>
      <c r="IV66" s="7">
        <f t="shared" si="69"/>
        <v>2.2026561714926486E-2</v>
      </c>
      <c r="IW66" s="5">
        <f t="shared" si="70"/>
        <v>4.6136187261809077E-2</v>
      </c>
    </row>
    <row r="67" spans="1:257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2501456887.1097956</v>
      </c>
      <c r="D67" s="5"/>
      <c r="K67" s="3">
        <f t="shared" si="2"/>
        <v>1950</v>
      </c>
      <c r="L67" s="3">
        <v>1700</v>
      </c>
      <c r="M67" s="4">
        <f>Eldavpir!C67 + Iquir!C67 + Viussi!C67 + Umendel!C67 + 'Reerica'!C67 + Saa!C67 + Sattle!C67</f>
        <v>18230690</v>
      </c>
      <c r="N67" s="5"/>
      <c r="O67" s="5">
        <f t="shared" si="4"/>
        <v>7.2880288658757949E-3</v>
      </c>
      <c r="V67" s="3">
        <f t="shared" si="5"/>
        <v>1950</v>
      </c>
      <c r="W67" s="3">
        <v>1700</v>
      </c>
      <c r="X67" s="4">
        <f>'Areoix Lie'!C67 + Jau!C67 + Terressin!C67 + Acetoa!C67 + 'Feio Lie'!C67</f>
        <v>258556400</v>
      </c>
      <c r="Y67" s="5"/>
      <c r="Z67" s="5">
        <f t="shared" si="7"/>
        <v>0.10336232510436678</v>
      </c>
      <c r="AG67" s="3">
        <f t="shared" si="8"/>
        <v>1950</v>
      </c>
      <c r="AH67" s="3">
        <v>1700</v>
      </c>
      <c r="AI67" s="4">
        <f>Taniduna!C67 + Jathua!C67 + Deschon!C67 + Pelines!C67 + 'Candenat'!C67 + Othya!C67 + Yoprioq!C67 + Jshain!C67 + 'Fire Coast'!C67 + 'Rijan bu'!C67 + 'Rinew'!C67 + Enina!C67 + Trevilla!C67</f>
        <v>44037621</v>
      </c>
      <c r="AJ67" s="5"/>
      <c r="AK67" s="5">
        <f t="shared" si="10"/>
        <v>1.7604789123861909E-2</v>
      </c>
      <c r="AR67" s="3">
        <f t="shared" si="11"/>
        <v>1950</v>
      </c>
      <c r="AS67" s="3">
        <v>1700</v>
      </c>
      <c r="AT67" s="4">
        <f>Gaeiya!C67 + 'Raledria'!C67 + Arbiya!C67 + Fincen!C67 + 'Curata'!C67</f>
        <v>120958430</v>
      </c>
      <c r="AU67" s="5"/>
      <c r="AV67" s="5">
        <f t="shared" si="13"/>
        <v>4.8355192777180499E-2</v>
      </c>
      <c r="BC67" s="3">
        <f t="shared" si="14"/>
        <v>1950</v>
      </c>
      <c r="BD67" s="3">
        <v>1700</v>
      </c>
      <c r="BE67" s="4">
        <f>Etirha!C67 + Laselteh!C67 + Grazail!C67 + 'Disal Nila'!C67 + Pelan!C67 + Peka!C67 + Guise!C67</f>
        <v>47290865</v>
      </c>
      <c r="BF67" s="5"/>
      <c r="BG67" s="5">
        <f t="shared" si="16"/>
        <v>1.8905328828049586E-2</v>
      </c>
      <c r="BN67" s="3">
        <f t="shared" si="17"/>
        <v>1950</v>
      </c>
      <c r="BO67" s="3">
        <v>1700</v>
      </c>
      <c r="BP67" s="4">
        <f>Genaire!C67 + 'New Misos'!C67 + Phuris!C67 + Lasri!C67 + Slyiaduun!C67 + Aetintio!C67 + Metndria!C67 + Tomscilus!C67</f>
        <v>32004700</v>
      </c>
      <c r="BQ67" s="5"/>
      <c r="BR67" s="5">
        <f t="shared" si="19"/>
        <v>1.2794423987446173E-2</v>
      </c>
      <c r="BY67" s="3">
        <f t="shared" si="20"/>
        <v>1950</v>
      </c>
      <c r="BZ67" s="3">
        <v>1700</v>
      </c>
      <c r="CA67" s="4">
        <f>Ealdorii!C67 + Ukhdari!C67 + Hkuqo!C67 + Acrana!C67 + Zenashan!C67</f>
        <v>122292430</v>
      </c>
      <c r="CB67" s="5"/>
      <c r="CC67" s="5">
        <f t="shared" si="22"/>
        <v>4.8888482000302512E-2</v>
      </c>
      <c r="CJ67" s="3">
        <f t="shared" si="23"/>
        <v>1950</v>
      </c>
      <c r="CK67" s="3">
        <v>1700</v>
      </c>
      <c r="CL67" s="4">
        <f>Estijan!C67 + Ikzen!C67 + Urbiqu!C67 + Danocia!C67 + Koruch!C67 + 'New Kizura'!C67 + Lydroa!C67 + Fermori!C67 + Uularin!C67 + 'Niul Spijan'!C67</f>
        <v>135898680</v>
      </c>
      <c r="CM67" s="5"/>
      <c r="CN67" s="5">
        <f t="shared" si="25"/>
        <v>5.4327812204278479E-2</v>
      </c>
      <c r="CU67" s="3">
        <f t="shared" si="26"/>
        <v>1950</v>
      </c>
      <c r="CV67" s="3">
        <v>1700</v>
      </c>
      <c r="CW67" s="4">
        <f>Praesyu!C67 + Lycroa!C67 + Emara!C67 + Eldjo!C67 + Easuhura!C67 + Ilicuhe!C67 + Tonder!C67</f>
        <v>181502410</v>
      </c>
      <c r="CX67" s="7"/>
      <c r="CY67" s="5">
        <f t="shared" si="28"/>
        <v>7.2558680077716403E-2</v>
      </c>
      <c r="DF67" s="3">
        <f t="shared" si="29"/>
        <v>1950</v>
      </c>
      <c r="DG67" s="3">
        <v>1700</v>
      </c>
      <c r="DH67" s="4">
        <f>Verusa!C67 + Darewa!C67 + Siana!C67 + Yaxuto!C67 + 'Merela Sta'!C67 + Palina!C67</f>
        <v>116184900</v>
      </c>
      <c r="DI67" s="5"/>
      <c r="DJ67" s="5">
        <f t="shared" si="31"/>
        <v>4.6446892848207758E-2</v>
      </c>
      <c r="DQ67" s="3">
        <f t="shared" si="32"/>
        <v>1950</v>
      </c>
      <c r="DR67" s="3">
        <v>1700</v>
      </c>
      <c r="DS67" s="4">
        <f>Sunsokua!C67 + Vayvele!C67 + Selaja!C67 + Sadain!C67</f>
        <v>54723300</v>
      </c>
      <c r="DT67" s="5"/>
      <c r="DU67" s="5">
        <f t="shared" si="34"/>
        <v>2.1876571322093728E-2</v>
      </c>
      <c r="EB67" s="3">
        <f t="shared" si="35"/>
        <v>1950</v>
      </c>
      <c r="EC67" s="3">
        <v>1700</v>
      </c>
      <c r="ED67" s="4">
        <f>Pelugrotoa!C67 + Lieri!C67 + 'Rtesania'!C67 + Ozinia!C67</f>
        <v>129117900</v>
      </c>
      <c r="EE67" s="5"/>
      <c r="EF67" s="5">
        <f t="shared" si="37"/>
        <v>5.1617079896661304E-2</v>
      </c>
      <c r="EM67" s="3">
        <f t="shared" si="38"/>
        <v>1950</v>
      </c>
      <c r="EN67" s="3">
        <v>1700</v>
      </c>
      <c r="EO67" s="4">
        <f>Ocaun!C67 + 'Dual Cenryia'!C67 + Byllu!C67 + Exilium!C67 + Inrea!C67 + Amcha!C67 + Isnti!C67 + Galca!C67 + Otiiric!C67 + Taing!C67 + 'Cruthi Anoso'!C67</f>
        <v>65920723</v>
      </c>
      <c r="EP67" s="5"/>
      <c r="EQ67" s="5">
        <f t="shared" si="40"/>
        <v>2.6352931901283079E-2</v>
      </c>
      <c r="EX67" s="3">
        <f t="shared" si="41"/>
        <v>1950</v>
      </c>
      <c r="EY67" s="3">
        <v>1700</v>
      </c>
      <c r="EZ67" s="4">
        <f>Sivoso!C67 + Taoisia!C67 + Seytinemas!C67 + Trian!C67 + 'Chaenia'!C67</f>
        <v>40805200</v>
      </c>
      <c r="FA67" s="5"/>
      <c r="FB67" s="5">
        <f t="shared" si="43"/>
        <v>1.6312573768619564E-2</v>
      </c>
      <c r="FI67" s="3">
        <f t="shared" si="44"/>
        <v>1950</v>
      </c>
      <c r="FJ67" s="3">
        <v>1700</v>
      </c>
      <c r="FK67" s="4">
        <f>Migoku!C67 + 'Welenu Fana'!C67 + Haiza!C67 + Ucrua!C67 + Ihner!C67 + Oscairia!C67 + Shinam!C67 + 'Ruylku'!C67 + Taval!C67 + 'Western Migoku'!C67 + 'Pruim Fijan'!C67 + 'Canldives'!C67</f>
        <v>53874250</v>
      </c>
      <c r="FL67" s="5"/>
      <c r="FM67" s="5">
        <f t="shared" si="46"/>
        <v>2.1537149122024951E-2</v>
      </c>
      <c r="FT67" s="3">
        <f t="shared" si="47"/>
        <v>1950</v>
      </c>
      <c r="FU67" s="3">
        <v>1700</v>
      </c>
      <c r="FV67" s="4">
        <f>Vesozata!C67 + Etretes!C67 + Kusierna!C67 + Eparia!C67</f>
        <v>31771000</v>
      </c>
      <c r="FW67" s="5"/>
      <c r="FX67" s="5">
        <f t="shared" si="49"/>
        <v>1.2700998431641363E-2</v>
      </c>
      <c r="GE67" s="3">
        <f t="shared" si="50"/>
        <v>1950</v>
      </c>
      <c r="GF67" s="3">
        <v>1700</v>
      </c>
      <c r="GG67" s="4">
        <f>Dahe!C67 + Kaastini!C67 + Suenan!C67 + Oyreain!C67 + Sanagara!C67 + 'North Ayre'!C67 + Stinebar!C67 + 'Cloja'!C67 + 'Pha Hii'!C67 + 'Prystr Hii'!C67</f>
        <v>555789721.10979581</v>
      </c>
      <c r="GH67" s="5"/>
      <c r="GI67" s="5">
        <f t="shared" si="52"/>
        <v>0.22218640823826469</v>
      </c>
      <c r="GP67" s="3">
        <f t="shared" si="53"/>
        <v>1950</v>
      </c>
      <c r="GQ67" s="3">
        <v>1700</v>
      </c>
      <c r="GR67" s="4">
        <f>Maalle!C67 + 'United Delet'!C67 + Ohtina!C67 + Astye!C67 + Prstreula!C67 + Veelmit!C67 + Aplasia!C67 + 'Elja and Munusia'!C67 + Walporein!C67 + 'Crila Republic'!C67 + 'Niretui and Anulan'!C67 + 'Rethern'!C67 + Tvecoca!C67</f>
        <v>60165305</v>
      </c>
      <c r="GS67" s="5"/>
      <c r="GT67" s="5">
        <f t="shared" si="55"/>
        <v>2.405210551900237E-2</v>
      </c>
      <c r="HA67" s="3">
        <f t="shared" si="56"/>
        <v>1950</v>
      </c>
      <c r="HB67" s="3">
        <v>1700</v>
      </c>
      <c r="HC67" s="4">
        <f>Andsaudare!C67 + Nia!C67 + Umarcia!C67 + Mendereide!C67 + Iainoa!C67 + Isari!C67 + 'Rkmepuia'!C67 + Hiwush!C67 + Isuibul!C67 + Yutnitu!C67</f>
        <v>18480930</v>
      </c>
      <c r="HD67" s="5"/>
      <c r="HE67" s="5">
        <f t="shared" si="58"/>
        <v>7.3880665684200632E-3</v>
      </c>
      <c r="HL67" s="3">
        <f t="shared" si="59"/>
        <v>1950</v>
      </c>
      <c r="HM67" s="3">
        <v>1700</v>
      </c>
      <c r="HN67" s="4">
        <f>Zhanshe!C67 + Volver!C67 + Finae!C67 + Myla!C67 + 'Nheyes Si'!C67 + Onphello!C67 + Hyelen!C67</f>
        <v>32341200</v>
      </c>
      <c r="HO67" s="5"/>
      <c r="HP67" s="5">
        <f t="shared" si="61"/>
        <v>1.292894559432815E-2</v>
      </c>
      <c r="HW67" s="3">
        <f t="shared" si="62"/>
        <v>1950</v>
      </c>
      <c r="HX67" s="3">
        <v>1700</v>
      </c>
      <c r="HY67" s="4">
        <f>Yihnurda!C67 + Ztesh!C67 + Wundry!C67 + Anymna!C67 + Shomjind!C67 + Baluyde!C67 + Letan!C67</f>
        <v>151884278</v>
      </c>
      <c r="HZ67" s="5"/>
      <c r="IA67" s="5">
        <f t="shared" si="64"/>
        <v>6.071832730065093E-2</v>
      </c>
      <c r="IH67" s="3">
        <f t="shared" si="65"/>
        <v>1950</v>
      </c>
      <c r="II67" s="3">
        <v>1700</v>
      </c>
      <c r="IJ67" s="4">
        <f>Iareva!C67 + 'United Mihili'!C67 + 'Mesjan Hyaa'!C67 + Desaki!C67 + 'Far Lands'!C67</f>
        <v>17985954</v>
      </c>
      <c r="IK67" s="5"/>
      <c r="IL67" s="5">
        <f t="shared" si="67"/>
        <v>7.1901914810856976E-3</v>
      </c>
      <c r="IS67" s="3">
        <f t="shared" si="68"/>
        <v>1950</v>
      </c>
      <c r="IT67" s="3">
        <v>1700</v>
      </c>
      <c r="IU67" s="4">
        <f>Verste!C67 + Quidic!C67 + Erkizil!C67 + Ashain!C67 + Ahokini!C67</f>
        <v>115037000</v>
      </c>
      <c r="IV67" s="7"/>
      <c r="IW67" s="5">
        <f t="shared" si="70"/>
        <v>4.5988000270080501E-2</v>
      </c>
    </row>
  </sheetData>
  <dataValidations count="1"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 xr:uid="{00000000-0002-0000-01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7"/>
  <sheetViews>
    <sheetView workbookViewId="0">
      <selection activeCell="M21" sqref="M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11202505.000434494</v>
      </c>
      <c r="D2" s="11">
        <v>1.2200000000000001E-2</v>
      </c>
      <c r="E2" s="10">
        <f t="shared" ref="E2:E66" si="2">SUM(C2-C3)</f>
        <v>135023.27702558786</v>
      </c>
      <c r="F2" s="3"/>
      <c r="G2" s="29">
        <v>6.35</v>
      </c>
      <c r="H2" s="10"/>
      <c r="I2" s="10">
        <f>IF(H2&lt;&gt;"",H2,8333)</f>
        <v>8333</v>
      </c>
      <c r="J2" s="10">
        <f t="shared" ref="J2:J33" si="3">IF(I2="","",I2*C2)</f>
        <v>93350474168.620636</v>
      </c>
      <c r="K2" s="11">
        <f t="shared" ref="K2:K33" si="4">IFERROR(J2/J3-1,"")</f>
        <v>7.6474699999999896E-2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11067481.723408906</v>
      </c>
      <c r="D3" s="11">
        <v>1.23E-2</v>
      </c>
      <c r="E3" s="10">
        <f t="shared" si="2"/>
        <v>134475.9707576111</v>
      </c>
      <c r="F3" s="3"/>
      <c r="G3" s="29">
        <v>6.35</v>
      </c>
      <c r="H3" s="10"/>
      <c r="I3" s="10">
        <f t="shared" ref="I3:I34" si="5">IF(H3&lt;&gt;"",H3,I2/(1+IF(G2="",0,G2)/100))</f>
        <v>7835.4489891866488</v>
      </c>
      <c r="J3" s="10">
        <f t="shared" si="3"/>
        <v>86718688482.526016</v>
      </c>
      <c r="K3" s="11">
        <f t="shared" si="4"/>
        <v>7.6581049999999928E-2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10933005.752651295</v>
      </c>
      <c r="D4" s="11">
        <v>1.2E-2</v>
      </c>
      <c r="E4" s="10">
        <f t="shared" si="2"/>
        <v>129640.3844187893</v>
      </c>
      <c r="F4" s="3"/>
      <c r="G4" s="29">
        <v>6.75</v>
      </c>
      <c r="H4" s="10"/>
      <c r="I4" s="10">
        <f t="shared" si="5"/>
        <v>7367.6060076978365</v>
      </c>
      <c r="J4" s="10">
        <f t="shared" si="3"/>
        <v>80550078865.42868</v>
      </c>
      <c r="K4" s="11">
        <f t="shared" si="4"/>
        <v>8.0309999999999659E-2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10803365.368232505</v>
      </c>
      <c r="D5" s="11">
        <v>1.15E-2</v>
      </c>
      <c r="E5" s="10">
        <f t="shared" si="2"/>
        <v>122826.20042973198</v>
      </c>
      <c r="F5" s="3"/>
      <c r="G5" s="29">
        <v>6.9</v>
      </c>
      <c r="H5" s="10"/>
      <c r="I5" s="10">
        <f t="shared" si="5"/>
        <v>6901.7386488972716</v>
      </c>
      <c r="J5" s="10">
        <f t="shared" si="3"/>
        <v>74562004300.088593</v>
      </c>
      <c r="K5" s="11">
        <f t="shared" si="4"/>
        <v>8.129350000000013E-2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10680539.167802773</v>
      </c>
      <c r="D6" s="11">
        <v>1.3299999999999999E-2</v>
      </c>
      <c r="E6" s="10">
        <f t="shared" si="2"/>
        <v>140186.68798162229</v>
      </c>
      <c r="F6" s="3"/>
      <c r="G6" s="29">
        <v>3.86</v>
      </c>
      <c r="H6" s="10"/>
      <c r="I6" s="10">
        <f t="shared" si="5"/>
        <v>6456.2569213257921</v>
      </c>
      <c r="J6" s="10">
        <f t="shared" si="3"/>
        <v>68956304925.617874</v>
      </c>
      <c r="K6" s="11">
        <f t="shared" si="4"/>
        <v>5.2413380000000176E-2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10540352.479821151</v>
      </c>
      <c r="D7" s="11">
        <v>1.6E-2</v>
      </c>
      <c r="E7" s="10">
        <f t="shared" si="2"/>
        <v>165989.80283182859</v>
      </c>
      <c r="F7" s="3"/>
      <c r="G7" s="29">
        <v>7.33</v>
      </c>
      <c r="H7" s="10"/>
      <c r="I7" s="10">
        <f t="shared" si="5"/>
        <v>6216.3074536162067</v>
      </c>
      <c r="J7" s="10">
        <f t="shared" si="3"/>
        <v>65522071684.054291</v>
      </c>
      <c r="K7" s="11">
        <f t="shared" si="4"/>
        <v>9.0472799999999909E-2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10374362.676989323</v>
      </c>
      <c r="D8" s="11">
        <v>1.7000000000000001E-2</v>
      </c>
      <c r="E8" s="10">
        <f t="shared" si="2"/>
        <v>173416.09194573946</v>
      </c>
      <c r="F8" s="3"/>
      <c r="G8" s="29">
        <v>1.45</v>
      </c>
      <c r="H8" s="10"/>
      <c r="I8" s="10">
        <f t="shared" si="5"/>
        <v>5791.7706639487624</v>
      </c>
      <c r="J8" s="10">
        <f t="shared" si="3"/>
        <v>60085929409.751709</v>
      </c>
      <c r="K8" s="11">
        <f t="shared" si="4"/>
        <v>3.17464999999999E-2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10200946.585043583</v>
      </c>
      <c r="D9" s="11">
        <v>1.7600000000000001E-2</v>
      </c>
      <c r="E9" s="10">
        <f t="shared" si="2"/>
        <v>176431.46609352157</v>
      </c>
      <c r="F9" s="3"/>
      <c r="G9" s="29">
        <v>4.34</v>
      </c>
      <c r="H9" s="10"/>
      <c r="I9" s="10">
        <f t="shared" si="5"/>
        <v>5708.9903045330339</v>
      </c>
      <c r="J9" s="10">
        <f t="shared" si="3"/>
        <v>58237105151.073174</v>
      </c>
      <c r="K9" s="11">
        <f t="shared" si="4"/>
        <v>6.1763840000000014E-2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10024515.118950062</v>
      </c>
      <c r="D10" s="11">
        <v>1.77E-2</v>
      </c>
      <c r="E10" s="10">
        <f t="shared" si="2"/>
        <v>174347.95873579383</v>
      </c>
      <c r="F10" s="3"/>
      <c r="G10" s="29">
        <v>6.52</v>
      </c>
      <c r="H10" s="10"/>
      <c r="I10" s="10">
        <f t="shared" si="5"/>
        <v>5471.5260729662959</v>
      </c>
      <c r="J10" s="10">
        <f t="shared" si="3"/>
        <v>54849395842.180092</v>
      </c>
      <c r="K10" s="11">
        <f t="shared" si="4"/>
        <v>8.4054040000000052E-2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9850167.1602142677</v>
      </c>
      <c r="D11" s="11">
        <v>1.7299999999999999E-2</v>
      </c>
      <c r="E11" s="10">
        <f t="shared" si="2"/>
        <v>167509.96940106899</v>
      </c>
      <c r="F11" s="3"/>
      <c r="G11" s="29">
        <v>5.32</v>
      </c>
      <c r="H11" s="10"/>
      <c r="I11" s="10">
        <f t="shared" si="5"/>
        <v>5136.6185439037708</v>
      </c>
      <c r="J11" s="10">
        <f t="shared" si="3"/>
        <v>50596551295.708549</v>
      </c>
      <c r="K11" s="11">
        <f t="shared" si="4"/>
        <v>7.1420360000000072E-2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9682657.1908131987</v>
      </c>
      <c r="D12" s="11">
        <v>1.7100000000000001E-2</v>
      </c>
      <c r="E12" s="10">
        <f t="shared" si="2"/>
        <v>162789.73351971805</v>
      </c>
      <c r="F12" s="3"/>
      <c r="G12" s="29">
        <v>4.9400000000000004</v>
      </c>
      <c r="H12" s="10"/>
      <c r="I12" s="10">
        <f t="shared" si="5"/>
        <v>4877.1539535736529</v>
      </c>
      <c r="J12" s="10">
        <f t="shared" si="3"/>
        <v>47223809799.272949</v>
      </c>
      <c r="K12" s="11">
        <f t="shared" si="4"/>
        <v>6.7344740000000014E-2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9519867.4572934806</v>
      </c>
      <c r="D13" s="11">
        <v>1.7100000000000001E-2</v>
      </c>
      <c r="E13" s="10">
        <f t="shared" si="2"/>
        <v>160052.83012458682</v>
      </c>
      <c r="F13" s="3"/>
      <c r="G13" s="29">
        <v>6.57</v>
      </c>
      <c r="H13" s="10"/>
      <c r="I13" s="10">
        <f t="shared" si="5"/>
        <v>4647.5642782291334</v>
      </c>
      <c r="J13" s="10">
        <f t="shared" si="3"/>
        <v>44244195927.993187</v>
      </c>
      <c r="K13" s="11">
        <f t="shared" si="4"/>
        <v>8.3923469999999778E-2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9359814.6271688938</v>
      </c>
      <c r="D14" s="11">
        <v>1.7000000000000001E-2</v>
      </c>
      <c r="E14" s="10">
        <f t="shared" si="2"/>
        <v>156457.07833025604</v>
      </c>
      <c r="F14" s="3"/>
      <c r="G14" s="29">
        <v>5.09</v>
      </c>
      <c r="H14" s="10"/>
      <c r="I14" s="10">
        <f t="shared" si="5"/>
        <v>4361.043706699008</v>
      </c>
      <c r="J14" s="10">
        <f t="shared" si="3"/>
        <v>40818560675.684227</v>
      </c>
      <c r="K14" s="11">
        <f t="shared" si="4"/>
        <v>6.8765299999999696E-2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9203357.5488386378</v>
      </c>
      <c r="D15" s="11">
        <v>1.7500000000000002E-2</v>
      </c>
      <c r="E15" s="10">
        <f t="shared" si="2"/>
        <v>158288.70477118157</v>
      </c>
      <c r="F15" s="3"/>
      <c r="G15" s="29">
        <v>3.72</v>
      </c>
      <c r="H15" s="10"/>
      <c r="I15" s="10">
        <f t="shared" si="5"/>
        <v>4149.8179719278796</v>
      </c>
      <c r="J15" s="10">
        <f t="shared" si="3"/>
        <v>38192258558.248695</v>
      </c>
      <c r="K15" s="11">
        <f t="shared" si="4"/>
        <v>5.5350999999999928E-2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9045068.8440674562</v>
      </c>
      <c r="D16" s="11">
        <v>1.8700000000000001E-2</v>
      </c>
      <c r="E16" s="10">
        <f t="shared" si="2"/>
        <v>166037.87904590182</v>
      </c>
      <c r="F16" s="3"/>
      <c r="G16" s="29">
        <v>3.05</v>
      </c>
      <c r="H16" s="10"/>
      <c r="I16" s="10">
        <f t="shared" si="5"/>
        <v>4000.9814615579253</v>
      </c>
      <c r="J16" s="10">
        <f t="shared" si="3"/>
        <v>36189152763.629066</v>
      </c>
      <c r="K16" s="11">
        <f t="shared" si="4"/>
        <v>4.9770349999999963E-2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8879030.9650215544</v>
      </c>
      <c r="D17" s="11">
        <v>2.1700000000000001E-2</v>
      </c>
      <c r="E17" s="10">
        <f t="shared" si="2"/>
        <v>188582.72677005827</v>
      </c>
      <c r="F17" s="3"/>
      <c r="G17" s="29">
        <v>4.38</v>
      </c>
      <c r="H17" s="10"/>
      <c r="I17" s="10">
        <f t="shared" si="5"/>
        <v>3882.5632814729988</v>
      </c>
      <c r="J17" s="10">
        <f t="shared" si="3"/>
        <v>34473399599.854454</v>
      </c>
      <c r="K17" s="11">
        <f t="shared" si="4"/>
        <v>6.6450460000000211E-2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8690448.2382514961</v>
      </c>
      <c r="D18" s="11">
        <v>2.1000000000000001E-2</v>
      </c>
      <c r="E18" s="10">
        <f t="shared" si="2"/>
        <v>178745.75220693462</v>
      </c>
      <c r="F18" s="3"/>
      <c r="G18" s="29">
        <v>3.35</v>
      </c>
      <c r="H18" s="10"/>
      <c r="I18" s="10">
        <f t="shared" si="5"/>
        <v>3719.6429215108246</v>
      </c>
      <c r="J18" s="10">
        <f t="shared" si="3"/>
        <v>32325364274.168392</v>
      </c>
      <c r="K18" s="11">
        <f t="shared" si="4"/>
        <v>5.5203499999999961E-2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8511702.4860445615</v>
      </c>
      <c r="D19" s="11">
        <v>2.1700000000000001E-2</v>
      </c>
      <c r="E19" s="10">
        <f t="shared" si="2"/>
        <v>180780.99632687494</v>
      </c>
      <c r="F19" s="3"/>
      <c r="G19" s="29">
        <v>-0.51</v>
      </c>
      <c r="H19" s="10"/>
      <c r="I19" s="10">
        <f t="shared" si="5"/>
        <v>3599.0739443742859</v>
      </c>
      <c r="J19" s="10">
        <f t="shared" si="3"/>
        <v>30634246639.788815</v>
      </c>
      <c r="K19" s="11">
        <f t="shared" si="4"/>
        <v>1.6489329999999969E-2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8330921.4897176865</v>
      </c>
      <c r="D20" s="11">
        <v>2.23E-2</v>
      </c>
      <c r="E20" s="10">
        <f t="shared" si="2"/>
        <v>181727.03631096985</v>
      </c>
      <c r="F20" s="3"/>
      <c r="G20" s="29">
        <v>5.19</v>
      </c>
      <c r="H20" s="10"/>
      <c r="I20" s="10">
        <f t="shared" si="5"/>
        <v>3617.5233132719732</v>
      </c>
      <c r="J20" s="10">
        <f t="shared" si="3"/>
        <v>30137302710.092209</v>
      </c>
      <c r="K20" s="11">
        <f t="shared" si="4"/>
        <v>7.535737000000009E-2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8149194.4534067167</v>
      </c>
      <c r="D21" s="11">
        <v>2.2700000000000001E-2</v>
      </c>
      <c r="E21" s="10">
        <f t="shared" si="2"/>
        <v>180880.72170952614</v>
      </c>
      <c r="F21" s="3"/>
      <c r="G21" s="29">
        <v>5.86</v>
      </c>
      <c r="H21" s="10"/>
      <c r="I21" s="10">
        <f t="shared" si="5"/>
        <v>3439.0372785169434</v>
      </c>
      <c r="J21" s="10">
        <f t="shared" si="3"/>
        <v>28025383515.149204</v>
      </c>
      <c r="K21" s="11">
        <f t="shared" si="4"/>
        <v>8.2630219999999976E-2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7968313.7316971906</v>
      </c>
      <c r="D22" s="11">
        <v>2.3099999999999999E-2</v>
      </c>
      <c r="E22" s="10">
        <f t="shared" si="2"/>
        <v>179912.07819587924</v>
      </c>
      <c r="F22" s="3"/>
      <c r="G22" s="29">
        <v>4.63</v>
      </c>
      <c r="H22" s="10"/>
      <c r="I22" s="10">
        <f t="shared" si="5"/>
        <v>3248.6654813120567</v>
      </c>
      <c r="J22" s="10">
        <f t="shared" si="3"/>
        <v>25886385764.429523</v>
      </c>
      <c r="K22" s="11">
        <f t="shared" si="4"/>
        <v>7.046952999999978E-2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7788401.6535013113</v>
      </c>
      <c r="D23" s="11">
        <v>2.3699999999999999E-2</v>
      </c>
      <c r="E23" s="10">
        <f t="shared" si="2"/>
        <v>180311.73115950171</v>
      </c>
      <c r="F23" s="3"/>
      <c r="G23" s="29">
        <v>4.37</v>
      </c>
      <c r="H23" s="10"/>
      <c r="I23" s="10">
        <f t="shared" si="5"/>
        <v>3104.9082302514162</v>
      </c>
      <c r="J23" s="10">
        <f t="shared" si="3"/>
        <v>24182272394.459961</v>
      </c>
      <c r="K23" s="11">
        <f t="shared" si="4"/>
        <v>6.8435690000000493E-2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7608089.9223418096</v>
      </c>
      <c r="D24" s="11">
        <v>2.4199999999999999E-2</v>
      </c>
      <c r="E24" s="10">
        <f t="shared" si="2"/>
        <v>179765.45217796508</v>
      </c>
      <c r="F24" s="3"/>
      <c r="G24" s="29">
        <v>2.1800000000000002</v>
      </c>
      <c r="H24" s="10"/>
      <c r="I24" s="10">
        <f t="shared" si="5"/>
        <v>2974.9048867025158</v>
      </c>
      <c r="J24" s="10">
        <f t="shared" si="3"/>
        <v>22633343888.446812</v>
      </c>
      <c r="K24" s="11">
        <f t="shared" si="4"/>
        <v>4.6527559999999912E-2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7428324.4701638445</v>
      </c>
      <c r="D25" s="11">
        <v>2.4E-2</v>
      </c>
      <c r="E25" s="10">
        <f t="shared" si="2"/>
        <v>174101.35476946551</v>
      </c>
      <c r="F25" s="3"/>
      <c r="G25" s="29">
        <v>0.42</v>
      </c>
      <c r="H25" s="10"/>
      <c r="I25" s="10">
        <f t="shared" si="5"/>
        <v>2911.4355908225834</v>
      </c>
      <c r="J25" s="10">
        <f t="shared" si="3"/>
        <v>21627088242.613327</v>
      </c>
      <c r="K25" s="11">
        <f t="shared" si="4"/>
        <v>2.8300800000000015E-2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7254223.115394379</v>
      </c>
      <c r="D26" s="11">
        <v>2.3400000000000001E-2</v>
      </c>
      <c r="E26" s="10">
        <f t="shared" si="2"/>
        <v>165867.52091091406</v>
      </c>
      <c r="F26" s="3"/>
      <c r="G26" s="29">
        <v>-0.44</v>
      </c>
      <c r="H26" s="10"/>
      <c r="I26" s="10">
        <f t="shared" si="5"/>
        <v>2899.2587042646719</v>
      </c>
      <c r="J26" s="10">
        <f t="shared" si="3"/>
        <v>21031869509.985138</v>
      </c>
      <c r="K26" s="11">
        <f t="shared" si="4"/>
        <v>1.8897040000000143E-2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7088355.594483465</v>
      </c>
      <c r="D27" s="11">
        <v>2.3900000000000001E-2</v>
      </c>
      <c r="E27" s="10">
        <f t="shared" si="2"/>
        <v>165457.26995620225</v>
      </c>
      <c r="F27" s="3"/>
      <c r="G27" s="29">
        <v>3.08</v>
      </c>
      <c r="H27" s="10"/>
      <c r="I27" s="10">
        <f t="shared" si="5"/>
        <v>2912.0718202738767</v>
      </c>
      <c r="J27" s="10">
        <f t="shared" si="3"/>
        <v>20641800578.775982</v>
      </c>
      <c r="K27" s="11">
        <f t="shared" si="4"/>
        <v>5.5436119999999978E-2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6922898.3245272627</v>
      </c>
      <c r="D28" s="11">
        <v>2.46E-2</v>
      </c>
      <c r="E28" s="10">
        <f t="shared" si="2"/>
        <v>166214.42395409942</v>
      </c>
      <c r="F28" s="3"/>
      <c r="G28" s="29">
        <v>6.18</v>
      </c>
      <c r="H28" s="10"/>
      <c r="I28" s="10">
        <f t="shared" si="5"/>
        <v>2825.0599731023253</v>
      </c>
      <c r="J28" s="10">
        <f t="shared" si="3"/>
        <v>19557602954.479122</v>
      </c>
      <c r="K28" s="11">
        <f t="shared" si="4"/>
        <v>8.7920279999999851E-2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6756683.9005731633</v>
      </c>
      <c r="D29" s="11">
        <v>2.4899999999999999E-2</v>
      </c>
      <c r="E29" s="10">
        <f t="shared" si="2"/>
        <v>164153.99465730414</v>
      </c>
      <c r="F29" s="3"/>
      <c r="G29" s="29">
        <v>6.7</v>
      </c>
      <c r="H29" s="10"/>
      <c r="I29" s="10">
        <f t="shared" si="5"/>
        <v>2660.6328622172964</v>
      </c>
      <c r="J29" s="10">
        <f t="shared" si="3"/>
        <v>17977055225.479504</v>
      </c>
      <c r="K29" s="11">
        <f t="shared" si="4"/>
        <v>9.3568299999999827E-2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6592529.9059158592</v>
      </c>
      <c r="D30" s="12">
        <v>2.52E-2</v>
      </c>
      <c r="E30" s="10">
        <f t="shared" si="2"/>
        <v>162048.14048876241</v>
      </c>
      <c r="F30" s="3"/>
      <c r="G30" s="29">
        <v>4.3600000000000003</v>
      </c>
      <c r="H30" s="10"/>
      <c r="I30" s="10">
        <f t="shared" si="5"/>
        <v>2493.5640695569791</v>
      </c>
      <c r="J30" s="10">
        <f t="shared" si="3"/>
        <v>16438895700.871639</v>
      </c>
      <c r="K30" s="11">
        <f t="shared" si="4"/>
        <v>6.9898720000000081E-2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6430481.7654270967</v>
      </c>
      <c r="D31" s="13">
        <v>2.5399999999999999E-2</v>
      </c>
      <c r="E31" s="10">
        <f t="shared" si="2"/>
        <v>159288.31367451604</v>
      </c>
      <c r="F31" s="3"/>
      <c r="G31" s="29">
        <v>3.51</v>
      </c>
      <c r="H31" s="10"/>
      <c r="I31" s="10">
        <f t="shared" si="5"/>
        <v>2389.3868048648706</v>
      </c>
      <c r="J31" s="10">
        <f t="shared" si="3"/>
        <v>15364908279.235662</v>
      </c>
      <c r="K31" s="11">
        <f t="shared" si="4"/>
        <v>6.13915399999998E-2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6271193.4517525807</v>
      </c>
      <c r="D32" s="12">
        <v>2.5399999999999999E-2</v>
      </c>
      <c r="E32" s="10">
        <f t="shared" si="2"/>
        <v>155342.61134631932</v>
      </c>
      <c r="F32" s="3"/>
      <c r="G32" s="29">
        <v>-6.86</v>
      </c>
      <c r="H32" s="10"/>
      <c r="I32" s="10">
        <f t="shared" si="5"/>
        <v>2308.3632546274475</v>
      </c>
      <c r="J32" s="10">
        <f t="shared" si="3"/>
        <v>14476192526.685925</v>
      </c>
      <c r="K32" s="11">
        <f t="shared" si="4"/>
        <v>-4.4942439999999806E-2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6115850.8404062614</v>
      </c>
      <c r="D33" s="13">
        <v>2.5600000000000001E-2</v>
      </c>
      <c r="E33" s="10">
        <f t="shared" si="2"/>
        <v>152657.74328627251</v>
      </c>
      <c r="F33" s="3"/>
      <c r="G33" s="29">
        <v>-7.04</v>
      </c>
      <c r="H33" s="10"/>
      <c r="I33" s="10">
        <f t="shared" si="5"/>
        <v>2478.3801316592735</v>
      </c>
      <c r="J33" s="10">
        <f t="shared" si="3"/>
        <v>15157403211.054548</v>
      </c>
      <c r="K33" s="11">
        <f t="shared" si="4"/>
        <v>-4.6602239999999906E-2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5963193.0971199889</v>
      </c>
      <c r="D34" s="12">
        <v>2.6499999999999999E-2</v>
      </c>
      <c r="E34" s="10">
        <f t="shared" si="2"/>
        <v>153945.0726484945</v>
      </c>
      <c r="F34" s="3"/>
      <c r="G34" s="29">
        <v>1.9</v>
      </c>
      <c r="H34" s="10"/>
      <c r="I34" s="10">
        <f t="shared" si="5"/>
        <v>2666.0715702014559</v>
      </c>
      <c r="J34" s="10">
        <f t="shared" ref="J34:J65" si="6">IF(I34="","",I34*C34)</f>
        <v>15898299583.853172</v>
      </c>
      <c r="K34" s="11">
        <f t="shared" ref="K34:K65" si="7">IFERROR(J34/J35-1,"")</f>
        <v>4.6003500000000086E-2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5809248.0244714944</v>
      </c>
      <c r="D35" s="11">
        <v>2.8199999999999999E-2</v>
      </c>
      <c r="E35" s="10">
        <f t="shared" si="2"/>
        <v>159327.75169237144</v>
      </c>
      <c r="F35" s="3"/>
      <c r="G35" s="29">
        <v>3.7</v>
      </c>
      <c r="H35" s="10"/>
      <c r="I35" s="10">
        <f t="shared" ref="I35:I66" si="8">IF(H35&lt;&gt;"",H35,I34/(1+IF(G34="",0,G34)/100))</f>
        <v>2616.3607165863159</v>
      </c>
      <c r="J35" s="10">
        <f t="shared" si="6"/>
        <v>15199088324.133879</v>
      </c>
      <c r="K35" s="11">
        <f t="shared" si="7"/>
        <v>6.6243399999999841E-2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5649920.2727791229</v>
      </c>
      <c r="D36" s="11">
        <v>2.9499999999999998E-2</v>
      </c>
      <c r="E36" s="10">
        <f t="shared" si="2"/>
        <v>161896.69552888256</v>
      </c>
      <c r="F36" s="3"/>
      <c r="G36" s="29">
        <v>3.42</v>
      </c>
      <c r="H36" s="10"/>
      <c r="I36" s="10">
        <f t="shared" si="8"/>
        <v>2523.0093699000154</v>
      </c>
      <c r="J36" s="10">
        <f t="shared" si="6"/>
        <v>14254801787.409779</v>
      </c>
      <c r="K36" s="11">
        <f t="shared" si="7"/>
        <v>6.4708900000000069E-2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5488023.5772502404</v>
      </c>
      <c r="D37" s="11">
        <v>3.04E-2</v>
      </c>
      <c r="E37" s="10">
        <f t="shared" si="2"/>
        <v>161913.73908036388</v>
      </c>
      <c r="F37" s="3"/>
      <c r="G37" s="29">
        <v>5.2</v>
      </c>
      <c r="H37" s="10"/>
      <c r="I37" s="10">
        <f t="shared" si="8"/>
        <v>2439.5758749758415</v>
      </c>
      <c r="J37" s="10">
        <f t="shared" si="6"/>
        <v>13388449920.358303</v>
      </c>
      <c r="K37" s="11">
        <f t="shared" si="7"/>
        <v>8.3980799999999967E-2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5326109.8381698765</v>
      </c>
      <c r="D38" s="11">
        <v>3.1399999999999997E-2</v>
      </c>
      <c r="E38" s="10">
        <f t="shared" si="2"/>
        <v>162148.38948859274</v>
      </c>
      <c r="F38" s="3"/>
      <c r="G38" s="29">
        <v>5.6</v>
      </c>
      <c r="H38" s="10"/>
      <c r="I38" s="10">
        <f t="shared" si="8"/>
        <v>2318.9884743116363</v>
      </c>
      <c r="J38" s="10">
        <f t="shared" si="6"/>
        <v>12351187327.633759</v>
      </c>
      <c r="K38" s="11">
        <f t="shared" si="7"/>
        <v>8.9158400000000304E-2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5163961.4486812837</v>
      </c>
      <c r="D39" s="11">
        <v>3.2199999999999999E-2</v>
      </c>
      <c r="E39" s="10">
        <f t="shared" si="2"/>
        <v>161092.38388639502</v>
      </c>
      <c r="F39" s="3"/>
      <c r="G39" s="29">
        <v>5.19</v>
      </c>
      <c r="H39" s="10"/>
      <c r="I39" s="10">
        <f t="shared" si="8"/>
        <v>2196.01181279511</v>
      </c>
      <c r="J39" s="10">
        <f t="shared" si="6"/>
        <v>11340120342.122648</v>
      </c>
      <c r="K39" s="11">
        <f t="shared" si="7"/>
        <v>8.5771179999999836E-2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5002869.0647948887</v>
      </c>
      <c r="D40" s="11">
        <v>3.2800000000000003E-2</v>
      </c>
      <c r="E40" s="10">
        <f t="shared" si="2"/>
        <v>158882.75108953565</v>
      </c>
      <c r="F40" s="3"/>
      <c r="G40" s="29">
        <v>5.56</v>
      </c>
      <c r="H40" s="10"/>
      <c r="I40" s="10">
        <f t="shared" si="8"/>
        <v>2087.6621473477612</v>
      </c>
      <c r="J40" s="10">
        <f t="shared" si="6"/>
        <v>10444300374.709383</v>
      </c>
      <c r="K40" s="11">
        <f t="shared" si="7"/>
        <v>9.022368000000025E-2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4843986.3137053531</v>
      </c>
      <c r="D41" s="11">
        <v>3.2899999999999999E-2</v>
      </c>
      <c r="E41" s="10">
        <f t="shared" si="2"/>
        <v>154290.97659105994</v>
      </c>
      <c r="F41" s="3"/>
      <c r="G41" s="29">
        <v>8.7799999999999994</v>
      </c>
      <c r="H41" s="10"/>
      <c r="I41" s="10">
        <f t="shared" si="8"/>
        <v>1977.7019205643815</v>
      </c>
      <c r="J41" s="10">
        <f t="shared" si="6"/>
        <v>9579961035.8026543</v>
      </c>
      <c r="K41" s="11">
        <f t="shared" si="7"/>
        <v>0.12358861999999982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4689695.3371142931</v>
      </c>
      <c r="D42" s="11">
        <v>3.2599999999999997E-2</v>
      </c>
      <c r="E42" s="10">
        <f t="shared" si="2"/>
        <v>148057.39685253333</v>
      </c>
      <c r="F42" s="3"/>
      <c r="G42" s="29">
        <v>5.45</v>
      </c>
      <c r="H42" s="10"/>
      <c r="I42" s="10">
        <f t="shared" si="8"/>
        <v>1818.074940765197</v>
      </c>
      <c r="J42" s="10">
        <f t="shared" si="6"/>
        <v>8526217572.2308893</v>
      </c>
      <c r="K42" s="11">
        <f t="shared" si="7"/>
        <v>8.8876700000000142E-2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4541637.9402617598</v>
      </c>
      <c r="D43" s="11">
        <v>3.2199999999999999E-2</v>
      </c>
      <c r="E43" s="10">
        <f t="shared" si="2"/>
        <v>141678.6879252363</v>
      </c>
      <c r="F43" s="3"/>
      <c r="G43" s="29">
        <v>3.39</v>
      </c>
      <c r="H43" s="10"/>
      <c r="I43" s="10">
        <f t="shared" si="8"/>
        <v>1724.1108968849662</v>
      </c>
      <c r="J43" s="10">
        <f t="shared" si="6"/>
        <v>7830287462.5114937</v>
      </c>
      <c r="K43" s="11">
        <f t="shared" si="7"/>
        <v>6.7191580000000029E-2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4399959.2523365235</v>
      </c>
      <c r="D44" s="11">
        <v>3.1800000000000002E-2</v>
      </c>
      <c r="E44" s="10">
        <f t="shared" si="2"/>
        <v>135606.42006619647</v>
      </c>
      <c r="F44" s="3"/>
      <c r="G44" s="29">
        <v>8.7799999999999994</v>
      </c>
      <c r="H44" s="10"/>
      <c r="I44" s="10">
        <f t="shared" si="8"/>
        <v>1667.5799370199886</v>
      </c>
      <c r="J44" s="10">
        <f t="shared" si="6"/>
        <v>7337283772.9018564</v>
      </c>
      <c r="K44" s="11">
        <f t="shared" si="7"/>
        <v>0.12239204000000026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4264352.832270327</v>
      </c>
      <c r="D45" s="11">
        <v>3.15E-2</v>
      </c>
      <c r="E45" s="10">
        <f t="shared" si="2"/>
        <v>130225.02590064565</v>
      </c>
      <c r="F45" s="3"/>
      <c r="G45" s="29">
        <v>5.43</v>
      </c>
      <c r="H45" s="10"/>
      <c r="I45" s="10">
        <f t="shared" si="8"/>
        <v>1532.983946515893</v>
      </c>
      <c r="J45" s="10">
        <f t="shared" si="6"/>
        <v>6537184434.149992</v>
      </c>
      <c r="K45" s="11">
        <f t="shared" si="7"/>
        <v>8.751045000000035E-2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4134127.8063696814</v>
      </c>
      <c r="D46" s="11">
        <v>2.7799999999999998E-2</v>
      </c>
      <c r="E46" s="10">
        <f t="shared" si="2"/>
        <v>111820.15277006943</v>
      </c>
      <c r="F46" s="3"/>
      <c r="G46" s="29">
        <v>5.39</v>
      </c>
      <c r="H46" s="10"/>
      <c r="I46" s="10">
        <f t="shared" si="8"/>
        <v>1454.0301114634287</v>
      </c>
      <c r="J46" s="10">
        <f t="shared" si="6"/>
        <v>6011146315.0997677</v>
      </c>
      <c r="K46" s="11">
        <f t="shared" si="7"/>
        <v>8.3198419999999995E-2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4022307.6535996119</v>
      </c>
      <c r="D47" s="11">
        <v>2.4E-2</v>
      </c>
      <c r="E47" s="10">
        <f t="shared" si="2"/>
        <v>94272.835631241091</v>
      </c>
      <c r="F47" s="3"/>
      <c r="G47" s="29">
        <v>3.69</v>
      </c>
      <c r="H47" s="10"/>
      <c r="I47" s="10">
        <f t="shared" si="8"/>
        <v>1379.6661082298403</v>
      </c>
      <c r="J47" s="10">
        <f t="shared" si="6"/>
        <v>5549441546.5448771</v>
      </c>
      <c r="K47" s="11">
        <f t="shared" si="7"/>
        <v>6.1785599999999885E-2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3928034.8179683709</v>
      </c>
      <c r="D48" s="11">
        <v>2.4E-2</v>
      </c>
      <c r="E48" s="10">
        <f t="shared" si="2"/>
        <v>92063.316046133637</v>
      </c>
      <c r="F48" s="3"/>
      <c r="G48" s="29">
        <v>4.6900000000000004</v>
      </c>
      <c r="H48" s="10"/>
      <c r="I48" s="10">
        <f t="shared" si="8"/>
        <v>1330.5681437263386</v>
      </c>
      <c r="J48" s="10">
        <f t="shared" si="6"/>
        <v>5226517996.2366018</v>
      </c>
      <c r="K48" s="11">
        <f t="shared" si="7"/>
        <v>7.2025599999999912E-2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3835971.5019222372</v>
      </c>
      <c r="D49" s="11">
        <v>2.4E-2</v>
      </c>
      <c r="E49" s="10">
        <f t="shared" si="2"/>
        <v>89905.58207630273</v>
      </c>
      <c r="F49" s="3"/>
      <c r="G49" s="29">
        <v>5.04</v>
      </c>
      <c r="H49" s="10"/>
      <c r="I49" s="10">
        <f t="shared" si="8"/>
        <v>1270.9601143627267</v>
      </c>
      <c r="J49" s="10">
        <f t="shared" si="6"/>
        <v>4875366778.7752476</v>
      </c>
      <c r="K49" s="11">
        <f t="shared" si="7"/>
        <v>7.5609599999999944E-2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3746065.9198459345</v>
      </c>
      <c r="D50" s="11">
        <v>2.4E-2</v>
      </c>
      <c r="E50" s="10">
        <f t="shared" si="2"/>
        <v>87798.419996389188</v>
      </c>
      <c r="F50" s="3"/>
      <c r="G50" s="29">
        <v>5.22</v>
      </c>
      <c r="H50" s="10"/>
      <c r="I50" s="10">
        <f t="shared" si="8"/>
        <v>1209.9772604367163</v>
      </c>
      <c r="J50" s="10">
        <f t="shared" si="6"/>
        <v>4532654579.1105318</v>
      </c>
      <c r="K50" s="11">
        <f t="shared" si="7"/>
        <v>7.7452800000000099E-2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3658267.4998495453</v>
      </c>
      <c r="D51" s="11">
        <v>2.3900000000000001E-2</v>
      </c>
      <c r="E51" s="10">
        <f t="shared" si="2"/>
        <v>85391.730878410395</v>
      </c>
      <c r="F51" s="3"/>
      <c r="G51" s="29">
        <v>4.4400000000000004</v>
      </c>
      <c r="H51" s="10"/>
      <c r="I51" s="10">
        <f t="shared" si="8"/>
        <v>1149.9498768643948</v>
      </c>
      <c r="J51" s="10">
        <f t="shared" si="6"/>
        <v>4206824260.9890022</v>
      </c>
      <c r="K51" s="11">
        <f t="shared" si="7"/>
        <v>6.9361160000000144E-2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3572875.7689711349</v>
      </c>
      <c r="D52" s="11">
        <v>2.4E-2</v>
      </c>
      <c r="E52" s="10">
        <f t="shared" si="2"/>
        <v>83739.275835261215</v>
      </c>
      <c r="F52" s="3"/>
      <c r="G52" s="29">
        <v>5.35</v>
      </c>
      <c r="H52" s="10"/>
      <c r="I52" s="10">
        <f t="shared" si="8"/>
        <v>1101.0626932826453</v>
      </c>
      <c r="J52" s="10">
        <f t="shared" si="6"/>
        <v>3933960216.9476604</v>
      </c>
      <c r="K52" s="11">
        <f t="shared" si="7"/>
        <v>7.8784000000000409E-2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3489136.4931358737</v>
      </c>
      <c r="D53" s="11">
        <v>2.3900000000000001E-2</v>
      </c>
      <c r="E53" s="10">
        <f t="shared" si="2"/>
        <v>81443.854073588736</v>
      </c>
      <c r="F53" s="3"/>
      <c r="G53" s="29">
        <v>3.4</v>
      </c>
      <c r="H53" s="10"/>
      <c r="I53" s="10">
        <f t="shared" si="8"/>
        <v>1045.1473120860419</v>
      </c>
      <c r="J53" s="10">
        <f t="shared" si="6"/>
        <v>3646661627.3022766</v>
      </c>
      <c r="K53" s="11">
        <f t="shared" si="7"/>
        <v>5.8712600000000004E-2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3407692.639062285</v>
      </c>
      <c r="D54" s="11">
        <v>2.4E-2</v>
      </c>
      <c r="E54" s="10">
        <f t="shared" si="2"/>
        <v>79867.796228022315</v>
      </c>
      <c r="F54" s="3"/>
      <c r="G54" s="29">
        <v>7.02</v>
      </c>
      <c r="H54" s="10"/>
      <c r="I54" s="10">
        <f t="shared" si="8"/>
        <v>1010.7807660406594</v>
      </c>
      <c r="J54" s="10">
        <f t="shared" si="6"/>
        <v>3444430176.1424928</v>
      </c>
      <c r="K54" s="11">
        <f t="shared" si="7"/>
        <v>9.5884800000000325E-2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3327824.8428342626</v>
      </c>
      <c r="D55" s="11">
        <v>2.3800000000000002E-2</v>
      </c>
      <c r="E55" s="10">
        <f t="shared" si="2"/>
        <v>77361.038542152382</v>
      </c>
      <c r="F55" s="3"/>
      <c r="G55" s="29">
        <v>4.8499999999999996</v>
      </c>
      <c r="H55" s="10"/>
      <c r="I55" s="10">
        <f t="shared" si="8"/>
        <v>944.47838351771566</v>
      </c>
      <c r="J55" s="10">
        <f t="shared" si="6"/>
        <v>3143058628.1902003</v>
      </c>
      <c r="K55" s="11">
        <f t="shared" si="7"/>
        <v>7.3454300000000083E-2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3250463.8042921103</v>
      </c>
      <c r="D56" s="11">
        <v>2.3E-2</v>
      </c>
      <c r="E56" s="10">
        <f t="shared" si="2"/>
        <v>73079.831377046183</v>
      </c>
      <c r="F56" s="3"/>
      <c r="G56" s="29">
        <v>5.7</v>
      </c>
      <c r="H56" s="10"/>
      <c r="I56" s="10">
        <f t="shared" si="8"/>
        <v>900.79006534832206</v>
      </c>
      <c r="J56" s="10">
        <f t="shared" si="6"/>
        <v>2927985502.6806455</v>
      </c>
      <c r="K56" s="11">
        <f t="shared" si="7"/>
        <v>8.1310999999999911E-2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3177383.9729150641</v>
      </c>
      <c r="D57" s="11">
        <v>2.2599999999999999E-2</v>
      </c>
      <c r="E57" s="10">
        <f t="shared" si="2"/>
        <v>70221.863668961916</v>
      </c>
      <c r="F57" s="3"/>
      <c r="G57" s="30">
        <v>1.32</v>
      </c>
      <c r="H57" s="10"/>
      <c r="I57" s="10">
        <f t="shared" si="8"/>
        <v>852.21387450172381</v>
      </c>
      <c r="J57" s="10">
        <f t="shared" si="6"/>
        <v>2707810706.3376269</v>
      </c>
      <c r="K57" s="11">
        <f t="shared" si="7"/>
        <v>3.6098320000000017E-2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3107162.1092461022</v>
      </c>
      <c r="D58" s="11">
        <v>2.2700000000000001E-2</v>
      </c>
      <c r="E58" s="10">
        <f t="shared" si="2"/>
        <v>68967.028336644638</v>
      </c>
      <c r="F58" s="3"/>
      <c r="G58" s="30">
        <v>6.84</v>
      </c>
      <c r="H58" s="10"/>
      <c r="I58" s="10">
        <f t="shared" si="8"/>
        <v>841.11120657493461</v>
      </c>
      <c r="J58" s="10">
        <f t="shared" si="6"/>
        <v>2613468870.7319078</v>
      </c>
      <c r="K58" s="11">
        <f t="shared" si="7"/>
        <v>9.2652679999999821E-2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3038195.0809094575</v>
      </c>
      <c r="D59" s="11">
        <v>2.3699999999999999E-2</v>
      </c>
      <c r="E59" s="10">
        <f t="shared" si="2"/>
        <v>70338.207890548278</v>
      </c>
      <c r="F59" s="3"/>
      <c r="G59" s="30">
        <v>3.45</v>
      </c>
      <c r="H59" s="10"/>
      <c r="I59" s="10">
        <f t="shared" si="8"/>
        <v>787.26245467515412</v>
      </c>
      <c r="J59" s="10">
        <f t="shared" si="6"/>
        <v>2391856917.1787581</v>
      </c>
      <c r="K59" s="11">
        <f t="shared" si="7"/>
        <v>5.9017650000000144E-2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2967856.8730189092</v>
      </c>
      <c r="D60" s="11">
        <v>2.4899999999999999E-2</v>
      </c>
      <c r="E60" s="10">
        <f t="shared" si="2"/>
        <v>72104.240548512433</v>
      </c>
      <c r="F60" s="3"/>
      <c r="G60" s="30">
        <v>5.38</v>
      </c>
      <c r="H60" s="10"/>
      <c r="I60" s="10">
        <f t="shared" si="8"/>
        <v>761.00768939115915</v>
      </c>
      <c r="J60" s="10">
        <f t="shared" si="6"/>
        <v>2258561901.3797908</v>
      </c>
      <c r="K60" s="11">
        <f t="shared" si="7"/>
        <v>8.0039619999999756E-2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2895752.6324703968</v>
      </c>
      <c r="D61" s="11">
        <v>2.5499999999999998E-2</v>
      </c>
      <c r="E61" s="10">
        <f t="shared" si="2"/>
        <v>72005.550588001497</v>
      </c>
      <c r="F61" s="3"/>
      <c r="G61" s="30">
        <v>7</v>
      </c>
      <c r="H61" s="10"/>
      <c r="I61" s="10">
        <f t="shared" si="8"/>
        <v>722.15571208119104</v>
      </c>
      <c r="J61" s="10">
        <f t="shared" si="6"/>
        <v>2091184304.3126428</v>
      </c>
      <c r="K61" s="11">
        <f t="shared" si="7"/>
        <v>9.7285000000000288E-2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2823747.0818823953</v>
      </c>
      <c r="D62" s="11">
        <v>2.5999999999999999E-2</v>
      </c>
      <c r="E62" s="10">
        <f t="shared" si="2"/>
        <v>71556.94359546015</v>
      </c>
      <c r="F62" s="3"/>
      <c r="G62" s="30">
        <v>7</v>
      </c>
      <c r="H62" s="10"/>
      <c r="I62" s="10">
        <f t="shared" si="8"/>
        <v>674.91188044971125</v>
      </c>
      <c r="J62" s="10">
        <f t="shared" si="6"/>
        <v>1905780452.9476321</v>
      </c>
      <c r="K62" s="11">
        <f t="shared" si="7"/>
        <v>9.7820000000000018E-2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2752190.1382869352</v>
      </c>
      <c r="D63" s="11">
        <v>2.6100000000000002E-2</v>
      </c>
      <c r="E63" s="10">
        <f t="shared" si="2"/>
        <v>70005.031292553525</v>
      </c>
      <c r="F63" s="3"/>
      <c r="G63" s="30">
        <v>7.48</v>
      </c>
      <c r="H63" s="10"/>
      <c r="I63" s="10">
        <f t="shared" si="8"/>
        <v>630.75876677543101</v>
      </c>
      <c r="J63" s="10">
        <f t="shared" si="6"/>
        <v>1735968057.5573702</v>
      </c>
      <c r="K63" s="11">
        <f t="shared" si="7"/>
        <v>0.10285228000000002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2682185.1069943816</v>
      </c>
      <c r="D64" s="11">
        <v>2.6100000000000002E-2</v>
      </c>
      <c r="E64" s="10">
        <f t="shared" si="2"/>
        <v>68224.375102381222</v>
      </c>
      <c r="F64" s="3"/>
      <c r="G64" s="30">
        <v>8.99</v>
      </c>
      <c r="H64" s="10"/>
      <c r="I64" s="10">
        <f t="shared" si="8"/>
        <v>586.86152472593142</v>
      </c>
      <c r="J64" s="10">
        <f t="shared" si="6"/>
        <v>1574071241.4879084</v>
      </c>
      <c r="K64" s="11">
        <f t="shared" si="7"/>
        <v>0.11834639000000013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2613960.7318920004</v>
      </c>
      <c r="D65" s="11">
        <v>2.58E-2</v>
      </c>
      <c r="E65" s="10">
        <f t="shared" si="2"/>
        <v>65743.991892000195</v>
      </c>
      <c r="F65" s="3"/>
      <c r="G65" s="30">
        <v>6.14</v>
      </c>
      <c r="H65" s="10"/>
      <c r="I65" s="10">
        <f t="shared" si="8"/>
        <v>538.45446804838184</v>
      </c>
      <c r="J65" s="10">
        <f t="shared" si="6"/>
        <v>1407498835.3902659</v>
      </c>
      <c r="K65" s="11">
        <f t="shared" si="7"/>
        <v>8.8784119999999911E-2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2548216.7400000002</v>
      </c>
      <c r="D66" s="11">
        <v>2.6100000000000002E-2</v>
      </c>
      <c r="E66" s="10">
        <f t="shared" si="2"/>
        <v>64816.740000000224</v>
      </c>
      <c r="F66" s="3"/>
      <c r="G66" s="30">
        <v>10.84</v>
      </c>
      <c r="H66" s="10"/>
      <c r="I66" s="10">
        <f t="shared" si="8"/>
        <v>507.30588661049734</v>
      </c>
      <c r="J66" s="10">
        <f t="shared" ref="J66:J67" si="9">IF(I66="","",I66*C66)</f>
        <v>1292725352.5614114</v>
      </c>
      <c r="K66" s="11">
        <f t="shared" ref="K66" si="10">IFERROR(J66/J67-1,"")</f>
        <v>0.13732924000000013</v>
      </c>
    </row>
    <row r="67" spans="1:11" ht="22.5" customHeight="1">
      <c r="A67" s="3">
        <f t="shared" si="0"/>
        <v>1950</v>
      </c>
      <c r="B67" s="3">
        <v>1700</v>
      </c>
      <c r="C67" s="10">
        <v>2483400</v>
      </c>
      <c r="D67" s="11">
        <v>2.58E-2</v>
      </c>
      <c r="E67" s="3"/>
      <c r="F67" s="3"/>
      <c r="G67" s="30">
        <v>7.54</v>
      </c>
      <c r="H67" s="10"/>
      <c r="I67" s="10">
        <f t="shared" ref="I67" si="11">IF(H67&lt;&gt;"",H67,I66/(1+IF(G66="",0,G66)/100))</f>
        <v>457.6920665919319</v>
      </c>
      <c r="J67" s="10">
        <f t="shared" si="9"/>
        <v>1136632478.1744037</v>
      </c>
      <c r="K67" s="11"/>
    </row>
  </sheetData>
  <dataValidations count="1">
    <dataValidation type="custom" allowBlank="1" showDropDown="1" sqref="D2:D67" xr:uid="{00000000-0002-0000-0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14469872.85038319</v>
      </c>
      <c r="D2" s="11">
        <v>-2.0000000000000001E-4</v>
      </c>
      <c r="E2" s="10">
        <f t="shared" ref="E2:E66" si="2">SUM(C2-C3)</f>
        <v>-2894.5534807723016</v>
      </c>
      <c r="F2" s="10">
        <v>14469041</v>
      </c>
      <c r="G2" s="28"/>
      <c r="H2" s="10"/>
      <c r="I2" s="10">
        <f>IF(H2&lt;&gt;"",H2,8849)</f>
        <v>8849</v>
      </c>
      <c r="J2" s="10">
        <f t="shared" ref="J2:J33" si="3">IF(I2="","",I2*C2)</f>
        <v>128043904853.04085</v>
      </c>
      <c r="K2" s="11">
        <f t="shared" ref="K2:K33" si="4">IFERROR(J2/J3-1,"")</f>
        <v>-1.9999999999997797E-4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14472767.403863963</v>
      </c>
      <c r="D3" s="11">
        <v>-2.8E-3</v>
      </c>
      <c r="E3" s="10">
        <f t="shared" si="2"/>
        <v>-40637.533825531602</v>
      </c>
      <c r="F3" s="3"/>
      <c r="G3" s="28"/>
      <c r="H3" s="10"/>
      <c r="I3" s="10">
        <f t="shared" ref="I3:I34" si="5">IF(H3&lt;&gt;"",H3,I2/(1+IF(G2="",0,G2)/100))</f>
        <v>8849</v>
      </c>
      <c r="J3" s="10">
        <f t="shared" si="3"/>
        <v>128069518756.79221</v>
      </c>
      <c r="K3" s="11">
        <f t="shared" si="4"/>
        <v>-2.8000000000000247E-3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14513404.937689494</v>
      </c>
      <c r="D4" s="11">
        <v>-1.26E-2</v>
      </c>
      <c r="E4" s="10">
        <f t="shared" si="2"/>
        <v>-185202.45312425308</v>
      </c>
      <c r="F4" s="3"/>
      <c r="G4" s="28"/>
      <c r="H4" s="10"/>
      <c r="I4" s="10">
        <f t="shared" si="5"/>
        <v>8849</v>
      </c>
      <c r="J4" s="10">
        <f t="shared" si="3"/>
        <v>128429120293.61433</v>
      </c>
      <c r="K4" s="11">
        <f t="shared" si="4"/>
        <v>-1.2600000000000056E-2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14698607.390813747</v>
      </c>
      <c r="D5" s="11">
        <v>-1.2200000000000001E-2</v>
      </c>
      <c r="E5" s="10">
        <f t="shared" si="2"/>
        <v>-181537.7709738072</v>
      </c>
      <c r="F5" s="3"/>
      <c r="G5" s="28"/>
      <c r="H5" s="10"/>
      <c r="I5" s="10">
        <f t="shared" si="5"/>
        <v>8849</v>
      </c>
      <c r="J5" s="10">
        <f t="shared" si="3"/>
        <v>130067976801.31085</v>
      </c>
      <c r="K5" s="11">
        <f t="shared" si="4"/>
        <v>-1.2199999999999878E-2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14880145.161787555</v>
      </c>
      <c r="D6" s="11">
        <v>-2.0999999999999999E-3</v>
      </c>
      <c r="E6" s="10">
        <f t="shared" si="2"/>
        <v>-31314.06437494047</v>
      </c>
      <c r="F6" s="3"/>
      <c r="G6" s="28"/>
      <c r="H6" s="10"/>
      <c r="I6" s="10">
        <f t="shared" si="5"/>
        <v>8849</v>
      </c>
      <c r="J6" s="10">
        <f t="shared" si="3"/>
        <v>131674404536.65807</v>
      </c>
      <c r="K6" s="11">
        <f t="shared" si="4"/>
        <v>-2.0999999999999908E-3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14911459.226162495</v>
      </c>
      <c r="D7" s="11">
        <v>-1.1000000000000001E-3</v>
      </c>
      <c r="E7" s="10">
        <f t="shared" si="2"/>
        <v>-16420.667883450165</v>
      </c>
      <c r="F7" s="3"/>
      <c r="G7" s="28"/>
      <c r="H7" s="10"/>
      <c r="I7" s="10">
        <f t="shared" si="5"/>
        <v>8849</v>
      </c>
      <c r="J7" s="10">
        <f t="shared" si="3"/>
        <v>131951502692.31192</v>
      </c>
      <c r="K7" s="11">
        <f t="shared" si="4"/>
        <v>-1.0999999999999899E-3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14927879.894045945</v>
      </c>
      <c r="D8" s="11">
        <v>-2E-3</v>
      </c>
      <c r="E8" s="10">
        <f t="shared" si="2"/>
        <v>-29915.590970031917</v>
      </c>
      <c r="F8" s="3"/>
      <c r="G8" s="28"/>
      <c r="H8" s="10"/>
      <c r="I8" s="10">
        <f t="shared" si="5"/>
        <v>8849</v>
      </c>
      <c r="J8" s="10">
        <f t="shared" si="3"/>
        <v>132096809182.41257</v>
      </c>
      <c r="K8" s="11">
        <f t="shared" si="4"/>
        <v>-2.0000000000000018E-3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14957795.485015977</v>
      </c>
      <c r="D9" s="11">
        <v>-2E-3</v>
      </c>
      <c r="E9" s="10">
        <f t="shared" si="2"/>
        <v>-29975.54205414094</v>
      </c>
      <c r="F9" s="3"/>
      <c r="G9" s="28"/>
      <c r="H9" s="10"/>
      <c r="I9" s="10">
        <f t="shared" si="5"/>
        <v>8849</v>
      </c>
      <c r="J9" s="10">
        <f t="shared" si="3"/>
        <v>132361532246.90639</v>
      </c>
      <c r="K9" s="11">
        <f t="shared" si="4"/>
        <v>-2.0000000000000018E-3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14987771.027070118</v>
      </c>
      <c r="D10" s="11">
        <v>-4.1999999999999997E-3</v>
      </c>
      <c r="E10" s="10">
        <f t="shared" si="2"/>
        <v>-63214.137692000717</v>
      </c>
      <c r="F10" s="3"/>
      <c r="G10" s="28"/>
      <c r="H10" s="10"/>
      <c r="I10" s="10">
        <f t="shared" si="5"/>
        <v>8849</v>
      </c>
      <c r="J10" s="10">
        <f t="shared" si="3"/>
        <v>132626785818.54347</v>
      </c>
      <c r="K10" s="11">
        <f t="shared" si="4"/>
        <v>-4.2000000000000925E-3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15050985.164762119</v>
      </c>
      <c r="D11" s="11">
        <v>-6.6E-3</v>
      </c>
      <c r="E11" s="10">
        <f t="shared" si="2"/>
        <v>-99996.4788478259</v>
      </c>
      <c r="F11" s="3"/>
      <c r="G11" s="28"/>
      <c r="H11" s="10"/>
      <c r="I11" s="10">
        <f t="shared" si="5"/>
        <v>8849</v>
      </c>
      <c r="J11" s="10">
        <f t="shared" si="3"/>
        <v>133186167722.98</v>
      </c>
      <c r="K11" s="11">
        <f t="shared" si="4"/>
        <v>-6.5999999999999392E-3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15150981.643609945</v>
      </c>
      <c r="D12" s="11">
        <v>-6.7000000000000002E-3</v>
      </c>
      <c r="E12" s="10">
        <f t="shared" si="2"/>
        <v>-102196.29216972366</v>
      </c>
      <c r="F12" s="3"/>
      <c r="G12" s="28"/>
      <c r="H12" s="10"/>
      <c r="I12" s="10">
        <f t="shared" si="5"/>
        <v>8849</v>
      </c>
      <c r="J12" s="10">
        <f t="shared" si="3"/>
        <v>134071036564.3044</v>
      </c>
      <c r="K12" s="11">
        <f t="shared" si="4"/>
        <v>-6.6999999999999282E-3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15253177.935779668</v>
      </c>
      <c r="D13" s="11">
        <v>-7.3000000000000001E-3</v>
      </c>
      <c r="E13" s="10">
        <f t="shared" si="2"/>
        <v>-112167.0181637872</v>
      </c>
      <c r="F13" s="3"/>
      <c r="G13" s="28"/>
      <c r="H13" s="10"/>
      <c r="I13" s="10">
        <f t="shared" si="5"/>
        <v>8849</v>
      </c>
      <c r="J13" s="10">
        <f t="shared" si="3"/>
        <v>134975371553.71428</v>
      </c>
      <c r="K13" s="11">
        <f t="shared" si="4"/>
        <v>-7.2999999999999732E-3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15365344.953943456</v>
      </c>
      <c r="D14" s="11">
        <v>-5.4000000000000003E-3</v>
      </c>
      <c r="E14" s="10">
        <f t="shared" si="2"/>
        <v>-83423.348835002631</v>
      </c>
      <c r="F14" s="3"/>
      <c r="G14" s="28"/>
      <c r="H14" s="10"/>
      <c r="I14" s="10">
        <f t="shared" si="5"/>
        <v>8849</v>
      </c>
      <c r="J14" s="10">
        <f t="shared" si="3"/>
        <v>135967937497.44563</v>
      </c>
      <c r="K14" s="11">
        <f t="shared" si="4"/>
        <v>-5.3999999999999604E-3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15448768.302778458</v>
      </c>
      <c r="D15" s="11">
        <v>-1.5E-3</v>
      </c>
      <c r="E15" s="10">
        <f t="shared" si="2"/>
        <v>-23207.96440076828</v>
      </c>
      <c r="F15" s="3"/>
      <c r="G15" s="28"/>
      <c r="H15" s="10"/>
      <c r="I15" s="10">
        <f t="shared" si="5"/>
        <v>8849</v>
      </c>
      <c r="J15" s="10">
        <f t="shared" si="3"/>
        <v>136706150711.28658</v>
      </c>
      <c r="K15" s="11">
        <f t="shared" si="4"/>
        <v>-1.5000000000000568E-3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15471976.267179227</v>
      </c>
      <c r="D16" s="11">
        <v>1.2999999999999999E-3</v>
      </c>
      <c r="E16" s="10">
        <f t="shared" si="2"/>
        <v>20087.455455241725</v>
      </c>
      <c r="F16" s="3"/>
      <c r="G16" s="28"/>
      <c r="H16" s="10"/>
      <c r="I16" s="10">
        <f t="shared" si="5"/>
        <v>8849</v>
      </c>
      <c r="J16" s="10">
        <f t="shared" si="3"/>
        <v>136911517988.26898</v>
      </c>
      <c r="K16" s="11">
        <f t="shared" si="4"/>
        <v>1.3000000000000789E-3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15451888.811723985</v>
      </c>
      <c r="D17" s="11">
        <v>2.5999999999999999E-3</v>
      </c>
      <c r="E17" s="10">
        <f t="shared" si="2"/>
        <v>40070.727020228282</v>
      </c>
      <c r="F17" s="3"/>
      <c r="G17" s="28"/>
      <c r="H17" s="10"/>
      <c r="I17" s="10">
        <f t="shared" si="5"/>
        <v>8849</v>
      </c>
      <c r="J17" s="10">
        <f t="shared" si="3"/>
        <v>136733764094.94554</v>
      </c>
      <c r="K17" s="11">
        <f t="shared" si="4"/>
        <v>2.5999999999999357E-3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15411818.084703756</v>
      </c>
      <c r="D18" s="11">
        <v>2.7000000000000001E-3</v>
      </c>
      <c r="E18" s="10">
        <f t="shared" si="2"/>
        <v>41499.859208835289</v>
      </c>
      <c r="F18" s="3"/>
      <c r="G18" s="28"/>
      <c r="H18" s="10"/>
      <c r="I18" s="10">
        <f t="shared" si="5"/>
        <v>8849</v>
      </c>
      <c r="J18" s="10">
        <f t="shared" si="3"/>
        <v>136379178231.54355</v>
      </c>
      <c r="K18" s="11">
        <f t="shared" si="4"/>
        <v>2.6999999999999247E-3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15370318.225494921</v>
      </c>
      <c r="D19" s="11">
        <v>2.5000000000000001E-3</v>
      </c>
      <c r="E19" s="10">
        <f t="shared" si="2"/>
        <v>38329.970637144521</v>
      </c>
      <c r="F19" s="3"/>
      <c r="G19" s="28"/>
      <c r="H19" s="10"/>
      <c r="I19" s="10">
        <f t="shared" si="5"/>
        <v>8849</v>
      </c>
      <c r="J19" s="10">
        <f t="shared" si="3"/>
        <v>136011945977.40456</v>
      </c>
      <c r="K19" s="11">
        <f t="shared" si="4"/>
        <v>2.4999999999999467E-3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15331988.254857777</v>
      </c>
      <c r="D20" s="11">
        <v>3.0000000000000001E-3</v>
      </c>
      <c r="E20" s="10">
        <f t="shared" si="2"/>
        <v>45858.389595784247</v>
      </c>
      <c r="F20" s="3"/>
      <c r="G20" s="28"/>
      <c r="H20" s="10"/>
      <c r="I20" s="10">
        <f t="shared" si="5"/>
        <v>8849</v>
      </c>
      <c r="J20" s="10">
        <f t="shared" si="3"/>
        <v>135672764067.23647</v>
      </c>
      <c r="K20" s="11">
        <f t="shared" si="4"/>
        <v>2.9999999999998916E-3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15286129.865261992</v>
      </c>
      <c r="D21" s="11">
        <v>2.8999999999999998E-3</v>
      </c>
      <c r="E21" s="10">
        <f t="shared" si="2"/>
        <v>44201.59199248068</v>
      </c>
      <c r="F21" s="3"/>
      <c r="G21" s="28"/>
      <c r="H21" s="10"/>
      <c r="I21" s="10">
        <f t="shared" si="5"/>
        <v>8849</v>
      </c>
      <c r="J21" s="10">
        <f t="shared" si="3"/>
        <v>135266963177.70337</v>
      </c>
      <c r="K21" s="11">
        <f t="shared" si="4"/>
        <v>2.8999999999999027E-3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15241928.273269512</v>
      </c>
      <c r="D22" s="11">
        <v>2.5000000000000001E-3</v>
      </c>
      <c r="E22" s="10">
        <f t="shared" si="2"/>
        <v>38009.79619269073</v>
      </c>
      <c r="F22" s="3"/>
      <c r="G22" s="28"/>
      <c r="H22" s="10"/>
      <c r="I22" s="10">
        <f t="shared" si="5"/>
        <v>8849</v>
      </c>
      <c r="J22" s="10">
        <f t="shared" si="3"/>
        <v>134875823290.16191</v>
      </c>
      <c r="K22" s="11">
        <f t="shared" si="4"/>
        <v>2.4999999999999467E-3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15203918.477076821</v>
      </c>
      <c r="D23" s="11">
        <v>2.3999999999999998E-3</v>
      </c>
      <c r="E23" s="10">
        <f t="shared" si="2"/>
        <v>36402.03945030272</v>
      </c>
      <c r="F23" s="3"/>
      <c r="G23" s="28"/>
      <c r="H23" s="10"/>
      <c r="I23" s="10">
        <f t="shared" si="5"/>
        <v>8849</v>
      </c>
      <c r="J23" s="10">
        <f t="shared" si="3"/>
        <v>134539474603.65279</v>
      </c>
      <c r="K23" s="11">
        <f t="shared" si="4"/>
        <v>2.3999999999999577E-3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15167516.437626518</v>
      </c>
      <c r="D24" s="11">
        <v>3.7000000000000002E-3</v>
      </c>
      <c r="E24" s="10">
        <f t="shared" si="2"/>
        <v>55912.932967239991</v>
      </c>
      <c r="F24" s="3"/>
      <c r="G24" s="28"/>
      <c r="H24" s="10"/>
      <c r="I24" s="10">
        <f t="shared" si="5"/>
        <v>8849</v>
      </c>
      <c r="J24" s="10">
        <f t="shared" si="3"/>
        <v>134217352956.55707</v>
      </c>
      <c r="K24" s="11">
        <f t="shared" si="4"/>
        <v>3.7000000000000366E-3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15111603.504659278</v>
      </c>
      <c r="D25" s="11">
        <v>5.1999999999999998E-3</v>
      </c>
      <c r="E25" s="10">
        <f t="shared" si="2"/>
        <v>78173.834285942838</v>
      </c>
      <c r="F25" s="3"/>
      <c r="G25" s="28"/>
      <c r="H25" s="10"/>
      <c r="I25" s="10">
        <f t="shared" si="5"/>
        <v>8849</v>
      </c>
      <c r="J25" s="10">
        <f t="shared" si="3"/>
        <v>133722579412.72995</v>
      </c>
      <c r="K25" s="11">
        <f t="shared" si="4"/>
        <v>5.2000000000000934E-3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15033429.670373335</v>
      </c>
      <c r="D26" s="11">
        <v>4.1000000000000003E-3</v>
      </c>
      <c r="E26" s="10">
        <f t="shared" si="2"/>
        <v>61385.381584035233</v>
      </c>
      <c r="F26" s="3"/>
      <c r="G26" s="28"/>
      <c r="H26" s="10"/>
      <c r="I26" s="10">
        <f t="shared" si="5"/>
        <v>8849</v>
      </c>
      <c r="J26" s="10">
        <f t="shared" si="3"/>
        <v>133030819153.13365</v>
      </c>
      <c r="K26" s="11">
        <f t="shared" si="4"/>
        <v>4.0999999999999925E-3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14972044.2887893</v>
      </c>
      <c r="D27" s="11">
        <v>3.8E-3</v>
      </c>
      <c r="E27" s="10">
        <f t="shared" si="2"/>
        <v>56678.390413826331</v>
      </c>
      <c r="F27" s="3"/>
      <c r="G27" s="28"/>
      <c r="H27" s="10"/>
      <c r="I27" s="10">
        <f t="shared" si="5"/>
        <v>8849</v>
      </c>
      <c r="J27" s="10">
        <f t="shared" si="3"/>
        <v>132487619911.49652</v>
      </c>
      <c r="K27" s="11">
        <f t="shared" si="4"/>
        <v>3.8000000000000256E-3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14915365.898375474</v>
      </c>
      <c r="D28" s="11">
        <v>5.4999999999999997E-3</v>
      </c>
      <c r="E28" s="10">
        <f t="shared" si="2"/>
        <v>81585.790592806414</v>
      </c>
      <c r="F28" s="3"/>
      <c r="G28" s="28"/>
      <c r="H28" s="10"/>
      <c r="I28" s="10">
        <f t="shared" si="5"/>
        <v>8849</v>
      </c>
      <c r="J28" s="10">
        <f t="shared" si="3"/>
        <v>131986072834.72456</v>
      </c>
      <c r="K28" s="11">
        <f t="shared" si="4"/>
        <v>5.5000000000000604E-3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14833780.107782668</v>
      </c>
      <c r="D29" s="11">
        <v>4.8999999999999998E-3</v>
      </c>
      <c r="E29" s="10">
        <f t="shared" si="2"/>
        <v>72331.100137460977</v>
      </c>
      <c r="F29" s="3"/>
      <c r="G29" s="28"/>
      <c r="H29" s="10"/>
      <c r="I29" s="10">
        <f t="shared" si="5"/>
        <v>8849</v>
      </c>
      <c r="J29" s="10">
        <f t="shared" si="3"/>
        <v>131264120173.76883</v>
      </c>
      <c r="K29" s="11">
        <f t="shared" si="4"/>
        <v>4.8999999999999044E-3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14761449.007645207</v>
      </c>
      <c r="D30" s="12">
        <v>4.4000000000000003E-3</v>
      </c>
      <c r="E30" s="10">
        <f t="shared" si="2"/>
        <v>64665.845911627635</v>
      </c>
      <c r="F30" s="3"/>
      <c r="G30" s="28"/>
      <c r="H30" s="10"/>
      <c r="I30" s="10">
        <f t="shared" si="5"/>
        <v>8849</v>
      </c>
      <c r="J30" s="10">
        <f t="shared" si="3"/>
        <v>130624062268.65244</v>
      </c>
      <c r="K30" s="11">
        <f t="shared" si="4"/>
        <v>4.3999999999999595E-3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14696783.161733579</v>
      </c>
      <c r="D31" s="13">
        <v>4.7000000000000002E-3</v>
      </c>
      <c r="E31" s="10">
        <f t="shared" si="2"/>
        <v>68751.747646208853</v>
      </c>
      <c r="F31" s="3"/>
      <c r="G31" s="28"/>
      <c r="H31" s="10"/>
      <c r="I31" s="10">
        <f t="shared" si="5"/>
        <v>8849</v>
      </c>
      <c r="J31" s="10">
        <f t="shared" si="3"/>
        <v>130051834198.18044</v>
      </c>
      <c r="K31" s="11">
        <f t="shared" si="4"/>
        <v>4.6999999999999265E-3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14628031.41408737</v>
      </c>
      <c r="D32" s="12">
        <v>5.0000000000000001E-3</v>
      </c>
      <c r="E32" s="10">
        <f t="shared" si="2"/>
        <v>72776.275691974908</v>
      </c>
      <c r="F32" s="3"/>
      <c r="G32" s="28"/>
      <c r="H32" s="10"/>
      <c r="I32" s="10">
        <f t="shared" si="5"/>
        <v>8849</v>
      </c>
      <c r="J32" s="10">
        <f t="shared" si="3"/>
        <v>129443449983.25914</v>
      </c>
      <c r="K32" s="11">
        <f t="shared" si="4"/>
        <v>4.9999999999998934E-3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14555255.138395395</v>
      </c>
      <c r="D33" s="13">
        <v>5.8999999999999999E-3</v>
      </c>
      <c r="E33" s="10">
        <f t="shared" si="2"/>
        <v>85372.308695230633</v>
      </c>
      <c r="F33" s="3"/>
      <c r="G33" s="28"/>
      <c r="H33" s="10"/>
      <c r="I33" s="10">
        <f t="shared" si="5"/>
        <v>8849</v>
      </c>
      <c r="J33" s="10">
        <f t="shared" si="3"/>
        <v>128799452719.66086</v>
      </c>
      <c r="K33" s="11">
        <f t="shared" si="4"/>
        <v>5.9000000000000163E-3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14469882.829700164</v>
      </c>
      <c r="D34" s="12">
        <v>7.6E-3</v>
      </c>
      <c r="E34" s="10">
        <f t="shared" si="2"/>
        <v>109141.63309420645</v>
      </c>
      <c r="F34" s="3"/>
      <c r="G34" s="28"/>
      <c r="H34" s="10"/>
      <c r="I34" s="10">
        <f t="shared" si="5"/>
        <v>8849</v>
      </c>
      <c r="J34" s="10">
        <f t="shared" ref="J34:J65" si="6">IF(I34="","",I34*C34)</f>
        <v>128043993160.01675</v>
      </c>
      <c r="K34" s="11">
        <f t="shared" ref="K34:K65" si="7">IFERROR(J34/J35-1,"")</f>
        <v>7.6000000000000512E-3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14360741.196605958</v>
      </c>
      <c r="D35" s="11">
        <v>1.2E-2</v>
      </c>
      <c r="E35" s="10">
        <f t="shared" si="2"/>
        <v>170285.46873445809</v>
      </c>
      <c r="F35" s="3"/>
      <c r="G35" s="28"/>
      <c r="H35" s="10"/>
      <c r="I35" s="10">
        <f t="shared" ref="I35:I66" si="8">IF(H35&lt;&gt;"",H35,I34/(1+IF(G34="",0,G34)/100))</f>
        <v>8849</v>
      </c>
      <c r="J35" s="10">
        <f t="shared" si="6"/>
        <v>127078198848.76613</v>
      </c>
      <c r="K35" s="11">
        <f t="shared" si="7"/>
        <v>1.2000000000000011E-2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14190455.7278715</v>
      </c>
      <c r="D36" s="11">
        <v>1.06E-2</v>
      </c>
      <c r="E36" s="10">
        <f t="shared" si="2"/>
        <v>148841.11489752308</v>
      </c>
      <c r="F36" s="3"/>
      <c r="G36" s="28"/>
      <c r="H36" s="10"/>
      <c r="I36" s="10">
        <f t="shared" si="8"/>
        <v>8849</v>
      </c>
      <c r="J36" s="10">
        <f t="shared" si="6"/>
        <v>125571342735.93491</v>
      </c>
      <c r="K36" s="11">
        <f t="shared" si="7"/>
        <v>1.0599999999999943E-2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14041614.612973977</v>
      </c>
      <c r="D37" s="11">
        <v>5.1999999999999998E-3</v>
      </c>
      <c r="E37" s="10">
        <f t="shared" si="2"/>
        <v>72638.674878099933</v>
      </c>
      <c r="F37" s="3"/>
      <c r="G37" s="28"/>
      <c r="H37" s="10"/>
      <c r="I37" s="10">
        <f t="shared" si="8"/>
        <v>8849</v>
      </c>
      <c r="J37" s="10">
        <f t="shared" si="6"/>
        <v>124254247710.20673</v>
      </c>
      <c r="K37" s="11">
        <f t="shared" si="7"/>
        <v>5.2000000000000934E-3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13968975.938095877</v>
      </c>
      <c r="D38" s="11">
        <v>3.5999999999999999E-3</v>
      </c>
      <c r="E38" s="10">
        <f t="shared" si="2"/>
        <v>50107.924847694114</v>
      </c>
      <c r="F38" s="3"/>
      <c r="G38" s="28"/>
      <c r="H38" s="10"/>
      <c r="I38" s="10">
        <f t="shared" si="8"/>
        <v>8849</v>
      </c>
      <c r="J38" s="10">
        <f t="shared" si="6"/>
        <v>123611468076.21042</v>
      </c>
      <c r="K38" s="11">
        <f t="shared" si="7"/>
        <v>3.6000000000000476E-3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13918868.013248183</v>
      </c>
      <c r="D39" s="11">
        <v>3.3E-3</v>
      </c>
      <c r="E39" s="10">
        <f t="shared" si="2"/>
        <v>45781.186528177932</v>
      </c>
      <c r="F39" s="3"/>
      <c r="G39" s="28"/>
      <c r="H39" s="10"/>
      <c r="I39" s="10">
        <f t="shared" si="8"/>
        <v>8849</v>
      </c>
      <c r="J39" s="10">
        <f t="shared" si="6"/>
        <v>123168063049.23317</v>
      </c>
      <c r="K39" s="11">
        <f t="shared" si="7"/>
        <v>3.3000000000000806E-3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13873086.826720005</v>
      </c>
      <c r="D40" s="11">
        <v>3.3E-3</v>
      </c>
      <c r="E40" s="10">
        <f t="shared" si="2"/>
        <v>45630.60552992858</v>
      </c>
      <c r="F40" s="3"/>
      <c r="G40" s="28"/>
      <c r="H40" s="10"/>
      <c r="I40" s="10">
        <f t="shared" si="8"/>
        <v>8849</v>
      </c>
      <c r="J40" s="10">
        <f t="shared" si="6"/>
        <v>122762945329.64532</v>
      </c>
      <c r="K40" s="11">
        <f t="shared" si="7"/>
        <v>3.3000000000000806E-3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13827456.221190076</v>
      </c>
      <c r="D41" s="11">
        <v>3.8999999999999998E-3</v>
      </c>
      <c r="E41" s="10">
        <f t="shared" si="2"/>
        <v>53717.580697920173</v>
      </c>
      <c r="F41" s="3"/>
      <c r="G41" s="28"/>
      <c r="H41" s="10"/>
      <c r="I41" s="10">
        <f t="shared" si="8"/>
        <v>8849</v>
      </c>
      <c r="J41" s="10">
        <f t="shared" si="6"/>
        <v>122359160101.31099</v>
      </c>
      <c r="K41" s="11">
        <f t="shared" si="7"/>
        <v>3.9000000000000146E-3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13773738.640492156</v>
      </c>
      <c r="D42" s="11">
        <v>5.0000000000000001E-3</v>
      </c>
      <c r="E42" s="10">
        <f t="shared" si="2"/>
        <v>68526.062888018787</v>
      </c>
      <c r="F42" s="3"/>
      <c r="G42" s="28"/>
      <c r="H42" s="10"/>
      <c r="I42" s="10">
        <f t="shared" si="8"/>
        <v>8849</v>
      </c>
      <c r="J42" s="10">
        <f t="shared" si="6"/>
        <v>121883813229.71509</v>
      </c>
      <c r="K42" s="11">
        <f t="shared" si="7"/>
        <v>4.9999999999998934E-3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13705212.577604137</v>
      </c>
      <c r="D43" s="11">
        <v>5.7999999999999996E-3</v>
      </c>
      <c r="E43" s="10">
        <f t="shared" si="2"/>
        <v>79031.848230367526</v>
      </c>
      <c r="F43" s="3"/>
      <c r="G43" s="28"/>
      <c r="H43" s="10"/>
      <c r="I43" s="10">
        <f t="shared" si="8"/>
        <v>8849</v>
      </c>
      <c r="J43" s="10">
        <f t="shared" si="6"/>
        <v>121277426099.21901</v>
      </c>
      <c r="K43" s="11">
        <f t="shared" si="7"/>
        <v>5.8000000000000274E-3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13626180.72937377</v>
      </c>
      <c r="D44" s="11">
        <v>6.1999999999999998E-3</v>
      </c>
      <c r="E44" s="10">
        <f t="shared" si="2"/>
        <v>83961.757624842227</v>
      </c>
      <c r="F44" s="3"/>
      <c r="G44" s="28"/>
      <c r="H44" s="10"/>
      <c r="I44" s="10">
        <f t="shared" si="8"/>
        <v>8849</v>
      </c>
      <c r="J44" s="10">
        <f t="shared" si="6"/>
        <v>120578073274.22849</v>
      </c>
      <c r="K44" s="11">
        <f t="shared" si="7"/>
        <v>6.1999999999999833E-3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13542218.971748928</v>
      </c>
      <c r="D45" s="11">
        <v>8.9999999999999993E-3</v>
      </c>
      <c r="E45" s="10">
        <f t="shared" si="2"/>
        <v>120792.83522868156</v>
      </c>
      <c r="F45" s="3"/>
      <c r="G45" s="28"/>
      <c r="H45" s="10"/>
      <c r="I45" s="10">
        <f t="shared" si="8"/>
        <v>8849</v>
      </c>
      <c r="J45" s="10">
        <f t="shared" si="6"/>
        <v>119835095681.00626</v>
      </c>
      <c r="K45" s="11">
        <f t="shared" si="7"/>
        <v>8.999999999999897E-3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13421426.136520246</v>
      </c>
      <c r="D46" s="11">
        <v>9.7999999999999997E-3</v>
      </c>
      <c r="E46" s="10">
        <f t="shared" si="2"/>
        <v>130253.49191711098</v>
      </c>
      <c r="F46" s="3"/>
      <c r="G46" s="28"/>
      <c r="H46" s="10"/>
      <c r="I46" s="10">
        <f t="shared" si="8"/>
        <v>8849</v>
      </c>
      <c r="J46" s="10">
        <f t="shared" si="6"/>
        <v>118766199882.06766</v>
      </c>
      <c r="K46" s="11">
        <f t="shared" si="7"/>
        <v>9.8000000000000309E-3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13291172.644603135</v>
      </c>
      <c r="D47" s="11">
        <v>1.2500000000000001E-2</v>
      </c>
      <c r="E47" s="10">
        <f t="shared" si="2"/>
        <v>164088.55116793886</v>
      </c>
      <c r="F47" s="3"/>
      <c r="G47" s="28"/>
      <c r="H47" s="10"/>
      <c r="I47" s="10">
        <f t="shared" si="8"/>
        <v>8849</v>
      </c>
      <c r="J47" s="10">
        <f t="shared" si="6"/>
        <v>117613586732.09314</v>
      </c>
      <c r="K47" s="11">
        <f t="shared" si="7"/>
        <v>1.2499999999999956E-2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13127084.093435196</v>
      </c>
      <c r="D48" s="11">
        <v>1.2999999999999999E-2</v>
      </c>
      <c r="E48" s="10">
        <f t="shared" si="2"/>
        <v>168462.08609541506</v>
      </c>
      <c r="F48" s="3"/>
      <c r="G48" s="28"/>
      <c r="H48" s="10"/>
      <c r="I48" s="10">
        <f t="shared" si="8"/>
        <v>8849</v>
      </c>
      <c r="J48" s="10">
        <f t="shared" si="6"/>
        <v>116161567142.80804</v>
      </c>
      <c r="K48" s="11">
        <f t="shared" si="7"/>
        <v>1.2999999999999678E-2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12958622.007339781</v>
      </c>
      <c r="D49" s="11">
        <v>1.2999999999999999E-2</v>
      </c>
      <c r="E49" s="10">
        <f t="shared" si="2"/>
        <v>166300.18370722234</v>
      </c>
      <c r="F49" s="3"/>
      <c r="G49" s="28"/>
      <c r="H49" s="10"/>
      <c r="I49" s="10">
        <f t="shared" si="8"/>
        <v>8849</v>
      </c>
      <c r="J49" s="10">
        <f t="shared" si="6"/>
        <v>114670846142.94972</v>
      </c>
      <c r="K49" s="11">
        <f t="shared" si="7"/>
        <v>1.2999999999999901E-2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12792321.823632559</v>
      </c>
      <c r="D50" s="11">
        <v>1.55E-2</v>
      </c>
      <c r="E50" s="10">
        <f t="shared" si="2"/>
        <v>195254.54285209812</v>
      </c>
      <c r="F50" s="3"/>
      <c r="G50" s="28"/>
      <c r="H50" s="10"/>
      <c r="I50" s="10">
        <f t="shared" si="8"/>
        <v>8849</v>
      </c>
      <c r="J50" s="10">
        <f t="shared" si="6"/>
        <v>113199255817.32451</v>
      </c>
      <c r="K50" s="11">
        <f t="shared" si="7"/>
        <v>1.5500000000000069E-2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12597067.280780461</v>
      </c>
      <c r="D51" s="11">
        <v>9.4000000000000004E-3</v>
      </c>
      <c r="E51" s="10">
        <f t="shared" si="2"/>
        <v>117309.72106136009</v>
      </c>
      <c r="F51" s="3"/>
      <c r="G51" s="28"/>
      <c r="H51" s="10"/>
      <c r="I51" s="10">
        <f t="shared" si="8"/>
        <v>8849</v>
      </c>
      <c r="J51" s="10">
        <f t="shared" si="6"/>
        <v>111471448367.6263</v>
      </c>
      <c r="K51" s="11">
        <f t="shared" si="7"/>
        <v>9.400000000000075E-3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12479757.559719101</v>
      </c>
      <c r="D52" s="11">
        <v>3.7000000000000002E-3</v>
      </c>
      <c r="E52" s="10">
        <f t="shared" si="2"/>
        <v>46004.884896842763</v>
      </c>
      <c r="F52" s="3"/>
      <c r="G52" s="28"/>
      <c r="H52" s="10"/>
      <c r="I52" s="10">
        <f t="shared" si="8"/>
        <v>8849</v>
      </c>
      <c r="J52" s="10">
        <f t="shared" si="6"/>
        <v>110433374645.95432</v>
      </c>
      <c r="K52" s="11">
        <f t="shared" si="7"/>
        <v>3.6999999999998145E-3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12433752.674822258</v>
      </c>
      <c r="D53" s="11">
        <v>4.4999999999999997E-3</v>
      </c>
      <c r="E53" s="10">
        <f t="shared" si="2"/>
        <v>55701.231494972482</v>
      </c>
      <c r="F53" s="3"/>
      <c r="G53" s="28"/>
      <c r="H53" s="10"/>
      <c r="I53" s="10">
        <f t="shared" si="8"/>
        <v>8849</v>
      </c>
      <c r="J53" s="10">
        <f t="shared" si="6"/>
        <v>110026277419.50217</v>
      </c>
      <c r="K53" s="11">
        <f t="shared" si="7"/>
        <v>4.5000000000001705E-3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12378051.443327285</v>
      </c>
      <c r="D54" s="11">
        <v>6.4999999999999997E-3</v>
      </c>
      <c r="E54" s="10">
        <f t="shared" si="2"/>
        <v>79937.739077622071</v>
      </c>
      <c r="F54" s="3"/>
      <c r="G54" s="28"/>
      <c r="H54" s="10"/>
      <c r="I54" s="10">
        <f t="shared" si="8"/>
        <v>8849</v>
      </c>
      <c r="J54" s="10">
        <f t="shared" si="6"/>
        <v>109533377222.00314</v>
      </c>
      <c r="K54" s="11">
        <f t="shared" si="7"/>
        <v>6.4999999999999503E-3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12298113.704249663</v>
      </c>
      <c r="D55" s="11">
        <v>4.3E-3</v>
      </c>
      <c r="E55" s="10">
        <f t="shared" si="2"/>
        <v>52655.470405530185</v>
      </c>
      <c r="F55" s="3"/>
      <c r="G55" s="28"/>
      <c r="H55" s="10"/>
      <c r="I55" s="10">
        <f t="shared" si="8"/>
        <v>8849</v>
      </c>
      <c r="J55" s="10">
        <f t="shared" si="6"/>
        <v>108826008168.90527</v>
      </c>
      <c r="K55" s="11">
        <f t="shared" si="7"/>
        <v>4.3000000000001926E-3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12245458.233844133</v>
      </c>
      <c r="D56" s="11">
        <v>2.3E-3</v>
      </c>
      <c r="E56" s="10">
        <f t="shared" si="2"/>
        <v>28099.924112383276</v>
      </c>
      <c r="F56" s="3"/>
      <c r="G56" s="28"/>
      <c r="H56" s="10"/>
      <c r="I56" s="10">
        <f t="shared" si="8"/>
        <v>8849</v>
      </c>
      <c r="J56" s="10">
        <f t="shared" si="6"/>
        <v>108360059911.28673</v>
      </c>
      <c r="K56" s="11">
        <f t="shared" si="7"/>
        <v>2.2999999999999687E-3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12217358.30973175</v>
      </c>
      <c r="D57" s="11">
        <v>3.7000000000000002E-3</v>
      </c>
      <c r="E57" s="10">
        <f t="shared" si="2"/>
        <v>45037.586675308645</v>
      </c>
      <c r="F57" s="3"/>
      <c r="G57" s="28"/>
      <c r="H57" s="10"/>
      <c r="I57" s="10">
        <f t="shared" si="8"/>
        <v>8849</v>
      </c>
      <c r="J57" s="10">
        <f t="shared" si="6"/>
        <v>108111403682.81625</v>
      </c>
      <c r="K57" s="11">
        <f t="shared" si="7"/>
        <v>3.7000000000000366E-3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12172320.723056441</v>
      </c>
      <c r="D58" s="11">
        <v>6.4999999999999997E-3</v>
      </c>
      <c r="E58" s="10">
        <f t="shared" si="2"/>
        <v>78609.125384865329</v>
      </c>
      <c r="F58" s="3"/>
      <c r="G58" s="28"/>
      <c r="H58" s="10"/>
      <c r="I58" s="10">
        <f t="shared" si="8"/>
        <v>8849</v>
      </c>
      <c r="J58" s="10">
        <f t="shared" si="6"/>
        <v>107712866078.32645</v>
      </c>
      <c r="K58" s="11">
        <f t="shared" si="7"/>
        <v>6.4999999999999503E-3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12093711.597671576</v>
      </c>
      <c r="D59" s="11">
        <v>8.0999999999999996E-3</v>
      </c>
      <c r="E59" s="10">
        <f t="shared" si="2"/>
        <v>97171.97097623162</v>
      </c>
      <c r="F59" s="3"/>
      <c r="G59" s="28"/>
      <c r="H59" s="10"/>
      <c r="I59" s="10">
        <f t="shared" si="8"/>
        <v>8849</v>
      </c>
      <c r="J59" s="10">
        <f t="shared" si="6"/>
        <v>107017253927.79578</v>
      </c>
      <c r="K59" s="11">
        <f t="shared" si="7"/>
        <v>8.0999999999999961E-3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11996539.626695344</v>
      </c>
      <c r="D60" s="11">
        <v>7.4000000000000003E-3</v>
      </c>
      <c r="E60" s="10">
        <f t="shared" si="2"/>
        <v>88122.288304096088</v>
      </c>
      <c r="F60" s="3"/>
      <c r="G60" s="28"/>
      <c r="H60" s="10"/>
      <c r="I60" s="10">
        <f t="shared" si="8"/>
        <v>8849</v>
      </c>
      <c r="J60" s="10">
        <f t="shared" si="6"/>
        <v>106157379156.62711</v>
      </c>
      <c r="K60" s="11">
        <f t="shared" si="7"/>
        <v>7.4000000000000732E-3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11908417.338391248</v>
      </c>
      <c r="D61" s="11">
        <v>4.7000000000000002E-3</v>
      </c>
      <c r="E61" s="10">
        <f t="shared" si="2"/>
        <v>55707.735135301948</v>
      </c>
      <c r="F61" s="3"/>
      <c r="G61" s="28"/>
      <c r="H61" s="10"/>
      <c r="I61" s="10">
        <f t="shared" si="8"/>
        <v>8849</v>
      </c>
      <c r="J61" s="10">
        <f t="shared" si="6"/>
        <v>105377585027.42415</v>
      </c>
      <c r="K61" s="11">
        <f t="shared" si="7"/>
        <v>4.6999999999999265E-3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11852709.603255946</v>
      </c>
      <c r="D62" s="11">
        <v>3.5999999999999999E-3</v>
      </c>
      <c r="E62" s="10">
        <f t="shared" si="2"/>
        <v>42516.694471623749</v>
      </c>
      <c r="F62" s="3"/>
      <c r="G62" s="28"/>
      <c r="H62" s="10"/>
      <c r="I62" s="10">
        <f t="shared" si="8"/>
        <v>8849</v>
      </c>
      <c r="J62" s="10">
        <f t="shared" si="6"/>
        <v>104884627279.21187</v>
      </c>
      <c r="K62" s="11">
        <f t="shared" si="7"/>
        <v>3.6000000000000476E-3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11810192.908784322</v>
      </c>
      <c r="D63" s="11">
        <v>3.7000000000000002E-3</v>
      </c>
      <c r="E63" s="10">
        <f t="shared" si="2"/>
        <v>43536.628238022327</v>
      </c>
      <c r="F63" s="3"/>
      <c r="G63" s="28"/>
      <c r="H63" s="10"/>
      <c r="I63" s="10">
        <f t="shared" si="8"/>
        <v>8849</v>
      </c>
      <c r="J63" s="10">
        <f t="shared" si="6"/>
        <v>104508397049.83247</v>
      </c>
      <c r="K63" s="11">
        <f t="shared" si="7"/>
        <v>3.7000000000000366E-3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11766656.2805463</v>
      </c>
      <c r="D64" s="11">
        <v>6.0000000000000001E-3</v>
      </c>
      <c r="E64" s="10">
        <f t="shared" si="2"/>
        <v>70178.864496299997</v>
      </c>
      <c r="F64" s="3"/>
      <c r="G64" s="28"/>
      <c r="H64" s="10"/>
      <c r="I64" s="10">
        <f t="shared" si="8"/>
        <v>8849</v>
      </c>
      <c r="J64" s="10">
        <f t="shared" si="6"/>
        <v>104123141426.55421</v>
      </c>
      <c r="K64" s="11">
        <f t="shared" si="7"/>
        <v>6.0000000000000053E-3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11696477.41605</v>
      </c>
      <c r="D65" s="11">
        <v>7.9000000000000008E-3</v>
      </c>
      <c r="E65" s="10">
        <f t="shared" si="2"/>
        <v>91677.916050000116</v>
      </c>
      <c r="F65" s="3"/>
      <c r="G65" s="28"/>
      <c r="H65" s="10"/>
      <c r="I65" s="10">
        <f t="shared" si="8"/>
        <v>8849</v>
      </c>
      <c r="J65" s="10">
        <f t="shared" si="6"/>
        <v>103502128654.62645</v>
      </c>
      <c r="K65" s="11">
        <f t="shared" si="7"/>
        <v>7.9000000000000181E-3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11604799.5</v>
      </c>
      <c r="D66" s="11">
        <v>5.0000000000000001E-4</v>
      </c>
      <c r="E66" s="10">
        <f t="shared" si="2"/>
        <v>5799.5</v>
      </c>
      <c r="F66" s="3"/>
      <c r="G66" s="28"/>
      <c r="H66" s="10"/>
      <c r="I66" s="10">
        <f t="shared" si="8"/>
        <v>8849</v>
      </c>
      <c r="J66" s="10">
        <f t="shared" ref="J66:J67" si="9">IF(I66="","",I66*C66)</f>
        <v>102690870775.5</v>
      </c>
      <c r="K66" s="11">
        <f t="shared" ref="K66" si="10">IFERROR(J66/J67-1,"")</f>
        <v>4.9999999999994493E-4</v>
      </c>
    </row>
    <row r="67" spans="1:11" ht="22.5" customHeight="1">
      <c r="A67" s="3">
        <f t="shared" si="0"/>
        <v>1950</v>
      </c>
      <c r="B67" s="3">
        <v>1700</v>
      </c>
      <c r="C67" s="10">
        <v>11599000</v>
      </c>
      <c r="D67" s="11">
        <v>3.0000000000000001E-3</v>
      </c>
      <c r="E67" s="3"/>
      <c r="F67" s="3"/>
      <c r="G67" s="28"/>
      <c r="H67" s="10"/>
      <c r="I67" s="10">
        <f t="shared" ref="I67" si="11">IF(H67&lt;&gt;"",H67,I66/(1+IF(G66="",0,G66)/100))</f>
        <v>8849</v>
      </c>
      <c r="J67" s="10">
        <f t="shared" si="9"/>
        <v>102639551000</v>
      </c>
      <c r="K67" s="11"/>
    </row>
  </sheetData>
  <dataValidations count="1">
    <dataValidation type="custom" allowBlank="1" showDropDown="1" sqref="D2:D67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1405234.7437337118</v>
      </c>
      <c r="D2" s="11">
        <v>1.2699999999999999E-2</v>
      </c>
      <c r="E2" s="10">
        <f t="shared" ref="E2:E66" si="2">SUM(C2-C3)</f>
        <v>17622.673294576816</v>
      </c>
      <c r="F2" s="10">
        <v>1405000</v>
      </c>
      <c r="G2" s="28"/>
      <c r="H2" s="10"/>
      <c r="I2" s="10">
        <f>IF(H2&lt;&gt;"",H2,7262)</f>
        <v>7262</v>
      </c>
      <c r="J2" s="10">
        <f t="shared" ref="J2:J33" si="3">IF(I2="","",I2*C2)</f>
        <v>10204814708.994215</v>
      </c>
      <c r="K2" s="11">
        <f t="shared" ref="K2:K33" si="4">IFERROR(J2/J3-1,"")</f>
        <v>1.2699999999999934E-2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1387612.070439135</v>
      </c>
      <c r="D3" s="11">
        <v>1.3100000000000001E-2</v>
      </c>
      <c r="E3" s="10">
        <f t="shared" si="2"/>
        <v>17942.66915679886</v>
      </c>
      <c r="F3" s="3"/>
      <c r="G3" s="28"/>
      <c r="H3" s="10"/>
      <c r="I3" s="10">
        <f t="shared" ref="I3:I34" si="5">IF(H3&lt;&gt;"",H3,I2/(1+IF(G2="",0,G2)/100))</f>
        <v>7262</v>
      </c>
      <c r="J3" s="10">
        <f t="shared" si="3"/>
        <v>10076838855.528997</v>
      </c>
      <c r="K3" s="11">
        <f t="shared" si="4"/>
        <v>1.3100000000000112E-2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1369669.4012823361</v>
      </c>
      <c r="D4" s="11">
        <v>1.2699999999999999E-2</v>
      </c>
      <c r="E4" s="10">
        <f t="shared" si="2"/>
        <v>17176.657841695938</v>
      </c>
      <c r="F4" s="3"/>
      <c r="G4" s="28"/>
      <c r="H4" s="10"/>
      <c r="I4" s="10">
        <f t="shared" si="5"/>
        <v>7262</v>
      </c>
      <c r="J4" s="10">
        <f t="shared" si="3"/>
        <v>9946539192.1123257</v>
      </c>
      <c r="K4" s="11">
        <f t="shared" si="4"/>
        <v>1.2699999999999934E-2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1352492.7434406402</v>
      </c>
      <c r="D5" s="11">
        <v>1.21E-2</v>
      </c>
      <c r="E5" s="10">
        <f t="shared" si="2"/>
        <v>16169.511111186352</v>
      </c>
      <c r="F5" s="3"/>
      <c r="G5" s="28"/>
      <c r="H5" s="10"/>
      <c r="I5" s="10">
        <f t="shared" si="5"/>
        <v>7262</v>
      </c>
      <c r="J5" s="10">
        <f t="shared" si="3"/>
        <v>9821802302.8659286</v>
      </c>
      <c r="K5" s="11">
        <f t="shared" si="4"/>
        <v>1.21E-2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1336323.2323294538</v>
      </c>
      <c r="D6" s="11">
        <v>1.37E-2</v>
      </c>
      <c r="E6" s="10">
        <f t="shared" si="2"/>
        <v>18060.203495031688</v>
      </c>
      <c r="F6" s="3"/>
      <c r="G6" s="28"/>
      <c r="H6" s="10"/>
      <c r="I6" s="10">
        <f t="shared" si="5"/>
        <v>7262</v>
      </c>
      <c r="J6" s="10">
        <f t="shared" si="3"/>
        <v>9704379313.1764927</v>
      </c>
      <c r="K6" s="11">
        <f t="shared" si="4"/>
        <v>1.3700000000000045E-2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1318263.0288344221</v>
      </c>
      <c r="D7" s="11">
        <v>1.5900000000000001E-2</v>
      </c>
      <c r="E7" s="10">
        <f t="shared" si="2"/>
        <v>20632.328141025035</v>
      </c>
      <c r="F7" s="3"/>
      <c r="G7" s="28"/>
      <c r="H7" s="10"/>
      <c r="I7" s="10">
        <f t="shared" si="5"/>
        <v>7262</v>
      </c>
      <c r="J7" s="10">
        <f t="shared" si="3"/>
        <v>9573226115.3955727</v>
      </c>
      <c r="K7" s="11">
        <f t="shared" si="4"/>
        <v>1.5900000000000025E-2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1297630.7006933971</v>
      </c>
      <c r="D8" s="11">
        <v>1.67E-2</v>
      </c>
      <c r="E8" s="10">
        <f t="shared" si="2"/>
        <v>21314.480871033389</v>
      </c>
      <c r="F8" s="3"/>
      <c r="G8" s="28"/>
      <c r="H8" s="10"/>
      <c r="I8" s="10">
        <f t="shared" si="5"/>
        <v>7262</v>
      </c>
      <c r="J8" s="10">
        <f t="shared" si="3"/>
        <v>9423394148.4354496</v>
      </c>
      <c r="K8" s="11">
        <f t="shared" si="4"/>
        <v>1.6699999999999937E-2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1276316.2198223637</v>
      </c>
      <c r="D9" s="11">
        <v>1.7100000000000001E-2</v>
      </c>
      <c r="E9" s="10">
        <f t="shared" si="2"/>
        <v>21458.074288626667</v>
      </c>
      <c r="F9" s="3"/>
      <c r="G9" s="28"/>
      <c r="H9" s="10"/>
      <c r="I9" s="10">
        <f t="shared" si="5"/>
        <v>7262</v>
      </c>
      <c r="J9" s="10">
        <f t="shared" si="3"/>
        <v>9268608388.3500061</v>
      </c>
      <c r="K9" s="11">
        <f t="shared" si="4"/>
        <v>1.7099999999999893E-2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1254858.145533737</v>
      </c>
      <c r="D10" s="11">
        <v>1.7299999999999999E-2</v>
      </c>
      <c r="E10" s="10">
        <f t="shared" si="2"/>
        <v>21339.866231921595</v>
      </c>
      <c r="F10" s="3"/>
      <c r="G10" s="28"/>
      <c r="H10" s="10"/>
      <c r="I10" s="10">
        <f t="shared" si="5"/>
        <v>7262</v>
      </c>
      <c r="J10" s="10">
        <f t="shared" si="3"/>
        <v>9112779852.8659992</v>
      </c>
      <c r="K10" s="11">
        <f t="shared" si="4"/>
        <v>1.7300000000000315E-2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1233518.2793018154</v>
      </c>
      <c r="D11" s="11">
        <v>1.7299999999999999E-2</v>
      </c>
      <c r="E11" s="10">
        <f t="shared" si="2"/>
        <v>20976.964741886826</v>
      </c>
      <c r="F11" s="3"/>
      <c r="G11" s="28"/>
      <c r="H11" s="10"/>
      <c r="I11" s="10">
        <f t="shared" si="5"/>
        <v>7262</v>
      </c>
      <c r="J11" s="10">
        <f t="shared" si="3"/>
        <v>8957809744.2897835</v>
      </c>
      <c r="K11" s="11">
        <f t="shared" si="4"/>
        <v>1.7300000000000093E-2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1212541.3145599286</v>
      </c>
      <c r="D12" s="11">
        <v>1.7299999999999999E-2</v>
      </c>
      <c r="E12" s="10">
        <f t="shared" si="2"/>
        <v>20620.234681890113</v>
      </c>
      <c r="F12" s="3"/>
      <c r="G12" s="28"/>
      <c r="H12" s="10"/>
      <c r="I12" s="10">
        <f t="shared" si="5"/>
        <v>7262</v>
      </c>
      <c r="J12" s="10">
        <f t="shared" si="3"/>
        <v>8805475026.3342018</v>
      </c>
      <c r="K12" s="11">
        <f t="shared" si="4"/>
        <v>1.7300000000000093E-2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1191921.0798780385</v>
      </c>
      <c r="D13" s="11">
        <v>1.7399999999999999E-2</v>
      </c>
      <c r="E13" s="10">
        <f t="shared" si="2"/>
        <v>20384.732445329195</v>
      </c>
      <c r="F13" s="3"/>
      <c r="G13" s="28"/>
      <c r="H13" s="10"/>
      <c r="I13" s="10">
        <f t="shared" si="5"/>
        <v>7262</v>
      </c>
      <c r="J13" s="10">
        <f t="shared" si="3"/>
        <v>8655730882.074316</v>
      </c>
      <c r="K13" s="11">
        <f t="shared" si="4"/>
        <v>1.7400000000000082E-2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1171536.3474327093</v>
      </c>
      <c r="D14" s="11">
        <v>1.7600000000000001E-2</v>
      </c>
      <c r="E14" s="10">
        <f t="shared" si="2"/>
        <v>20262.421103395987</v>
      </c>
      <c r="F14" s="3"/>
      <c r="G14" s="28"/>
      <c r="H14" s="10"/>
      <c r="I14" s="10">
        <f t="shared" si="5"/>
        <v>7262</v>
      </c>
      <c r="J14" s="10">
        <f t="shared" si="3"/>
        <v>8507696955.0563345</v>
      </c>
      <c r="K14" s="11">
        <f t="shared" si="4"/>
        <v>1.760000000000006E-2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1151273.9263293133</v>
      </c>
      <c r="D15" s="11">
        <v>1.77E-2</v>
      </c>
      <c r="E15" s="10">
        <f t="shared" si="2"/>
        <v>20023.13893684675</v>
      </c>
      <c r="F15" s="3"/>
      <c r="G15" s="28"/>
      <c r="H15" s="10"/>
      <c r="I15" s="10">
        <f t="shared" si="5"/>
        <v>7262</v>
      </c>
      <c r="J15" s="10">
        <f t="shared" si="3"/>
        <v>8360551253.0034733</v>
      </c>
      <c r="K15" s="11">
        <f t="shared" si="4"/>
        <v>1.7700000000000049E-2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1131250.7873924666</v>
      </c>
      <c r="D16" s="11">
        <v>1.78E-2</v>
      </c>
      <c r="E16" s="10">
        <f t="shared" si="2"/>
        <v>19784.1069125426</v>
      </c>
      <c r="F16" s="3"/>
      <c r="G16" s="28"/>
      <c r="H16" s="10"/>
      <c r="I16" s="10">
        <f t="shared" si="5"/>
        <v>7262</v>
      </c>
      <c r="J16" s="10">
        <f t="shared" si="3"/>
        <v>8215143218.0440922</v>
      </c>
      <c r="K16" s="11">
        <f t="shared" si="4"/>
        <v>1.7800000000000038E-2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1111466.680479924</v>
      </c>
      <c r="D17" s="11">
        <v>1.7999999999999999E-2</v>
      </c>
      <c r="E17" s="10">
        <f t="shared" si="2"/>
        <v>19652.652503574267</v>
      </c>
      <c r="F17" s="3"/>
      <c r="G17" s="28"/>
      <c r="H17" s="10"/>
      <c r="I17" s="10">
        <f t="shared" si="5"/>
        <v>7262</v>
      </c>
      <c r="J17" s="10">
        <f t="shared" si="3"/>
        <v>8071471033.6452074</v>
      </c>
      <c r="K17" s="11">
        <f t="shared" si="4"/>
        <v>1.8000000000000016E-2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1091814.0279763497</v>
      </c>
      <c r="D18" s="11">
        <v>1.8200000000000001E-2</v>
      </c>
      <c r="E18" s="10">
        <f t="shared" si="2"/>
        <v>19515.82725316193</v>
      </c>
      <c r="F18" s="3"/>
      <c r="G18" s="28"/>
      <c r="H18" s="10"/>
      <c r="I18" s="10">
        <f t="shared" si="5"/>
        <v>7262</v>
      </c>
      <c r="J18" s="10">
        <f t="shared" si="3"/>
        <v>7928753471.1642513</v>
      </c>
      <c r="K18" s="11">
        <f t="shared" si="4"/>
        <v>1.8199999999999994E-2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1072298.2007231878</v>
      </c>
      <c r="D19" s="11">
        <v>1.83E-2</v>
      </c>
      <c r="E19" s="10">
        <f t="shared" si="2"/>
        <v>19270.408595928922</v>
      </c>
      <c r="F19" s="3"/>
      <c r="G19" s="28"/>
      <c r="H19" s="10"/>
      <c r="I19" s="10">
        <f t="shared" si="5"/>
        <v>7262</v>
      </c>
      <c r="J19" s="10">
        <f t="shared" si="3"/>
        <v>7787029533.6517897</v>
      </c>
      <c r="K19" s="11">
        <f t="shared" si="4"/>
        <v>1.8299999999999983E-2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1053027.7921272588</v>
      </c>
      <c r="D20" s="11">
        <v>1.8499999999999999E-2</v>
      </c>
      <c r="E20" s="10">
        <f t="shared" si="2"/>
        <v>19127.161663578008</v>
      </c>
      <c r="F20" s="3"/>
      <c r="G20" s="28"/>
      <c r="H20" s="10"/>
      <c r="I20" s="10">
        <f t="shared" si="5"/>
        <v>7262</v>
      </c>
      <c r="J20" s="10">
        <f t="shared" si="3"/>
        <v>7647087826.428154</v>
      </c>
      <c r="K20" s="11">
        <f t="shared" si="4"/>
        <v>1.8499999999999961E-2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1033900.6304636808</v>
      </c>
      <c r="D21" s="11">
        <v>1.89E-2</v>
      </c>
      <c r="E21" s="10">
        <f t="shared" si="2"/>
        <v>19178.252935286611</v>
      </c>
      <c r="F21" s="3"/>
      <c r="G21" s="28"/>
      <c r="H21" s="10"/>
      <c r="I21" s="10">
        <f t="shared" si="5"/>
        <v>7262</v>
      </c>
      <c r="J21" s="10">
        <f t="shared" si="3"/>
        <v>7508186378.4272499</v>
      </c>
      <c r="K21" s="11">
        <f t="shared" si="4"/>
        <v>1.8899999999999917E-2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1014722.3775283942</v>
      </c>
      <c r="D22" s="11">
        <v>1.9E-2</v>
      </c>
      <c r="E22" s="10">
        <f t="shared" si="2"/>
        <v>18920.240601608879</v>
      </c>
      <c r="F22" s="3"/>
      <c r="G22" s="28"/>
      <c r="H22" s="10"/>
      <c r="I22" s="10">
        <f t="shared" si="5"/>
        <v>7262</v>
      </c>
      <c r="J22" s="10">
        <f t="shared" si="3"/>
        <v>7368913905.6111984</v>
      </c>
      <c r="K22" s="11">
        <f t="shared" si="4"/>
        <v>1.8999999999999906E-2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995802.13692678534</v>
      </c>
      <c r="D23" s="11">
        <v>1.9099999999999999E-2</v>
      </c>
      <c r="E23" s="10">
        <f t="shared" si="2"/>
        <v>18663.350814739941</v>
      </c>
      <c r="F23" s="3"/>
      <c r="G23" s="28"/>
      <c r="H23" s="10"/>
      <c r="I23" s="10">
        <f t="shared" si="5"/>
        <v>7262</v>
      </c>
      <c r="J23" s="10">
        <f t="shared" si="3"/>
        <v>7231515118.3623152</v>
      </c>
      <c r="K23" s="11">
        <f t="shared" si="4"/>
        <v>1.9099999999999895E-2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977138.7861120454</v>
      </c>
      <c r="D24" s="11">
        <v>1.9300000000000001E-2</v>
      </c>
      <c r="E24" s="10">
        <f t="shared" si="2"/>
        <v>18501.695842207992</v>
      </c>
      <c r="F24" s="3"/>
      <c r="G24" s="28"/>
      <c r="H24" s="10"/>
      <c r="I24" s="10">
        <f t="shared" si="5"/>
        <v>7262</v>
      </c>
      <c r="J24" s="10">
        <f t="shared" si="3"/>
        <v>7095981864.7456741</v>
      </c>
      <c r="K24" s="11">
        <f t="shared" si="4"/>
        <v>1.9300000000000095E-2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958637.09026983741</v>
      </c>
      <c r="D25" s="11">
        <v>1.95E-2</v>
      </c>
      <c r="E25" s="10">
        <f t="shared" si="2"/>
        <v>18335.873722669785</v>
      </c>
      <c r="F25" s="3"/>
      <c r="G25" s="28"/>
      <c r="H25" s="10"/>
      <c r="I25" s="10">
        <f t="shared" si="5"/>
        <v>7262</v>
      </c>
      <c r="J25" s="10">
        <f t="shared" si="3"/>
        <v>6961622549.5395594</v>
      </c>
      <c r="K25" s="11">
        <f t="shared" si="4"/>
        <v>1.9500000000000073E-2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940301.21654716763</v>
      </c>
      <c r="D26" s="11">
        <v>1.9599999999999999E-2</v>
      </c>
      <c r="E26" s="10">
        <f t="shared" si="2"/>
        <v>18075.62165979261</v>
      </c>
      <c r="F26" s="3"/>
      <c r="G26" s="28"/>
      <c r="H26" s="10"/>
      <c r="I26" s="10">
        <f t="shared" si="5"/>
        <v>7262</v>
      </c>
      <c r="J26" s="10">
        <f t="shared" si="3"/>
        <v>6828467434.5655317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922225.59488737502</v>
      </c>
      <c r="D27" s="11">
        <v>1.9800000000000002E-2</v>
      </c>
      <c r="E27" s="10">
        <f t="shared" si="2"/>
        <v>17905.537143332069</v>
      </c>
      <c r="F27" s="3"/>
      <c r="G27" s="28"/>
      <c r="H27" s="10"/>
      <c r="I27" s="10">
        <f t="shared" si="5"/>
        <v>7262</v>
      </c>
      <c r="J27" s="10">
        <f t="shared" si="3"/>
        <v>6697202270.0721178</v>
      </c>
      <c r="K27" s="11">
        <f t="shared" si="4"/>
        <v>1.980000000000004E-2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904320.05774404295</v>
      </c>
      <c r="D28" s="11">
        <v>0.02</v>
      </c>
      <c r="E28" s="10">
        <f t="shared" si="2"/>
        <v>17731.765838118503</v>
      </c>
      <c r="F28" s="3"/>
      <c r="G28" s="28"/>
      <c r="H28" s="10"/>
      <c r="I28" s="10">
        <f t="shared" si="5"/>
        <v>7262</v>
      </c>
      <c r="J28" s="10">
        <f t="shared" si="3"/>
        <v>6567172259.3372402</v>
      </c>
      <c r="K28" s="11">
        <f t="shared" si="4"/>
        <v>2.0000000000000018E-2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886588.29190592445</v>
      </c>
      <c r="D29" s="11">
        <v>2.01E-2</v>
      </c>
      <c r="E29" s="10">
        <f t="shared" si="2"/>
        <v>17469.291900116717</v>
      </c>
      <c r="F29" s="3"/>
      <c r="G29" s="28"/>
      <c r="H29" s="10"/>
      <c r="I29" s="10">
        <f t="shared" si="5"/>
        <v>7262</v>
      </c>
      <c r="J29" s="10">
        <f t="shared" si="3"/>
        <v>6438404175.8208237</v>
      </c>
      <c r="K29" s="11">
        <f t="shared" si="4"/>
        <v>2.0100000000000007E-2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869119.00000580773</v>
      </c>
      <c r="D30" s="12">
        <v>2.0199999999999999E-2</v>
      </c>
      <c r="E30" s="10">
        <f t="shared" si="2"/>
        <v>17208.590276531409</v>
      </c>
      <c r="F30" s="3"/>
      <c r="G30" s="28"/>
      <c r="H30" s="10"/>
      <c r="I30" s="10">
        <f t="shared" si="5"/>
        <v>7262</v>
      </c>
      <c r="J30" s="10">
        <f t="shared" si="3"/>
        <v>6311542178.0421753</v>
      </c>
      <c r="K30" s="11">
        <f t="shared" si="4"/>
        <v>2.0199999999999996E-2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851910.40972927632</v>
      </c>
      <c r="D31" s="13">
        <v>2.0400000000000001E-2</v>
      </c>
      <c r="E31" s="10">
        <f t="shared" si="2"/>
        <v>17031.529163540923</v>
      </c>
      <c r="F31" s="3"/>
      <c r="G31" s="28"/>
      <c r="H31" s="10"/>
      <c r="I31" s="10">
        <f t="shared" si="5"/>
        <v>7262</v>
      </c>
      <c r="J31" s="10">
        <f t="shared" si="3"/>
        <v>6186573395.4540043</v>
      </c>
      <c r="K31" s="11">
        <f t="shared" si="4"/>
        <v>2.0399999999999974E-2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834878.8805657354</v>
      </c>
      <c r="D32" s="12">
        <v>2.06E-2</v>
      </c>
      <c r="E32" s="10">
        <f t="shared" si="2"/>
        <v>16851.366783905658</v>
      </c>
      <c r="F32" s="3"/>
      <c r="G32" s="28"/>
      <c r="H32" s="10"/>
      <c r="I32" s="10">
        <f t="shared" si="5"/>
        <v>7262</v>
      </c>
      <c r="J32" s="10">
        <f t="shared" si="3"/>
        <v>6062890430.6683702</v>
      </c>
      <c r="K32" s="11">
        <f t="shared" si="4"/>
        <v>2.0599999999999952E-2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818027.51378182974</v>
      </c>
      <c r="D33" s="13">
        <v>2.0799999999999999E-2</v>
      </c>
      <c r="E33" s="10">
        <f t="shared" si="2"/>
        <v>16668.272224394605</v>
      </c>
      <c r="F33" s="3"/>
      <c r="G33" s="28"/>
      <c r="H33" s="10"/>
      <c r="I33" s="10">
        <f t="shared" si="5"/>
        <v>7262</v>
      </c>
      <c r="J33" s="10">
        <f t="shared" si="3"/>
        <v>5940515805.0836477</v>
      </c>
      <c r="K33" s="11">
        <f t="shared" si="4"/>
        <v>2.079999999999993E-2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801359.24155743513</v>
      </c>
      <c r="D34" s="12">
        <v>2.0899999999999998E-2</v>
      </c>
      <c r="E34" s="10">
        <f t="shared" si="2"/>
        <v>16405.532518905238</v>
      </c>
      <c r="F34" s="3"/>
      <c r="G34" s="28"/>
      <c r="H34" s="10"/>
      <c r="I34" s="10">
        <f t="shared" si="5"/>
        <v>7262</v>
      </c>
      <c r="J34" s="10">
        <f t="shared" ref="J34:J65" si="6">IF(I34="","",I34*C34)</f>
        <v>5819470812.190094</v>
      </c>
      <c r="K34" s="11">
        <f t="shared" ref="K34:K65" si="7">IFERROR(J34/J35-1,"")</f>
        <v>2.0900000000000141E-2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784953.70903852989</v>
      </c>
      <c r="D35" s="11">
        <v>2.12E-2</v>
      </c>
      <c r="E35" s="10">
        <f t="shared" si="2"/>
        <v>16295.552909926511</v>
      </c>
      <c r="F35" s="3"/>
      <c r="G35" s="28"/>
      <c r="H35" s="10"/>
      <c r="I35" s="10">
        <f t="shared" ref="I35:I66" si="8">IF(H35&lt;&gt;"",H35,I34/(1+IF(G34="",0,G34)/100))</f>
        <v>7262</v>
      </c>
      <c r="J35" s="10">
        <f t="shared" si="6"/>
        <v>5700333835.0378036</v>
      </c>
      <c r="K35" s="11">
        <f t="shared" si="7"/>
        <v>2.1200000000000108E-2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768658.15612860338</v>
      </c>
      <c r="D36" s="11">
        <v>2.1299999999999999E-2</v>
      </c>
      <c r="E36" s="10">
        <f t="shared" si="2"/>
        <v>16030.9592926068</v>
      </c>
      <c r="F36" s="3"/>
      <c r="G36" s="28"/>
      <c r="H36" s="10"/>
      <c r="I36" s="10">
        <f t="shared" si="8"/>
        <v>7262</v>
      </c>
      <c r="J36" s="10">
        <f t="shared" si="6"/>
        <v>5581995529.8059177</v>
      </c>
      <c r="K36" s="11">
        <f t="shared" si="7"/>
        <v>2.1300000000000097E-2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752627.19683599658</v>
      </c>
      <c r="D37" s="11">
        <v>2.1399999999999999E-2</v>
      </c>
      <c r="E37" s="10">
        <f t="shared" si="2"/>
        <v>15768.770327286446</v>
      </c>
      <c r="F37" s="3"/>
      <c r="G37" s="28"/>
      <c r="H37" s="10"/>
      <c r="I37" s="10">
        <f t="shared" si="8"/>
        <v>7262</v>
      </c>
      <c r="J37" s="10">
        <f t="shared" si="6"/>
        <v>5465578703.423007</v>
      </c>
      <c r="K37" s="11">
        <f t="shared" si="7"/>
        <v>2.1399999999999864E-2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736858.42650871014</v>
      </c>
      <c r="D38" s="11">
        <v>2.1899999999999999E-2</v>
      </c>
      <c r="E38" s="10">
        <f t="shared" si="2"/>
        <v>15791.36856888223</v>
      </c>
      <c r="F38" s="3"/>
      <c r="G38" s="28"/>
      <c r="H38" s="10"/>
      <c r="I38" s="10">
        <f t="shared" si="8"/>
        <v>7262</v>
      </c>
      <c r="J38" s="10">
        <f t="shared" si="6"/>
        <v>5351065893.3062534</v>
      </c>
      <c r="K38" s="11">
        <f t="shared" si="7"/>
        <v>2.1900000000000031E-2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721067.05793982791</v>
      </c>
      <c r="D39" s="11">
        <v>2.2200000000000001E-2</v>
      </c>
      <c r="E39" s="10">
        <f t="shared" si="2"/>
        <v>15660.035889516934</v>
      </c>
      <c r="F39" s="3"/>
      <c r="G39" s="28"/>
      <c r="H39" s="10"/>
      <c r="I39" s="10">
        <f t="shared" si="8"/>
        <v>7262</v>
      </c>
      <c r="J39" s="10">
        <f t="shared" si="6"/>
        <v>5236388974.7590303</v>
      </c>
      <c r="K39" s="11">
        <f t="shared" si="7"/>
        <v>2.2199999999999998E-2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705407.02205031097</v>
      </c>
      <c r="D40" s="11">
        <v>2.2599999999999999E-2</v>
      </c>
      <c r="E40" s="10">
        <f t="shared" si="2"/>
        <v>15589.867688575177</v>
      </c>
      <c r="F40" s="3"/>
      <c r="G40" s="28"/>
      <c r="H40" s="10"/>
      <c r="I40" s="10">
        <f t="shared" si="8"/>
        <v>7262</v>
      </c>
      <c r="J40" s="10">
        <f t="shared" si="6"/>
        <v>5122665794.1293583</v>
      </c>
      <c r="K40" s="11">
        <f t="shared" si="7"/>
        <v>2.2599999999999953E-2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689817.1543617358</v>
      </c>
      <c r="D41" s="11">
        <v>2.3E-2</v>
      </c>
      <c r="E41" s="10">
        <f t="shared" si="2"/>
        <v>15509.08558193536</v>
      </c>
      <c r="F41" s="3"/>
      <c r="G41" s="28"/>
      <c r="H41" s="10"/>
      <c r="I41" s="10">
        <f t="shared" si="8"/>
        <v>7262</v>
      </c>
      <c r="J41" s="10">
        <f t="shared" si="6"/>
        <v>5009452174.974925</v>
      </c>
      <c r="K41" s="11">
        <f t="shared" si="7"/>
        <v>2.2999999999999909E-2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674308.06877980044</v>
      </c>
      <c r="D42" s="11">
        <v>2.3400000000000001E-2</v>
      </c>
      <c r="E42" s="10">
        <f t="shared" si="2"/>
        <v>15418.026978158508</v>
      </c>
      <c r="F42" s="3"/>
      <c r="G42" s="28"/>
      <c r="H42" s="10"/>
      <c r="I42" s="10">
        <f t="shared" si="8"/>
        <v>7262</v>
      </c>
      <c r="J42" s="10">
        <f t="shared" si="6"/>
        <v>4896825195.4789104</v>
      </c>
      <c r="K42" s="11">
        <f t="shared" si="7"/>
        <v>2.3400000000000087E-2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658890.04180164193</v>
      </c>
      <c r="D43" s="11">
        <v>2.35E-2</v>
      </c>
      <c r="E43" s="10">
        <f t="shared" si="2"/>
        <v>15128.398614888778</v>
      </c>
      <c r="F43" s="3"/>
      <c r="G43" s="28"/>
      <c r="H43" s="10"/>
      <c r="I43" s="10">
        <f t="shared" si="8"/>
        <v>7262</v>
      </c>
      <c r="J43" s="10">
        <f t="shared" si="6"/>
        <v>4784859483.5635233</v>
      </c>
      <c r="K43" s="11">
        <f t="shared" si="7"/>
        <v>2.3499999999999854E-2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643761.64318675315</v>
      </c>
      <c r="D44" s="11">
        <v>2.3599999999999999E-2</v>
      </c>
      <c r="E44" s="10">
        <f t="shared" si="2"/>
        <v>14842.491968745016</v>
      </c>
      <c r="F44" s="3"/>
      <c r="G44" s="28"/>
      <c r="H44" s="10"/>
      <c r="I44" s="10">
        <f t="shared" si="8"/>
        <v>7262</v>
      </c>
      <c r="J44" s="10">
        <f t="shared" si="6"/>
        <v>4674997052.8222017</v>
      </c>
      <c r="K44" s="11">
        <f t="shared" si="7"/>
        <v>2.3600000000000065E-2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628919.15121800813</v>
      </c>
      <c r="D45" s="11">
        <v>2.3699999999999999E-2</v>
      </c>
      <c r="E45" s="10">
        <f t="shared" si="2"/>
        <v>14560.304663345567</v>
      </c>
      <c r="F45" s="3"/>
      <c r="G45" s="28"/>
      <c r="H45" s="10"/>
      <c r="I45" s="10">
        <f t="shared" si="8"/>
        <v>7262</v>
      </c>
      <c r="J45" s="10">
        <f t="shared" si="6"/>
        <v>4567210876.145175</v>
      </c>
      <c r="K45" s="11">
        <f t="shared" si="7"/>
        <v>2.3700000000000054E-2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614358.84655466257</v>
      </c>
      <c r="D46" s="11">
        <v>2.3800000000000002E-2</v>
      </c>
      <c r="E46" s="10">
        <f t="shared" si="2"/>
        <v>14281.832924400223</v>
      </c>
      <c r="F46" s="3"/>
      <c r="G46" s="28"/>
      <c r="H46" s="10"/>
      <c r="I46" s="10">
        <f t="shared" si="8"/>
        <v>7262</v>
      </c>
      <c r="J46" s="10">
        <f t="shared" si="6"/>
        <v>4461473943.6799593</v>
      </c>
      <c r="K46" s="11">
        <f t="shared" si="7"/>
        <v>2.3799999999999821E-2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600077.01363026234</v>
      </c>
      <c r="D47" s="11">
        <v>2.4E-2</v>
      </c>
      <c r="E47" s="10">
        <f t="shared" si="2"/>
        <v>14064.305006959243</v>
      </c>
      <c r="F47" s="3"/>
      <c r="G47" s="28"/>
      <c r="H47" s="10"/>
      <c r="I47" s="10">
        <f t="shared" si="8"/>
        <v>7262</v>
      </c>
      <c r="J47" s="10">
        <f t="shared" si="6"/>
        <v>4357759272.9829655</v>
      </c>
      <c r="K47" s="11">
        <f t="shared" si="7"/>
        <v>2.4000000000000021E-2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586012.7086233031</v>
      </c>
      <c r="D48" s="11">
        <v>2.4299999999999999E-2</v>
      </c>
      <c r="E48" s="10">
        <f t="shared" si="2"/>
        <v>13902.283334517502</v>
      </c>
      <c r="F48" s="3"/>
      <c r="G48" s="28"/>
      <c r="H48" s="10"/>
      <c r="I48" s="10">
        <f t="shared" si="8"/>
        <v>7262</v>
      </c>
      <c r="J48" s="10">
        <f t="shared" si="6"/>
        <v>4255624290.0224271</v>
      </c>
      <c r="K48" s="11">
        <f t="shared" si="7"/>
        <v>2.4299999999999988E-2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572110.4252887856</v>
      </c>
      <c r="D49" s="11">
        <v>2.4799999999999999E-2</v>
      </c>
      <c r="E49" s="10">
        <f t="shared" si="2"/>
        <v>13844.98296951782</v>
      </c>
      <c r="F49" s="3"/>
      <c r="G49" s="28"/>
      <c r="H49" s="10"/>
      <c r="I49" s="10">
        <f t="shared" si="8"/>
        <v>7262</v>
      </c>
      <c r="J49" s="10">
        <f t="shared" si="6"/>
        <v>4154665908.4471612</v>
      </c>
      <c r="K49" s="11">
        <f t="shared" si="7"/>
        <v>2.4799999999999933E-2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558265.44231926778</v>
      </c>
      <c r="D50" s="11">
        <v>2.5399999999999999E-2</v>
      </c>
      <c r="E50" s="10">
        <f t="shared" si="2"/>
        <v>13828.693421990843</v>
      </c>
      <c r="F50" s="3"/>
      <c r="G50" s="28"/>
      <c r="H50" s="10"/>
      <c r="I50" s="10">
        <f t="shared" si="8"/>
        <v>7262</v>
      </c>
      <c r="J50" s="10">
        <f t="shared" si="6"/>
        <v>4054123642.1225228</v>
      </c>
      <c r="K50" s="11">
        <f t="shared" si="7"/>
        <v>2.5400000000000089E-2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544436.74889727694</v>
      </c>
      <c r="D51" s="11">
        <v>2.5999999999999999E-2</v>
      </c>
      <c r="E51" s="10">
        <f t="shared" si="2"/>
        <v>13796.642759580165</v>
      </c>
      <c r="F51" s="3"/>
      <c r="G51" s="28"/>
      <c r="H51" s="10"/>
      <c r="I51" s="10">
        <f t="shared" si="8"/>
        <v>7262</v>
      </c>
      <c r="J51" s="10">
        <f t="shared" si="6"/>
        <v>3953699670.4920249</v>
      </c>
      <c r="K51" s="11">
        <f t="shared" si="7"/>
        <v>2.6000000000000023E-2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530640.10613769677</v>
      </c>
      <c r="D52" s="11">
        <v>2.6599999999999999E-2</v>
      </c>
      <c r="E52" s="10">
        <f t="shared" si="2"/>
        <v>13749.295561331266</v>
      </c>
      <c r="F52" s="3"/>
      <c r="G52" s="28"/>
      <c r="H52" s="10"/>
      <c r="I52" s="10">
        <f t="shared" si="8"/>
        <v>7262</v>
      </c>
      <c r="J52" s="10">
        <f t="shared" si="6"/>
        <v>3853508450.7719541</v>
      </c>
      <c r="K52" s="11">
        <f t="shared" si="7"/>
        <v>2.6599999999999957E-2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516890.8105763655</v>
      </c>
      <c r="D53" s="11">
        <v>2.7099999999999999E-2</v>
      </c>
      <c r="E53" s="10">
        <f t="shared" si="2"/>
        <v>13638.147178093146</v>
      </c>
      <c r="F53" s="3"/>
      <c r="G53" s="28"/>
      <c r="H53" s="10"/>
      <c r="I53" s="10">
        <f t="shared" si="8"/>
        <v>7262</v>
      </c>
      <c r="J53" s="10">
        <f t="shared" si="6"/>
        <v>3753661066.4055662</v>
      </c>
      <c r="K53" s="11">
        <f t="shared" si="7"/>
        <v>2.7099999999999902E-2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503252.66339827236</v>
      </c>
      <c r="D54" s="11">
        <v>2.7699999999999999E-2</v>
      </c>
      <c r="E54" s="10">
        <f t="shared" si="2"/>
        <v>13564.365842300467</v>
      </c>
      <c r="F54" s="3"/>
      <c r="G54" s="28"/>
      <c r="H54" s="10"/>
      <c r="I54" s="10">
        <f t="shared" si="8"/>
        <v>7262</v>
      </c>
      <c r="J54" s="10">
        <f t="shared" si="6"/>
        <v>3654620841.5982537</v>
      </c>
      <c r="K54" s="11">
        <f t="shared" si="7"/>
        <v>2.7700000000000058E-2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489688.29755597189</v>
      </c>
      <c r="D55" s="11">
        <v>2.8000000000000001E-2</v>
      </c>
      <c r="E55" s="10">
        <f t="shared" si="2"/>
        <v>13337.813552108186</v>
      </c>
      <c r="F55" s="3"/>
      <c r="G55" s="28"/>
      <c r="H55" s="10"/>
      <c r="I55" s="10">
        <f t="shared" si="8"/>
        <v>7262</v>
      </c>
      <c r="J55" s="10">
        <f t="shared" si="6"/>
        <v>3556116416.8514681</v>
      </c>
      <c r="K55" s="11">
        <f t="shared" si="7"/>
        <v>2.8000000000000025E-2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476350.4840038637</v>
      </c>
      <c r="D56" s="11">
        <v>2.8299999999999999E-2</v>
      </c>
      <c r="E56" s="10">
        <f t="shared" si="2"/>
        <v>13109.713796858268</v>
      </c>
      <c r="F56" s="3"/>
      <c r="G56" s="28"/>
      <c r="H56" s="10"/>
      <c r="I56" s="10">
        <f t="shared" si="8"/>
        <v>7262</v>
      </c>
      <c r="J56" s="10">
        <f t="shared" si="6"/>
        <v>3459257214.8360581</v>
      </c>
      <c r="K56" s="11">
        <f t="shared" si="7"/>
        <v>2.8299999999999992E-2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463240.77020700544</v>
      </c>
      <c r="D57" s="11">
        <v>2.86E-2</v>
      </c>
      <c r="E57" s="10">
        <f t="shared" si="2"/>
        <v>12880.309185222955</v>
      </c>
      <c r="F57" s="3"/>
      <c r="G57" s="28"/>
      <c r="H57" s="10"/>
      <c r="I57" s="10">
        <f t="shared" si="8"/>
        <v>7262</v>
      </c>
      <c r="J57" s="10">
        <f t="shared" si="6"/>
        <v>3364054473.2432733</v>
      </c>
      <c r="K57" s="11">
        <f t="shared" si="7"/>
        <v>2.8599999999999737E-2</v>
      </c>
      <c r="L57" t="s">
        <v>102</v>
      </c>
      <c r="M57" t="s">
        <v>103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450360.46102178248</v>
      </c>
      <c r="D58" s="11">
        <v>2.9000000000000001E-2</v>
      </c>
      <c r="E58" s="10">
        <f t="shared" si="2"/>
        <v>12692.374508874316</v>
      </c>
      <c r="F58" s="3"/>
      <c r="G58" s="28"/>
      <c r="H58" s="10"/>
      <c r="I58" s="10">
        <f t="shared" si="8"/>
        <v>7262</v>
      </c>
      <c r="J58" s="10">
        <f t="shared" si="6"/>
        <v>3270517667.9401846</v>
      </c>
      <c r="K58" s="11">
        <f t="shared" si="7"/>
        <v>2.8999999999999915E-2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437668.08651290816</v>
      </c>
      <c r="D59" s="11">
        <v>2.9399999999999999E-2</v>
      </c>
      <c r="E59" s="10">
        <f t="shared" si="2"/>
        <v>12499.94340730476</v>
      </c>
      <c r="F59" s="3"/>
      <c r="G59" s="28"/>
      <c r="H59" s="10"/>
      <c r="I59" s="10">
        <f t="shared" si="8"/>
        <v>7262</v>
      </c>
      <c r="J59" s="10">
        <f t="shared" si="6"/>
        <v>3178345644.2567391</v>
      </c>
      <c r="K59" s="11">
        <f t="shared" si="7"/>
        <v>2.9400000000000093E-2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425168.14310560341</v>
      </c>
      <c r="D60" s="11">
        <v>2.98E-2</v>
      </c>
      <c r="E60" s="10">
        <f t="shared" si="2"/>
        <v>12303.370231644018</v>
      </c>
      <c r="F60" s="3"/>
      <c r="G60" s="28"/>
      <c r="H60" s="10"/>
      <c r="I60" s="10">
        <f t="shared" si="8"/>
        <v>7262</v>
      </c>
      <c r="J60" s="10">
        <f t="shared" si="6"/>
        <v>3087571055.232892</v>
      </c>
      <c r="K60" s="11">
        <f t="shared" si="7"/>
        <v>2.9800000000000049E-2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412864.77287395939</v>
      </c>
      <c r="D61" s="11">
        <v>3.0099999999999998E-2</v>
      </c>
      <c r="E61" s="10">
        <f t="shared" si="2"/>
        <v>12064.100246098591</v>
      </c>
      <c r="F61" s="3"/>
      <c r="G61" s="28"/>
      <c r="H61" s="10"/>
      <c r="I61" s="10">
        <f t="shared" si="8"/>
        <v>7262</v>
      </c>
      <c r="J61" s="10">
        <f t="shared" si="6"/>
        <v>2998223980.610693</v>
      </c>
      <c r="K61" s="11">
        <f t="shared" si="7"/>
        <v>3.0100000000000016E-2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400800.6726278608</v>
      </c>
      <c r="D62" s="11">
        <v>3.0300000000000001E-2</v>
      </c>
      <c r="E62" s="10">
        <f t="shared" si="2"/>
        <v>11787.110919755592</v>
      </c>
      <c r="F62" s="3"/>
      <c r="G62" s="28"/>
      <c r="H62" s="10"/>
      <c r="I62" s="10">
        <f t="shared" si="8"/>
        <v>7262</v>
      </c>
      <c r="J62" s="10">
        <f t="shared" si="6"/>
        <v>2910614484.6235251</v>
      </c>
      <c r="K62" s="11">
        <f t="shared" si="7"/>
        <v>3.0299999999999994E-2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389013.5617081052</v>
      </c>
      <c r="D63" s="11">
        <v>3.0300000000000001E-2</v>
      </c>
      <c r="E63" s="10">
        <f t="shared" si="2"/>
        <v>11440.464835247607</v>
      </c>
      <c r="F63" s="3"/>
      <c r="G63" s="28"/>
      <c r="H63" s="10"/>
      <c r="I63" s="10">
        <f t="shared" si="8"/>
        <v>7262</v>
      </c>
      <c r="J63" s="10">
        <f t="shared" si="6"/>
        <v>2825016485.1242599</v>
      </c>
      <c r="K63" s="11">
        <f t="shared" si="7"/>
        <v>3.0300000000000216E-2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377573.0968728576</v>
      </c>
      <c r="D64" s="11">
        <v>3.0099999999999998E-2</v>
      </c>
      <c r="E64" s="10">
        <f t="shared" si="2"/>
        <v>11032.861096857581</v>
      </c>
      <c r="F64" s="3"/>
      <c r="G64" s="28"/>
      <c r="H64" s="10"/>
      <c r="I64" s="10">
        <f t="shared" si="8"/>
        <v>7262</v>
      </c>
      <c r="J64" s="10">
        <f t="shared" si="6"/>
        <v>2741935829.4906917</v>
      </c>
      <c r="K64" s="11">
        <f t="shared" si="7"/>
        <v>3.0099999999999794E-2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366540.23577600002</v>
      </c>
      <c r="D65" s="11">
        <v>2.9600000000000001E-2</v>
      </c>
      <c r="E65" s="10">
        <f t="shared" si="2"/>
        <v>10537.675776000018</v>
      </c>
      <c r="F65" s="3"/>
      <c r="G65" s="28"/>
      <c r="H65" s="10"/>
      <c r="I65" s="10">
        <f t="shared" si="8"/>
        <v>7262</v>
      </c>
      <c r="J65" s="10">
        <f t="shared" si="6"/>
        <v>2661815192.2053123</v>
      </c>
      <c r="K65" s="11">
        <f t="shared" si="7"/>
        <v>2.9600000000000071E-2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356002.56</v>
      </c>
      <c r="D66" s="11">
        <v>3.0099999999999998E-2</v>
      </c>
      <c r="E66" s="10">
        <f t="shared" si="2"/>
        <v>10402.559999999998</v>
      </c>
      <c r="F66" s="3"/>
      <c r="G66" s="28"/>
      <c r="H66" s="10"/>
      <c r="I66" s="10">
        <f t="shared" si="8"/>
        <v>7262</v>
      </c>
      <c r="J66" s="10">
        <f t="shared" ref="J66:J67" si="9">IF(I66="","",I66*C66)</f>
        <v>2585290590.7199998</v>
      </c>
      <c r="K66" s="11">
        <f t="shared" ref="K66" si="10">IFERROR(J66/J67-1,"")</f>
        <v>3.0100000000000016E-2</v>
      </c>
    </row>
    <row r="67" spans="1:11" ht="22.5" customHeight="1">
      <c r="A67" s="3">
        <f t="shared" si="0"/>
        <v>1950</v>
      </c>
      <c r="B67" s="3">
        <v>1700</v>
      </c>
      <c r="C67" s="10">
        <v>345600</v>
      </c>
      <c r="D67" s="11">
        <v>2.9600000000000001E-2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7262</v>
      </c>
      <c r="J67" s="10">
        <f t="shared" si="9"/>
        <v>2509747200</v>
      </c>
      <c r="K67" s="11"/>
    </row>
  </sheetData>
  <dataValidations count="1">
    <dataValidation type="custom" allowBlank="1" showDropDown="1" sqref="D2:D67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27" max="27" width="37.90625" customWidth="1"/>
  </cols>
  <sheetData>
    <row r="1" spans="1:28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t="s">
        <v>84</v>
      </c>
      <c r="AB1" t="s">
        <v>85</v>
      </c>
    </row>
    <row r="2" spans="1:28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20712262.830952272</v>
      </c>
      <c r="D2" s="11">
        <v>6.9999999999999999E-4</v>
      </c>
      <c r="E2" s="10">
        <f t="shared" ref="E2:E66" si="2">SUM(C2-C3)</f>
        <v>14488.442072212696</v>
      </c>
      <c r="F2" s="10">
        <v>20712000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8" ht="22.5" customHeight="1">
      <c r="A3" s="3">
        <f t="shared" si="0"/>
        <v>2014</v>
      </c>
      <c r="B3" s="3">
        <v>1764</v>
      </c>
      <c r="C3" s="10">
        <f t="shared" si="1"/>
        <v>20697774.388880059</v>
      </c>
      <c r="D3" s="11">
        <v>8.0000000000000004E-4</v>
      </c>
      <c r="E3" s="10">
        <f t="shared" si="2"/>
        <v>16544.983524281532</v>
      </c>
      <c r="F3" s="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8" ht="22.5" customHeight="1">
      <c r="A4" s="3">
        <f t="shared" si="0"/>
        <v>2013</v>
      </c>
      <c r="B4" s="3">
        <v>1763</v>
      </c>
      <c r="C4" s="10">
        <f t="shared" si="1"/>
        <v>20681229.405355778</v>
      </c>
      <c r="D4" s="11">
        <v>-1.9E-3</v>
      </c>
      <c r="E4" s="10">
        <f t="shared" si="2"/>
        <v>-39369.137230914086</v>
      </c>
      <c r="F4" s="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8" ht="22.5" customHeight="1">
      <c r="A5" s="3">
        <f t="shared" si="0"/>
        <v>2012</v>
      </c>
      <c r="B5" s="3">
        <v>1762</v>
      </c>
      <c r="C5" s="10">
        <f t="shared" si="1"/>
        <v>20720598.542586692</v>
      </c>
      <c r="D5" s="11">
        <v>-1.2999999999999999E-3</v>
      </c>
      <c r="E5" s="10">
        <f t="shared" si="2"/>
        <v>-26971.841499309987</v>
      </c>
      <c r="F5" s="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8" ht="22.5" customHeight="1">
      <c r="A6" s="3">
        <f t="shared" si="0"/>
        <v>2011</v>
      </c>
      <c r="B6" s="3">
        <v>1761</v>
      </c>
      <c r="C6" s="10">
        <f t="shared" si="1"/>
        <v>20747570.384086002</v>
      </c>
      <c r="D6" s="11">
        <v>1.4E-3</v>
      </c>
      <c r="E6" s="10">
        <f t="shared" si="2"/>
        <v>29005.990151509643</v>
      </c>
      <c r="F6" s="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8" ht="22.5" customHeight="1">
      <c r="A7" s="3">
        <f t="shared" si="0"/>
        <v>2010</v>
      </c>
      <c r="B7" s="3">
        <v>1760</v>
      </c>
      <c r="C7" s="10">
        <f t="shared" si="1"/>
        <v>20718564.393934492</v>
      </c>
      <c r="D7" s="11">
        <v>3.5000000000000001E-3</v>
      </c>
      <c r="E7" s="10">
        <f t="shared" si="2"/>
        <v>72262.058175157756</v>
      </c>
      <c r="F7" s="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8" ht="22.5" customHeight="1">
      <c r="A8" s="3">
        <f t="shared" si="0"/>
        <v>2009</v>
      </c>
      <c r="B8" s="3">
        <v>1759</v>
      </c>
      <c r="C8" s="10">
        <f t="shared" si="1"/>
        <v>20646302.335759334</v>
      </c>
      <c r="D8" s="11">
        <v>4.3E-3</v>
      </c>
      <c r="E8" s="10">
        <f t="shared" si="2"/>
        <v>88398.984410796314</v>
      </c>
      <c r="F8" s="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8" ht="22.5" customHeight="1">
      <c r="A9" s="3">
        <f t="shared" si="0"/>
        <v>2008</v>
      </c>
      <c r="B9" s="3">
        <v>1758</v>
      </c>
      <c r="C9" s="10">
        <f t="shared" si="1"/>
        <v>20557903.351348538</v>
      </c>
      <c r="D9" s="11">
        <v>2.8E-3</v>
      </c>
      <c r="E9" s="10">
        <f t="shared" si="2"/>
        <v>57401.405448518693</v>
      </c>
      <c r="F9" s="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8" ht="22.5" customHeight="1">
      <c r="A10" s="3">
        <f t="shared" si="0"/>
        <v>2007</v>
      </c>
      <c r="B10" s="3">
        <v>1757</v>
      </c>
      <c r="C10" s="10">
        <f t="shared" si="1"/>
        <v>20500501.945900019</v>
      </c>
      <c r="D10" s="11">
        <v>4.0000000000000001E-3</v>
      </c>
      <c r="E10" s="10">
        <f t="shared" si="2"/>
        <v>81675.306557372212</v>
      </c>
      <c r="F10" s="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8" ht="22.5" customHeight="1">
      <c r="A11" s="3">
        <f t="shared" si="0"/>
        <v>2006</v>
      </c>
      <c r="B11" s="3">
        <v>1756</v>
      </c>
      <c r="C11" s="10">
        <f t="shared" si="1"/>
        <v>20418826.639342647</v>
      </c>
      <c r="D11" s="11">
        <v>5.3E-3</v>
      </c>
      <c r="E11" s="10">
        <f t="shared" si="2"/>
        <v>107649.24021537602</v>
      </c>
      <c r="F11" s="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8" ht="22.5" customHeight="1">
      <c r="A12" s="3">
        <f t="shared" si="0"/>
        <v>2005</v>
      </c>
      <c r="B12" s="3">
        <v>1755</v>
      </c>
      <c r="C12" s="10">
        <f t="shared" si="1"/>
        <v>20311177.399127271</v>
      </c>
      <c r="D12" s="11">
        <v>6.3E-3</v>
      </c>
      <c r="E12" s="10">
        <f t="shared" si="2"/>
        <v>127159.31393669918</v>
      </c>
      <c r="F12" s="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8" ht="22.5" customHeight="1">
      <c r="A13" s="3">
        <f t="shared" si="0"/>
        <v>2004</v>
      </c>
      <c r="B13" s="3">
        <v>1754</v>
      </c>
      <c r="C13" s="10">
        <f t="shared" si="1"/>
        <v>20184018.085190572</v>
      </c>
      <c r="D13" s="11">
        <v>4.5999999999999999E-3</v>
      </c>
      <c r="E13" s="10">
        <f t="shared" si="2"/>
        <v>92421.345004852861</v>
      </c>
      <c r="F13" s="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8" ht="22.5" customHeight="1">
      <c r="A14" s="3">
        <f t="shared" si="0"/>
        <v>2003</v>
      </c>
      <c r="B14" s="3">
        <v>1753</v>
      </c>
      <c r="C14" s="10">
        <f t="shared" si="1"/>
        <v>20091596.740185719</v>
      </c>
      <c r="D14" s="11">
        <v>5.3E-3</v>
      </c>
      <c r="E14" s="10">
        <f t="shared" si="2"/>
        <v>105924.06517754495</v>
      </c>
      <c r="F14" s="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8" ht="22.5" customHeight="1">
      <c r="A15" s="3">
        <f t="shared" si="0"/>
        <v>2002</v>
      </c>
      <c r="B15" s="3">
        <v>1752</v>
      </c>
      <c r="C15" s="10">
        <f t="shared" si="1"/>
        <v>19985672.675008174</v>
      </c>
      <c r="D15" s="11">
        <v>7.7000000000000002E-3</v>
      </c>
      <c r="E15" s="10">
        <f t="shared" si="2"/>
        <v>152713.78346488252</v>
      </c>
      <c r="F15" s="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8" ht="22.5" customHeight="1">
      <c r="A16" s="3">
        <f t="shared" si="0"/>
        <v>2001</v>
      </c>
      <c r="B16" s="3">
        <v>1751</v>
      </c>
      <c r="C16" s="10">
        <f t="shared" si="1"/>
        <v>19832958.891543292</v>
      </c>
      <c r="D16" s="11">
        <v>5.0000000000000001E-3</v>
      </c>
      <c r="E16" s="10">
        <f t="shared" si="2"/>
        <v>98671.437271356583</v>
      </c>
      <c r="F16" s="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8" ht="22.5" customHeight="1">
      <c r="A17" s="3">
        <f t="shared" si="0"/>
        <v>2000</v>
      </c>
      <c r="B17" s="3">
        <v>1750</v>
      </c>
      <c r="C17" s="10">
        <f t="shared" si="1"/>
        <v>19734287.454271935</v>
      </c>
      <c r="D17" s="11">
        <v>5.1000000000000004E-3</v>
      </c>
      <c r="E17" s="10">
        <f t="shared" si="2"/>
        <v>100134.18169016764</v>
      </c>
      <c r="F17" s="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8" ht="22.5" customHeight="1">
      <c r="A18" s="3">
        <f t="shared" si="0"/>
        <v>1999</v>
      </c>
      <c r="B18" s="3">
        <v>1749</v>
      </c>
      <c r="C18" s="10">
        <f t="shared" si="1"/>
        <v>19634153.272581767</v>
      </c>
      <c r="D18" s="11">
        <v>7.6E-3</v>
      </c>
      <c r="E18" s="10">
        <f t="shared" si="2"/>
        <v>148094.05009093136</v>
      </c>
      <c r="F18" s="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8" ht="22.5" customHeight="1">
      <c r="A19" s="3">
        <f t="shared" si="0"/>
        <v>1998</v>
      </c>
      <c r="B19" s="3">
        <v>1748</v>
      </c>
      <c r="C19" s="10">
        <f t="shared" si="1"/>
        <v>19486059.222490836</v>
      </c>
      <c r="D19" s="11">
        <v>5.1000000000000004E-3</v>
      </c>
      <c r="E19" s="10">
        <f t="shared" si="2"/>
        <v>98874.641363751143</v>
      </c>
      <c r="F19" s="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8" ht="22.5" customHeight="1">
      <c r="A20" s="3">
        <f t="shared" si="0"/>
        <v>1997</v>
      </c>
      <c r="B20" s="3">
        <v>1747</v>
      </c>
      <c r="C20" s="10">
        <f t="shared" si="1"/>
        <v>19387184.581127085</v>
      </c>
      <c r="D20" s="11">
        <v>5.3E-3</v>
      </c>
      <c r="E20" s="10">
        <f t="shared" si="2"/>
        <v>102210.36335419863</v>
      </c>
      <c r="F20" s="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8" ht="22.5" customHeight="1">
      <c r="A21" s="3">
        <f t="shared" si="0"/>
        <v>1996</v>
      </c>
      <c r="B21" s="3">
        <v>1746</v>
      </c>
      <c r="C21" s="10">
        <f t="shared" si="1"/>
        <v>19284974.217772886</v>
      </c>
      <c r="D21" s="11">
        <v>2.0999999999999999E-3</v>
      </c>
      <c r="E21" s="10">
        <f t="shared" si="2"/>
        <v>40413.577344898134</v>
      </c>
      <c r="F21" s="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8" ht="22.5" customHeight="1">
      <c r="A22" s="3">
        <f t="shared" si="0"/>
        <v>1995</v>
      </c>
      <c r="B22" s="3">
        <v>1745</v>
      </c>
      <c r="C22" s="10">
        <f t="shared" si="1"/>
        <v>19244560.640427988</v>
      </c>
      <c r="D22" s="11">
        <v>4.0000000000000001E-3</v>
      </c>
      <c r="E22" s="10">
        <f t="shared" si="2"/>
        <v>76671.55633636564</v>
      </c>
      <c r="F22" s="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8" ht="22.5" customHeight="1">
      <c r="A23" s="3">
        <f t="shared" si="0"/>
        <v>1994</v>
      </c>
      <c r="B23" s="3">
        <v>1744</v>
      </c>
      <c r="C23" s="10">
        <f t="shared" si="1"/>
        <v>19167889.084091622</v>
      </c>
      <c r="D23" s="11">
        <v>5.1999999999999998E-3</v>
      </c>
      <c r="E23" s="10">
        <f t="shared" si="2"/>
        <v>99157.40473266691</v>
      </c>
      <c r="F23" s="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8" ht="22.5" customHeight="1">
      <c r="A24" s="3">
        <f t="shared" si="0"/>
        <v>1993</v>
      </c>
      <c r="B24" s="3">
        <v>1743</v>
      </c>
      <c r="C24" s="10">
        <f t="shared" si="1"/>
        <v>19068731.679358955</v>
      </c>
      <c r="D24" s="11">
        <v>5.7999999999999996E-3</v>
      </c>
      <c r="E24" s="10">
        <f t="shared" si="2"/>
        <v>109960.87069027871</v>
      </c>
      <c r="F24" s="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8" ht="22.5" customHeight="1">
      <c r="A25" s="3">
        <f t="shared" si="0"/>
        <v>1992</v>
      </c>
      <c r="B25" s="3">
        <v>1742</v>
      </c>
      <c r="C25" s="10">
        <f t="shared" si="1"/>
        <v>18958770.808668677</v>
      </c>
      <c r="D25" s="11">
        <v>7.7000000000000002E-3</v>
      </c>
      <c r="E25" s="10">
        <f t="shared" si="2"/>
        <v>144867.05887342244</v>
      </c>
      <c r="F25" s="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8" ht="22.5" customHeight="1">
      <c r="A26" s="3">
        <f t="shared" si="0"/>
        <v>1991</v>
      </c>
      <c r="B26" s="3">
        <v>1741</v>
      </c>
      <c r="C26" s="10">
        <f t="shared" si="1"/>
        <v>18813903.749795254</v>
      </c>
      <c r="D26" s="11">
        <v>8.3999999999999995E-3</v>
      </c>
      <c r="E26" s="10">
        <f t="shared" si="2"/>
        <v>156720.34063692763</v>
      </c>
      <c r="F26" s="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8" ht="22.5" customHeight="1">
      <c r="A27" s="3">
        <f t="shared" si="0"/>
        <v>1990</v>
      </c>
      <c r="B27" s="3">
        <v>1740</v>
      </c>
      <c r="C27" s="10">
        <f t="shared" si="1"/>
        <v>18657183.409158327</v>
      </c>
      <c r="D27" s="11">
        <v>7.1000000000000004E-3</v>
      </c>
      <c r="E27" s="10">
        <f t="shared" si="2"/>
        <v>131532.12412374839</v>
      </c>
      <c r="F27" s="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t="s">
        <v>88</v>
      </c>
      <c r="AB27" t="s">
        <v>89</v>
      </c>
    </row>
    <row r="28" spans="1:28" ht="22.5" customHeight="1">
      <c r="A28" s="3">
        <f t="shared" si="0"/>
        <v>1989</v>
      </c>
      <c r="B28" s="3">
        <v>1739</v>
      </c>
      <c r="C28" s="10">
        <f t="shared" si="1"/>
        <v>18525651.285034578</v>
      </c>
      <c r="D28" s="11">
        <v>7.1999999999999998E-3</v>
      </c>
      <c r="E28" s="10">
        <f t="shared" si="2"/>
        <v>132431.18472225219</v>
      </c>
      <c r="F28" s="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8" ht="22.5" customHeight="1">
      <c r="A29" s="3">
        <f t="shared" si="0"/>
        <v>1988</v>
      </c>
      <c r="B29" s="3">
        <v>1738</v>
      </c>
      <c r="C29" s="10">
        <f t="shared" si="1"/>
        <v>18393220.100312326</v>
      </c>
      <c r="D29" s="11">
        <v>9.4000000000000004E-3</v>
      </c>
      <c r="E29" s="10">
        <f t="shared" si="2"/>
        <v>171286.17886163667</v>
      </c>
      <c r="F29" s="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8" ht="22.5" customHeight="1">
      <c r="A30" s="3">
        <f t="shared" si="0"/>
        <v>1987</v>
      </c>
      <c r="B30" s="3">
        <v>1737</v>
      </c>
      <c r="C30" s="10">
        <f t="shared" si="1"/>
        <v>18221933.921450689</v>
      </c>
      <c r="D30" s="12">
        <v>9.4999999999999998E-3</v>
      </c>
      <c r="E30" s="10">
        <f t="shared" si="2"/>
        <v>171479.31872588769</v>
      </c>
      <c r="F30" s="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8" ht="22.5" customHeight="1">
      <c r="A31" s="3">
        <f t="shared" si="0"/>
        <v>1986</v>
      </c>
      <c r="B31" s="3">
        <v>1736</v>
      </c>
      <c r="C31" s="10">
        <f t="shared" si="1"/>
        <v>18050454.602724802</v>
      </c>
      <c r="D31" s="13">
        <v>1.01E-2</v>
      </c>
      <c r="E31" s="10">
        <f t="shared" si="2"/>
        <v>180486.67605932057</v>
      </c>
      <c r="F31" s="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8" ht="22.5" customHeight="1">
      <c r="A32" s="3">
        <f t="shared" si="0"/>
        <v>1985</v>
      </c>
      <c r="B32" s="3">
        <v>1735</v>
      </c>
      <c r="C32" s="10">
        <f t="shared" si="1"/>
        <v>17869967.926665481</v>
      </c>
      <c r="D32" s="12">
        <v>1.01E-2</v>
      </c>
      <c r="E32" s="10">
        <f t="shared" si="2"/>
        <v>178681.98798071593</v>
      </c>
      <c r="F32" s="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8" ht="22.5" customHeight="1">
      <c r="A33" s="3">
        <f t="shared" si="0"/>
        <v>1984</v>
      </c>
      <c r="B33" s="3">
        <v>1734</v>
      </c>
      <c r="C33" s="10">
        <f t="shared" si="1"/>
        <v>17691285.938684765</v>
      </c>
      <c r="D33" s="13">
        <v>1.0200000000000001E-2</v>
      </c>
      <c r="E33" s="10">
        <f t="shared" si="2"/>
        <v>178629.09975706413</v>
      </c>
      <c r="F33" s="3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8" ht="22.5" customHeight="1">
      <c r="A34" s="3">
        <f t="shared" si="0"/>
        <v>1983</v>
      </c>
      <c r="B34" s="3">
        <v>1733</v>
      </c>
      <c r="C34" s="10">
        <f t="shared" si="1"/>
        <v>17512656.838927701</v>
      </c>
      <c r="D34" s="12">
        <v>1.04E-2</v>
      </c>
      <c r="E34" s="10">
        <f t="shared" si="2"/>
        <v>180256.95875380933</v>
      </c>
      <c r="F34" s="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8" ht="22.5" customHeight="1">
      <c r="A35" s="3">
        <f t="shared" si="0"/>
        <v>1982</v>
      </c>
      <c r="B35" s="3">
        <v>1732</v>
      </c>
      <c r="C35" s="10">
        <f t="shared" si="1"/>
        <v>17332399.880173892</v>
      </c>
      <c r="D35" s="11">
        <v>9.9000000000000008E-3</v>
      </c>
      <c r="E35" s="10">
        <f t="shared" si="2"/>
        <v>169908.66304953024</v>
      </c>
      <c r="F35" s="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8" ht="22.5" customHeight="1">
      <c r="A36" s="3">
        <f t="shared" si="0"/>
        <v>1981</v>
      </c>
      <c r="B36" s="3">
        <v>1731</v>
      </c>
      <c r="C36" s="10">
        <f t="shared" si="1"/>
        <v>17162491.217124362</v>
      </c>
      <c r="D36" s="11">
        <v>9.9000000000000008E-3</v>
      </c>
      <c r="E36" s="10">
        <f t="shared" si="2"/>
        <v>168243.05678733811</v>
      </c>
      <c r="F36" s="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8" ht="22.5" customHeight="1">
      <c r="A37" s="3">
        <f t="shared" si="0"/>
        <v>1980</v>
      </c>
      <c r="B37" s="3">
        <v>1730</v>
      </c>
      <c r="C37" s="10">
        <f t="shared" si="1"/>
        <v>16994248.160337023</v>
      </c>
      <c r="D37" s="11">
        <v>9.7999999999999997E-3</v>
      </c>
      <c r="E37" s="10">
        <f t="shared" si="2"/>
        <v>164927.34400010109</v>
      </c>
      <c r="F37" s="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t="s">
        <v>92</v>
      </c>
      <c r="AB37" t="s">
        <v>93</v>
      </c>
    </row>
    <row r="38" spans="1:28" ht="22.5" customHeight="1">
      <c r="A38" s="3">
        <f t="shared" si="0"/>
        <v>1979</v>
      </c>
      <c r="B38" s="3">
        <v>1729</v>
      </c>
      <c r="C38" s="10">
        <f t="shared" si="1"/>
        <v>16829320.816336922</v>
      </c>
      <c r="D38" s="11">
        <v>9.9000000000000008E-3</v>
      </c>
      <c r="E38" s="10">
        <f t="shared" si="2"/>
        <v>164977.00374466367</v>
      </c>
      <c r="F38" s="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t="s">
        <v>98</v>
      </c>
      <c r="AB38" t="s">
        <v>99</v>
      </c>
    </row>
    <row r="39" spans="1:28" ht="22.5" customHeight="1">
      <c r="A39" s="3">
        <f t="shared" si="0"/>
        <v>1978</v>
      </c>
      <c r="B39" s="3">
        <v>1728</v>
      </c>
      <c r="C39" s="10">
        <f t="shared" si="1"/>
        <v>16664343.812592259</v>
      </c>
      <c r="D39" s="11">
        <v>9.9000000000000008E-3</v>
      </c>
      <c r="E39" s="10">
        <f t="shared" si="2"/>
        <v>163359.74229593389</v>
      </c>
      <c r="F39" s="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8" ht="22.5" customHeight="1">
      <c r="A40" s="3">
        <f t="shared" si="0"/>
        <v>1977</v>
      </c>
      <c r="B40" s="3">
        <v>1727</v>
      </c>
      <c r="C40" s="10">
        <f t="shared" si="1"/>
        <v>16500984.070296325</v>
      </c>
      <c r="D40" s="11">
        <v>9.7999999999999997E-3</v>
      </c>
      <c r="E40" s="10">
        <f t="shared" si="2"/>
        <v>160140.26925025135</v>
      </c>
      <c r="F40" s="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8" ht="22.5" customHeight="1">
      <c r="A41" s="3">
        <f t="shared" si="0"/>
        <v>1976</v>
      </c>
      <c r="B41" s="3">
        <v>1726</v>
      </c>
      <c r="C41" s="10">
        <f t="shared" si="1"/>
        <v>16340843.801046073</v>
      </c>
      <c r="D41" s="11">
        <v>1.23E-2</v>
      </c>
      <c r="E41" s="10">
        <f t="shared" si="2"/>
        <v>198550.21115565114</v>
      </c>
      <c r="F41" s="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8" ht="22.5" customHeight="1">
      <c r="A42" s="3">
        <f t="shared" si="0"/>
        <v>1975</v>
      </c>
      <c r="B42" s="3">
        <v>1725</v>
      </c>
      <c r="C42" s="10">
        <f t="shared" si="1"/>
        <v>16142293.589890422</v>
      </c>
      <c r="D42" s="11">
        <v>1.47E-2</v>
      </c>
      <c r="E42" s="10">
        <f t="shared" si="2"/>
        <v>233854.06107360683</v>
      </c>
      <c r="F42" s="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t="s">
        <v>96</v>
      </c>
      <c r="AB42" t="s">
        <v>97</v>
      </c>
    </row>
    <row r="43" spans="1:28" ht="22.5" customHeight="1">
      <c r="A43" s="3">
        <f t="shared" si="0"/>
        <v>1974</v>
      </c>
      <c r="B43" s="3">
        <v>1724</v>
      </c>
      <c r="C43" s="10">
        <f t="shared" si="1"/>
        <v>15908439.528816815</v>
      </c>
      <c r="D43" s="11">
        <v>1.55E-2</v>
      </c>
      <c r="E43" s="10">
        <f t="shared" si="2"/>
        <v>242817.14691941068</v>
      </c>
      <c r="F43" s="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8" ht="22.5" customHeight="1">
      <c r="A44" s="3">
        <f t="shared" si="0"/>
        <v>1973</v>
      </c>
      <c r="B44" s="3">
        <v>1723</v>
      </c>
      <c r="C44" s="10">
        <f t="shared" si="1"/>
        <v>15665622.381897405</v>
      </c>
      <c r="D44" s="11">
        <v>1.5599999999999999E-2</v>
      </c>
      <c r="E44" s="10">
        <f t="shared" si="2"/>
        <v>240629.88298306428</v>
      </c>
      <c r="F44" s="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8" ht="22.5" customHeight="1">
      <c r="A45" s="3">
        <f t="shared" si="0"/>
        <v>1972</v>
      </c>
      <c r="B45" s="3">
        <v>1722</v>
      </c>
      <c r="C45" s="10">
        <f t="shared" si="1"/>
        <v>15424992.498914341</v>
      </c>
      <c r="D45" s="11">
        <v>1.5599999999999999E-2</v>
      </c>
      <c r="E45" s="10">
        <f t="shared" si="2"/>
        <v>236933.71699789725</v>
      </c>
      <c r="F45" s="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8" ht="22.5" customHeight="1">
      <c r="A46" s="3">
        <f t="shared" si="0"/>
        <v>1971</v>
      </c>
      <c r="B46" s="3">
        <v>1721</v>
      </c>
      <c r="C46" s="10">
        <f t="shared" si="1"/>
        <v>15188058.781916443</v>
      </c>
      <c r="D46" s="11">
        <v>1.52E-2</v>
      </c>
      <c r="E46" s="10">
        <f t="shared" si="2"/>
        <v>227401.98333838768</v>
      </c>
      <c r="F46" s="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8" ht="22.5" customHeight="1">
      <c r="A47" s="3">
        <f t="shared" si="0"/>
        <v>1970</v>
      </c>
      <c r="B47" s="3">
        <v>1720</v>
      </c>
      <c r="C47" s="10">
        <f t="shared" si="1"/>
        <v>14960656.798578056</v>
      </c>
      <c r="D47" s="11">
        <v>1.52E-2</v>
      </c>
      <c r="E47" s="10">
        <f t="shared" si="2"/>
        <v>223997.22551062703</v>
      </c>
      <c r="F47" s="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8" ht="22.5" customHeight="1">
      <c r="A48" s="3">
        <f t="shared" si="0"/>
        <v>1969</v>
      </c>
      <c r="B48" s="3">
        <v>1719</v>
      </c>
      <c r="C48" s="10">
        <f t="shared" si="1"/>
        <v>14736659.573067429</v>
      </c>
      <c r="D48" s="11">
        <v>1.5599999999999999E-2</v>
      </c>
      <c r="E48" s="10">
        <f t="shared" si="2"/>
        <v>226360.66299709864</v>
      </c>
      <c r="F48" s="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8" ht="22.5" customHeight="1">
      <c r="A49" s="3">
        <f t="shared" si="0"/>
        <v>1968</v>
      </c>
      <c r="B49" s="3">
        <v>1718</v>
      </c>
      <c r="C49" s="10">
        <f t="shared" si="1"/>
        <v>14510298.91007033</v>
      </c>
      <c r="D49" s="11">
        <v>1.6E-2</v>
      </c>
      <c r="E49" s="10">
        <f t="shared" si="2"/>
        <v>228508.64425307699</v>
      </c>
      <c r="F49" s="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8" ht="22.5" customHeight="1">
      <c r="A50" s="3">
        <f t="shared" si="0"/>
        <v>1967</v>
      </c>
      <c r="B50" s="3">
        <v>1717</v>
      </c>
      <c r="C50" s="10">
        <f t="shared" si="1"/>
        <v>14281790.265817253</v>
      </c>
      <c r="D50" s="11">
        <v>1.6799999999999999E-2</v>
      </c>
      <c r="E50" s="10">
        <f t="shared" si="2"/>
        <v>235969.78409296647</v>
      </c>
      <c r="F50" s="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8" ht="22.5" customHeight="1">
      <c r="A51" s="3">
        <f t="shared" si="0"/>
        <v>1966</v>
      </c>
      <c r="B51" s="3">
        <v>1716</v>
      </c>
      <c r="C51" s="10">
        <f t="shared" si="1"/>
        <v>14045820.481724286</v>
      </c>
      <c r="D51" s="11">
        <v>1.7100000000000001E-2</v>
      </c>
      <c r="E51" s="10">
        <f t="shared" si="2"/>
        <v>236145.4431594573</v>
      </c>
      <c r="F51" s="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8" ht="22.5" customHeight="1">
      <c r="A52" s="3">
        <f t="shared" si="0"/>
        <v>1965</v>
      </c>
      <c r="B52" s="3">
        <v>1715</v>
      </c>
      <c r="C52" s="10">
        <f t="shared" si="1"/>
        <v>13809675.038564829</v>
      </c>
      <c r="D52" s="11">
        <v>1.77E-2</v>
      </c>
      <c r="E52" s="10">
        <f t="shared" si="2"/>
        <v>240180.06110110879</v>
      </c>
      <c r="F52" s="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8" ht="22.5" customHeight="1">
      <c r="A53" s="3">
        <f t="shared" si="0"/>
        <v>1964</v>
      </c>
      <c r="B53" s="3">
        <v>1714</v>
      </c>
      <c r="C53" s="10">
        <f t="shared" si="1"/>
        <v>13569494.97746372</v>
      </c>
      <c r="D53" s="11">
        <v>1.8800000000000001E-2</v>
      </c>
      <c r="E53" s="10">
        <f t="shared" si="2"/>
        <v>250399.0042955596</v>
      </c>
      <c r="F53" s="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8" ht="22.5" customHeight="1">
      <c r="A54" s="3">
        <f t="shared" si="0"/>
        <v>1963</v>
      </c>
      <c r="B54" s="3">
        <v>1713</v>
      </c>
      <c r="C54" s="10">
        <f t="shared" si="1"/>
        <v>13319095.973168161</v>
      </c>
      <c r="D54" s="11">
        <v>1.9699999999999999E-2</v>
      </c>
      <c r="E54" s="10">
        <f t="shared" si="2"/>
        <v>257317.04488713667</v>
      </c>
      <c r="F54" s="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8" ht="22.5" customHeight="1">
      <c r="A55" s="3">
        <f t="shared" si="0"/>
        <v>1962</v>
      </c>
      <c r="B55" s="3">
        <v>1712</v>
      </c>
      <c r="C55" s="10">
        <f t="shared" si="1"/>
        <v>13061778.928281024</v>
      </c>
      <c r="D55" s="11">
        <v>2.18E-2</v>
      </c>
      <c r="E55" s="10">
        <f t="shared" si="2"/>
        <v>278671.73677483574</v>
      </c>
      <c r="F55" s="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8" ht="22.5" customHeight="1">
      <c r="A56" s="3">
        <f t="shared" si="0"/>
        <v>1961</v>
      </c>
      <c r="B56" s="3">
        <v>1711</v>
      </c>
      <c r="C56" s="10">
        <f t="shared" si="1"/>
        <v>12783107.191506188</v>
      </c>
      <c r="D56" s="11">
        <v>2.2599999999999999E-2</v>
      </c>
      <c r="E56" s="10">
        <f t="shared" si="2"/>
        <v>282513.41925292276</v>
      </c>
      <c r="F56" s="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8" ht="22.5" customHeight="1">
      <c r="A57" s="3">
        <f t="shared" si="0"/>
        <v>1960</v>
      </c>
      <c r="B57" s="3">
        <v>1710</v>
      </c>
      <c r="C57" s="10">
        <f t="shared" si="1"/>
        <v>12500593.772253266</v>
      </c>
      <c r="D57" s="11">
        <v>2.3199999999999998E-2</v>
      </c>
      <c r="E57" s="10">
        <f t="shared" si="2"/>
        <v>283438.01360074058</v>
      </c>
      <c r="F57" s="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8" ht="22.5" customHeight="1">
      <c r="A58" s="3">
        <f t="shared" si="0"/>
        <v>1959</v>
      </c>
      <c r="B58" s="3">
        <v>1709</v>
      </c>
      <c r="C58" s="10">
        <f t="shared" si="1"/>
        <v>12217155.758652525</v>
      </c>
      <c r="D58" s="11">
        <v>2.3400000000000001E-2</v>
      </c>
      <c r="E58" s="10">
        <f t="shared" si="2"/>
        <v>279344.77697134018</v>
      </c>
      <c r="F58" s="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8" ht="22.5" customHeight="1">
      <c r="A59" s="3">
        <f t="shared" si="0"/>
        <v>1958</v>
      </c>
      <c r="B59" s="3">
        <v>1708</v>
      </c>
      <c r="C59" s="10">
        <f t="shared" si="1"/>
        <v>11937810.981681185</v>
      </c>
      <c r="D59" s="11">
        <v>2.5100000000000001E-2</v>
      </c>
      <c r="E59" s="10">
        <f t="shared" si="2"/>
        <v>292302.26869592816</v>
      </c>
      <c r="F59" s="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8" ht="22.5" customHeight="1">
      <c r="A60" s="3">
        <f t="shared" si="0"/>
        <v>1957</v>
      </c>
      <c r="B60" s="3">
        <v>1707</v>
      </c>
      <c r="C60" s="10">
        <f t="shared" si="1"/>
        <v>11645508.712985257</v>
      </c>
      <c r="D60" s="11">
        <v>2.5399999999999999E-2</v>
      </c>
      <c r="E60" s="10">
        <f t="shared" si="2"/>
        <v>288468.81344824098</v>
      </c>
      <c r="F60" s="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8" ht="22.5" customHeight="1">
      <c r="A61" s="3">
        <f t="shared" si="0"/>
        <v>1956</v>
      </c>
      <c r="B61" s="3">
        <v>1706</v>
      </c>
      <c r="C61" s="10">
        <f t="shared" si="1"/>
        <v>11357039.899537016</v>
      </c>
      <c r="D61" s="11">
        <v>2.6200000000000001E-2</v>
      </c>
      <c r="E61" s="10">
        <f t="shared" si="2"/>
        <v>289957.55736490898</v>
      </c>
      <c r="F61" s="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8" ht="22.5" customHeight="1">
      <c r="A62" s="3">
        <f t="shared" si="0"/>
        <v>1955</v>
      </c>
      <c r="B62" s="3">
        <v>1705</v>
      </c>
      <c r="C62" s="10">
        <f t="shared" si="1"/>
        <v>11067082.342172107</v>
      </c>
      <c r="D62" s="11">
        <v>2.7799999999999998E-2</v>
      </c>
      <c r="E62" s="10">
        <f t="shared" si="2"/>
        <v>299343.14955476299</v>
      </c>
      <c r="F62" s="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8" ht="22.5" customHeight="1">
      <c r="A63" s="3">
        <f t="shared" si="0"/>
        <v>1954</v>
      </c>
      <c r="B63" s="3">
        <v>1704</v>
      </c>
      <c r="C63" s="10">
        <f t="shared" si="1"/>
        <v>10767739.192617344</v>
      </c>
      <c r="D63" s="11">
        <v>2.86E-2</v>
      </c>
      <c r="E63" s="10">
        <f t="shared" si="2"/>
        <v>299394.65380989201</v>
      </c>
      <c r="F63" s="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8" ht="22.5" customHeight="1">
      <c r="A64" s="3">
        <f t="shared" si="0"/>
        <v>1953</v>
      </c>
      <c r="B64" s="3">
        <v>1703</v>
      </c>
      <c r="C64" s="10">
        <f t="shared" si="1"/>
        <v>10468344.538807452</v>
      </c>
      <c r="D64" s="11">
        <v>2.9700000000000001E-2</v>
      </c>
      <c r="E64" s="10">
        <f t="shared" si="2"/>
        <v>301942.15092025138</v>
      </c>
      <c r="F64" s="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t="s">
        <v>104</v>
      </c>
      <c r="AB64" t="s">
        <v>105</v>
      </c>
    </row>
    <row r="65" spans="1:26" ht="22.5" customHeight="1">
      <c r="A65" s="3">
        <f t="shared" si="0"/>
        <v>1952</v>
      </c>
      <c r="B65" s="3">
        <v>1702</v>
      </c>
      <c r="C65" s="10">
        <f t="shared" si="1"/>
        <v>10166402.3878872</v>
      </c>
      <c r="D65" s="11">
        <v>3.0839999999999999E-2</v>
      </c>
      <c r="E65" s="10">
        <f t="shared" si="2"/>
        <v>304151.80788720027</v>
      </c>
      <c r="F65" s="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2.5" customHeight="1">
      <c r="A66" s="3">
        <f t="shared" si="0"/>
        <v>1951</v>
      </c>
      <c r="B66" s="3">
        <v>1701</v>
      </c>
      <c r="C66" s="10">
        <f t="shared" si="1"/>
        <v>9862250.5800000001</v>
      </c>
      <c r="D66" s="11">
        <v>3.1940000000000003E-2</v>
      </c>
      <c r="E66" s="10">
        <f t="shared" si="2"/>
        <v>305250.58000000007</v>
      </c>
      <c r="F66" s="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2.5" customHeight="1">
      <c r="A67" s="3">
        <f t="shared" si="0"/>
        <v>1950</v>
      </c>
      <c r="B67" s="3">
        <v>1700</v>
      </c>
      <c r="C67" s="10">
        <v>9557000</v>
      </c>
      <c r="D67" s="11">
        <v>3.304E-2</v>
      </c>
      <c r="E67" s="3" t="s">
        <v>72</v>
      </c>
      <c r="F67" s="3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</sheetData>
  <dataValidations count="1">
    <dataValidation type="custom" allowBlank="1" showDropDown="1" sqref="D2:D67" xr:uid="{00000000-0002-0000-0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2239038.8372365632</v>
      </c>
      <c r="D2" s="11">
        <v>7.1000000000000004E-3</v>
      </c>
      <c r="E2" s="10">
        <f t="shared" ref="E2:E66" si="2">SUM(C2-C3)</f>
        <v>15785.101523562334</v>
      </c>
      <c r="F2" s="15">
        <v>2236563</v>
      </c>
      <c r="G2" s="28"/>
      <c r="H2" s="10"/>
      <c r="I2" s="10">
        <f>IF(H2&lt;&gt;"",H2,1917)</f>
        <v>1917</v>
      </c>
      <c r="J2" s="10">
        <f t="shared" ref="J2:J33" si="3">IF(I2="","",I2*C2)</f>
        <v>4292237450.9824915</v>
      </c>
      <c r="K2" s="11">
        <f t="shared" ref="K2:K33" si="4">IFERROR(J2/J3-1,"")</f>
        <v>7.0999999999998842E-3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2223253.7357130009</v>
      </c>
      <c r="D3" s="11">
        <v>5.4999999999999997E-3</v>
      </c>
      <c r="E3" s="10">
        <f t="shared" si="2"/>
        <v>12161.009991468396</v>
      </c>
      <c r="F3" s="3"/>
      <c r="G3" s="28"/>
      <c r="H3" s="10"/>
      <c r="I3" s="10">
        <f t="shared" ref="I3:I34" si="5">IF(H3&lt;&gt;"",H3,I2/(1+IF(G2="",0,G2)/100))</f>
        <v>1917</v>
      </c>
      <c r="J3" s="10">
        <f t="shared" si="3"/>
        <v>4261977411.3618226</v>
      </c>
      <c r="K3" s="11">
        <f t="shared" si="4"/>
        <v>5.5000000000000604E-3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2211092.7257215325</v>
      </c>
      <c r="D4" s="11">
        <v>4.1999999999999997E-3</v>
      </c>
      <c r="E4" s="10">
        <f t="shared" si="2"/>
        <v>9247.7489026393741</v>
      </c>
      <c r="F4" s="3"/>
      <c r="G4" s="28"/>
      <c r="H4" s="10"/>
      <c r="I4" s="10">
        <f t="shared" si="5"/>
        <v>1917</v>
      </c>
      <c r="J4" s="10">
        <f t="shared" si="3"/>
        <v>4238664755.2081776</v>
      </c>
      <c r="K4" s="11">
        <f t="shared" si="4"/>
        <v>4.1999999999999815E-3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2201844.9768188931</v>
      </c>
      <c r="D5" s="11">
        <v>3.8E-3</v>
      </c>
      <c r="E5" s="10">
        <f t="shared" si="2"/>
        <v>8335.3366327076219</v>
      </c>
      <c r="F5" s="3"/>
      <c r="G5" s="28"/>
      <c r="H5" s="10"/>
      <c r="I5" s="10">
        <f t="shared" si="5"/>
        <v>1917</v>
      </c>
      <c r="J5" s="10">
        <f t="shared" si="3"/>
        <v>4220936820.5618181</v>
      </c>
      <c r="K5" s="11">
        <f t="shared" si="4"/>
        <v>3.8000000000000256E-3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2193509.6401861855</v>
      </c>
      <c r="D6" s="11">
        <v>4.1000000000000003E-3</v>
      </c>
      <c r="E6" s="10">
        <f t="shared" si="2"/>
        <v>8956.6671892874874</v>
      </c>
      <c r="F6" s="3"/>
      <c r="G6" s="28"/>
      <c r="H6" s="10"/>
      <c r="I6" s="10">
        <f t="shared" si="5"/>
        <v>1917</v>
      </c>
      <c r="J6" s="10">
        <f t="shared" si="3"/>
        <v>4204957980.2369175</v>
      </c>
      <c r="K6" s="11">
        <f t="shared" si="4"/>
        <v>4.0999999999999925E-3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2184552.972996898</v>
      </c>
      <c r="D7" s="11">
        <v>4.4000000000000003E-3</v>
      </c>
      <c r="E7" s="10">
        <f t="shared" si="2"/>
        <v>9569.9254093850031</v>
      </c>
      <c r="F7" s="3"/>
      <c r="G7" s="28"/>
      <c r="H7" s="10"/>
      <c r="I7" s="10">
        <f t="shared" si="5"/>
        <v>1917</v>
      </c>
      <c r="J7" s="10">
        <f t="shared" si="3"/>
        <v>4187788049.2350535</v>
      </c>
      <c r="K7" s="11">
        <f t="shared" si="4"/>
        <v>4.3999999999999595E-3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2174983.047587513</v>
      </c>
      <c r="D8" s="11">
        <v>5.4000000000000003E-3</v>
      </c>
      <c r="E8" s="10">
        <f t="shared" si="2"/>
        <v>11681.826593368314</v>
      </c>
      <c r="F8" s="3"/>
      <c r="G8" s="28"/>
      <c r="H8" s="10"/>
      <c r="I8" s="10">
        <f t="shared" si="5"/>
        <v>1917</v>
      </c>
      <c r="J8" s="10">
        <f t="shared" si="3"/>
        <v>4169442502.2252626</v>
      </c>
      <c r="K8" s="11">
        <f t="shared" si="4"/>
        <v>5.4000000000000714E-3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2163301.2209941447</v>
      </c>
      <c r="D9" s="11">
        <v>5.8999999999999999E-3</v>
      </c>
      <c r="E9" s="10">
        <f t="shared" si="2"/>
        <v>12688.614379029255</v>
      </c>
      <c r="F9" s="3"/>
      <c r="G9" s="28"/>
      <c r="H9" s="10"/>
      <c r="I9" s="10">
        <f t="shared" si="5"/>
        <v>1917</v>
      </c>
      <c r="J9" s="10">
        <f t="shared" si="3"/>
        <v>4147048440.6457753</v>
      </c>
      <c r="K9" s="11">
        <f t="shared" si="4"/>
        <v>5.9000000000000163E-3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2150612.6066151154</v>
      </c>
      <c r="D10" s="11">
        <v>4.4000000000000003E-3</v>
      </c>
      <c r="E10" s="10">
        <f t="shared" si="2"/>
        <v>9421.2420042874292</v>
      </c>
      <c r="F10" s="3"/>
      <c r="G10" s="28"/>
      <c r="H10" s="10"/>
      <c r="I10" s="10">
        <f t="shared" si="5"/>
        <v>1917</v>
      </c>
      <c r="J10" s="10">
        <f t="shared" si="3"/>
        <v>4122724366.8811765</v>
      </c>
      <c r="K10" s="11">
        <f t="shared" si="4"/>
        <v>4.3999999999999595E-3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2141191.364610828</v>
      </c>
      <c r="D11" s="11">
        <v>3.3E-3</v>
      </c>
      <c r="E11" s="10">
        <f t="shared" si="2"/>
        <v>7042.6906241560355</v>
      </c>
      <c r="F11" s="3"/>
      <c r="G11" s="28"/>
      <c r="H11" s="10"/>
      <c r="I11" s="10">
        <f t="shared" si="5"/>
        <v>1917</v>
      </c>
      <c r="J11" s="10">
        <f t="shared" si="3"/>
        <v>4104663845.9589572</v>
      </c>
      <c r="K11" s="11">
        <f t="shared" si="4"/>
        <v>3.3000000000000806E-3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2134148.673986672</v>
      </c>
      <c r="D12" s="11">
        <v>2.8E-3</v>
      </c>
      <c r="E12" s="10">
        <f t="shared" si="2"/>
        <v>5958.9312795796432</v>
      </c>
      <c r="F12" s="3"/>
      <c r="G12" s="28"/>
      <c r="H12" s="10"/>
      <c r="I12" s="10">
        <f t="shared" si="5"/>
        <v>1917</v>
      </c>
      <c r="J12" s="10">
        <f t="shared" si="3"/>
        <v>4091163008.0324502</v>
      </c>
      <c r="K12" s="11">
        <f t="shared" si="4"/>
        <v>2.7999999999999137E-3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2128189.7427070923</v>
      </c>
      <c r="D13" s="11">
        <v>2.5999999999999999E-3</v>
      </c>
      <c r="E13" s="10">
        <f t="shared" si="2"/>
        <v>5518.9440764393657</v>
      </c>
      <c r="F13" s="3"/>
      <c r="G13" s="28"/>
      <c r="H13" s="10"/>
      <c r="I13" s="10">
        <f t="shared" si="5"/>
        <v>1917</v>
      </c>
      <c r="J13" s="10">
        <f t="shared" si="3"/>
        <v>4079739736.769496</v>
      </c>
      <c r="K13" s="11">
        <f t="shared" si="4"/>
        <v>2.5999999999999357E-3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2122670.7986306529</v>
      </c>
      <c r="D14" s="11">
        <v>2.7000000000000001E-3</v>
      </c>
      <c r="E14" s="10">
        <f t="shared" si="2"/>
        <v>5715.7785542062484</v>
      </c>
      <c r="F14" s="3"/>
      <c r="G14" s="28"/>
      <c r="H14" s="10"/>
      <c r="I14" s="10">
        <f t="shared" si="5"/>
        <v>1917</v>
      </c>
      <c r="J14" s="10">
        <f t="shared" si="3"/>
        <v>4069159920.9749618</v>
      </c>
      <c r="K14" s="11">
        <f t="shared" si="4"/>
        <v>2.6999999999999247E-3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2116955.0200764467</v>
      </c>
      <c r="D15" s="11">
        <v>3.2000000000000002E-3</v>
      </c>
      <c r="E15" s="10">
        <f t="shared" si="2"/>
        <v>6752.6475919503719</v>
      </c>
      <c r="F15" s="3"/>
      <c r="G15" s="28"/>
      <c r="H15" s="10"/>
      <c r="I15" s="10">
        <f t="shared" si="5"/>
        <v>1917</v>
      </c>
      <c r="J15" s="10">
        <f t="shared" si="3"/>
        <v>4058202773.4865484</v>
      </c>
      <c r="K15" s="11">
        <f t="shared" si="4"/>
        <v>3.1999999999998696E-3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2110202.3724844963</v>
      </c>
      <c r="D16" s="11">
        <v>3.5999999999999999E-3</v>
      </c>
      <c r="E16" s="10">
        <f t="shared" si="2"/>
        <v>7569.4784186370671</v>
      </c>
      <c r="F16" s="3"/>
      <c r="G16" s="28"/>
      <c r="H16" s="10"/>
      <c r="I16" s="10">
        <f t="shared" si="5"/>
        <v>1917</v>
      </c>
      <c r="J16" s="10">
        <f t="shared" si="3"/>
        <v>4045257948.0527797</v>
      </c>
      <c r="K16" s="11">
        <f t="shared" si="4"/>
        <v>3.6000000000000476E-3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2102632.8940658593</v>
      </c>
      <c r="D17" s="11">
        <v>3.3E-3</v>
      </c>
      <c r="E17" s="10">
        <f t="shared" si="2"/>
        <v>6915.8661919839215</v>
      </c>
      <c r="F17" s="3"/>
      <c r="G17" s="28"/>
      <c r="H17" s="10"/>
      <c r="I17" s="10">
        <f t="shared" si="5"/>
        <v>1917</v>
      </c>
      <c r="J17" s="10">
        <f t="shared" si="3"/>
        <v>4030747257.924252</v>
      </c>
      <c r="K17" s="11">
        <f t="shared" si="4"/>
        <v>3.3000000000000806E-3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2095717.0278738753</v>
      </c>
      <c r="D18" s="11">
        <v>3.3E-3</v>
      </c>
      <c r="E18" s="10">
        <f t="shared" si="2"/>
        <v>6893.1188996152487</v>
      </c>
      <c r="F18" s="3"/>
      <c r="G18" s="28"/>
      <c r="H18" s="10"/>
      <c r="I18" s="10">
        <f t="shared" si="5"/>
        <v>1917</v>
      </c>
      <c r="J18" s="10">
        <f t="shared" si="3"/>
        <v>4017489542.4342189</v>
      </c>
      <c r="K18" s="11">
        <f t="shared" si="4"/>
        <v>3.3000000000000806E-3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2088823.9089742601</v>
      </c>
      <c r="D19" s="11">
        <v>3.5999999999999999E-3</v>
      </c>
      <c r="E19" s="10">
        <f t="shared" si="2"/>
        <v>7492.7920210317243</v>
      </c>
      <c r="F19" s="3"/>
      <c r="G19" s="28"/>
      <c r="H19" s="10"/>
      <c r="I19" s="10">
        <f t="shared" si="5"/>
        <v>1917</v>
      </c>
      <c r="J19" s="10">
        <f t="shared" si="3"/>
        <v>4004275433.5036564</v>
      </c>
      <c r="K19" s="11">
        <f t="shared" si="4"/>
        <v>3.6000000000000476E-3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2081331.1169532284</v>
      </c>
      <c r="D20" s="11">
        <v>4.1999999999999997E-3</v>
      </c>
      <c r="E20" s="10">
        <f t="shared" si="2"/>
        <v>8705.0295670221094</v>
      </c>
      <c r="F20" s="3"/>
      <c r="G20" s="28"/>
      <c r="H20" s="10"/>
      <c r="I20" s="10">
        <f t="shared" si="5"/>
        <v>1917</v>
      </c>
      <c r="J20" s="10">
        <f t="shared" si="3"/>
        <v>3989911751.1993389</v>
      </c>
      <c r="K20" s="11">
        <f t="shared" si="4"/>
        <v>4.2000000000002036E-3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2072626.0873862063</v>
      </c>
      <c r="D21" s="11">
        <v>5.7000000000000002E-3</v>
      </c>
      <c r="E21" s="10">
        <f t="shared" si="2"/>
        <v>11747.01073690108</v>
      </c>
      <c r="F21" s="3"/>
      <c r="G21" s="28"/>
      <c r="H21" s="10"/>
      <c r="I21" s="10">
        <f t="shared" si="5"/>
        <v>1917</v>
      </c>
      <c r="J21" s="10">
        <f t="shared" si="3"/>
        <v>3973224209.5193572</v>
      </c>
      <c r="K21" s="11">
        <f t="shared" si="4"/>
        <v>5.7000000000000384E-3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2060879.0766493052</v>
      </c>
      <c r="D22" s="11">
        <v>5.1999999999999998E-3</v>
      </c>
      <c r="E22" s="10">
        <f t="shared" si="2"/>
        <v>10661.133305388503</v>
      </c>
      <c r="F22" s="3"/>
      <c r="G22" s="28"/>
      <c r="H22" s="10"/>
      <c r="I22" s="10">
        <f t="shared" si="5"/>
        <v>1917</v>
      </c>
      <c r="J22" s="10">
        <f t="shared" si="3"/>
        <v>3950705189.936718</v>
      </c>
      <c r="K22" s="11">
        <f t="shared" si="4"/>
        <v>5.2000000000000934E-3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2050217.9433439167</v>
      </c>
      <c r="D23" s="11">
        <v>3.3999999999999998E-3</v>
      </c>
      <c r="E23" s="10">
        <f t="shared" si="2"/>
        <v>6947.1207966608927</v>
      </c>
      <c r="F23" s="3"/>
      <c r="G23" s="28"/>
      <c r="H23" s="10"/>
      <c r="I23" s="10">
        <f t="shared" si="5"/>
        <v>1917</v>
      </c>
      <c r="J23" s="10">
        <f t="shared" si="3"/>
        <v>3930267797.3902884</v>
      </c>
      <c r="K23" s="11">
        <f t="shared" si="4"/>
        <v>3.4000000000002917E-3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2043270.8225472558</v>
      </c>
      <c r="D24" s="11">
        <v>3.3E-3</v>
      </c>
      <c r="E24" s="10">
        <f t="shared" si="2"/>
        <v>6720.6156826533843</v>
      </c>
      <c r="F24" s="3"/>
      <c r="G24" s="28"/>
      <c r="H24" s="10"/>
      <c r="I24" s="10">
        <f t="shared" si="5"/>
        <v>1917</v>
      </c>
      <c r="J24" s="10">
        <f t="shared" si="3"/>
        <v>3916950166.8230891</v>
      </c>
      <c r="K24" s="11">
        <f t="shared" si="4"/>
        <v>3.3000000000000806E-3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2036550.2068646024</v>
      </c>
      <c r="D25" s="11">
        <v>3.3E-3</v>
      </c>
      <c r="E25" s="10">
        <f t="shared" si="2"/>
        <v>6698.5105976809282</v>
      </c>
      <c r="F25" s="3"/>
      <c r="G25" s="28"/>
      <c r="H25" s="10"/>
      <c r="I25" s="10">
        <f t="shared" si="5"/>
        <v>1917</v>
      </c>
      <c r="J25" s="10">
        <f t="shared" si="3"/>
        <v>3904066746.559443</v>
      </c>
      <c r="K25" s="11">
        <f t="shared" si="4"/>
        <v>3.3000000000000806E-3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2029851.6962669215</v>
      </c>
      <c r="D26" s="11">
        <v>2.5999999999999999E-3</v>
      </c>
      <c r="E26" s="10">
        <f t="shared" si="2"/>
        <v>5263.9281969817821</v>
      </c>
      <c r="F26" s="3"/>
      <c r="G26" s="28"/>
      <c r="H26" s="10"/>
      <c r="I26" s="10">
        <f t="shared" si="5"/>
        <v>1917</v>
      </c>
      <c r="J26" s="10">
        <f t="shared" si="3"/>
        <v>3891225701.7436886</v>
      </c>
      <c r="K26" s="11">
        <f t="shared" si="4"/>
        <v>2.5999999999999357E-3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2024587.7680699397</v>
      </c>
      <c r="D27" s="11">
        <v>1.6000000000000001E-3</v>
      </c>
      <c r="E27" s="10">
        <f t="shared" si="2"/>
        <v>3234.1657636901364</v>
      </c>
      <c r="F27" s="3"/>
      <c r="G27" s="28"/>
      <c r="H27" s="10"/>
      <c r="I27" s="10">
        <f t="shared" si="5"/>
        <v>1917</v>
      </c>
      <c r="J27" s="10">
        <f t="shared" si="3"/>
        <v>3881134751.3900743</v>
      </c>
      <c r="K27" s="11">
        <f t="shared" si="4"/>
        <v>1.6000000000000458E-3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2021353.6023062496</v>
      </c>
      <c r="D28" s="11">
        <v>5.9999999999999995E-4</v>
      </c>
      <c r="E28" s="10">
        <f t="shared" si="2"/>
        <v>1212.0849104374647</v>
      </c>
      <c r="F28" s="3"/>
      <c r="G28" s="28"/>
      <c r="H28" s="10"/>
      <c r="I28" s="10">
        <f t="shared" si="5"/>
        <v>1917</v>
      </c>
      <c r="J28" s="10">
        <f t="shared" si="3"/>
        <v>3874934855.6210804</v>
      </c>
      <c r="K28" s="11">
        <f t="shared" si="4"/>
        <v>5.9999999999993392E-4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2020141.5173958121</v>
      </c>
      <c r="D29" s="11">
        <v>5.0000000000000001E-4</v>
      </c>
      <c r="E29" s="10">
        <f t="shared" si="2"/>
        <v>1009.5659757100511</v>
      </c>
      <c r="F29" s="3"/>
      <c r="G29" s="28"/>
      <c r="H29" s="10"/>
      <c r="I29" s="10">
        <f t="shared" si="5"/>
        <v>1917</v>
      </c>
      <c r="J29" s="10">
        <f t="shared" si="3"/>
        <v>3872611288.8477716</v>
      </c>
      <c r="K29" s="11">
        <f t="shared" si="4"/>
        <v>4.9999999999994493E-4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2019131.951420102</v>
      </c>
      <c r="D30" s="12">
        <v>1.2999999999999999E-3</v>
      </c>
      <c r="E30" s="10">
        <f t="shared" si="2"/>
        <v>2621.4636341219302</v>
      </c>
      <c r="F30" s="3"/>
      <c r="G30" s="28"/>
      <c r="H30" s="10"/>
      <c r="I30" s="10">
        <f t="shared" si="5"/>
        <v>1917</v>
      </c>
      <c r="J30" s="10">
        <f t="shared" si="3"/>
        <v>3870675950.8723354</v>
      </c>
      <c r="K30" s="11">
        <f t="shared" si="4"/>
        <v>1.3000000000000789E-3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2016510.4877859801</v>
      </c>
      <c r="D31" s="13">
        <v>1.2999999999999999E-3</v>
      </c>
      <c r="E31" s="10">
        <f t="shared" si="2"/>
        <v>2618.0601559192874</v>
      </c>
      <c r="F31" s="3"/>
      <c r="G31" s="28"/>
      <c r="H31" s="10"/>
      <c r="I31" s="10">
        <f t="shared" si="5"/>
        <v>1917</v>
      </c>
      <c r="J31" s="10">
        <f t="shared" si="3"/>
        <v>3865650605.0857239</v>
      </c>
      <c r="K31" s="11">
        <f t="shared" si="4"/>
        <v>1.3000000000000789E-3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2013892.4276300608</v>
      </c>
      <c r="D32" s="12">
        <v>4.0000000000000002E-4</v>
      </c>
      <c r="E32" s="10">
        <f t="shared" si="2"/>
        <v>805.23487710114568</v>
      </c>
      <c r="F32" s="3"/>
      <c r="G32" s="28"/>
      <c r="H32" s="10"/>
      <c r="I32" s="10">
        <f t="shared" si="5"/>
        <v>1917</v>
      </c>
      <c r="J32" s="10">
        <f t="shared" si="3"/>
        <v>3860631783.7668266</v>
      </c>
      <c r="K32" s="11">
        <f t="shared" si="4"/>
        <v>3.9999999999995595E-4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2013087.1927529597</v>
      </c>
      <c r="D33" s="13">
        <v>-5.0000000000000001E-4</v>
      </c>
      <c r="E33" s="10">
        <f t="shared" si="2"/>
        <v>-1007.0471199364401</v>
      </c>
      <c r="F33" s="3"/>
      <c r="G33" s="28"/>
      <c r="H33" s="10"/>
      <c r="I33" s="10">
        <f t="shared" si="5"/>
        <v>1917</v>
      </c>
      <c r="J33" s="10">
        <f t="shared" si="3"/>
        <v>3859088148.5074239</v>
      </c>
      <c r="K33" s="11">
        <f t="shared" si="4"/>
        <v>-4.9999999999994493E-4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2014094.2398728961</v>
      </c>
      <c r="D34" s="12">
        <v>-6.9999999999999999E-4</v>
      </c>
      <c r="E34" s="10">
        <f t="shared" si="2"/>
        <v>-1410.8535654069856</v>
      </c>
      <c r="F34" s="3"/>
      <c r="G34" s="28"/>
      <c r="H34" s="10"/>
      <c r="I34" s="10">
        <f t="shared" si="5"/>
        <v>1917</v>
      </c>
      <c r="J34" s="10">
        <f t="shared" ref="J34:J65" si="6">IF(I34="","",I34*C34)</f>
        <v>3861018657.8363419</v>
      </c>
      <c r="K34" s="11">
        <f t="shared" ref="K34:K65" si="7">IFERROR(J34/J35-1,"")</f>
        <v>-7.0000000000014495E-4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2015505.0934383031</v>
      </c>
      <c r="D35" s="11">
        <v>-6.9999999999999999E-4</v>
      </c>
      <c r="E35" s="10">
        <f t="shared" si="2"/>
        <v>-1411.8418547052424</v>
      </c>
      <c r="F35" s="3"/>
      <c r="G35" s="28"/>
      <c r="H35" s="10"/>
      <c r="I35" s="10">
        <f t="shared" ref="I35:I66" si="8">IF(H35&lt;&gt;"",H35,I34/(1+IF(G34="",0,G34)/100))</f>
        <v>1917</v>
      </c>
      <c r="J35" s="10">
        <f t="shared" si="6"/>
        <v>3863723264.1212273</v>
      </c>
      <c r="K35" s="11">
        <f t="shared" si="7"/>
        <v>-7.0000000000003393E-4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2016916.9352930083</v>
      </c>
      <c r="D36" s="11">
        <v>-2.9999999999999997E-4</v>
      </c>
      <c r="E36" s="10">
        <f t="shared" si="2"/>
        <v>-605.25665758503601</v>
      </c>
      <c r="F36" s="3"/>
      <c r="G36" s="28"/>
      <c r="H36" s="10"/>
      <c r="I36" s="10">
        <f t="shared" si="8"/>
        <v>1917</v>
      </c>
      <c r="J36" s="10">
        <f t="shared" si="6"/>
        <v>3866429764.956697</v>
      </c>
      <c r="K36" s="11">
        <f t="shared" si="7"/>
        <v>-2.9999999999985594E-4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2017522.1919505934</v>
      </c>
      <c r="D37" s="11">
        <v>1.1999999999999999E-3</v>
      </c>
      <c r="E37" s="10">
        <f t="shared" si="2"/>
        <v>2418.1248804843053</v>
      </c>
      <c r="F37" s="3"/>
      <c r="G37" s="28"/>
      <c r="H37" s="10"/>
      <c r="I37" s="10">
        <f t="shared" si="8"/>
        <v>1917</v>
      </c>
      <c r="J37" s="10">
        <f t="shared" si="6"/>
        <v>3867590041.9692874</v>
      </c>
      <c r="K37" s="11">
        <f t="shared" si="7"/>
        <v>1.2000000000000899E-3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2015104.0670701091</v>
      </c>
      <c r="D38" s="11">
        <v>2.5000000000000001E-3</v>
      </c>
      <c r="E38" s="10">
        <f t="shared" si="2"/>
        <v>5025.1971747383941</v>
      </c>
      <c r="F38" s="3"/>
      <c r="G38" s="28"/>
      <c r="H38" s="10"/>
      <c r="I38" s="10">
        <f t="shared" si="8"/>
        <v>1917</v>
      </c>
      <c r="J38" s="10">
        <f t="shared" si="6"/>
        <v>3862954496.5733991</v>
      </c>
      <c r="K38" s="11">
        <f t="shared" si="7"/>
        <v>2.4999999999999467E-3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2010078.8698953707</v>
      </c>
      <c r="D39" s="11">
        <v>3.0999999999999999E-3</v>
      </c>
      <c r="E39" s="10">
        <f t="shared" si="2"/>
        <v>6211.9873359345365</v>
      </c>
      <c r="F39" s="3"/>
      <c r="G39" s="28"/>
      <c r="H39" s="10"/>
      <c r="I39" s="10">
        <f t="shared" si="8"/>
        <v>1917</v>
      </c>
      <c r="J39" s="10">
        <f t="shared" si="6"/>
        <v>3853321193.5894256</v>
      </c>
      <c r="K39" s="11">
        <f t="shared" si="7"/>
        <v>3.1000000000001027E-3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2003866.8825594361</v>
      </c>
      <c r="D40" s="11">
        <v>3.0999999999999999E-3</v>
      </c>
      <c r="E40" s="10">
        <f t="shared" si="2"/>
        <v>6192.7896879019681</v>
      </c>
      <c r="F40" s="3"/>
      <c r="G40" s="28"/>
      <c r="H40" s="10"/>
      <c r="I40" s="10">
        <f t="shared" si="8"/>
        <v>1917</v>
      </c>
      <c r="J40" s="10">
        <f t="shared" si="6"/>
        <v>3841412813.8664389</v>
      </c>
      <c r="K40" s="11">
        <f t="shared" si="7"/>
        <v>3.1000000000001027E-3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1997674.0928715342</v>
      </c>
      <c r="D41" s="11">
        <v>2.5000000000000001E-3</v>
      </c>
      <c r="E41" s="10">
        <f t="shared" si="2"/>
        <v>4981.7309049165342</v>
      </c>
      <c r="F41" s="3"/>
      <c r="G41" s="28"/>
      <c r="H41" s="10"/>
      <c r="I41" s="10">
        <f t="shared" si="8"/>
        <v>1917</v>
      </c>
      <c r="J41" s="10">
        <f t="shared" si="6"/>
        <v>3829541236.0347309</v>
      </c>
      <c r="K41" s="11">
        <f t="shared" si="7"/>
        <v>2.4999999999999467E-3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1992692.3619666176</v>
      </c>
      <c r="D42" s="11">
        <v>2.8999999999999998E-3</v>
      </c>
      <c r="E42" s="10">
        <f t="shared" si="2"/>
        <v>5762.0977661809884</v>
      </c>
      <c r="F42" s="3"/>
      <c r="G42" s="28"/>
      <c r="H42" s="10"/>
      <c r="I42" s="10">
        <f t="shared" si="8"/>
        <v>1917</v>
      </c>
      <c r="J42" s="10">
        <f t="shared" si="6"/>
        <v>3819991257.8900061</v>
      </c>
      <c r="K42" s="11">
        <f t="shared" si="7"/>
        <v>2.8999999999999027E-3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1986930.2642004366</v>
      </c>
      <c r="D43" s="11">
        <v>4.7000000000000002E-3</v>
      </c>
      <c r="E43" s="10">
        <f t="shared" si="2"/>
        <v>9294.8862762434874</v>
      </c>
      <c r="F43" s="3"/>
      <c r="G43" s="28"/>
      <c r="H43" s="10"/>
      <c r="I43" s="10">
        <f t="shared" si="8"/>
        <v>1917</v>
      </c>
      <c r="J43" s="10">
        <f t="shared" si="6"/>
        <v>3808945316.4722371</v>
      </c>
      <c r="K43" s="11">
        <f t="shared" si="7"/>
        <v>4.6999999999999265E-3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1977635.3779241932</v>
      </c>
      <c r="D44" s="11">
        <v>6.0000000000000001E-3</v>
      </c>
      <c r="E44" s="10">
        <f t="shared" si="2"/>
        <v>11795.042015452404</v>
      </c>
      <c r="F44" s="3"/>
      <c r="G44" s="28"/>
      <c r="H44" s="10"/>
      <c r="I44" s="10">
        <f t="shared" si="8"/>
        <v>1917</v>
      </c>
      <c r="J44" s="10">
        <f t="shared" si="6"/>
        <v>3791127019.4806781</v>
      </c>
      <c r="K44" s="11">
        <f t="shared" si="7"/>
        <v>6.0000000000000053E-3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1965840.3359087408</v>
      </c>
      <c r="D45" s="11">
        <v>5.7000000000000002E-3</v>
      </c>
      <c r="E45" s="10">
        <f t="shared" si="2"/>
        <v>11141.781758655561</v>
      </c>
      <c r="F45" s="3"/>
      <c r="G45" s="28"/>
      <c r="H45" s="10"/>
      <c r="I45" s="10">
        <f t="shared" si="8"/>
        <v>1917</v>
      </c>
      <c r="J45" s="10">
        <f t="shared" si="6"/>
        <v>3768515923.9370561</v>
      </c>
      <c r="K45" s="11">
        <f t="shared" si="7"/>
        <v>5.7000000000000384E-3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1954698.5541500852</v>
      </c>
      <c r="D46" s="11">
        <v>6.8999999999999999E-3</v>
      </c>
      <c r="E46" s="10">
        <f t="shared" si="2"/>
        <v>13394.994561163476</v>
      </c>
      <c r="F46" s="3"/>
      <c r="G46" s="28"/>
      <c r="H46" s="10"/>
      <c r="I46" s="10">
        <f t="shared" si="8"/>
        <v>1917</v>
      </c>
      <c r="J46" s="10">
        <f t="shared" si="6"/>
        <v>3747157128.3057132</v>
      </c>
      <c r="K46" s="11">
        <f t="shared" si="7"/>
        <v>6.8999999999999062E-3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1941303.5595889217</v>
      </c>
      <c r="D47" s="11">
        <v>7.4999999999999997E-3</v>
      </c>
      <c r="E47" s="10">
        <f t="shared" si="2"/>
        <v>14451.391262448626</v>
      </c>
      <c r="F47" s="3"/>
      <c r="G47" s="28"/>
      <c r="H47" s="10"/>
      <c r="I47" s="10">
        <f t="shared" si="8"/>
        <v>1917</v>
      </c>
      <c r="J47" s="10">
        <f t="shared" si="6"/>
        <v>3721478923.7319632</v>
      </c>
      <c r="K47" s="11">
        <f t="shared" si="7"/>
        <v>7.5000000000000622E-3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1926852.1683264731</v>
      </c>
      <c r="D48" s="11">
        <v>5.4999999999999997E-3</v>
      </c>
      <c r="E48" s="10">
        <f t="shared" si="2"/>
        <v>10539.718474187655</v>
      </c>
      <c r="F48" s="3"/>
      <c r="G48" s="28"/>
      <c r="H48" s="10"/>
      <c r="I48" s="10">
        <f t="shared" si="8"/>
        <v>1917</v>
      </c>
      <c r="J48" s="10">
        <f t="shared" si="6"/>
        <v>3693775606.681849</v>
      </c>
      <c r="K48" s="11">
        <f t="shared" si="7"/>
        <v>5.5000000000000604E-3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1916312.4498522854</v>
      </c>
      <c r="D49" s="11">
        <v>6.1000000000000004E-3</v>
      </c>
      <c r="E49" s="10">
        <f t="shared" si="2"/>
        <v>11618.632287147222</v>
      </c>
      <c r="F49" s="3"/>
      <c r="G49" s="28"/>
      <c r="H49" s="10"/>
      <c r="I49" s="10">
        <f t="shared" si="8"/>
        <v>1917</v>
      </c>
      <c r="J49" s="10">
        <f t="shared" si="6"/>
        <v>3673570966.3668313</v>
      </c>
      <c r="K49" s="11">
        <f t="shared" si="7"/>
        <v>6.0999999999999943E-3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1904693.8175651382</v>
      </c>
      <c r="D50" s="11">
        <v>7.9000000000000008E-3</v>
      </c>
      <c r="E50" s="10">
        <f t="shared" si="2"/>
        <v>14929.140945296735</v>
      </c>
      <c r="F50" s="3"/>
      <c r="G50" s="28"/>
      <c r="H50" s="10"/>
      <c r="I50" s="10">
        <f t="shared" si="8"/>
        <v>1917</v>
      </c>
      <c r="J50" s="10">
        <f t="shared" si="6"/>
        <v>3651298048.2723699</v>
      </c>
      <c r="K50" s="11">
        <f t="shared" si="7"/>
        <v>7.9000000000000181E-3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1889764.6766198415</v>
      </c>
      <c r="D51" s="11">
        <v>8.0000000000000002E-3</v>
      </c>
      <c r="E51" s="10">
        <f t="shared" si="2"/>
        <v>14998.132354125846</v>
      </c>
      <c r="F51" s="3"/>
      <c r="G51" s="28"/>
      <c r="H51" s="10"/>
      <c r="I51" s="10">
        <f t="shared" si="8"/>
        <v>1917</v>
      </c>
      <c r="J51" s="10">
        <f t="shared" si="6"/>
        <v>3622678885.080236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1874766.5442657156</v>
      </c>
      <c r="D52" s="11">
        <v>7.7999999999999996E-3</v>
      </c>
      <c r="E52" s="10">
        <f t="shared" si="2"/>
        <v>14510.001037182519</v>
      </c>
      <c r="F52" s="3"/>
      <c r="G52" s="28"/>
      <c r="H52" s="10"/>
      <c r="I52" s="10">
        <f t="shared" si="8"/>
        <v>1917</v>
      </c>
      <c r="J52" s="10">
        <f t="shared" si="6"/>
        <v>3593927465.3573771</v>
      </c>
      <c r="K52" s="11">
        <f t="shared" si="7"/>
        <v>7.8000000000000291E-3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1860256.5432285331</v>
      </c>
      <c r="D53" s="11">
        <v>8.0000000000000002E-3</v>
      </c>
      <c r="E53" s="10">
        <f t="shared" si="2"/>
        <v>14763.940819274168</v>
      </c>
      <c r="F53" s="3"/>
      <c r="G53" s="28"/>
      <c r="H53" s="10"/>
      <c r="I53" s="10">
        <f t="shared" si="8"/>
        <v>1917</v>
      </c>
      <c r="J53" s="10">
        <f t="shared" si="6"/>
        <v>3566111793.3690982</v>
      </c>
      <c r="K53" s="11">
        <f t="shared" si="7"/>
        <v>8.0000000000000071E-3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1845492.602409259</v>
      </c>
      <c r="D54" s="11">
        <v>7.9000000000000008E-3</v>
      </c>
      <c r="E54" s="10">
        <f t="shared" si="2"/>
        <v>14465.117133677239</v>
      </c>
      <c r="F54" s="3"/>
      <c r="G54" s="28"/>
      <c r="H54" s="10"/>
      <c r="I54" s="10">
        <f t="shared" si="8"/>
        <v>1917</v>
      </c>
      <c r="J54" s="10">
        <f t="shared" si="6"/>
        <v>3537809318.8185496</v>
      </c>
      <c r="K54" s="11">
        <f t="shared" si="7"/>
        <v>7.9000000000002402E-3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1831027.4852755817</v>
      </c>
      <c r="D55" s="11">
        <v>7.7999999999999996E-3</v>
      </c>
      <c r="E55" s="10">
        <f t="shared" si="2"/>
        <v>14171.476865598001</v>
      </c>
      <c r="F55" s="3"/>
      <c r="G55" s="28"/>
      <c r="H55" s="10"/>
      <c r="I55" s="10">
        <f t="shared" si="8"/>
        <v>1917</v>
      </c>
      <c r="J55" s="10">
        <f t="shared" si="6"/>
        <v>3510079689.2732902</v>
      </c>
      <c r="K55" s="11">
        <f t="shared" si="7"/>
        <v>7.8000000000000291E-3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1816856.0084099837</v>
      </c>
      <c r="D56" s="11">
        <v>7.0000000000000001E-3</v>
      </c>
      <c r="E56" s="10">
        <f t="shared" si="2"/>
        <v>12629.584964120761</v>
      </c>
      <c r="F56" s="3"/>
      <c r="G56" s="28"/>
      <c r="H56" s="10"/>
      <c r="I56" s="10">
        <f t="shared" si="8"/>
        <v>1917</v>
      </c>
      <c r="J56" s="10">
        <f t="shared" si="6"/>
        <v>3482912968.1219387</v>
      </c>
      <c r="K56" s="11">
        <f t="shared" si="7"/>
        <v>6.9999999999996732E-3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1804226.423445863</v>
      </c>
      <c r="D57" s="11">
        <v>7.4999999999999997E-3</v>
      </c>
      <c r="E57" s="10">
        <f t="shared" si="2"/>
        <v>13430.96593135898</v>
      </c>
      <c r="F57" s="3"/>
      <c r="G57" s="28"/>
      <c r="H57" s="10"/>
      <c r="I57" s="10">
        <f t="shared" si="8"/>
        <v>1917</v>
      </c>
      <c r="J57" s="10">
        <f t="shared" si="6"/>
        <v>3458702053.7457194</v>
      </c>
      <c r="K57" s="11">
        <f t="shared" si="7"/>
        <v>7.5000000000002842E-3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1790795.457514504</v>
      </c>
      <c r="D58" s="11">
        <v>6.8999999999999999E-3</v>
      </c>
      <c r="E58" s="10">
        <f t="shared" si="2"/>
        <v>12271.813146141591</v>
      </c>
      <c r="F58" s="3"/>
      <c r="G58" s="28"/>
      <c r="H58" s="10"/>
      <c r="I58" s="10">
        <f t="shared" si="8"/>
        <v>1917</v>
      </c>
      <c r="J58" s="10">
        <f t="shared" si="6"/>
        <v>3432954892.0553041</v>
      </c>
      <c r="K58" s="11">
        <f t="shared" si="7"/>
        <v>6.8999999999999062E-3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1778523.6443683624</v>
      </c>
      <c r="D59" s="11">
        <v>4.8999999999999998E-3</v>
      </c>
      <c r="E59" s="10">
        <f t="shared" si="2"/>
        <v>8672.2717259477358</v>
      </c>
      <c r="F59" s="3"/>
      <c r="G59" s="28"/>
      <c r="H59" s="10"/>
      <c r="I59" s="10">
        <f t="shared" si="8"/>
        <v>1917</v>
      </c>
      <c r="J59" s="10">
        <f t="shared" si="6"/>
        <v>3409429826.2541509</v>
      </c>
      <c r="K59" s="11">
        <f t="shared" si="7"/>
        <v>4.9000000000001265E-3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1769851.3726424146</v>
      </c>
      <c r="D60" s="11">
        <v>5.5999999999999999E-3</v>
      </c>
      <c r="E60" s="10">
        <f t="shared" si="2"/>
        <v>9855.9742311034352</v>
      </c>
      <c r="F60" s="3"/>
      <c r="G60" s="28"/>
      <c r="H60" s="10"/>
      <c r="I60" s="10">
        <f t="shared" si="8"/>
        <v>1917</v>
      </c>
      <c r="J60" s="10">
        <f t="shared" si="6"/>
        <v>3392805081.3555088</v>
      </c>
      <c r="K60" s="11">
        <f t="shared" si="7"/>
        <v>5.6000000000000494E-3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1759995.3984113112</v>
      </c>
      <c r="D61" s="11">
        <v>6.7999999999999996E-3</v>
      </c>
      <c r="E61" s="10">
        <f t="shared" si="2"/>
        <v>11887.136183151277</v>
      </c>
      <c r="F61" s="3"/>
      <c r="G61" s="28"/>
      <c r="H61" s="10"/>
      <c r="I61" s="10">
        <f t="shared" si="8"/>
        <v>1917</v>
      </c>
      <c r="J61" s="10">
        <f t="shared" si="6"/>
        <v>3373911178.7544837</v>
      </c>
      <c r="K61" s="11">
        <f t="shared" si="7"/>
        <v>6.7999999999999172E-3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1748108.2622281599</v>
      </c>
      <c r="D62" s="11">
        <v>8.0000000000000002E-3</v>
      </c>
      <c r="E62" s="10">
        <f t="shared" si="2"/>
        <v>13873.875097048935</v>
      </c>
      <c r="F62" s="3"/>
      <c r="G62" s="28"/>
      <c r="H62" s="10"/>
      <c r="I62" s="10">
        <f t="shared" si="8"/>
        <v>1917</v>
      </c>
      <c r="J62" s="10">
        <f t="shared" si="6"/>
        <v>3351123538.6913824</v>
      </c>
      <c r="K62" s="11">
        <f t="shared" si="7"/>
        <v>8.0000000000000071E-3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1734234.387131111</v>
      </c>
      <c r="D63" s="11">
        <v>9.1999999999999998E-3</v>
      </c>
      <c r="E63" s="10">
        <f t="shared" si="2"/>
        <v>15809.508879911155</v>
      </c>
      <c r="F63" s="3"/>
      <c r="G63" s="28"/>
      <c r="H63" s="10"/>
      <c r="I63" s="10">
        <f t="shared" si="8"/>
        <v>1917</v>
      </c>
      <c r="J63" s="10">
        <f t="shared" si="6"/>
        <v>3324527320.1303396</v>
      </c>
      <c r="K63" s="11">
        <f t="shared" si="7"/>
        <v>9.200000000000097E-3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1718424.8782511998</v>
      </c>
      <c r="D64" s="11">
        <v>7.9000000000000008E-3</v>
      </c>
      <c r="E64" s="10">
        <f t="shared" si="2"/>
        <v>13469.150251199957</v>
      </c>
      <c r="F64" s="3"/>
      <c r="G64" s="28"/>
      <c r="H64" s="10"/>
      <c r="I64" s="10">
        <f t="shared" si="8"/>
        <v>1917</v>
      </c>
      <c r="J64" s="10">
        <f t="shared" si="6"/>
        <v>3294220491.6075501</v>
      </c>
      <c r="K64" s="11">
        <f t="shared" si="7"/>
        <v>7.9000000000000181E-3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1704955.7279999999</v>
      </c>
      <c r="D65" s="11">
        <v>7.0000000000000001E-3</v>
      </c>
      <c r="E65" s="10">
        <f t="shared" si="2"/>
        <v>11851.727999999886</v>
      </c>
      <c r="F65" s="3"/>
      <c r="G65" s="28"/>
      <c r="H65" s="10"/>
      <c r="I65" s="10">
        <f t="shared" si="8"/>
        <v>1917</v>
      </c>
      <c r="J65" s="10">
        <f t="shared" si="6"/>
        <v>3268400130.5759997</v>
      </c>
      <c r="K65" s="11">
        <f t="shared" si="7"/>
        <v>6.9999999999998952E-3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1693104</v>
      </c>
      <c r="D66" s="11">
        <v>7.7999999999999996E-3</v>
      </c>
      <c r="E66" s="10">
        <f t="shared" si="2"/>
        <v>13104</v>
      </c>
      <c r="F66" s="3"/>
      <c r="G66" s="28"/>
      <c r="H66" s="10"/>
      <c r="I66" s="10">
        <f t="shared" si="8"/>
        <v>1917</v>
      </c>
      <c r="J66" s="10">
        <f t="shared" ref="J66:J67" si="9">IF(I66="","",I66*C66)</f>
        <v>3245680368</v>
      </c>
      <c r="K66" s="11">
        <f t="shared" ref="K66" si="10">IFERROR(J66/J67-1,"")</f>
        <v>7.8000000000000291E-3</v>
      </c>
    </row>
    <row r="67" spans="1:11" ht="22.5" customHeight="1">
      <c r="A67" s="3">
        <f t="shared" si="0"/>
        <v>1950</v>
      </c>
      <c r="B67" s="3">
        <v>1700</v>
      </c>
      <c r="C67" s="10">
        <v>1680000</v>
      </c>
      <c r="D67" s="11">
        <v>9.7000000000000003E-3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1917</v>
      </c>
      <c r="J67" s="10">
        <f t="shared" si="9"/>
        <v>3220560000</v>
      </c>
      <c r="K67" s="11"/>
    </row>
  </sheetData>
  <dataValidations count="1">
    <dataValidation type="custom" allowBlank="1" showDropDown="1" sqref="D2:D67" xr:uid="{00000000-0002-0000-0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67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3147403.5572427409</v>
      </c>
      <c r="D2" s="11">
        <v>1.37E-2</v>
      </c>
      <c r="E2" s="10">
        <f t="shared" ref="E2:E66" si="2">SUM(C2-C3)</f>
        <v>42536.676269335672</v>
      </c>
      <c r="F2" s="15">
        <v>3146473</v>
      </c>
      <c r="G2" s="28"/>
      <c r="H2" s="10"/>
      <c r="I2" s="10">
        <f>IF(H2&lt;&gt;"",H2,6111)</f>
        <v>6111</v>
      </c>
      <c r="J2" s="10">
        <f t="shared" ref="J2:J33" si="3">IF(I2="","",I2*C2)</f>
        <v>19233783138.31039</v>
      </c>
      <c r="K2" s="11">
        <f t="shared" ref="K2:K33" si="4">IFERROR(J2/J3-1,"")</f>
        <v>1.3700000000000045E-2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3104866.8809734052</v>
      </c>
      <c r="D3" s="11">
        <v>1.37E-2</v>
      </c>
      <c r="E3" s="10">
        <f t="shared" si="2"/>
        <v>41961.799614615738</v>
      </c>
      <c r="F3" s="3"/>
      <c r="G3" s="28"/>
      <c r="H3" s="10"/>
      <c r="I3" s="10">
        <f t="shared" ref="I3:I34" si="5">IF(H3&lt;&gt;"",H3,I2/(1+IF(G2="",0,G2)/100))</f>
        <v>6111</v>
      </c>
      <c r="J3" s="10">
        <f t="shared" si="3"/>
        <v>18973841509.628479</v>
      </c>
      <c r="K3" s="11">
        <f t="shared" si="4"/>
        <v>1.3700000000000045E-2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3062905.0813587895</v>
      </c>
      <c r="D4" s="11">
        <v>1.1599999999999999E-2</v>
      </c>
      <c r="E4" s="10">
        <f t="shared" si="2"/>
        <v>35122.280490077101</v>
      </c>
      <c r="F4" s="3"/>
      <c r="G4" s="28"/>
      <c r="H4" s="10"/>
      <c r="I4" s="10">
        <f t="shared" si="5"/>
        <v>6111</v>
      </c>
      <c r="J4" s="10">
        <f t="shared" si="3"/>
        <v>18717412952.183563</v>
      </c>
      <c r="K4" s="11">
        <f t="shared" si="4"/>
        <v>1.1600000000000055E-2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3027782.8008687124</v>
      </c>
      <c r="D5" s="11">
        <v>1.0200000000000001E-2</v>
      </c>
      <c r="E5" s="10">
        <f t="shared" si="2"/>
        <v>30571.554710810538</v>
      </c>
      <c r="F5" s="3"/>
      <c r="G5" s="28"/>
      <c r="H5" s="10"/>
      <c r="I5" s="10">
        <f t="shared" si="5"/>
        <v>6111</v>
      </c>
      <c r="J5" s="10">
        <f t="shared" si="3"/>
        <v>18502780696.1087</v>
      </c>
      <c r="K5" s="11">
        <f t="shared" si="4"/>
        <v>1.0199999999999765E-2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2997211.2461579018</v>
      </c>
      <c r="D6" s="11">
        <v>1.23E-2</v>
      </c>
      <c r="E6" s="10">
        <f t="shared" si="2"/>
        <v>36417.759881203528</v>
      </c>
      <c r="F6" s="3"/>
      <c r="G6" s="28"/>
      <c r="H6" s="10"/>
      <c r="I6" s="10">
        <f t="shared" si="5"/>
        <v>6111</v>
      </c>
      <c r="J6" s="10">
        <f t="shared" si="3"/>
        <v>18315957925.270939</v>
      </c>
      <c r="K6" s="11">
        <f t="shared" si="4"/>
        <v>1.23000000000002E-2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2960793.4862766983</v>
      </c>
      <c r="D7" s="11">
        <v>1.41E-2</v>
      </c>
      <c r="E7" s="10">
        <f t="shared" si="2"/>
        <v>41166.737162509933</v>
      </c>
      <c r="F7" s="3"/>
      <c r="G7" s="28"/>
      <c r="H7" s="10"/>
      <c r="I7" s="10">
        <f t="shared" si="5"/>
        <v>6111</v>
      </c>
      <c r="J7" s="10">
        <f t="shared" si="3"/>
        <v>18093408994.636902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2919626.7491141884</v>
      </c>
      <c r="D8" s="11">
        <v>1.43E-2</v>
      </c>
      <c r="E8" s="10">
        <f t="shared" si="2"/>
        <v>41162.045265042689</v>
      </c>
      <c r="F8" s="3"/>
      <c r="G8" s="28"/>
      <c r="H8" s="10"/>
      <c r="I8" s="10">
        <f t="shared" si="5"/>
        <v>6111</v>
      </c>
      <c r="J8" s="10">
        <f t="shared" si="3"/>
        <v>17841839063.836803</v>
      </c>
      <c r="K8" s="11">
        <f t="shared" si="4"/>
        <v>1.4299999999999757E-2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2878464.7038491457</v>
      </c>
      <c r="D9" s="11">
        <v>1.46E-2</v>
      </c>
      <c r="E9" s="10">
        <f t="shared" si="2"/>
        <v>41420.840406266041</v>
      </c>
      <c r="F9" s="3"/>
      <c r="G9" s="28"/>
      <c r="H9" s="10"/>
      <c r="I9" s="10">
        <f t="shared" si="5"/>
        <v>6111</v>
      </c>
      <c r="J9" s="10">
        <f t="shared" si="3"/>
        <v>17590297805.22213</v>
      </c>
      <c r="K9" s="11">
        <f t="shared" si="4"/>
        <v>1.4599999999999946E-2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2837043.8634428796</v>
      </c>
      <c r="D10" s="11">
        <v>1.49E-2</v>
      </c>
      <c r="E10" s="10">
        <f t="shared" si="2"/>
        <v>41651.348473050166</v>
      </c>
      <c r="F10" s="3"/>
      <c r="G10" s="28"/>
      <c r="H10" s="10"/>
      <c r="I10" s="10">
        <f t="shared" si="5"/>
        <v>6111</v>
      </c>
      <c r="J10" s="10">
        <f t="shared" si="3"/>
        <v>17337175049.499439</v>
      </c>
      <c r="K10" s="11">
        <f t="shared" si="4"/>
        <v>1.4900000000000135E-2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2795392.5149698295</v>
      </c>
      <c r="D11" s="11">
        <v>1.52E-2</v>
      </c>
      <c r="E11" s="10">
        <f t="shared" si="2"/>
        <v>41853.788640210405</v>
      </c>
      <c r="F11" s="3"/>
      <c r="G11" s="28"/>
      <c r="H11" s="10"/>
      <c r="I11" s="10">
        <f t="shared" si="5"/>
        <v>6111</v>
      </c>
      <c r="J11" s="10">
        <f t="shared" si="3"/>
        <v>17082643658.980627</v>
      </c>
      <c r="K11" s="11">
        <f t="shared" si="4"/>
        <v>1.5200000000000102E-2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2753538.7263296191</v>
      </c>
      <c r="D12" s="11">
        <v>1.54E-2</v>
      </c>
      <c r="E12" s="10">
        <f t="shared" si="2"/>
        <v>41761.371267949697</v>
      </c>
      <c r="F12" s="3"/>
      <c r="G12" s="28"/>
      <c r="H12" s="10"/>
      <c r="I12" s="10">
        <f t="shared" si="5"/>
        <v>6111</v>
      </c>
      <c r="J12" s="10">
        <f t="shared" si="3"/>
        <v>16826875156.600302</v>
      </c>
      <c r="K12" s="11">
        <f t="shared" si="4"/>
        <v>1.5399999999999858E-2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2711777.3550616694</v>
      </c>
      <c r="D13" s="11">
        <v>1.5699999999999999E-2</v>
      </c>
      <c r="E13" s="10">
        <f t="shared" si="2"/>
        <v>41916.810548851267</v>
      </c>
      <c r="F13" s="3"/>
      <c r="G13" s="28"/>
      <c r="H13" s="10"/>
      <c r="I13" s="10">
        <f t="shared" si="5"/>
        <v>6111</v>
      </c>
      <c r="J13" s="10">
        <f t="shared" si="3"/>
        <v>16571671416.781862</v>
      </c>
      <c r="K13" s="11">
        <f t="shared" si="4"/>
        <v>1.5700000000000047E-2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2669860.5445128181</v>
      </c>
      <c r="D14" s="11">
        <v>1.6E-2</v>
      </c>
      <c r="E14" s="10">
        <f t="shared" si="2"/>
        <v>42045.047945083585</v>
      </c>
      <c r="F14" s="3"/>
      <c r="G14" s="28"/>
      <c r="H14" s="10"/>
      <c r="I14" s="10">
        <f t="shared" si="5"/>
        <v>6111</v>
      </c>
      <c r="J14" s="10">
        <f t="shared" si="3"/>
        <v>16315517787.517832</v>
      </c>
      <c r="K14" s="11">
        <f t="shared" si="4"/>
        <v>1.6000000000000014E-2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2627815.4965677345</v>
      </c>
      <c r="D15" s="11">
        <v>1.6199999999999999E-2</v>
      </c>
      <c r="E15" s="10">
        <f t="shared" si="2"/>
        <v>41891.961271794047</v>
      </c>
      <c r="F15" s="3"/>
      <c r="G15" s="28"/>
      <c r="H15" s="10"/>
      <c r="I15" s="10">
        <f t="shared" si="5"/>
        <v>6111</v>
      </c>
      <c r="J15" s="10">
        <f t="shared" si="3"/>
        <v>16058580499.525425</v>
      </c>
      <c r="K15" s="11">
        <f t="shared" si="4"/>
        <v>1.619999999999977E-2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2585923.5352959405</v>
      </c>
      <c r="D16" s="11">
        <v>1.6400000000000001E-2</v>
      </c>
      <c r="E16" s="10">
        <f t="shared" si="2"/>
        <v>41724.858302689157</v>
      </c>
      <c r="F16" s="3"/>
      <c r="G16" s="28"/>
      <c r="H16" s="10"/>
      <c r="I16" s="10">
        <f t="shared" si="5"/>
        <v>6111</v>
      </c>
      <c r="J16" s="10">
        <f t="shared" si="3"/>
        <v>15802578724.193493</v>
      </c>
      <c r="K16" s="11">
        <f t="shared" si="4"/>
        <v>1.639999999999997E-2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2544198.6769932513</v>
      </c>
      <c r="D17" s="11">
        <v>1.67E-2</v>
      </c>
      <c r="E17" s="10">
        <f t="shared" si="2"/>
        <v>41790.221211554017</v>
      </c>
      <c r="F17" s="3"/>
      <c r="G17" s="28"/>
      <c r="H17" s="10"/>
      <c r="I17" s="10">
        <f t="shared" si="5"/>
        <v>6111</v>
      </c>
      <c r="J17" s="10">
        <f t="shared" si="3"/>
        <v>15547598115.105759</v>
      </c>
      <c r="K17" s="11">
        <f t="shared" si="4"/>
        <v>1.6699999999999937E-2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2502408.4557816973</v>
      </c>
      <c r="D18" s="11">
        <v>1.6899999999999998E-2</v>
      </c>
      <c r="E18" s="10">
        <f t="shared" si="2"/>
        <v>41587.867934615351</v>
      </c>
      <c r="F18" s="3"/>
      <c r="G18" s="28"/>
      <c r="H18" s="10"/>
      <c r="I18" s="10">
        <f t="shared" si="5"/>
        <v>6111</v>
      </c>
      <c r="J18" s="10">
        <f t="shared" si="3"/>
        <v>15292218073.281952</v>
      </c>
      <c r="K18" s="11">
        <f t="shared" si="4"/>
        <v>1.6899999999999915E-2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2460820.5878470819</v>
      </c>
      <c r="D19" s="11">
        <v>1.7100000000000001E-2</v>
      </c>
      <c r="E19" s="10">
        <f t="shared" si="2"/>
        <v>41372.561254729051</v>
      </c>
      <c r="F19" s="3"/>
      <c r="G19" s="28"/>
      <c r="H19" s="10"/>
      <c r="I19" s="10">
        <f t="shared" si="5"/>
        <v>6111</v>
      </c>
      <c r="J19" s="10">
        <f t="shared" si="3"/>
        <v>15038074612.333517</v>
      </c>
      <c r="K19" s="11">
        <f t="shared" si="4"/>
        <v>1.7099999999999893E-2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2419448.0265923529</v>
      </c>
      <c r="D20" s="11">
        <v>1.7000000000000001E-2</v>
      </c>
      <c r="E20" s="10">
        <f t="shared" si="2"/>
        <v>40443.084023667499</v>
      </c>
      <c r="F20" s="3"/>
      <c r="G20" s="28"/>
      <c r="H20" s="10"/>
      <c r="I20" s="10">
        <f t="shared" si="5"/>
        <v>6111</v>
      </c>
      <c r="J20" s="10">
        <f t="shared" si="3"/>
        <v>14785246890.505869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2379004.9425686854</v>
      </c>
      <c r="D21" s="11">
        <v>1.6899999999999998E-2</v>
      </c>
      <c r="E21" s="10">
        <f t="shared" si="2"/>
        <v>39537.00809264509</v>
      </c>
      <c r="F21" s="3"/>
      <c r="G21" s="28"/>
      <c r="H21" s="10"/>
      <c r="I21" s="10">
        <f t="shared" si="5"/>
        <v>6111</v>
      </c>
      <c r="J21" s="10">
        <f t="shared" si="3"/>
        <v>14538099204.037237</v>
      </c>
      <c r="K21" s="11">
        <f t="shared" si="4"/>
        <v>1.6900000000000137E-2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2339467.9344760403</v>
      </c>
      <c r="D22" s="11">
        <v>1.6799999999999999E-2</v>
      </c>
      <c r="E22" s="10">
        <f t="shared" si="2"/>
        <v>38653.679483868182</v>
      </c>
      <c r="F22" s="3"/>
      <c r="G22" s="28"/>
      <c r="H22" s="10"/>
      <c r="I22" s="10">
        <f t="shared" si="5"/>
        <v>6111</v>
      </c>
      <c r="J22" s="10">
        <f t="shared" si="3"/>
        <v>14296488547.583082</v>
      </c>
      <c r="K22" s="11">
        <f t="shared" si="4"/>
        <v>1.6799999999999926E-2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2300814.2549921721</v>
      </c>
      <c r="D23" s="11">
        <v>1.6799999999999999E-2</v>
      </c>
      <c r="E23" s="10">
        <f t="shared" si="2"/>
        <v>38015.027029768098</v>
      </c>
      <c r="F23" s="3"/>
      <c r="G23" s="28"/>
      <c r="H23" s="10"/>
      <c r="I23" s="10">
        <f t="shared" si="5"/>
        <v>6111</v>
      </c>
      <c r="J23" s="10">
        <f t="shared" si="3"/>
        <v>14060275912.257164</v>
      </c>
      <c r="K23" s="11">
        <f t="shared" si="4"/>
        <v>1.6799999999999926E-2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2262799.227962404</v>
      </c>
      <c r="D24" s="11">
        <v>1.67E-2</v>
      </c>
      <c r="E24" s="10">
        <f t="shared" si="2"/>
        <v>37168.04082519142</v>
      </c>
      <c r="F24" s="3"/>
      <c r="G24" s="28"/>
      <c r="H24" s="10"/>
      <c r="I24" s="10">
        <f t="shared" si="5"/>
        <v>6111</v>
      </c>
      <c r="J24" s="10">
        <f t="shared" si="3"/>
        <v>13827966082.078251</v>
      </c>
      <c r="K24" s="11">
        <f t="shared" si="4"/>
        <v>1.6699999999999937E-2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2225631.1871372126</v>
      </c>
      <c r="D25" s="11">
        <v>1.6899999999999998E-2</v>
      </c>
      <c r="E25" s="10">
        <f t="shared" si="2"/>
        <v>36988.068701562472</v>
      </c>
      <c r="F25" s="3"/>
      <c r="G25" s="28"/>
      <c r="H25" s="10"/>
      <c r="I25" s="10">
        <f t="shared" si="5"/>
        <v>6111</v>
      </c>
      <c r="J25" s="10">
        <f t="shared" si="3"/>
        <v>13600832184.595507</v>
      </c>
      <c r="K25" s="11">
        <f t="shared" si="4"/>
        <v>1.6900000000000137E-2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2188643.1184356501</v>
      </c>
      <c r="D26" s="11">
        <v>1.72E-2</v>
      </c>
      <c r="E26" s="10">
        <f t="shared" si="2"/>
        <v>37008.121939729899</v>
      </c>
      <c r="F26" s="3"/>
      <c r="G26" s="28"/>
      <c r="H26" s="10"/>
      <c r="I26" s="10">
        <f t="shared" si="5"/>
        <v>6111</v>
      </c>
      <c r="J26" s="10">
        <f t="shared" si="3"/>
        <v>13374798096.760258</v>
      </c>
      <c r="K26" s="11">
        <f t="shared" si="4"/>
        <v>1.7199999999999882E-2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2151634.9964959202</v>
      </c>
      <c r="D27" s="11">
        <v>1.7500000000000002E-2</v>
      </c>
      <c r="E27" s="10">
        <f t="shared" si="2"/>
        <v>37006.00731074065</v>
      </c>
      <c r="F27" s="3"/>
      <c r="G27" s="28"/>
      <c r="H27" s="10"/>
      <c r="I27" s="10">
        <f t="shared" si="5"/>
        <v>6111</v>
      </c>
      <c r="J27" s="10">
        <f t="shared" si="3"/>
        <v>13148641463.586569</v>
      </c>
      <c r="K27" s="11">
        <f t="shared" si="4"/>
        <v>1.7500000000000071E-2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2114628.9891851796</v>
      </c>
      <c r="D28" s="11">
        <v>1.77E-2</v>
      </c>
      <c r="E28" s="10">
        <f t="shared" si="2"/>
        <v>36777.963160634739</v>
      </c>
      <c r="F28" s="3"/>
      <c r="G28" s="28"/>
      <c r="H28" s="10"/>
      <c r="I28" s="10">
        <f t="shared" si="5"/>
        <v>6111</v>
      </c>
      <c r="J28" s="10">
        <f t="shared" si="3"/>
        <v>12922497752.910633</v>
      </c>
      <c r="K28" s="11">
        <f t="shared" si="4"/>
        <v>1.7700000000000271E-2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2077851.0260245448</v>
      </c>
      <c r="D29" s="11">
        <v>1.8100000000000002E-2</v>
      </c>
      <c r="E29" s="10">
        <f t="shared" si="2"/>
        <v>36940.480867345352</v>
      </c>
      <c r="F29" s="3"/>
      <c r="G29" s="28"/>
      <c r="H29" s="10"/>
      <c r="I29" s="10">
        <f t="shared" si="5"/>
        <v>6111</v>
      </c>
      <c r="J29" s="10">
        <f t="shared" si="3"/>
        <v>12697747620.035994</v>
      </c>
      <c r="K29" s="11">
        <f t="shared" si="4"/>
        <v>1.8100000000000005E-2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2040910.5451571995</v>
      </c>
      <c r="D30" s="12">
        <v>1.8499999999999999E-2</v>
      </c>
      <c r="E30" s="10">
        <f t="shared" si="2"/>
        <v>37071.031011691783</v>
      </c>
      <c r="F30" s="3"/>
      <c r="G30" s="28"/>
      <c r="H30" s="10"/>
      <c r="I30" s="10">
        <f t="shared" si="5"/>
        <v>6111</v>
      </c>
      <c r="J30" s="10">
        <f t="shared" si="3"/>
        <v>12472004341.455647</v>
      </c>
      <c r="K30" s="11">
        <f t="shared" si="4"/>
        <v>1.8499999999999961E-2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2003839.5141455077</v>
      </c>
      <c r="D31" s="13">
        <v>1.89E-2</v>
      </c>
      <c r="E31" s="10">
        <f t="shared" si="2"/>
        <v>37170.052819069475</v>
      </c>
      <c r="F31" s="3"/>
      <c r="G31" s="28"/>
      <c r="H31" s="10"/>
      <c r="I31" s="10">
        <f t="shared" si="5"/>
        <v>6111</v>
      </c>
      <c r="J31" s="10">
        <f t="shared" si="3"/>
        <v>12245463270.943197</v>
      </c>
      <c r="K31" s="11">
        <f t="shared" si="4"/>
        <v>1.8899999999999695E-2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1966669.4613264382</v>
      </c>
      <c r="D32" s="12">
        <v>1.9400000000000001E-2</v>
      </c>
      <c r="E32" s="10">
        <f t="shared" si="2"/>
        <v>37427.297969131963</v>
      </c>
      <c r="F32" s="3"/>
      <c r="G32" s="28"/>
      <c r="H32" s="10"/>
      <c r="I32" s="10">
        <f t="shared" si="5"/>
        <v>6111</v>
      </c>
      <c r="J32" s="10">
        <f t="shared" si="3"/>
        <v>12018317078.165865</v>
      </c>
      <c r="K32" s="11">
        <f t="shared" si="4"/>
        <v>1.9400000000000084E-2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1929242.1633573063</v>
      </c>
      <c r="D33" s="13">
        <v>1.9800000000000002E-2</v>
      </c>
      <c r="E33" s="10">
        <f t="shared" si="2"/>
        <v>37457.339512134437</v>
      </c>
      <c r="F33" s="3"/>
      <c r="G33" s="28"/>
      <c r="H33" s="10"/>
      <c r="I33" s="10">
        <f t="shared" si="5"/>
        <v>6111</v>
      </c>
      <c r="J33" s="10">
        <f t="shared" si="3"/>
        <v>11789598860.276499</v>
      </c>
      <c r="K33" s="11">
        <f t="shared" si="4"/>
        <v>1.980000000000004E-2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1891784.8238451718</v>
      </c>
      <c r="D34" s="12">
        <v>2.0400000000000001E-2</v>
      </c>
      <c r="E34" s="10">
        <f t="shared" si="2"/>
        <v>37820.864765230799</v>
      </c>
      <c r="F34" s="3"/>
      <c r="G34" s="28"/>
      <c r="H34" s="10"/>
      <c r="I34" s="10">
        <f t="shared" si="5"/>
        <v>6111</v>
      </c>
      <c r="J34" s="10">
        <f t="shared" ref="J34:J65" si="6">IF(I34="","",I34*C34)</f>
        <v>11560697058.517845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1853963.959079941</v>
      </c>
      <c r="D35" s="11">
        <v>2.0799999999999999E-2</v>
      </c>
      <c r="E35" s="10">
        <f t="shared" si="2"/>
        <v>37776.69509097049</v>
      </c>
      <c r="F35" s="3"/>
      <c r="G35" s="28"/>
      <c r="H35" s="10"/>
      <c r="I35" s="10">
        <f t="shared" ref="I35:I66" si="8">IF(H35&lt;&gt;"",H35,I34/(1+IF(G34="",0,G34)/100))</f>
        <v>6111</v>
      </c>
      <c r="J35" s="10">
        <f t="shared" si="6"/>
        <v>11329573753.937519</v>
      </c>
      <c r="K35" s="11">
        <f t="shared" si="7"/>
        <v>2.079999999999993E-2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1816187.2639889705</v>
      </c>
      <c r="D36" s="11">
        <v>2.1000000000000001E-2</v>
      </c>
      <c r="E36" s="10">
        <f t="shared" si="2"/>
        <v>37355.467721614288</v>
      </c>
      <c r="F36" s="3"/>
      <c r="G36" s="28"/>
      <c r="H36" s="10"/>
      <c r="I36" s="10">
        <f t="shared" si="8"/>
        <v>6111</v>
      </c>
      <c r="J36" s="10">
        <f t="shared" si="6"/>
        <v>11098720370.236599</v>
      </c>
      <c r="K36" s="11">
        <f t="shared" si="7"/>
        <v>2.0999999999999908E-2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1778831.7962673563</v>
      </c>
      <c r="D37" s="11">
        <v>2.12E-2</v>
      </c>
      <c r="E37" s="10">
        <f t="shared" si="2"/>
        <v>36928.352997324895</v>
      </c>
      <c r="F37" s="3"/>
      <c r="G37" s="28"/>
      <c r="H37" s="10"/>
      <c r="I37" s="10">
        <f t="shared" si="8"/>
        <v>6111</v>
      </c>
      <c r="J37" s="10">
        <f t="shared" si="6"/>
        <v>10870441106.989815</v>
      </c>
      <c r="K37" s="11">
        <f t="shared" si="7"/>
        <v>2.1200000000000108E-2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1741903.4432700314</v>
      </c>
      <c r="D38" s="11">
        <v>2.12E-2</v>
      </c>
      <c r="E38" s="10">
        <f t="shared" si="2"/>
        <v>36161.724439213518</v>
      </c>
      <c r="F38" s="3"/>
      <c r="G38" s="28"/>
      <c r="H38" s="10"/>
      <c r="I38" s="10">
        <f t="shared" si="8"/>
        <v>6111</v>
      </c>
      <c r="J38" s="10">
        <f t="shared" si="6"/>
        <v>10644771941.823162</v>
      </c>
      <c r="K38" s="11">
        <f t="shared" si="7"/>
        <v>2.1200000000000108E-2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1705741.7188308178</v>
      </c>
      <c r="D39" s="11">
        <v>2.1100000000000001E-2</v>
      </c>
      <c r="E39" s="10">
        <f t="shared" si="2"/>
        <v>35247.429504779167</v>
      </c>
      <c r="F39" s="3"/>
      <c r="G39" s="28"/>
      <c r="H39" s="10"/>
      <c r="I39" s="10">
        <f t="shared" si="8"/>
        <v>6111</v>
      </c>
      <c r="J39" s="10">
        <f t="shared" si="6"/>
        <v>10423787643.775127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1670494.2893260387</v>
      </c>
      <c r="D40" s="11">
        <v>2.1000000000000001E-2</v>
      </c>
      <c r="E40" s="10">
        <f t="shared" si="2"/>
        <v>34358.844344609883</v>
      </c>
      <c r="F40" s="3"/>
      <c r="G40" s="28"/>
      <c r="H40" s="10"/>
      <c r="I40" s="10">
        <f t="shared" si="8"/>
        <v>6111</v>
      </c>
      <c r="J40" s="10">
        <f t="shared" si="6"/>
        <v>10208390602.071423</v>
      </c>
      <c r="K40" s="11">
        <f t="shared" si="7"/>
        <v>2.0999999999999908E-2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1636135.4449814288</v>
      </c>
      <c r="D41" s="11">
        <v>2.12E-2</v>
      </c>
      <c r="E41" s="10">
        <f t="shared" si="2"/>
        <v>33965.992394835921</v>
      </c>
      <c r="F41" s="3"/>
      <c r="G41" s="28"/>
      <c r="H41" s="10"/>
      <c r="I41" s="10">
        <f t="shared" si="8"/>
        <v>6111</v>
      </c>
      <c r="J41" s="10">
        <f t="shared" si="6"/>
        <v>9998423704.2815113</v>
      </c>
      <c r="K41" s="11">
        <f t="shared" si="7"/>
        <v>2.1199999999999886E-2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1602169.4525865929</v>
      </c>
      <c r="D42" s="11">
        <v>2.1399999999999999E-2</v>
      </c>
      <c r="E42" s="10">
        <f t="shared" si="2"/>
        <v>33568.069595998852</v>
      </c>
      <c r="F42" s="3"/>
      <c r="G42" s="28"/>
      <c r="H42" s="10"/>
      <c r="I42" s="10">
        <f t="shared" si="8"/>
        <v>6111</v>
      </c>
      <c r="J42" s="10">
        <f t="shared" si="6"/>
        <v>9790857524.75667</v>
      </c>
      <c r="K42" s="11">
        <f t="shared" si="7"/>
        <v>2.1400000000000086E-2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1568601.382990594</v>
      </c>
      <c r="D43" s="11">
        <v>2.1499999999999998E-2</v>
      </c>
      <c r="E43" s="10">
        <f t="shared" si="2"/>
        <v>33015.104977286188</v>
      </c>
      <c r="F43" s="3"/>
      <c r="G43" s="28"/>
      <c r="H43" s="10"/>
      <c r="I43" s="10">
        <f t="shared" si="8"/>
        <v>6111</v>
      </c>
      <c r="J43" s="10">
        <f t="shared" si="6"/>
        <v>9585723051.4555206</v>
      </c>
      <c r="K43" s="11">
        <f t="shared" si="7"/>
        <v>2.1500000000000297E-2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1535586.2780133078</v>
      </c>
      <c r="D44" s="11">
        <v>2.18E-2</v>
      </c>
      <c r="E44" s="10">
        <f t="shared" si="2"/>
        <v>32761.578450469999</v>
      </c>
      <c r="F44" s="3"/>
      <c r="G44" s="28"/>
      <c r="H44" s="10"/>
      <c r="I44" s="10">
        <f t="shared" si="8"/>
        <v>6111</v>
      </c>
      <c r="J44" s="10">
        <f t="shared" si="6"/>
        <v>9383967744.9393234</v>
      </c>
      <c r="K44" s="11">
        <f t="shared" si="7"/>
        <v>2.1800000000000042E-2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1502824.6995628378</v>
      </c>
      <c r="D45" s="11">
        <v>2.2200000000000001E-2</v>
      </c>
      <c r="E45" s="10">
        <f t="shared" si="2"/>
        <v>32638.141587062273</v>
      </c>
      <c r="F45" s="3"/>
      <c r="G45" s="28"/>
      <c r="H45" s="10"/>
      <c r="I45" s="10">
        <f t="shared" si="8"/>
        <v>6111</v>
      </c>
      <c r="J45" s="10">
        <f t="shared" si="6"/>
        <v>9183761739.0285015</v>
      </c>
      <c r="K45" s="11">
        <f t="shared" si="7"/>
        <v>2.2199999999999998E-2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1470186.5579757756</v>
      </c>
      <c r="D46" s="11">
        <v>2.2499999999999999E-2</v>
      </c>
      <c r="E46" s="10">
        <f t="shared" si="2"/>
        <v>32351.293451789534</v>
      </c>
      <c r="F46" s="3"/>
      <c r="G46" s="28"/>
      <c r="H46" s="10"/>
      <c r="I46" s="10">
        <f t="shared" si="8"/>
        <v>6111</v>
      </c>
      <c r="J46" s="10">
        <f t="shared" si="6"/>
        <v>8984310055.7899647</v>
      </c>
      <c r="K46" s="11">
        <f t="shared" si="7"/>
        <v>2.2499999999999964E-2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1437835.264523986</v>
      </c>
      <c r="D47" s="11">
        <v>2.2800000000000001E-2</v>
      </c>
      <c r="E47" s="10">
        <f t="shared" si="2"/>
        <v>32051.861586963991</v>
      </c>
      <c r="F47" s="3"/>
      <c r="G47" s="28"/>
      <c r="H47" s="10"/>
      <c r="I47" s="10">
        <f t="shared" si="8"/>
        <v>6111</v>
      </c>
      <c r="J47" s="10">
        <f t="shared" si="6"/>
        <v>8786611301.5060787</v>
      </c>
      <c r="K47" s="11">
        <f t="shared" si="7"/>
        <v>2.2799999999999709E-2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1405783.402937022</v>
      </c>
      <c r="D48" s="11">
        <v>2.3E-2</v>
      </c>
      <c r="E48" s="10">
        <f t="shared" si="2"/>
        <v>31606.078462904552</v>
      </c>
      <c r="F48" s="3"/>
      <c r="G48" s="28"/>
      <c r="H48" s="10"/>
      <c r="I48" s="10">
        <f t="shared" si="8"/>
        <v>6111</v>
      </c>
      <c r="J48" s="10">
        <f t="shared" si="6"/>
        <v>8590742375.3481426</v>
      </c>
      <c r="K48" s="11">
        <f t="shared" si="7"/>
        <v>2.2999999999999909E-2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1374177.3244741175</v>
      </c>
      <c r="D49" s="11">
        <v>2.3099999999999999E-2</v>
      </c>
      <c r="E49" s="10">
        <f t="shared" si="2"/>
        <v>31026.777632051613</v>
      </c>
      <c r="F49" s="3"/>
      <c r="G49" s="28"/>
      <c r="H49" s="10"/>
      <c r="I49" s="10">
        <f t="shared" si="8"/>
        <v>6111</v>
      </c>
      <c r="J49" s="10">
        <f t="shared" si="6"/>
        <v>8397597629.8613319</v>
      </c>
      <c r="K49" s="11">
        <f t="shared" si="7"/>
        <v>2.3099999999999898E-2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1343150.5468420659</v>
      </c>
      <c r="D50" s="11">
        <v>2.29E-2</v>
      </c>
      <c r="E50" s="10">
        <f t="shared" si="2"/>
        <v>30069.554719604319</v>
      </c>
      <c r="F50" s="3"/>
      <c r="G50" s="28"/>
      <c r="H50" s="10"/>
      <c r="I50" s="10">
        <f t="shared" si="8"/>
        <v>6111</v>
      </c>
      <c r="J50" s="10">
        <f t="shared" si="6"/>
        <v>8207992991.7518644</v>
      </c>
      <c r="K50" s="11">
        <f t="shared" si="7"/>
        <v>2.289999999999992E-2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1313080.9921224616</v>
      </c>
      <c r="D51" s="11">
        <v>2.2700000000000001E-2</v>
      </c>
      <c r="E51" s="10">
        <f t="shared" si="2"/>
        <v>29145.339318646584</v>
      </c>
      <c r="F51" s="3"/>
      <c r="G51" s="28"/>
      <c r="H51" s="10"/>
      <c r="I51" s="10">
        <f t="shared" si="8"/>
        <v>6111</v>
      </c>
      <c r="J51" s="10">
        <f t="shared" si="6"/>
        <v>8024237942.860363</v>
      </c>
      <c r="K51" s="11">
        <f t="shared" si="7"/>
        <v>2.2700000000000164E-2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1283935.652803815</v>
      </c>
      <c r="D52" s="11">
        <v>2.2599999999999999E-2</v>
      </c>
      <c r="E52" s="10">
        <f t="shared" si="2"/>
        <v>28375.655929362634</v>
      </c>
      <c r="F52" s="3"/>
      <c r="G52" s="28"/>
      <c r="H52" s="10"/>
      <c r="I52" s="10">
        <f t="shared" si="8"/>
        <v>6111</v>
      </c>
      <c r="J52" s="10">
        <f t="shared" si="6"/>
        <v>7846130774.2841129</v>
      </c>
      <c r="K52" s="11">
        <f t="shared" si="7"/>
        <v>2.2599999999999953E-2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1255559.9968744523</v>
      </c>
      <c r="D53" s="11">
        <v>2.2499999999999999E-2</v>
      </c>
      <c r="E53" s="10">
        <f t="shared" si="2"/>
        <v>27628.459588924423</v>
      </c>
      <c r="F53" s="3"/>
      <c r="G53" s="28"/>
      <c r="H53" s="10"/>
      <c r="I53" s="10">
        <f t="shared" si="8"/>
        <v>6111</v>
      </c>
      <c r="J53" s="10">
        <f t="shared" si="6"/>
        <v>7672727140.8997784</v>
      </c>
      <c r="K53" s="11">
        <f t="shared" si="7"/>
        <v>2.2499999999999964E-2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1227931.5372855279</v>
      </c>
      <c r="D54" s="11">
        <v>2.2499999999999999E-2</v>
      </c>
      <c r="E54" s="10">
        <f t="shared" si="2"/>
        <v>27020.498375476105</v>
      </c>
      <c r="F54" s="3"/>
      <c r="G54" s="28"/>
      <c r="H54" s="10"/>
      <c r="I54" s="10">
        <f t="shared" si="8"/>
        <v>6111</v>
      </c>
      <c r="J54" s="10">
        <f t="shared" si="6"/>
        <v>7503889624.351861</v>
      </c>
      <c r="K54" s="11">
        <f t="shared" si="7"/>
        <v>2.2499999999999964E-2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1200911.0389100518</v>
      </c>
      <c r="D55" s="11">
        <v>2.2499999999999999E-2</v>
      </c>
      <c r="E55" s="10">
        <f t="shared" si="2"/>
        <v>26425.915281639202</v>
      </c>
      <c r="F55" s="3"/>
      <c r="G55" s="28"/>
      <c r="H55" s="10"/>
      <c r="I55" s="10">
        <f t="shared" si="8"/>
        <v>6111</v>
      </c>
      <c r="J55" s="10">
        <f t="shared" si="6"/>
        <v>7338767358.7793264</v>
      </c>
      <c r="K55" s="11">
        <f t="shared" si="7"/>
        <v>2.2499999999999742E-2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1174485.1236284126</v>
      </c>
      <c r="D56" s="11">
        <v>2.24E-2</v>
      </c>
      <c r="E56" s="10">
        <f t="shared" si="2"/>
        <v>25732.068436303176</v>
      </c>
      <c r="F56" s="3"/>
      <c r="G56" s="28"/>
      <c r="H56" s="10"/>
      <c r="I56" s="10">
        <f t="shared" si="8"/>
        <v>6111</v>
      </c>
      <c r="J56" s="10">
        <f t="shared" si="6"/>
        <v>7177278590.4932299</v>
      </c>
      <c r="K56" s="11">
        <f t="shared" si="7"/>
        <v>2.2399999999999975E-2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1148753.0551921094</v>
      </c>
      <c r="D57" s="11">
        <v>2.24E-2</v>
      </c>
      <c r="E57" s="10">
        <f t="shared" si="2"/>
        <v>25168.298548809951</v>
      </c>
      <c r="F57" s="3"/>
      <c r="G57" s="28"/>
      <c r="H57" s="10"/>
      <c r="I57" s="10">
        <f t="shared" si="8"/>
        <v>6111</v>
      </c>
      <c r="J57" s="10">
        <f t="shared" si="6"/>
        <v>7020029920.2789803</v>
      </c>
      <c r="K57" s="11">
        <f t="shared" si="7"/>
        <v>2.2399999999999975E-2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1123584.7566432995</v>
      </c>
      <c r="D58" s="11">
        <v>2.2200000000000001E-2</v>
      </c>
      <c r="E58" s="10">
        <f t="shared" si="2"/>
        <v>24401.860298846848</v>
      </c>
      <c r="F58" s="3"/>
      <c r="G58" s="28"/>
      <c r="H58" s="10"/>
      <c r="I58" s="10">
        <f t="shared" si="8"/>
        <v>6111</v>
      </c>
      <c r="J58" s="10">
        <f t="shared" si="6"/>
        <v>6866226447.8472033</v>
      </c>
      <c r="K58" s="11">
        <f t="shared" si="7"/>
        <v>2.2199999999999998E-2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1099182.8963444526</v>
      </c>
      <c r="D59" s="11">
        <v>2.1899999999999999E-2</v>
      </c>
      <c r="E59" s="10">
        <f t="shared" si="2"/>
        <v>23556.224121678853</v>
      </c>
      <c r="F59" s="3"/>
      <c r="G59" s="28"/>
      <c r="H59" s="10"/>
      <c r="I59" s="10">
        <f t="shared" si="8"/>
        <v>6111</v>
      </c>
      <c r="J59" s="10">
        <f t="shared" si="6"/>
        <v>6717106679.5609503</v>
      </c>
      <c r="K59" s="11">
        <f t="shared" si="7"/>
        <v>2.1900000000000253E-2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1075626.6722227738</v>
      </c>
      <c r="D60" s="11">
        <v>2.1600000000000001E-2</v>
      </c>
      <c r="E60" s="10">
        <f t="shared" si="2"/>
        <v>22742.302388421958</v>
      </c>
      <c r="F60" s="3"/>
      <c r="G60" s="28"/>
      <c r="H60" s="10"/>
      <c r="I60" s="10">
        <f t="shared" si="8"/>
        <v>6111</v>
      </c>
      <c r="J60" s="10">
        <f t="shared" si="6"/>
        <v>6573154593.9533701</v>
      </c>
      <c r="K60" s="11">
        <f t="shared" si="7"/>
        <v>2.1599999999999842E-2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1052884.3698343518</v>
      </c>
      <c r="D61" s="11">
        <v>2.1299999999999999E-2</v>
      </c>
      <c r="E61" s="10">
        <f t="shared" si="2"/>
        <v>21958.716417773277</v>
      </c>
      <c r="F61" s="3"/>
      <c r="G61" s="28"/>
      <c r="H61" s="10"/>
      <c r="I61" s="10">
        <f t="shared" si="8"/>
        <v>6111</v>
      </c>
      <c r="J61" s="10">
        <f t="shared" si="6"/>
        <v>6434176384.057724</v>
      </c>
      <c r="K61" s="11">
        <f t="shared" si="7"/>
        <v>2.1300000000000097E-2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1030925.6534165785</v>
      </c>
      <c r="D62" s="11">
        <v>2.1100000000000001E-2</v>
      </c>
      <c r="E62" s="10">
        <f t="shared" si="2"/>
        <v>21303.037202124833</v>
      </c>
      <c r="F62" s="3"/>
      <c r="G62" s="28"/>
      <c r="H62" s="10"/>
      <c r="I62" s="10">
        <f t="shared" si="8"/>
        <v>6111</v>
      </c>
      <c r="J62" s="10">
        <f t="shared" si="6"/>
        <v>6299986668.0287113</v>
      </c>
      <c r="K62" s="11">
        <f t="shared" si="7"/>
        <v>2.1099999999999897E-2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1009622.6162144537</v>
      </c>
      <c r="D63" s="11">
        <v>2.0899999999999998E-2</v>
      </c>
      <c r="E63" s="10">
        <f t="shared" si="2"/>
        <v>20669.12790565379</v>
      </c>
      <c r="F63" s="3"/>
      <c r="G63" s="28"/>
      <c r="H63" s="10"/>
      <c r="I63" s="10">
        <f t="shared" si="8"/>
        <v>6111</v>
      </c>
      <c r="J63" s="10">
        <f t="shared" si="6"/>
        <v>6169803807.6865263</v>
      </c>
      <c r="K63" s="11">
        <f t="shared" si="7"/>
        <v>2.0899999999999697E-2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988953.48830879992</v>
      </c>
      <c r="D64" s="11">
        <v>2.06E-2</v>
      </c>
      <c r="E64" s="10">
        <f t="shared" si="2"/>
        <v>19961.240308799897</v>
      </c>
      <c r="F64" s="3"/>
      <c r="G64" s="28"/>
      <c r="H64" s="10"/>
      <c r="I64" s="10">
        <f t="shared" si="8"/>
        <v>6111</v>
      </c>
      <c r="J64" s="10">
        <f t="shared" si="6"/>
        <v>6043494767.0550766</v>
      </c>
      <c r="K64" s="11">
        <f t="shared" si="7"/>
        <v>2.0599999999999952E-2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968992.24800000002</v>
      </c>
      <c r="D65" s="11">
        <v>2.0400000000000001E-2</v>
      </c>
      <c r="E65" s="10">
        <f t="shared" si="2"/>
        <v>19372.248000000021</v>
      </c>
      <c r="F65" s="3"/>
      <c r="G65" s="28"/>
      <c r="H65" s="10"/>
      <c r="I65" s="10">
        <f t="shared" si="8"/>
        <v>6111</v>
      </c>
      <c r="J65" s="10">
        <f t="shared" si="6"/>
        <v>5921511627.5279999</v>
      </c>
      <c r="K65" s="11">
        <f t="shared" si="7"/>
        <v>2.0399999999999974E-2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949620</v>
      </c>
      <c r="D66" s="11">
        <v>0.02</v>
      </c>
      <c r="E66" s="10">
        <f t="shared" si="2"/>
        <v>18620</v>
      </c>
      <c r="F66" s="3"/>
      <c r="G66" s="28"/>
      <c r="H66" s="10"/>
      <c r="I66" s="10">
        <f t="shared" si="8"/>
        <v>6111</v>
      </c>
      <c r="J66" s="10">
        <f t="shared" ref="J66:J67" si="9">IF(I66="","",I66*C66)</f>
        <v>5803127820</v>
      </c>
      <c r="K66" s="11">
        <f t="shared" ref="K66" si="10">IFERROR(J66/J67-1,"")</f>
        <v>2.0000000000000018E-2</v>
      </c>
    </row>
    <row r="67" spans="1:11" ht="22.5" customHeight="1">
      <c r="A67" s="3">
        <f t="shared" si="0"/>
        <v>1950</v>
      </c>
      <c r="B67" s="3">
        <v>1700</v>
      </c>
      <c r="C67" s="10">
        <v>931000</v>
      </c>
      <c r="D67" s="11">
        <v>2.0400000000000001E-2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6111</v>
      </c>
      <c r="J67" s="10">
        <f t="shared" si="9"/>
        <v>5689341000</v>
      </c>
      <c r="K67" s="11"/>
    </row>
  </sheetData>
  <dataValidations count="1">
    <dataValidation type="custom" allowBlank="1" showDropDown="1" sqref="D2:D67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21769692.941413205</v>
      </c>
      <c r="D2" s="11">
        <v>1.09E-2</v>
      </c>
      <c r="E2" s="10">
        <f t="shared" ref="E2:E66" si="2">SUM(C2-C3)</f>
        <v>234731.08424315229</v>
      </c>
      <c r="F2" s="15">
        <v>21768597</v>
      </c>
      <c r="G2" s="28"/>
      <c r="H2" s="10"/>
      <c r="I2" s="10">
        <f>IF(H2&lt;&gt;"",H2,10754)</f>
        <v>10754</v>
      </c>
      <c r="J2" s="10">
        <f t="shared" ref="J2:J33" si="3">IF(I2="","",I2*C2)</f>
        <v>234111277891.95761</v>
      </c>
      <c r="K2" s="11">
        <f t="shared" ref="K2:K33" si="4">IFERROR(J2/J3-1,"")</f>
        <v>1.089999999999991E-2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21534961.857170053</v>
      </c>
      <c r="D3" s="11">
        <v>1.0999999999999999E-2</v>
      </c>
      <c r="E3" s="10">
        <f t="shared" si="2"/>
        <v>234307.20121549815</v>
      </c>
      <c r="F3" s="3"/>
      <c r="G3" s="28"/>
      <c r="H3" s="10"/>
      <c r="I3" s="10">
        <f t="shared" ref="I3:I34" si="5">IF(H3&lt;&gt;"",H3,I2/(1+IF(G2="",0,G2)/100))</f>
        <v>10754</v>
      </c>
      <c r="J3" s="10">
        <f t="shared" si="3"/>
        <v>231586979812.00674</v>
      </c>
      <c r="K3" s="11">
        <f t="shared" si="4"/>
        <v>1.0999999999999899E-2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21300654.655954555</v>
      </c>
      <c r="D4" s="11">
        <v>9.5999999999999992E-3</v>
      </c>
      <c r="E4" s="10">
        <f t="shared" si="2"/>
        <v>202541.88262397423</v>
      </c>
      <c r="F4" s="3"/>
      <c r="G4" s="28"/>
      <c r="H4" s="10"/>
      <c r="I4" s="10">
        <f t="shared" si="5"/>
        <v>10754</v>
      </c>
      <c r="J4" s="10">
        <f t="shared" si="3"/>
        <v>229067240170.13528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21098112.77333058</v>
      </c>
      <c r="D5" s="11">
        <v>9.5999999999999992E-3</v>
      </c>
      <c r="E5" s="10">
        <f t="shared" si="2"/>
        <v>200615.96931851655</v>
      </c>
      <c r="F5" s="3"/>
      <c r="G5" s="28"/>
      <c r="H5" s="10"/>
      <c r="I5" s="10">
        <f t="shared" si="5"/>
        <v>10754</v>
      </c>
      <c r="J5" s="10">
        <f t="shared" si="3"/>
        <v>226889104764.39706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20897496.804012064</v>
      </c>
      <c r="D6" s="11">
        <v>1.1900000000000001E-2</v>
      </c>
      <c r="E6" s="10">
        <f t="shared" si="2"/>
        <v>245755.71891268343</v>
      </c>
      <c r="F6" s="3"/>
      <c r="G6" s="28"/>
      <c r="H6" s="10"/>
      <c r="I6" s="10">
        <f t="shared" si="5"/>
        <v>10754</v>
      </c>
      <c r="J6" s="10">
        <f t="shared" si="3"/>
        <v>224731680630.34573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20651741.08509938</v>
      </c>
      <c r="D7" s="11">
        <v>1.7100000000000001E-2</v>
      </c>
      <c r="E7" s="10">
        <f t="shared" si="2"/>
        <v>347207.52389656752</v>
      </c>
      <c r="F7" s="3"/>
      <c r="G7" s="28"/>
      <c r="H7" s="10"/>
      <c r="I7" s="10">
        <f t="shared" si="5"/>
        <v>10754</v>
      </c>
      <c r="J7" s="10">
        <f t="shared" si="3"/>
        <v>222088823629.15875</v>
      </c>
      <c r="K7" s="11">
        <f t="shared" si="4"/>
        <v>1.7100000000000115E-2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20304533.561202813</v>
      </c>
      <c r="D8" s="11">
        <v>1.8100000000000002E-2</v>
      </c>
      <c r="E8" s="10">
        <f t="shared" si="2"/>
        <v>360978.34933480993</v>
      </c>
      <c r="F8" s="3"/>
      <c r="G8" s="28"/>
      <c r="H8" s="10"/>
      <c r="I8" s="10">
        <f t="shared" si="5"/>
        <v>10754</v>
      </c>
      <c r="J8" s="10">
        <f t="shared" si="3"/>
        <v>218354953917.17505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19943555.211868003</v>
      </c>
      <c r="D9" s="11">
        <v>1.47E-2</v>
      </c>
      <c r="E9" s="10">
        <f t="shared" si="2"/>
        <v>288923.09215971082</v>
      </c>
      <c r="F9" s="3"/>
      <c r="G9" s="28"/>
      <c r="H9" s="10"/>
      <c r="I9" s="10">
        <f t="shared" si="5"/>
        <v>10754</v>
      </c>
      <c r="J9" s="10">
        <f t="shared" si="3"/>
        <v>214472992748.4285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19654632.119708292</v>
      </c>
      <c r="D10" s="11">
        <v>1.3299999999999999E-2</v>
      </c>
      <c r="E10" s="10">
        <f t="shared" si="2"/>
        <v>257975.53260843083</v>
      </c>
      <c r="F10" s="3"/>
      <c r="G10" s="28"/>
      <c r="H10" s="10"/>
      <c r="I10" s="10">
        <f t="shared" si="5"/>
        <v>10754</v>
      </c>
      <c r="J10" s="10">
        <f t="shared" si="3"/>
        <v>211365913815.34299</v>
      </c>
      <c r="K10" s="11">
        <f t="shared" si="4"/>
        <v>1.3300000000000312E-2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19396656.587099861</v>
      </c>
      <c r="D11" s="11">
        <v>1.1299999999999999E-2</v>
      </c>
      <c r="E11" s="10">
        <f t="shared" si="2"/>
        <v>216733.13500863314</v>
      </c>
      <c r="F11" s="3"/>
      <c r="G11" s="28"/>
      <c r="H11" s="10"/>
      <c r="I11" s="10">
        <f t="shared" si="5"/>
        <v>10754</v>
      </c>
      <c r="J11" s="10">
        <f t="shared" si="3"/>
        <v>208591644937.67191</v>
      </c>
      <c r="K11" s="11">
        <f t="shared" si="4"/>
        <v>1.1300000000000088E-2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19179923.452091228</v>
      </c>
      <c r="D12" s="11">
        <v>9.9000000000000008E-3</v>
      </c>
      <c r="E12" s="10">
        <f t="shared" si="2"/>
        <v>188019.84570324048</v>
      </c>
      <c r="F12" s="3"/>
      <c r="G12" s="28"/>
      <c r="H12" s="10"/>
      <c r="I12" s="10">
        <f t="shared" si="5"/>
        <v>10754</v>
      </c>
      <c r="J12" s="10">
        <f t="shared" si="3"/>
        <v>206260896803.78906</v>
      </c>
      <c r="K12" s="11">
        <f t="shared" si="4"/>
        <v>9.9000000000000199E-3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18991903.606387988</v>
      </c>
      <c r="D13" s="11">
        <v>8.9999999999999993E-3</v>
      </c>
      <c r="E13" s="10">
        <f t="shared" si="2"/>
        <v>169402.50986867025</v>
      </c>
      <c r="F13" s="3"/>
      <c r="G13" s="28"/>
      <c r="H13" s="10"/>
      <c r="I13" s="10">
        <f t="shared" si="5"/>
        <v>10754</v>
      </c>
      <c r="J13" s="10">
        <f t="shared" si="3"/>
        <v>204238931383.09641</v>
      </c>
      <c r="K13" s="11">
        <f t="shared" si="4"/>
        <v>8.9999999999996749E-3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18822501.096519317</v>
      </c>
      <c r="D14" s="11">
        <v>8.3999999999999995E-3</v>
      </c>
      <c r="E14" s="10">
        <f t="shared" si="2"/>
        <v>156791.95677386224</v>
      </c>
      <c r="F14" s="3"/>
      <c r="G14" s="28"/>
      <c r="H14" s="10"/>
      <c r="I14" s="10">
        <f t="shared" si="5"/>
        <v>10754</v>
      </c>
      <c r="J14" s="10">
        <f t="shared" si="3"/>
        <v>202417176791.96875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18665709.139745455</v>
      </c>
      <c r="D15" s="11">
        <v>7.4999999999999997E-3</v>
      </c>
      <c r="E15" s="10">
        <f t="shared" si="2"/>
        <v>138950.68838520348</v>
      </c>
      <c r="F15" s="3"/>
      <c r="G15" s="28"/>
      <c r="H15" s="10"/>
      <c r="I15" s="10">
        <f t="shared" si="5"/>
        <v>10754</v>
      </c>
      <c r="J15" s="10">
        <f t="shared" si="3"/>
        <v>200731036088.82263</v>
      </c>
      <c r="K15" s="11">
        <f t="shared" si="4"/>
        <v>7.5000000000000622E-3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18526758.451360252</v>
      </c>
      <c r="D16" s="11">
        <v>6.4999999999999997E-3</v>
      </c>
      <c r="E16" s="10">
        <f t="shared" si="2"/>
        <v>119646.22944246605</v>
      </c>
      <c r="F16" s="3"/>
      <c r="G16" s="28"/>
      <c r="H16" s="10"/>
      <c r="I16" s="10">
        <f t="shared" si="5"/>
        <v>10754</v>
      </c>
      <c r="J16" s="10">
        <f t="shared" si="3"/>
        <v>199236760385.92816</v>
      </c>
      <c r="K16" s="11">
        <f t="shared" si="4"/>
        <v>6.4999999999999503E-3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18407112.221917786</v>
      </c>
      <c r="D17" s="11">
        <v>6.1999999999999998E-3</v>
      </c>
      <c r="E17" s="10">
        <f t="shared" si="2"/>
        <v>113420.88628094643</v>
      </c>
      <c r="F17" s="3"/>
      <c r="G17" s="28"/>
      <c r="H17" s="10"/>
      <c r="I17" s="10">
        <f t="shared" si="5"/>
        <v>10754</v>
      </c>
      <c r="J17" s="10">
        <f t="shared" si="3"/>
        <v>197950084834.50388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18293691.335636839</v>
      </c>
      <c r="D18" s="11">
        <v>6.6E-3</v>
      </c>
      <c r="E18" s="10">
        <f t="shared" si="2"/>
        <v>119946.7144995071</v>
      </c>
      <c r="F18" s="3"/>
      <c r="G18" s="28"/>
      <c r="H18" s="10"/>
      <c r="I18" s="10">
        <f t="shared" si="5"/>
        <v>10754</v>
      </c>
      <c r="J18" s="10">
        <f t="shared" si="3"/>
        <v>196730356623.43857</v>
      </c>
      <c r="K18" s="11">
        <f t="shared" si="4"/>
        <v>6.5999999999999392E-3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18173744.621137332</v>
      </c>
      <c r="D19" s="11">
        <v>7.3000000000000001E-3</v>
      </c>
      <c r="E19" s="10">
        <f t="shared" si="2"/>
        <v>131706.87554284185</v>
      </c>
      <c r="F19" s="3"/>
      <c r="G19" s="28"/>
      <c r="H19" s="10"/>
      <c r="I19" s="10">
        <f t="shared" si="5"/>
        <v>10754</v>
      </c>
      <c r="J19" s="10">
        <f t="shared" si="3"/>
        <v>195440449655.71088</v>
      </c>
      <c r="K19" s="11">
        <f t="shared" si="4"/>
        <v>7.3000000000003062E-3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18042037.74559449</v>
      </c>
      <c r="D20" s="11">
        <v>7.9000000000000008E-3</v>
      </c>
      <c r="E20" s="10">
        <f t="shared" si="2"/>
        <v>141414.92031967267</v>
      </c>
      <c r="F20" s="3"/>
      <c r="G20" s="28"/>
      <c r="H20" s="10"/>
      <c r="I20" s="10">
        <f t="shared" si="5"/>
        <v>10754</v>
      </c>
      <c r="J20" s="10">
        <f t="shared" si="3"/>
        <v>194024073916.12314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17900622.825274818</v>
      </c>
      <c r="D21" s="11">
        <v>8.8999999999999999E-3</v>
      </c>
      <c r="E21" s="10">
        <f t="shared" si="2"/>
        <v>157910.14287337288</v>
      </c>
      <c r="F21" s="3"/>
      <c r="G21" s="28"/>
      <c r="H21" s="10"/>
      <c r="I21" s="10">
        <f t="shared" si="5"/>
        <v>10754</v>
      </c>
      <c r="J21" s="10">
        <f t="shared" si="3"/>
        <v>192503297863.0054</v>
      </c>
      <c r="K21" s="11">
        <f t="shared" si="4"/>
        <v>8.90000000000013E-3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17742712.682401445</v>
      </c>
      <c r="D22" s="11">
        <v>9.7999999999999997E-3</v>
      </c>
      <c r="E22" s="10">
        <f t="shared" si="2"/>
        <v>172191.1113958545</v>
      </c>
      <c r="F22" s="3"/>
      <c r="G22" s="28"/>
      <c r="H22" s="10"/>
      <c r="I22" s="10">
        <f t="shared" si="5"/>
        <v>10754</v>
      </c>
      <c r="J22" s="10">
        <f t="shared" si="3"/>
        <v>190805132186.54514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17570521.57100559</v>
      </c>
      <c r="D23" s="11">
        <v>1.0699999999999999E-2</v>
      </c>
      <c r="E23" s="10">
        <f t="shared" si="2"/>
        <v>186014.22856412083</v>
      </c>
      <c r="F23" s="3"/>
      <c r="G23" s="28"/>
      <c r="H23" s="10"/>
      <c r="I23" s="10">
        <f t="shared" si="5"/>
        <v>10754</v>
      </c>
      <c r="J23" s="10">
        <f t="shared" si="3"/>
        <v>188953388974.59412</v>
      </c>
      <c r="K23" s="11">
        <f t="shared" si="4"/>
        <v>1.069999999999971E-2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17384507.342441469</v>
      </c>
      <c r="D24" s="11">
        <v>1.1900000000000001E-2</v>
      </c>
      <c r="E24" s="10">
        <f t="shared" si="2"/>
        <v>204442.76843072847</v>
      </c>
      <c r="F24" s="3"/>
      <c r="G24" s="28"/>
      <c r="H24" s="10"/>
      <c r="I24" s="10">
        <f t="shared" si="5"/>
        <v>10754</v>
      </c>
      <c r="J24" s="10">
        <f t="shared" si="3"/>
        <v>186952991960.61557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17180064.574010741</v>
      </c>
      <c r="D25" s="11">
        <v>1.37E-2</v>
      </c>
      <c r="E25" s="10">
        <f t="shared" si="2"/>
        <v>232185.93732262775</v>
      </c>
      <c r="F25" s="3"/>
      <c r="G25" s="28"/>
      <c r="H25" s="10"/>
      <c r="I25" s="10">
        <f t="shared" si="5"/>
        <v>10754</v>
      </c>
      <c r="J25" s="10">
        <f t="shared" si="3"/>
        <v>184754414428.9115</v>
      </c>
      <c r="K25" s="11">
        <f t="shared" si="4"/>
        <v>1.3700000000000045E-2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16947878.636688113</v>
      </c>
      <c r="D26" s="11">
        <v>1.5599999999999999E-2</v>
      </c>
      <c r="E26" s="10">
        <f t="shared" si="2"/>
        <v>260325.82387981191</v>
      </c>
      <c r="F26" s="3"/>
      <c r="G26" s="28"/>
      <c r="H26" s="10"/>
      <c r="I26" s="10">
        <f t="shared" si="5"/>
        <v>10754</v>
      </c>
      <c r="J26" s="10">
        <f t="shared" si="3"/>
        <v>182257486858.94397</v>
      </c>
      <c r="K26" s="11">
        <f t="shared" si="4"/>
        <v>1.560000000000028E-2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16687552.812808301</v>
      </c>
      <c r="D27" s="11">
        <v>1.7299999999999999E-2</v>
      </c>
      <c r="E27" s="10">
        <f t="shared" si="2"/>
        <v>283785.18004677631</v>
      </c>
      <c r="F27" s="3"/>
      <c r="G27" s="28"/>
      <c r="H27" s="10"/>
      <c r="I27" s="10">
        <f t="shared" si="5"/>
        <v>10754</v>
      </c>
      <c r="J27" s="10">
        <f t="shared" si="3"/>
        <v>179457942948.94046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16403767.632761525</v>
      </c>
      <c r="D28" s="11">
        <v>1.8200000000000001E-2</v>
      </c>
      <c r="E28" s="10">
        <f t="shared" si="2"/>
        <v>293212.11050506681</v>
      </c>
      <c r="F28" s="3"/>
      <c r="G28" s="28"/>
      <c r="H28" s="10"/>
      <c r="I28" s="10">
        <f t="shared" si="5"/>
        <v>10754</v>
      </c>
      <c r="J28" s="10">
        <f t="shared" si="3"/>
        <v>176406117122.71744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16110555.522256458</v>
      </c>
      <c r="D29" s="11">
        <v>1.8499999999999999E-2</v>
      </c>
      <c r="E29" s="10">
        <f t="shared" si="2"/>
        <v>292631.59269685298</v>
      </c>
      <c r="F29" s="3"/>
      <c r="G29" s="28"/>
      <c r="H29" s="10"/>
      <c r="I29" s="10">
        <f t="shared" si="5"/>
        <v>10754</v>
      </c>
      <c r="J29" s="10">
        <f t="shared" si="3"/>
        <v>173252914086.34595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15817923.929559605</v>
      </c>
      <c r="D30" s="12">
        <v>1.8800000000000001E-2</v>
      </c>
      <c r="E30" s="10">
        <f t="shared" si="2"/>
        <v>291889.44824864529</v>
      </c>
      <c r="F30" s="3"/>
      <c r="G30" s="28"/>
      <c r="H30" s="10"/>
      <c r="I30" s="10">
        <f t="shared" si="5"/>
        <v>10754</v>
      </c>
      <c r="J30" s="10">
        <f t="shared" si="3"/>
        <v>170105953938.48401</v>
      </c>
      <c r="K30" s="11">
        <f t="shared" si="4"/>
        <v>1.8799999999999928E-2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15526034.48131096</v>
      </c>
      <c r="D31" s="13">
        <v>1.9400000000000001E-2</v>
      </c>
      <c r="E31" s="10">
        <f t="shared" si="2"/>
        <v>295472.89477872662</v>
      </c>
      <c r="F31" s="3"/>
      <c r="G31" s="28"/>
      <c r="H31" s="10"/>
      <c r="I31" s="10">
        <f t="shared" si="5"/>
        <v>10754</v>
      </c>
      <c r="J31" s="10">
        <f t="shared" si="3"/>
        <v>166966974812.01807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15230561.586532233</v>
      </c>
      <c r="D32" s="12">
        <v>1.9800000000000002E-2</v>
      </c>
      <c r="E32" s="10">
        <f t="shared" si="2"/>
        <v>295710.06022096425</v>
      </c>
      <c r="F32" s="3"/>
      <c r="G32" s="28"/>
      <c r="H32" s="10"/>
      <c r="I32" s="10">
        <f t="shared" si="5"/>
        <v>10754</v>
      </c>
      <c r="J32" s="10">
        <f t="shared" si="3"/>
        <v>163789459301.56763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14934851.526311269</v>
      </c>
      <c r="D33" s="13">
        <v>2.0199999999999999E-2</v>
      </c>
      <c r="E33" s="10">
        <f t="shared" si="2"/>
        <v>295710.64578659832</v>
      </c>
      <c r="F33" s="3"/>
      <c r="G33" s="28"/>
      <c r="H33" s="10"/>
      <c r="I33" s="10">
        <f t="shared" si="5"/>
        <v>10754</v>
      </c>
      <c r="J33" s="10">
        <f t="shared" si="3"/>
        <v>160609393313.95139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14639140.880524671</v>
      </c>
      <c r="D34" s="12">
        <v>2.0400000000000001E-2</v>
      </c>
      <c r="E34" s="10">
        <f t="shared" si="2"/>
        <v>292668.04582781531</v>
      </c>
      <c r="F34" s="3"/>
      <c r="G34" s="28"/>
      <c r="H34" s="10"/>
      <c r="I34" s="10">
        <f t="shared" si="5"/>
        <v>10754</v>
      </c>
      <c r="J34" s="10">
        <f t="shared" ref="J34:J65" si="6">IF(I34="","",I34*C34)</f>
        <v>157429321029.16232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14346472.834696855</v>
      </c>
      <c r="D35" s="11">
        <v>2.1100000000000001E-2</v>
      </c>
      <c r="E35" s="10">
        <f t="shared" si="2"/>
        <v>296455.36853599362</v>
      </c>
      <c r="F35" s="3"/>
      <c r="G35" s="28"/>
      <c r="H35" s="10"/>
      <c r="I35" s="10">
        <f t="shared" ref="I35:I66" si="8">IF(H35&lt;&gt;"",H35,I34/(1+IF(G34="",0,G34)/100))</f>
        <v>10754</v>
      </c>
      <c r="J35" s="10">
        <f t="shared" si="6"/>
        <v>154281968864.32999</v>
      </c>
      <c r="K35" s="11">
        <f t="shared" si="7"/>
        <v>2.1100000000000119E-2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14050017.466160862</v>
      </c>
      <c r="D36" s="11">
        <v>2.2100000000000002E-2</v>
      </c>
      <c r="E36" s="10">
        <f t="shared" si="2"/>
        <v>303791.59182287008</v>
      </c>
      <c r="F36" s="3"/>
      <c r="G36" s="28"/>
      <c r="H36" s="10"/>
      <c r="I36" s="10">
        <f t="shared" si="8"/>
        <v>10754</v>
      </c>
      <c r="J36" s="10">
        <f t="shared" si="6"/>
        <v>151093887831.0939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13746225.874337992</v>
      </c>
      <c r="D37" s="11">
        <v>2.24E-2</v>
      </c>
      <c r="E37" s="10">
        <f t="shared" si="2"/>
        <v>301169.26798236556</v>
      </c>
      <c r="F37" s="3"/>
      <c r="G37" s="28"/>
      <c r="H37" s="10"/>
      <c r="I37" s="10">
        <f t="shared" si="8"/>
        <v>10754</v>
      </c>
      <c r="J37" s="10">
        <f t="shared" si="6"/>
        <v>147826913052.63077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13445056.606355626</v>
      </c>
      <c r="D38" s="11">
        <v>2.2700000000000001E-2</v>
      </c>
      <c r="E38" s="10">
        <f t="shared" si="2"/>
        <v>298428.45894619264</v>
      </c>
      <c r="F38" s="3"/>
      <c r="G38" s="28"/>
      <c r="H38" s="10"/>
      <c r="I38" s="10">
        <f t="shared" si="8"/>
        <v>10754</v>
      </c>
      <c r="J38" s="10">
        <f t="shared" si="6"/>
        <v>144588138744.74841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13146628.147409433</v>
      </c>
      <c r="D39" s="11">
        <v>2.29E-2</v>
      </c>
      <c r="E39" s="10">
        <f t="shared" si="2"/>
        <v>294317.90456122346</v>
      </c>
      <c r="F39" s="3"/>
      <c r="G39" s="28"/>
      <c r="H39" s="10"/>
      <c r="I39" s="10">
        <f t="shared" si="8"/>
        <v>10754</v>
      </c>
      <c r="J39" s="10">
        <f t="shared" si="6"/>
        <v>141378839097.24106</v>
      </c>
      <c r="K39" s="11">
        <f t="shared" si="7"/>
        <v>2.289999999999992E-2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12852310.24284821</v>
      </c>
      <c r="D40" s="11">
        <v>2.3599999999999999E-2</v>
      </c>
      <c r="E40" s="10">
        <f t="shared" si="2"/>
        <v>296321.33815085888</v>
      </c>
      <c r="F40" s="3"/>
      <c r="G40" s="28"/>
      <c r="H40" s="10"/>
      <c r="I40" s="10">
        <f t="shared" si="8"/>
        <v>10754</v>
      </c>
      <c r="J40" s="10">
        <f t="shared" si="6"/>
        <v>138213744351.58966</v>
      </c>
      <c r="K40" s="11">
        <f t="shared" si="7"/>
        <v>2.3600000000000287E-2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12555988.904697351</v>
      </c>
      <c r="D41" s="11">
        <v>2.4400000000000002E-2</v>
      </c>
      <c r="E41" s="10">
        <f t="shared" si="2"/>
        <v>299068.8493504636</v>
      </c>
      <c r="F41" s="3"/>
      <c r="G41" s="28"/>
      <c r="H41" s="10"/>
      <c r="I41" s="10">
        <f t="shared" si="8"/>
        <v>10754</v>
      </c>
      <c r="J41" s="10">
        <f t="shared" si="6"/>
        <v>135027104681.11531</v>
      </c>
      <c r="K41" s="11">
        <f t="shared" si="7"/>
        <v>2.4399999999999977E-2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12256920.055346888</v>
      </c>
      <c r="D42" s="11">
        <v>2.4799999999999999E-2</v>
      </c>
      <c r="E42" s="10">
        <f t="shared" si="2"/>
        <v>296615.55169067346</v>
      </c>
      <c r="F42" s="3"/>
      <c r="G42" s="28"/>
      <c r="H42" s="10"/>
      <c r="I42" s="10">
        <f t="shared" si="8"/>
        <v>10754</v>
      </c>
      <c r="J42" s="10">
        <f t="shared" si="6"/>
        <v>131810918275.20042</v>
      </c>
      <c r="K42" s="11">
        <f t="shared" si="7"/>
        <v>2.4799999999999933E-2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11960304.503656214</v>
      </c>
      <c r="D43" s="11">
        <v>2.4899999999999999E-2</v>
      </c>
      <c r="E43" s="10">
        <f t="shared" si="2"/>
        <v>290576.23391651735</v>
      </c>
      <c r="F43" s="3"/>
      <c r="G43" s="28"/>
      <c r="H43" s="10"/>
      <c r="I43" s="10">
        <f t="shared" si="8"/>
        <v>10754</v>
      </c>
      <c r="J43" s="10">
        <f t="shared" si="6"/>
        <v>128621114632.31892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11669728.269739697</v>
      </c>
      <c r="D44" s="11">
        <v>2.4799999999999999E-2</v>
      </c>
      <c r="E44" s="10">
        <f t="shared" si="2"/>
        <v>282405.60215607285</v>
      </c>
      <c r="F44" s="3"/>
      <c r="G44" s="28"/>
      <c r="H44" s="10"/>
      <c r="I44" s="10">
        <f t="shared" si="8"/>
        <v>10754</v>
      </c>
      <c r="J44" s="10">
        <f t="shared" si="6"/>
        <v>125496257812.7807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11387322.667583624</v>
      </c>
      <c r="D45" s="11">
        <v>2.4899999999999999E-2</v>
      </c>
      <c r="E45" s="10">
        <f t="shared" si="2"/>
        <v>276655.60974029824</v>
      </c>
      <c r="F45" s="3"/>
      <c r="G45" s="28"/>
      <c r="H45" s="10"/>
      <c r="I45" s="10">
        <f t="shared" si="8"/>
        <v>10754</v>
      </c>
      <c r="J45" s="10">
        <f t="shared" si="6"/>
        <v>122459267967.19429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11110667.057843326</v>
      </c>
      <c r="D46" s="11">
        <v>2.5000000000000001E-2</v>
      </c>
      <c r="E46" s="10">
        <f t="shared" si="2"/>
        <v>270991.87945959158</v>
      </c>
      <c r="F46" s="3"/>
      <c r="G46" s="28"/>
      <c r="H46" s="10"/>
      <c r="I46" s="10">
        <f t="shared" si="8"/>
        <v>10754</v>
      </c>
      <c r="J46" s="10">
        <f t="shared" si="6"/>
        <v>119484113540.04712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10839675.178383734</v>
      </c>
      <c r="D47" s="11">
        <v>2.4899999999999999E-2</v>
      </c>
      <c r="E47" s="10">
        <f t="shared" si="2"/>
        <v>263350.48486852832</v>
      </c>
      <c r="F47" s="3"/>
      <c r="G47" s="28"/>
      <c r="H47" s="10"/>
      <c r="I47" s="10">
        <f t="shared" si="8"/>
        <v>10754</v>
      </c>
      <c r="J47" s="10">
        <f t="shared" si="6"/>
        <v>116569866868.33867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10576324.693515206</v>
      </c>
      <c r="D48" s="11">
        <v>2.4899999999999999E-2</v>
      </c>
      <c r="E48" s="10">
        <f t="shared" si="2"/>
        <v>256952.3708347436</v>
      </c>
      <c r="F48" s="3"/>
      <c r="G48" s="28"/>
      <c r="H48" s="10"/>
      <c r="I48" s="10">
        <f t="shared" si="8"/>
        <v>10754</v>
      </c>
      <c r="J48" s="10">
        <f t="shared" si="6"/>
        <v>113737795754.06252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10319372.322680462</v>
      </c>
      <c r="D49" s="11">
        <v>2.47E-2</v>
      </c>
      <c r="E49" s="10">
        <f t="shared" si="2"/>
        <v>248744.50704616681</v>
      </c>
      <c r="F49" s="3"/>
      <c r="G49" s="28"/>
      <c r="H49" s="10"/>
      <c r="I49" s="10">
        <f t="shared" si="8"/>
        <v>10754</v>
      </c>
      <c r="J49" s="10">
        <f t="shared" si="6"/>
        <v>110974529958.10568</v>
      </c>
      <c r="K49" s="11">
        <f t="shared" si="7"/>
        <v>2.4699999999999944E-2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10070627.815634295</v>
      </c>
      <c r="D50" s="11">
        <v>2.47E-2</v>
      </c>
      <c r="E50" s="10">
        <f t="shared" si="2"/>
        <v>242748.61622539908</v>
      </c>
      <c r="F50" s="3"/>
      <c r="G50" s="28"/>
      <c r="H50" s="10"/>
      <c r="I50" s="10">
        <f t="shared" si="8"/>
        <v>10754</v>
      </c>
      <c r="J50" s="10">
        <f t="shared" si="6"/>
        <v>108299531529.33121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9827879.1994088963</v>
      </c>
      <c r="D51" s="11">
        <v>2.4899999999999999E-2</v>
      </c>
      <c r="E51" s="10">
        <f t="shared" si="2"/>
        <v>238768.84775615297</v>
      </c>
      <c r="F51" s="3"/>
      <c r="G51" s="28"/>
      <c r="H51" s="10"/>
      <c r="I51" s="10">
        <f t="shared" si="8"/>
        <v>10754</v>
      </c>
      <c r="J51" s="10">
        <f t="shared" si="6"/>
        <v>105689012910.44327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9589110.3516527433</v>
      </c>
      <c r="D52" s="11">
        <v>2.53E-2</v>
      </c>
      <c r="E52" s="10">
        <f t="shared" si="2"/>
        <v>236618.05510271713</v>
      </c>
      <c r="F52" s="3"/>
      <c r="G52" s="28"/>
      <c r="H52" s="10"/>
      <c r="I52" s="10">
        <f t="shared" si="8"/>
        <v>10754</v>
      </c>
      <c r="J52" s="10">
        <f t="shared" si="6"/>
        <v>103121292721.6736</v>
      </c>
      <c r="K52" s="11">
        <f t="shared" si="7"/>
        <v>2.53000000000001E-2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9352492.2965500262</v>
      </c>
      <c r="D53" s="11">
        <v>2.5899999999999999E-2</v>
      </c>
      <c r="E53" s="10">
        <f t="shared" si="2"/>
        <v>236114.19288492575</v>
      </c>
      <c r="F53" s="3"/>
      <c r="G53" s="28"/>
      <c r="H53" s="10"/>
      <c r="I53" s="10">
        <f t="shared" si="8"/>
        <v>10754</v>
      </c>
      <c r="J53" s="10">
        <f t="shared" si="6"/>
        <v>100576702157.09898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9116378.1036651004</v>
      </c>
      <c r="D54" s="11">
        <v>2.6499999999999999E-2</v>
      </c>
      <c r="E54" s="10">
        <f t="shared" si="2"/>
        <v>235347.3158764001</v>
      </c>
      <c r="F54" s="3"/>
      <c r="G54" s="28"/>
      <c r="H54" s="10"/>
      <c r="I54" s="10">
        <f t="shared" si="8"/>
        <v>10754</v>
      </c>
      <c r="J54" s="10">
        <f t="shared" si="6"/>
        <v>98037530126.814484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8881030.7877887003</v>
      </c>
      <c r="D55" s="11">
        <v>2.46E-2</v>
      </c>
      <c r="E55" s="10">
        <f t="shared" si="2"/>
        <v>213227.94981417246</v>
      </c>
      <c r="F55" s="3"/>
      <c r="G55" s="28"/>
      <c r="H55" s="10"/>
      <c r="I55" s="10">
        <f t="shared" si="8"/>
        <v>10754</v>
      </c>
      <c r="J55" s="10">
        <f t="shared" si="6"/>
        <v>95506605091.879684</v>
      </c>
      <c r="K55" s="11">
        <f t="shared" si="7"/>
        <v>2.4599999999999733E-2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8667802.8379745279</v>
      </c>
      <c r="D56" s="11">
        <v>2.5100000000000001E-2</v>
      </c>
      <c r="E56" s="10">
        <f t="shared" si="2"/>
        <v>212234.75878759101</v>
      </c>
      <c r="F56" s="3"/>
      <c r="G56" s="28"/>
      <c r="H56" s="10"/>
      <c r="I56" s="10">
        <f t="shared" si="8"/>
        <v>10754</v>
      </c>
      <c r="J56" s="10">
        <f t="shared" si="6"/>
        <v>93213551719.578079</v>
      </c>
      <c r="K56" s="11">
        <f t="shared" si="7"/>
        <v>2.50999999999999E-2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8455568.0791869368</v>
      </c>
      <c r="D57" s="11">
        <v>2.7900000000000001E-2</v>
      </c>
      <c r="E57" s="10">
        <f t="shared" si="2"/>
        <v>229507.10128350649</v>
      </c>
      <c r="F57" s="3"/>
      <c r="G57" s="28"/>
      <c r="H57" s="10"/>
      <c r="I57" s="10">
        <f t="shared" si="8"/>
        <v>10754</v>
      </c>
      <c r="J57" s="10">
        <f t="shared" si="6"/>
        <v>90931179123.576324</v>
      </c>
      <c r="K57" s="11">
        <f t="shared" si="7"/>
        <v>2.7900000000000258E-2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8226060.9779034304</v>
      </c>
      <c r="D58" s="11">
        <v>2.81E-2</v>
      </c>
      <c r="E58" s="10">
        <f t="shared" si="2"/>
        <v>224834.46501224209</v>
      </c>
      <c r="F58" s="3"/>
      <c r="G58" s="28"/>
      <c r="H58" s="10"/>
      <c r="I58" s="10">
        <f t="shared" si="8"/>
        <v>10754</v>
      </c>
      <c r="J58" s="10">
        <f t="shared" si="6"/>
        <v>88463059756.373489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8001226.5128911883</v>
      </c>
      <c r="D59" s="11">
        <v>2.8299999999999999E-2</v>
      </c>
      <c r="E59" s="10">
        <f t="shared" si="2"/>
        <v>220202.96636664495</v>
      </c>
      <c r="F59" s="3"/>
      <c r="G59" s="28"/>
      <c r="H59" s="10"/>
      <c r="I59" s="10">
        <f t="shared" si="8"/>
        <v>10754</v>
      </c>
      <c r="J59" s="10">
        <f t="shared" si="6"/>
        <v>86045189919.631836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7781023.5465245433</v>
      </c>
      <c r="D60" s="11">
        <v>2.8500000000000001E-2</v>
      </c>
      <c r="E60" s="10">
        <f t="shared" si="2"/>
        <v>215614.16730768047</v>
      </c>
      <c r="F60" s="3"/>
      <c r="G60" s="28"/>
      <c r="H60" s="10"/>
      <c r="I60" s="10">
        <f t="shared" si="8"/>
        <v>10754</v>
      </c>
      <c r="J60" s="10">
        <f t="shared" si="6"/>
        <v>83677127219.324936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7565409.3792168628</v>
      </c>
      <c r="D61" s="11">
        <v>2.87E-2</v>
      </c>
      <c r="E61" s="10">
        <f t="shared" si="2"/>
        <v>211069.55301207677</v>
      </c>
      <c r="F61" s="3"/>
      <c r="G61" s="28"/>
      <c r="H61" s="10"/>
      <c r="I61" s="10">
        <f t="shared" si="8"/>
        <v>10754</v>
      </c>
      <c r="J61" s="10">
        <f t="shared" si="6"/>
        <v>81358412464.098145</v>
      </c>
      <c r="K61" s="11">
        <f t="shared" si="7"/>
        <v>2.8699999999999948E-2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7354339.8262047861</v>
      </c>
      <c r="D62" s="11">
        <v>2.8899999999999999E-2</v>
      </c>
      <c r="E62" s="10">
        <f t="shared" si="2"/>
        <v>206570.53258559387</v>
      </c>
      <c r="F62" s="3"/>
      <c r="G62" s="28"/>
      <c r="H62" s="10"/>
      <c r="I62" s="10">
        <f t="shared" si="8"/>
        <v>10754</v>
      </c>
      <c r="J62" s="10">
        <f t="shared" si="6"/>
        <v>79088570491.006271</v>
      </c>
      <c r="K62" s="11">
        <f t="shared" si="7"/>
        <v>2.8899999999999926E-2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7147769.2936191922</v>
      </c>
      <c r="D63" s="11">
        <v>2.9000000000000001E-2</v>
      </c>
      <c r="E63" s="10">
        <f t="shared" si="2"/>
        <v>201443.44948003534</v>
      </c>
      <c r="F63" s="3"/>
      <c r="G63" s="28"/>
      <c r="H63" s="10"/>
      <c r="I63" s="10">
        <f t="shared" si="8"/>
        <v>10754</v>
      </c>
      <c r="J63" s="10">
        <f t="shared" si="6"/>
        <v>76867110983.580795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6946325.8441391569</v>
      </c>
      <c r="D64" s="11">
        <v>2.9100000000000001E-2</v>
      </c>
      <c r="E64" s="10">
        <f t="shared" si="2"/>
        <v>196422.1961563006</v>
      </c>
      <c r="F64" s="3"/>
      <c r="G64" s="28"/>
      <c r="H64" s="10"/>
      <c r="I64" s="10">
        <f t="shared" si="8"/>
        <v>10754</v>
      </c>
      <c r="J64" s="10">
        <f t="shared" si="6"/>
        <v>74700788127.872498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6749903.6479828563</v>
      </c>
      <c r="D65" s="11">
        <v>2.92E-2</v>
      </c>
      <c r="E65" s="10">
        <f t="shared" si="2"/>
        <v>191505.23369714245</v>
      </c>
      <c r="F65" s="3"/>
      <c r="G65" s="28"/>
      <c r="H65" s="10"/>
      <c r="I65" s="10">
        <f t="shared" si="8"/>
        <v>10754</v>
      </c>
      <c r="J65" s="10">
        <f t="shared" si="6"/>
        <v>72588463830.407639</v>
      </c>
      <c r="K65" s="11">
        <f t="shared" si="7"/>
        <v>2.9200000000000115E-2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6558398.4142857138</v>
      </c>
      <c r="D66" s="11">
        <v>2.9414285714285698E-2</v>
      </c>
      <c r="E66" s="10">
        <f t="shared" si="2"/>
        <v>187398.41428571381</v>
      </c>
      <c r="F66" s="3"/>
      <c r="G66" s="28"/>
      <c r="H66" s="10"/>
      <c r="I66" s="10">
        <f t="shared" si="8"/>
        <v>10754</v>
      </c>
      <c r="J66" s="10">
        <f t="shared" ref="J66:J67" si="9">IF(I66="","",I66*C66)</f>
        <v>70529016547.228561</v>
      </c>
      <c r="K66" s="11">
        <f t="shared" ref="K66" si="10">IFERROR(J66/J67-1,"")</f>
        <v>2.9414285714285615E-2</v>
      </c>
    </row>
    <row r="67" spans="1:11" ht="22.5" customHeight="1">
      <c r="A67" s="3">
        <f t="shared" si="0"/>
        <v>1950</v>
      </c>
      <c r="B67" s="3">
        <v>1700</v>
      </c>
      <c r="C67" s="10">
        <v>6371000</v>
      </c>
      <c r="D67" s="11">
        <v>2.9564285714285699E-2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10754</v>
      </c>
      <c r="J67" s="10">
        <f t="shared" si="9"/>
        <v>68513734000</v>
      </c>
      <c r="K67" s="11"/>
    </row>
  </sheetData>
  <dataValidations count="1">
    <dataValidation type="custom" allowBlank="1" showDropDown="1" sqref="D2:D67" xr:uid="{00000000-0002-0000-0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376279.76762747578</v>
      </c>
      <c r="D2" s="11">
        <v>8.8000000000000005E-3</v>
      </c>
      <c r="E2" s="10">
        <f t="shared" ref="E2:E66" si="2">SUM(C2-C3)</f>
        <v>3282.3770371944411</v>
      </c>
      <c r="F2" s="15">
        <v>376609</v>
      </c>
      <c r="G2" s="28"/>
      <c r="H2" s="10"/>
      <c r="I2" s="10">
        <f>IF(H2&lt;&gt;"",H2,18968)</f>
        <v>18968</v>
      </c>
      <c r="J2" s="10">
        <f t="shared" ref="J2:J33" si="3">IF(I2="","",I2*C2)</f>
        <v>7137274632.3579607</v>
      </c>
      <c r="K2" s="11">
        <f t="shared" ref="K2:K33" si="4">IFERROR(J2/J3-1,"")</f>
        <v>8.799999999999919E-3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372997.39059028134</v>
      </c>
      <c r="D3" s="11">
        <v>9.1000000000000004E-3</v>
      </c>
      <c r="E3" s="10">
        <f t="shared" si="2"/>
        <v>3363.6668857116019</v>
      </c>
      <c r="F3" s="3"/>
      <c r="G3" s="28"/>
      <c r="H3" s="10"/>
      <c r="I3" s="10">
        <f t="shared" ref="I3:I34" si="5">IF(H3&lt;&gt;"",H3,I2/(1+IF(G2="",0,G2)/100))</f>
        <v>18968</v>
      </c>
      <c r="J3" s="10">
        <f t="shared" si="3"/>
        <v>7075014504.7164564</v>
      </c>
      <c r="K3" s="11">
        <f t="shared" si="4"/>
        <v>9.099999999999886E-3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369633.72370456974</v>
      </c>
      <c r="D4" s="11">
        <v>8.5000000000000006E-3</v>
      </c>
      <c r="E4" s="10">
        <f t="shared" si="2"/>
        <v>3115.405703013239</v>
      </c>
      <c r="F4" s="3"/>
      <c r="G4" s="28"/>
      <c r="H4" s="10"/>
      <c r="I4" s="10">
        <f t="shared" si="5"/>
        <v>18968</v>
      </c>
      <c r="J4" s="10">
        <f t="shared" si="3"/>
        <v>7011212471.2282791</v>
      </c>
      <c r="K4" s="11">
        <f t="shared" si="4"/>
        <v>8.5000000000001741E-3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366518.3180015565</v>
      </c>
      <c r="D5" s="11">
        <v>9.1000000000000004E-3</v>
      </c>
      <c r="E5" s="10">
        <f t="shared" si="2"/>
        <v>3305.2390187436249</v>
      </c>
      <c r="F5" s="3"/>
      <c r="G5" s="28"/>
      <c r="H5" s="10"/>
      <c r="I5" s="10">
        <f t="shared" si="5"/>
        <v>18968</v>
      </c>
      <c r="J5" s="10">
        <f t="shared" si="3"/>
        <v>6952119455.8535233</v>
      </c>
      <c r="K5" s="11">
        <f t="shared" si="4"/>
        <v>9.100000000000108E-3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363213.07898281288</v>
      </c>
      <c r="D6" s="11">
        <v>1.0800000000000001E-2</v>
      </c>
      <c r="E6" s="10">
        <f t="shared" si="2"/>
        <v>3880.7887346798088</v>
      </c>
      <c r="F6" s="3"/>
      <c r="G6" s="28"/>
      <c r="H6" s="10"/>
      <c r="I6" s="10">
        <f t="shared" si="5"/>
        <v>18968</v>
      </c>
      <c r="J6" s="10">
        <f t="shared" si="3"/>
        <v>6889425682.1459942</v>
      </c>
      <c r="K6" s="11">
        <f t="shared" si="4"/>
        <v>1.0799999999999921E-2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359332.29024813307</v>
      </c>
      <c r="D7" s="11">
        <v>1.04E-2</v>
      </c>
      <c r="E7" s="10">
        <f t="shared" si="2"/>
        <v>3698.590477613383</v>
      </c>
      <c r="F7" s="3"/>
      <c r="G7" s="28"/>
      <c r="H7" s="10"/>
      <c r="I7" s="10">
        <f t="shared" si="5"/>
        <v>18968</v>
      </c>
      <c r="J7" s="10">
        <f t="shared" si="3"/>
        <v>6815814881.4265881</v>
      </c>
      <c r="K7" s="11">
        <f t="shared" si="4"/>
        <v>1.0399999999999965E-2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355633.69977051968</v>
      </c>
      <c r="D8" s="11">
        <v>9.7000000000000003E-3</v>
      </c>
      <c r="E8" s="10">
        <f t="shared" si="2"/>
        <v>3416.5067720848601</v>
      </c>
      <c r="F8" s="3"/>
      <c r="G8" s="28"/>
      <c r="H8" s="10"/>
      <c r="I8" s="10">
        <f t="shared" si="5"/>
        <v>18968</v>
      </c>
      <c r="J8" s="10">
        <f t="shared" si="3"/>
        <v>6745660017.2472172</v>
      </c>
      <c r="K8" s="11">
        <f t="shared" si="4"/>
        <v>9.7000000000000419E-3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352217.19299843482</v>
      </c>
      <c r="D9" s="11">
        <v>1.01E-2</v>
      </c>
      <c r="E9" s="10">
        <f t="shared" si="2"/>
        <v>3521.8232346145669</v>
      </c>
      <c r="F9" s="3"/>
      <c r="G9" s="28"/>
      <c r="H9" s="10"/>
      <c r="I9" s="10">
        <f t="shared" si="5"/>
        <v>18968</v>
      </c>
      <c r="J9" s="10">
        <f t="shared" si="3"/>
        <v>6680855716.7943115</v>
      </c>
      <c r="K9" s="11">
        <f t="shared" si="4"/>
        <v>1.0099999999999998E-2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348695.36976382026</v>
      </c>
      <c r="D10" s="11">
        <v>1.0500000000000001E-2</v>
      </c>
      <c r="E10" s="10">
        <f t="shared" si="2"/>
        <v>3623.2571821079473</v>
      </c>
      <c r="F10" s="3"/>
      <c r="G10" s="28"/>
      <c r="H10" s="10"/>
      <c r="I10" s="10">
        <f t="shared" si="5"/>
        <v>18968</v>
      </c>
      <c r="J10" s="10">
        <f t="shared" si="3"/>
        <v>6614053773.6801424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345072.11258171231</v>
      </c>
      <c r="D11" s="11">
        <v>1.0800000000000001E-2</v>
      </c>
      <c r="E11" s="10">
        <f t="shared" si="2"/>
        <v>3686.9596516446909</v>
      </c>
      <c r="F11" s="3"/>
      <c r="G11" s="28"/>
      <c r="H11" s="10"/>
      <c r="I11" s="10">
        <f t="shared" si="5"/>
        <v>18968</v>
      </c>
      <c r="J11" s="10">
        <f t="shared" si="3"/>
        <v>6545327831.4499187</v>
      </c>
      <c r="K11" s="11">
        <f t="shared" si="4"/>
        <v>1.0799999999999699E-2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341385.15293006762</v>
      </c>
      <c r="D12" s="11">
        <v>1.11E-2</v>
      </c>
      <c r="E12" s="10">
        <f t="shared" si="2"/>
        <v>3747.7748961762409</v>
      </c>
      <c r="F12" s="3"/>
      <c r="G12" s="28"/>
      <c r="H12" s="10"/>
      <c r="I12" s="10">
        <f t="shared" si="5"/>
        <v>18968</v>
      </c>
      <c r="J12" s="10">
        <f t="shared" si="3"/>
        <v>6475393580.777523</v>
      </c>
      <c r="K12" s="11">
        <f t="shared" si="4"/>
        <v>1.110000000000011E-2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337637.37803389138</v>
      </c>
      <c r="D13" s="11">
        <v>1.1299999999999999E-2</v>
      </c>
      <c r="E13" s="10">
        <f t="shared" si="2"/>
        <v>3772.6711873657769</v>
      </c>
      <c r="F13" s="3"/>
      <c r="G13" s="28"/>
      <c r="H13" s="10"/>
      <c r="I13" s="10">
        <f t="shared" si="5"/>
        <v>18968</v>
      </c>
      <c r="J13" s="10">
        <f t="shared" si="3"/>
        <v>6404305786.5468521</v>
      </c>
      <c r="K13" s="11">
        <f t="shared" si="4"/>
        <v>1.130000000000031E-2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333864.7068465256</v>
      </c>
      <c r="D14" s="11">
        <v>1.14E-2</v>
      </c>
      <c r="E14" s="10">
        <f t="shared" si="2"/>
        <v>3763.1576607182506</v>
      </c>
      <c r="F14" s="3"/>
      <c r="G14" s="28"/>
      <c r="H14" s="10"/>
      <c r="I14" s="10">
        <f t="shared" si="5"/>
        <v>18968</v>
      </c>
      <c r="J14" s="10">
        <f t="shared" si="3"/>
        <v>6332745759.4648972</v>
      </c>
      <c r="K14" s="11">
        <f t="shared" si="4"/>
        <v>1.1400000000000077E-2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330101.54918580735</v>
      </c>
      <c r="D15" s="11">
        <v>1.15E-2</v>
      </c>
      <c r="E15" s="10">
        <f t="shared" si="2"/>
        <v>3753.0082210942055</v>
      </c>
      <c r="F15" s="3"/>
      <c r="G15" s="28"/>
      <c r="H15" s="10"/>
      <c r="I15" s="10">
        <f t="shared" si="5"/>
        <v>18968</v>
      </c>
      <c r="J15" s="10">
        <f t="shared" si="3"/>
        <v>6261366184.9563942</v>
      </c>
      <c r="K15" s="11">
        <f t="shared" si="4"/>
        <v>1.1500000000000066E-2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326348.54096471315</v>
      </c>
      <c r="D16" s="11">
        <v>1.1599999999999999E-2</v>
      </c>
      <c r="E16" s="10">
        <f t="shared" si="2"/>
        <v>3742.2331704138778</v>
      </c>
      <c r="F16" s="3"/>
      <c r="G16" s="28"/>
      <c r="H16" s="10"/>
      <c r="I16" s="10">
        <f t="shared" si="5"/>
        <v>18968</v>
      </c>
      <c r="J16" s="10">
        <f t="shared" si="3"/>
        <v>6190179125.0186787</v>
      </c>
      <c r="K16" s="11">
        <f t="shared" si="4"/>
        <v>1.1600000000000055E-2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322606.30779429927</v>
      </c>
      <c r="D17" s="11">
        <v>1.17E-2</v>
      </c>
      <c r="E17" s="10">
        <f t="shared" si="2"/>
        <v>3730.8429388092482</v>
      </c>
      <c r="F17" s="3"/>
      <c r="G17" s="28"/>
      <c r="H17" s="10"/>
      <c r="I17" s="10">
        <f t="shared" si="5"/>
        <v>18968</v>
      </c>
      <c r="J17" s="10">
        <f t="shared" si="3"/>
        <v>6119196446.2422686</v>
      </c>
      <c r="K17" s="11">
        <f t="shared" si="4"/>
        <v>1.1700000000000044E-2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318875.46485549002</v>
      </c>
      <c r="D18" s="11">
        <v>1.17E-2</v>
      </c>
      <c r="E18" s="10">
        <f t="shared" si="2"/>
        <v>3687.6968852517894</v>
      </c>
      <c r="F18" s="3"/>
      <c r="G18" s="28"/>
      <c r="H18" s="10"/>
      <c r="I18" s="10">
        <f t="shared" si="5"/>
        <v>18968</v>
      </c>
      <c r="J18" s="10">
        <f t="shared" si="3"/>
        <v>6048429817.3789349</v>
      </c>
      <c r="K18" s="11">
        <f t="shared" si="4"/>
        <v>1.1700000000000044E-2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315187.76797023823</v>
      </c>
      <c r="D19" s="11">
        <v>1.14E-2</v>
      </c>
      <c r="E19" s="10">
        <f t="shared" si="2"/>
        <v>3552.6404536886839</v>
      </c>
      <c r="F19" s="3"/>
      <c r="G19" s="28"/>
      <c r="H19" s="10"/>
      <c r="I19" s="10">
        <f t="shared" si="5"/>
        <v>18968</v>
      </c>
      <c r="J19" s="10">
        <f t="shared" si="3"/>
        <v>5978481582.859479</v>
      </c>
      <c r="K19" s="11">
        <f t="shared" si="4"/>
        <v>1.1400000000000077E-2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311635.12751654955</v>
      </c>
      <c r="D20" s="11">
        <v>1.09E-2</v>
      </c>
      <c r="E20" s="10">
        <f t="shared" si="2"/>
        <v>3360.1967454054393</v>
      </c>
      <c r="F20" s="3"/>
      <c r="G20" s="28"/>
      <c r="H20" s="10"/>
      <c r="I20" s="10">
        <f t="shared" si="5"/>
        <v>18968</v>
      </c>
      <c r="J20" s="10">
        <f t="shared" si="3"/>
        <v>5911095098.7339115</v>
      </c>
      <c r="K20" s="11">
        <f t="shared" si="4"/>
        <v>1.089999999999991E-2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308274.93077114411</v>
      </c>
      <c r="D21" s="11">
        <v>1.04E-2</v>
      </c>
      <c r="E21" s="10">
        <f t="shared" si="2"/>
        <v>3173.0594616190647</v>
      </c>
      <c r="F21" s="3"/>
      <c r="G21" s="28"/>
      <c r="H21" s="10"/>
      <c r="I21" s="10">
        <f t="shared" si="5"/>
        <v>18968</v>
      </c>
      <c r="J21" s="10">
        <f t="shared" si="3"/>
        <v>5847358886.8670616</v>
      </c>
      <c r="K21" s="11">
        <f t="shared" si="4"/>
        <v>1.0399999999999965E-2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305101.87130952504</v>
      </c>
      <c r="D22" s="11">
        <v>1.47E-2</v>
      </c>
      <c r="E22" s="10">
        <f t="shared" si="2"/>
        <v>4420.0231676850235</v>
      </c>
      <c r="F22" s="3"/>
      <c r="G22" s="28"/>
      <c r="H22" s="10"/>
      <c r="I22" s="10">
        <f t="shared" si="5"/>
        <v>18968</v>
      </c>
      <c r="J22" s="10">
        <f t="shared" si="3"/>
        <v>5787172294.9990711</v>
      </c>
      <c r="K22" s="11">
        <f t="shared" si="4"/>
        <v>1.4699999999999935E-2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300681.84814184002</v>
      </c>
      <c r="D23" s="11">
        <v>1.9699999999999999E-2</v>
      </c>
      <c r="E23" s="10">
        <f t="shared" si="2"/>
        <v>5808.9952028971747</v>
      </c>
      <c r="F23" s="3"/>
      <c r="G23" s="28"/>
      <c r="H23" s="10"/>
      <c r="I23" s="10">
        <f t="shared" si="5"/>
        <v>18968</v>
      </c>
      <c r="J23" s="10">
        <f t="shared" si="3"/>
        <v>5703333295.5544214</v>
      </c>
      <c r="K23" s="11">
        <f t="shared" si="4"/>
        <v>1.9700000000000051E-2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294872.85293894284</v>
      </c>
      <c r="D24" s="11">
        <v>2.0299999999999999E-2</v>
      </c>
      <c r="E24" s="10">
        <f t="shared" si="2"/>
        <v>5866.8224195438088</v>
      </c>
      <c r="F24" s="3"/>
      <c r="G24" s="28"/>
      <c r="H24" s="10"/>
      <c r="I24" s="10">
        <f t="shared" si="5"/>
        <v>18968</v>
      </c>
      <c r="J24" s="10">
        <f t="shared" si="3"/>
        <v>5593148274.5458679</v>
      </c>
      <c r="K24" s="11">
        <f t="shared" si="4"/>
        <v>2.0299999999999985E-2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289006.03051939904</v>
      </c>
      <c r="D25" s="11">
        <v>2.06E-2</v>
      </c>
      <c r="E25" s="10">
        <f t="shared" si="2"/>
        <v>5833.3570729959174</v>
      </c>
      <c r="F25" s="3"/>
      <c r="G25" s="28"/>
      <c r="H25" s="10"/>
      <c r="I25" s="10">
        <f t="shared" si="5"/>
        <v>18968</v>
      </c>
      <c r="J25" s="10">
        <f t="shared" si="3"/>
        <v>5481866386.8919611</v>
      </c>
      <c r="K25" s="11">
        <f t="shared" si="4"/>
        <v>2.0599999999999952E-2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283172.67344640312</v>
      </c>
      <c r="D26" s="11">
        <v>2.06E-2</v>
      </c>
      <c r="E26" s="10">
        <f t="shared" si="2"/>
        <v>5715.615395841538</v>
      </c>
      <c r="F26" s="3"/>
      <c r="G26" s="28"/>
      <c r="H26" s="10"/>
      <c r="I26" s="10">
        <f t="shared" si="5"/>
        <v>18968</v>
      </c>
      <c r="J26" s="10">
        <f t="shared" si="3"/>
        <v>5371219269.9313745</v>
      </c>
      <c r="K26" s="11">
        <f t="shared" si="4"/>
        <v>2.0599999999999952E-2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277457.05805056158</v>
      </c>
      <c r="D27" s="11">
        <v>2.06E-2</v>
      </c>
      <c r="E27" s="10">
        <f t="shared" si="2"/>
        <v>5600.2502408794244</v>
      </c>
      <c r="F27" s="3"/>
      <c r="G27" s="28"/>
      <c r="H27" s="10"/>
      <c r="I27" s="10">
        <f t="shared" si="5"/>
        <v>18968</v>
      </c>
      <c r="J27" s="10">
        <f t="shared" si="3"/>
        <v>5262805477.1030521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271856.80780968216</v>
      </c>
      <c r="D28" s="11">
        <v>2.06E-2</v>
      </c>
      <c r="E28" s="10">
        <f t="shared" si="2"/>
        <v>5487.2136398975272</v>
      </c>
      <c r="F28" s="3"/>
      <c r="G28" s="28"/>
      <c r="H28" s="10"/>
      <c r="I28" s="10">
        <f t="shared" si="5"/>
        <v>18968</v>
      </c>
      <c r="J28" s="10">
        <f t="shared" si="3"/>
        <v>5156579930.5340509</v>
      </c>
      <c r="K28" s="11">
        <f t="shared" si="4"/>
        <v>2.059999999999973E-2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266369.59416978463</v>
      </c>
      <c r="D29" s="11">
        <v>2.0799999999999999E-2</v>
      </c>
      <c r="E29" s="10">
        <f t="shared" si="2"/>
        <v>5427.5936116100056</v>
      </c>
      <c r="F29" s="3"/>
      <c r="G29" s="28"/>
      <c r="H29" s="10"/>
      <c r="I29" s="10">
        <f t="shared" si="5"/>
        <v>18968</v>
      </c>
      <c r="J29" s="10">
        <f t="shared" si="3"/>
        <v>5052498462.2124748</v>
      </c>
      <c r="K29" s="11">
        <f t="shared" si="4"/>
        <v>2.0799999999999708E-2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260942.00055817462</v>
      </c>
      <c r="D30" s="12">
        <v>2.12E-2</v>
      </c>
      <c r="E30" s="10">
        <f t="shared" si="2"/>
        <v>5417.1273128019238</v>
      </c>
      <c r="F30" s="3"/>
      <c r="G30" s="28"/>
      <c r="H30" s="10"/>
      <c r="I30" s="10">
        <f t="shared" si="5"/>
        <v>18968</v>
      </c>
      <c r="J30" s="10">
        <f t="shared" si="3"/>
        <v>4949547866.5874567</v>
      </c>
      <c r="K30" s="11">
        <f t="shared" si="4"/>
        <v>2.1200000000000108E-2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255524.8732453727</v>
      </c>
      <c r="D31" s="13">
        <v>1.7000000000000001E-2</v>
      </c>
      <c r="E31" s="10">
        <f t="shared" si="2"/>
        <v>4271.3105655568361</v>
      </c>
      <c r="F31" s="3"/>
      <c r="G31" s="28"/>
      <c r="H31" s="10"/>
      <c r="I31" s="10">
        <f t="shared" si="5"/>
        <v>18968</v>
      </c>
      <c r="J31" s="10">
        <f t="shared" si="3"/>
        <v>4846795795.7182293</v>
      </c>
      <c r="K31" s="11">
        <f t="shared" si="4"/>
        <v>1.6999999999999904E-2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251253.56267981586</v>
      </c>
      <c r="D32" s="12">
        <v>7.1999999999999998E-3</v>
      </c>
      <c r="E32" s="10">
        <f t="shared" si="2"/>
        <v>1796.093776106718</v>
      </c>
      <c r="F32" s="3"/>
      <c r="G32" s="28"/>
      <c r="H32" s="10"/>
      <c r="I32" s="10">
        <f t="shared" si="5"/>
        <v>18968</v>
      </c>
      <c r="J32" s="10">
        <f t="shared" si="3"/>
        <v>4765777576.9107475</v>
      </c>
      <c r="K32" s="11">
        <f t="shared" si="4"/>
        <v>7.2000000000000952E-3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249457.46890370914</v>
      </c>
      <c r="D33" s="13">
        <v>4.1999999999999997E-3</v>
      </c>
      <c r="E33" s="10">
        <f t="shared" si="2"/>
        <v>1043.3393441501539</v>
      </c>
      <c r="F33" s="3"/>
      <c r="G33" s="28"/>
      <c r="H33" s="10"/>
      <c r="I33" s="10">
        <f t="shared" si="5"/>
        <v>18968</v>
      </c>
      <c r="J33" s="10">
        <f t="shared" si="3"/>
        <v>4731709270.165555</v>
      </c>
      <c r="K33" s="11">
        <f t="shared" si="4"/>
        <v>4.1999999999999815E-3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248414.12955955899</v>
      </c>
      <c r="D34" s="12">
        <v>6.1999999999999998E-3</v>
      </c>
      <c r="E34" s="10">
        <f t="shared" si="2"/>
        <v>1530.677403368376</v>
      </c>
      <c r="F34" s="3"/>
      <c r="G34" s="28"/>
      <c r="H34" s="10"/>
      <c r="I34" s="10">
        <f t="shared" si="5"/>
        <v>18968</v>
      </c>
      <c r="J34" s="10">
        <f t="shared" ref="J34:J65" si="6">IF(I34="","",I34*C34)</f>
        <v>4711919209.4857149</v>
      </c>
      <c r="K34" s="11">
        <f t="shared" ref="K34:K65" si="7">IFERROR(J34/J35-1,"")</f>
        <v>6.1999999999999833E-3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246883.45215619061</v>
      </c>
      <c r="D35" s="11">
        <v>6.1000000000000004E-3</v>
      </c>
      <c r="E35" s="10">
        <f t="shared" si="2"/>
        <v>1496.8582229925087</v>
      </c>
      <c r="F35" s="3"/>
      <c r="G35" s="28"/>
      <c r="H35" s="10"/>
      <c r="I35" s="10">
        <f t="shared" ref="I35:I66" si="8">IF(H35&lt;&gt;"",H35,I34/(1+IF(G34="",0,G34)/100))</f>
        <v>18968</v>
      </c>
      <c r="J35" s="10">
        <f t="shared" si="6"/>
        <v>4682885320.4986238</v>
      </c>
      <c r="K35" s="11">
        <f t="shared" si="7"/>
        <v>6.0999999999999943E-3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245386.59393319811</v>
      </c>
      <c r="D36" s="11">
        <v>0.01</v>
      </c>
      <c r="E36" s="10">
        <f t="shared" si="2"/>
        <v>2429.5702369623468</v>
      </c>
      <c r="F36" s="3"/>
      <c r="G36" s="28"/>
      <c r="H36" s="10"/>
      <c r="I36" s="10">
        <f t="shared" si="8"/>
        <v>18968</v>
      </c>
      <c r="J36" s="10">
        <f t="shared" si="6"/>
        <v>4654492913.7249022</v>
      </c>
      <c r="K36" s="11">
        <f t="shared" si="7"/>
        <v>1.0000000000000231E-2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242957.02369623576</v>
      </c>
      <c r="D37" s="11">
        <v>1.5299999999999999E-2</v>
      </c>
      <c r="E37" s="10">
        <f t="shared" si="2"/>
        <v>3661.2257092016516</v>
      </c>
      <c r="F37" s="3"/>
      <c r="G37" s="28"/>
      <c r="H37" s="10"/>
      <c r="I37" s="10">
        <f t="shared" si="8"/>
        <v>18968</v>
      </c>
      <c r="J37" s="10">
        <f t="shared" si="6"/>
        <v>4608408825.4701996</v>
      </c>
      <c r="K37" s="11">
        <f t="shared" si="7"/>
        <v>1.5299999999999869E-2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239295.79798703411</v>
      </c>
      <c r="D38" s="11">
        <v>1.3299999999999999E-2</v>
      </c>
      <c r="E38" s="10">
        <f t="shared" si="2"/>
        <v>3140.8606663649261</v>
      </c>
      <c r="F38" s="3"/>
      <c r="G38" s="28"/>
      <c r="H38" s="10"/>
      <c r="I38" s="10">
        <f t="shared" si="8"/>
        <v>18968</v>
      </c>
      <c r="J38" s="10">
        <f t="shared" si="6"/>
        <v>4538962696.2180634</v>
      </c>
      <c r="K38" s="11">
        <f t="shared" si="7"/>
        <v>1.3300000000000312E-2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236154.93732066918</v>
      </c>
      <c r="D39" s="11">
        <v>1.1599999999999999E-2</v>
      </c>
      <c r="E39" s="10">
        <f t="shared" si="2"/>
        <v>2707.9846509685449</v>
      </c>
      <c r="F39" s="3"/>
      <c r="G39" s="28"/>
      <c r="H39" s="10"/>
      <c r="I39" s="10">
        <f t="shared" si="8"/>
        <v>18968</v>
      </c>
      <c r="J39" s="10">
        <f t="shared" si="6"/>
        <v>4479386851.0984526</v>
      </c>
      <c r="K39" s="11">
        <f t="shared" si="7"/>
        <v>1.1599999999999833E-2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233446.95266970064</v>
      </c>
      <c r="D40" s="11">
        <v>1.38E-2</v>
      </c>
      <c r="E40" s="10">
        <f t="shared" si="2"/>
        <v>3177.715473310207</v>
      </c>
      <c r="F40" s="3"/>
      <c r="G40" s="28"/>
      <c r="H40" s="10"/>
      <c r="I40" s="10">
        <f t="shared" si="8"/>
        <v>18968</v>
      </c>
      <c r="J40" s="10">
        <f t="shared" si="6"/>
        <v>4428021798.2388821</v>
      </c>
      <c r="K40" s="11">
        <f t="shared" si="7"/>
        <v>1.3800000000000257E-2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230269.23719639043</v>
      </c>
      <c r="D41" s="11">
        <v>1.24E-2</v>
      </c>
      <c r="E41" s="10">
        <f t="shared" si="2"/>
        <v>2820.3660028004961</v>
      </c>
      <c r="F41" s="3"/>
      <c r="G41" s="28"/>
      <c r="H41" s="10"/>
      <c r="I41" s="10">
        <f t="shared" si="8"/>
        <v>18968</v>
      </c>
      <c r="J41" s="10">
        <f t="shared" si="6"/>
        <v>4367746891.1411333</v>
      </c>
      <c r="K41" s="11">
        <f t="shared" si="7"/>
        <v>1.2399999999999967E-2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227448.87119358993</v>
      </c>
      <c r="D42" s="11">
        <v>9.1000000000000004E-3</v>
      </c>
      <c r="E42" s="10">
        <f t="shared" si="2"/>
        <v>2051.1195400472498</v>
      </c>
      <c r="F42" s="3"/>
      <c r="G42" s="28"/>
      <c r="H42" s="10"/>
      <c r="I42" s="10">
        <f t="shared" si="8"/>
        <v>18968</v>
      </c>
      <c r="J42" s="10">
        <f t="shared" si="6"/>
        <v>4314250188.8000135</v>
      </c>
      <c r="K42" s="11">
        <f t="shared" si="7"/>
        <v>9.100000000000108E-3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225397.75165354268</v>
      </c>
      <c r="D43" s="11">
        <v>5.7999999999999996E-3</v>
      </c>
      <c r="E43" s="10">
        <f t="shared" si="2"/>
        <v>1299.7683034306683</v>
      </c>
      <c r="F43" s="3"/>
      <c r="G43" s="28"/>
      <c r="H43" s="10"/>
      <c r="I43" s="10">
        <f t="shared" si="8"/>
        <v>18968</v>
      </c>
      <c r="J43" s="10">
        <f t="shared" si="6"/>
        <v>4275344553.3643975</v>
      </c>
      <c r="K43" s="11">
        <f t="shared" si="7"/>
        <v>5.8000000000000274E-3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224097.98335011202</v>
      </c>
      <c r="D44" s="11">
        <v>2.8999999999999998E-3</v>
      </c>
      <c r="E44" s="10">
        <f t="shared" si="2"/>
        <v>648.00493739685044</v>
      </c>
      <c r="F44" s="3"/>
      <c r="G44" s="28"/>
      <c r="H44" s="10"/>
      <c r="I44" s="10">
        <f t="shared" si="8"/>
        <v>18968</v>
      </c>
      <c r="J44" s="10">
        <f t="shared" si="6"/>
        <v>4250690548.1849246</v>
      </c>
      <c r="K44" s="11">
        <f t="shared" si="7"/>
        <v>2.8999999999999027E-3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223449.97841271517</v>
      </c>
      <c r="D45" s="11">
        <v>2.0000000000000001E-4</v>
      </c>
      <c r="E45" s="10">
        <f t="shared" si="2"/>
        <v>44.681059470633045</v>
      </c>
      <c r="F45" s="3"/>
      <c r="G45" s="28"/>
      <c r="H45" s="10"/>
      <c r="I45" s="10">
        <f t="shared" si="8"/>
        <v>18968</v>
      </c>
      <c r="J45" s="10">
        <f t="shared" si="6"/>
        <v>4238399190.5323811</v>
      </c>
      <c r="K45" s="11">
        <f t="shared" si="7"/>
        <v>1.9999999999975593E-4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223405.29735324453</v>
      </c>
      <c r="D46" s="11">
        <v>-5.8999999999999999E-3</v>
      </c>
      <c r="E46" s="10">
        <f t="shared" si="2"/>
        <v>-1325.9141478564998</v>
      </c>
      <c r="F46" s="3"/>
      <c r="G46" s="28"/>
      <c r="H46" s="10"/>
      <c r="I46" s="10">
        <f t="shared" si="8"/>
        <v>18968</v>
      </c>
      <c r="J46" s="10">
        <f t="shared" si="6"/>
        <v>4237551680.1963425</v>
      </c>
      <c r="K46" s="11">
        <f t="shared" si="7"/>
        <v>-5.9000000000000163E-3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224731.21150110103</v>
      </c>
      <c r="D47" s="11">
        <v>-1.03E-2</v>
      </c>
      <c r="E47" s="10">
        <f t="shared" si="2"/>
        <v>-2338.8213382452668</v>
      </c>
      <c r="F47" s="3"/>
      <c r="G47" s="28"/>
      <c r="H47" s="10"/>
      <c r="I47" s="10">
        <f t="shared" si="8"/>
        <v>18968</v>
      </c>
      <c r="J47" s="10">
        <f t="shared" si="6"/>
        <v>4262701619.7528844</v>
      </c>
      <c r="K47" s="11">
        <f t="shared" si="7"/>
        <v>-1.0300000000000087E-2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227070.0328393463</v>
      </c>
      <c r="D48" s="11">
        <v>-9.2999999999999992E-3</v>
      </c>
      <c r="E48" s="10">
        <f t="shared" si="2"/>
        <v>-2131.5749524638231</v>
      </c>
      <c r="F48" s="3"/>
      <c r="G48" s="28"/>
      <c r="H48" s="10"/>
      <c r="I48" s="10">
        <f t="shared" si="8"/>
        <v>18968</v>
      </c>
      <c r="J48" s="10">
        <f t="shared" si="6"/>
        <v>4307064382.8967209</v>
      </c>
      <c r="K48" s="11">
        <f t="shared" si="7"/>
        <v>-9.299999999999975E-3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229201.60779181012</v>
      </c>
      <c r="D49" s="11">
        <v>-8.3000000000000001E-3</v>
      </c>
      <c r="E49" s="10">
        <f t="shared" si="2"/>
        <v>-1918.2951947887777</v>
      </c>
      <c r="F49" s="3"/>
      <c r="G49" s="28"/>
      <c r="H49" s="10"/>
      <c r="I49" s="10">
        <f t="shared" si="8"/>
        <v>18968</v>
      </c>
      <c r="J49" s="10">
        <f t="shared" si="6"/>
        <v>4347496096.5950546</v>
      </c>
      <c r="K49" s="11">
        <f t="shared" si="7"/>
        <v>-8.2999999999999741E-3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231119.9029865989</v>
      </c>
      <c r="D50" s="11">
        <v>-7.4000000000000003E-3</v>
      </c>
      <c r="E50" s="10">
        <f t="shared" si="2"/>
        <v>-1723.037761536194</v>
      </c>
      <c r="F50" s="3"/>
      <c r="G50" s="28"/>
      <c r="H50" s="10"/>
      <c r="I50" s="10">
        <f t="shared" si="8"/>
        <v>18968</v>
      </c>
      <c r="J50" s="10">
        <f t="shared" si="6"/>
        <v>4383882319.8498077</v>
      </c>
      <c r="K50" s="11">
        <f t="shared" si="7"/>
        <v>-7.3999999999999622E-3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232842.94074813509</v>
      </c>
      <c r="D51" s="11">
        <v>-6.4000000000000003E-3</v>
      </c>
      <c r="E51" s="10">
        <f t="shared" si="2"/>
        <v>-1499.7934991828224</v>
      </c>
      <c r="F51" s="3"/>
      <c r="G51" s="28"/>
      <c r="H51" s="10"/>
      <c r="I51" s="10">
        <f t="shared" si="8"/>
        <v>18968</v>
      </c>
      <c r="J51" s="10">
        <f t="shared" si="6"/>
        <v>4416564900.1106262</v>
      </c>
      <c r="K51" s="11">
        <f t="shared" si="7"/>
        <v>-6.3999999999999613E-3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234342.73424731792</v>
      </c>
      <c r="D52" s="11">
        <v>-5.3E-3</v>
      </c>
      <c r="E52" s="10">
        <f t="shared" si="2"/>
        <v>-1248.6342530519469</v>
      </c>
      <c r="F52" s="3"/>
      <c r="G52" s="28"/>
      <c r="H52" s="10"/>
      <c r="I52" s="10">
        <f t="shared" si="8"/>
        <v>18968</v>
      </c>
      <c r="J52" s="10">
        <f t="shared" si="6"/>
        <v>4445012983.203126</v>
      </c>
      <c r="K52" s="11">
        <f t="shared" si="7"/>
        <v>-5.2999999999999714E-3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235591.36850036986</v>
      </c>
      <c r="D53" s="11">
        <v>-4.1000000000000003E-3</v>
      </c>
      <c r="E53" s="10">
        <f t="shared" si="2"/>
        <v>-969.9012057952641</v>
      </c>
      <c r="F53" s="3"/>
      <c r="G53" s="28"/>
      <c r="H53" s="10"/>
      <c r="I53" s="10">
        <f t="shared" si="8"/>
        <v>18968</v>
      </c>
      <c r="J53" s="10">
        <f t="shared" si="6"/>
        <v>4468697077.7150154</v>
      </c>
      <c r="K53" s="11">
        <f t="shared" si="7"/>
        <v>-4.0999999999999925E-3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236561.26970616513</v>
      </c>
      <c r="D54" s="11">
        <v>1.3899999999999999E-2</v>
      </c>
      <c r="E54" s="10">
        <f t="shared" si="2"/>
        <v>3243.1222496456176</v>
      </c>
      <c r="F54" s="3"/>
      <c r="G54" s="28"/>
      <c r="H54" s="10"/>
      <c r="I54" s="10">
        <f t="shared" si="8"/>
        <v>18968</v>
      </c>
      <c r="J54" s="10">
        <f t="shared" si="6"/>
        <v>4487094163.78654</v>
      </c>
      <c r="K54" s="11">
        <f t="shared" si="7"/>
        <v>1.3900000000000023E-2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233318.14745651951</v>
      </c>
      <c r="D55" s="11">
        <v>3.2399999999999998E-2</v>
      </c>
      <c r="E55" s="10">
        <f t="shared" si="2"/>
        <v>7322.2665416420205</v>
      </c>
      <c r="F55" s="3"/>
      <c r="G55" s="28"/>
      <c r="H55" s="10"/>
      <c r="I55" s="10">
        <f t="shared" si="8"/>
        <v>18968</v>
      </c>
      <c r="J55" s="10">
        <f t="shared" si="6"/>
        <v>4425578620.9552622</v>
      </c>
      <c r="K55" s="11">
        <f t="shared" si="7"/>
        <v>3.2399999999999984E-2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225995.88091487749</v>
      </c>
      <c r="D56" s="11">
        <v>3.3599999999999998E-2</v>
      </c>
      <c r="E56" s="10">
        <f t="shared" si="2"/>
        <v>7346.6153238582483</v>
      </c>
      <c r="F56" s="3"/>
      <c r="G56" s="28"/>
      <c r="H56" s="10"/>
      <c r="I56" s="10">
        <f t="shared" si="8"/>
        <v>18968</v>
      </c>
      <c r="J56" s="10">
        <f t="shared" si="6"/>
        <v>4286689869.1933961</v>
      </c>
      <c r="K56" s="11">
        <f t="shared" si="7"/>
        <v>3.3600000000000074E-2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218649.26559101924</v>
      </c>
      <c r="D57" s="11">
        <v>3.4099999999999998E-2</v>
      </c>
      <c r="E57" s="10">
        <f t="shared" si="2"/>
        <v>7210.0763530159311</v>
      </c>
      <c r="F57" s="3"/>
      <c r="G57" s="28"/>
      <c r="H57" s="10"/>
      <c r="I57" s="10">
        <f t="shared" si="8"/>
        <v>18968</v>
      </c>
      <c r="J57" s="10">
        <f t="shared" si="6"/>
        <v>4147339269.730453</v>
      </c>
      <c r="K57" s="11">
        <f t="shared" si="7"/>
        <v>3.4100000000000019E-2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211439.18923800331</v>
      </c>
      <c r="D58" s="11">
        <v>3.4200000000000001E-2</v>
      </c>
      <c r="E58" s="10">
        <f t="shared" si="2"/>
        <v>6992.0907676848874</v>
      </c>
      <c r="F58" s="3"/>
      <c r="G58" s="28"/>
      <c r="H58" s="10"/>
      <c r="I58" s="10">
        <f t="shared" si="8"/>
        <v>18968</v>
      </c>
      <c r="J58" s="10">
        <f t="shared" si="6"/>
        <v>4010578541.4664469</v>
      </c>
      <c r="K58" s="11">
        <f t="shared" si="7"/>
        <v>3.4200000000000008E-2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204447.09847031842</v>
      </c>
      <c r="D59" s="11">
        <v>3.4299999999999997E-2</v>
      </c>
      <c r="E59" s="10">
        <f t="shared" si="2"/>
        <v>6779.9820917837496</v>
      </c>
      <c r="F59" s="3"/>
      <c r="G59" s="28"/>
      <c r="H59" s="10"/>
      <c r="I59" s="10">
        <f t="shared" si="8"/>
        <v>18968</v>
      </c>
      <c r="J59" s="10">
        <f t="shared" si="6"/>
        <v>3877952563.7849998</v>
      </c>
      <c r="K59" s="11">
        <f t="shared" si="7"/>
        <v>3.4299999999999997E-2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197667.11637853467</v>
      </c>
      <c r="D60" s="11">
        <v>3.4200000000000001E-2</v>
      </c>
      <c r="E60" s="10">
        <f t="shared" si="2"/>
        <v>6536.6615549660346</v>
      </c>
      <c r="F60" s="3"/>
      <c r="G60" s="28"/>
      <c r="H60" s="10"/>
      <c r="I60" s="10">
        <f t="shared" si="8"/>
        <v>18968</v>
      </c>
      <c r="J60" s="10">
        <f t="shared" si="6"/>
        <v>3749349863.4680457</v>
      </c>
      <c r="K60" s="11">
        <f t="shared" si="7"/>
        <v>3.4200000000000008E-2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191130.45482356864</v>
      </c>
      <c r="D61" s="11">
        <v>3.4799999999999998E-2</v>
      </c>
      <c r="E61" s="10">
        <f t="shared" si="2"/>
        <v>6427.6573520102247</v>
      </c>
      <c r="F61" s="3"/>
      <c r="G61" s="28"/>
      <c r="H61" s="10"/>
      <c r="I61" s="10">
        <f t="shared" si="8"/>
        <v>18968</v>
      </c>
      <c r="J61" s="10">
        <f t="shared" si="6"/>
        <v>3625362467.0934501</v>
      </c>
      <c r="K61" s="11">
        <f t="shared" si="7"/>
        <v>3.4799999999999942E-2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184702.79747155841</v>
      </c>
      <c r="D62" s="11">
        <v>3.9600000000000003E-2</v>
      </c>
      <c r="E62" s="10">
        <f t="shared" si="2"/>
        <v>7035.6202191936609</v>
      </c>
      <c r="F62" s="3"/>
      <c r="G62" s="28"/>
      <c r="H62" s="10"/>
      <c r="I62" s="10">
        <f t="shared" si="8"/>
        <v>18968</v>
      </c>
      <c r="J62" s="10">
        <f t="shared" si="6"/>
        <v>3503442662.4405198</v>
      </c>
      <c r="K62" s="11">
        <f t="shared" si="7"/>
        <v>3.960000000000008E-2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177667.17725236475</v>
      </c>
      <c r="D63" s="11">
        <v>4.5199999999999997E-2</v>
      </c>
      <c r="E63" s="10">
        <f t="shared" si="2"/>
        <v>7683.2724950314441</v>
      </c>
      <c r="F63" s="3"/>
      <c r="G63" s="28"/>
      <c r="H63" s="10"/>
      <c r="I63" s="10">
        <f t="shared" si="8"/>
        <v>18968</v>
      </c>
      <c r="J63" s="10">
        <f t="shared" si="6"/>
        <v>3369991018.1228547</v>
      </c>
      <c r="K63" s="11">
        <f t="shared" si="7"/>
        <v>4.5199999999999907E-2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169983.90475733331</v>
      </c>
      <c r="D64" s="11">
        <v>0.04</v>
      </c>
      <c r="E64" s="10">
        <f t="shared" si="2"/>
        <v>6537.8424906666623</v>
      </c>
      <c r="F64" s="3"/>
      <c r="G64" s="28"/>
      <c r="H64" s="10"/>
      <c r="I64" s="10">
        <f t="shared" si="8"/>
        <v>18968</v>
      </c>
      <c r="J64" s="10">
        <f t="shared" si="6"/>
        <v>3224254705.437098</v>
      </c>
      <c r="K64" s="11">
        <f t="shared" si="7"/>
        <v>4.0000000000000036E-2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163446.06226666665</v>
      </c>
      <c r="D65" s="11">
        <v>3.3099999999999997E-2</v>
      </c>
      <c r="E65" s="10">
        <f t="shared" si="2"/>
        <v>5236.728933333332</v>
      </c>
      <c r="F65" s="3"/>
      <c r="G65" s="28"/>
      <c r="H65" s="10"/>
      <c r="I65" s="10">
        <f t="shared" si="8"/>
        <v>18968</v>
      </c>
      <c r="J65" s="10">
        <f t="shared" si="6"/>
        <v>3100244909.0741329</v>
      </c>
      <c r="K65" s="11">
        <f t="shared" si="7"/>
        <v>3.3099999999999907E-2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158209.33333333331</v>
      </c>
      <c r="D66" s="11">
        <v>2.73333333333333E-2</v>
      </c>
      <c r="E66" s="10">
        <f t="shared" si="2"/>
        <v>4209.3333333333139</v>
      </c>
      <c r="F66" s="3"/>
      <c r="G66" s="28"/>
      <c r="H66" s="10"/>
      <c r="I66" s="10">
        <f t="shared" si="8"/>
        <v>18968</v>
      </c>
      <c r="J66" s="10">
        <f t="shared" ref="J66:J67" si="9">IF(I66="","",I66*C66)</f>
        <v>3000914634.6666665</v>
      </c>
      <c r="K66" s="11">
        <f t="shared" ref="K66" si="10">IFERROR(J66/J67-1,"")</f>
        <v>2.733333333333321E-2</v>
      </c>
    </row>
    <row r="67" spans="1:11" ht="22.5" customHeight="1">
      <c r="A67" s="3">
        <f t="shared" si="0"/>
        <v>1950</v>
      </c>
      <c r="B67" s="3">
        <v>1700</v>
      </c>
      <c r="C67" s="10">
        <v>154000</v>
      </c>
      <c r="D67" s="11">
        <v>2.12833333333333E-2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18968</v>
      </c>
      <c r="J67" s="10">
        <f t="shared" si="9"/>
        <v>2921072000</v>
      </c>
      <c r="K67" s="11"/>
    </row>
  </sheetData>
  <dataValidations count="1">
    <dataValidation type="custom" allowBlank="1" showDropDown="1" sqref="D2:D67" xr:uid="{00000000-0002-0000-0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6585897.2473049136</v>
      </c>
      <c r="D2" s="11">
        <v>-4.0000000000000002E-4</v>
      </c>
      <c r="E2" s="10">
        <f t="shared" ref="E2:E66" si="2">SUM(C2-C3)</f>
        <v>-2635.4130641473457</v>
      </c>
      <c r="F2" s="15">
        <v>6585930</v>
      </c>
      <c r="G2" s="28"/>
      <c r="H2" s="10"/>
      <c r="I2" s="10">
        <f>IF(H2&lt;&gt;"",H2,14603)</f>
        <v>14603</v>
      </c>
      <c r="J2" s="10">
        <f t="shared" ref="J2:J33" si="3">IF(I2="","",I2*C2)</f>
        <v>96173857502.393646</v>
      </c>
      <c r="K2" s="11">
        <f t="shared" ref="K2:K33" si="4">IFERROR(J2/J3-1,"")</f>
        <v>-4.0000000000006697E-4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6588532.6603690609</v>
      </c>
      <c r="D3" s="11">
        <v>8.9999999999999998E-4</v>
      </c>
      <c r="E3" s="10">
        <f t="shared" si="2"/>
        <v>5924.3474815981463</v>
      </c>
      <c r="F3" s="3"/>
      <c r="G3" s="28"/>
      <c r="H3" s="10"/>
      <c r="I3" s="10">
        <f t="shared" ref="I3:I34" si="5">IF(H3&lt;&gt;"",H3,I2/(1+IF(G2="",0,G2)/100))</f>
        <v>14603</v>
      </c>
      <c r="J3" s="10">
        <f t="shared" si="3"/>
        <v>96212342439.3694</v>
      </c>
      <c r="K3" s="11">
        <f t="shared" si="4"/>
        <v>9.0000000000012292E-4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6582608.3128874628</v>
      </c>
      <c r="D4" s="11">
        <v>1E-4</v>
      </c>
      <c r="E4" s="10">
        <f t="shared" si="2"/>
        <v>658.19501178711653</v>
      </c>
      <c r="F4" s="3"/>
      <c r="G4" s="28"/>
      <c r="H4" s="10"/>
      <c r="I4" s="10">
        <f t="shared" si="5"/>
        <v>14603</v>
      </c>
      <c r="J4" s="10">
        <f t="shared" si="3"/>
        <v>96125829193.095612</v>
      </c>
      <c r="K4" s="11">
        <f t="shared" si="4"/>
        <v>9.9999999999988987E-5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6581950.1178756757</v>
      </c>
      <c r="D5" s="11">
        <v>2.3E-3</v>
      </c>
      <c r="E5" s="10">
        <f t="shared" si="2"/>
        <v>15103.746653810143</v>
      </c>
      <c r="F5" s="3"/>
      <c r="G5" s="28"/>
      <c r="H5" s="10"/>
      <c r="I5" s="10">
        <f t="shared" si="5"/>
        <v>14603</v>
      </c>
      <c r="J5" s="10">
        <f t="shared" si="3"/>
        <v>96116217571.338486</v>
      </c>
      <c r="K5" s="11">
        <f t="shared" si="4"/>
        <v>2.2999999999999687E-3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6566846.3712218655</v>
      </c>
      <c r="D6" s="11">
        <v>4.4999999999999997E-3</v>
      </c>
      <c r="E6" s="10">
        <f t="shared" si="2"/>
        <v>29418.425754602067</v>
      </c>
      <c r="F6" s="3"/>
      <c r="G6" s="28"/>
      <c r="H6" s="10"/>
      <c r="I6" s="10">
        <f t="shared" si="5"/>
        <v>14603</v>
      </c>
      <c r="J6" s="10">
        <f t="shared" si="3"/>
        <v>95895657558.952896</v>
      </c>
      <c r="K6" s="11">
        <f t="shared" si="4"/>
        <v>4.4999999999999485E-3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6537427.9454672635</v>
      </c>
      <c r="D7" s="11">
        <v>3.7000000000000002E-3</v>
      </c>
      <c r="E7" s="10">
        <f t="shared" si="2"/>
        <v>24099.315929290839</v>
      </c>
      <c r="F7" s="3"/>
      <c r="G7" s="28"/>
      <c r="H7" s="10"/>
      <c r="I7" s="10">
        <f t="shared" si="5"/>
        <v>14603</v>
      </c>
      <c r="J7" s="10">
        <f t="shared" si="3"/>
        <v>95466060287.658447</v>
      </c>
      <c r="K7" s="11">
        <f t="shared" si="4"/>
        <v>3.7000000000000366E-3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6513328.6295379726</v>
      </c>
      <c r="D8" s="11">
        <v>4.3E-3</v>
      </c>
      <c r="E8" s="10">
        <f t="shared" si="2"/>
        <v>27887.397298629396</v>
      </c>
      <c r="F8" s="3"/>
      <c r="G8" s="28"/>
      <c r="H8" s="10"/>
      <c r="I8" s="10">
        <f t="shared" si="5"/>
        <v>14603</v>
      </c>
      <c r="J8" s="10">
        <f t="shared" si="3"/>
        <v>95114137977.143021</v>
      </c>
      <c r="K8" s="11">
        <f t="shared" si="4"/>
        <v>4.3000000000001926E-3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6485441.2322393432</v>
      </c>
      <c r="D9" s="11">
        <v>6.4999999999999997E-3</v>
      </c>
      <c r="E9" s="10">
        <f t="shared" si="2"/>
        <v>41883.127679637633</v>
      </c>
      <c r="F9" s="3"/>
      <c r="G9" s="28"/>
      <c r="H9" s="10"/>
      <c r="I9" s="10">
        <f t="shared" si="5"/>
        <v>14603</v>
      </c>
      <c r="J9" s="10">
        <f t="shared" si="3"/>
        <v>94706898314.391129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6443558.1045597056</v>
      </c>
      <c r="D10" s="11">
        <v>6.8999999999999999E-3</v>
      </c>
      <c r="E10" s="10">
        <f t="shared" si="2"/>
        <v>44155.875381330028</v>
      </c>
      <c r="F10" s="3"/>
      <c r="G10" s="28"/>
      <c r="H10" s="10"/>
      <c r="I10" s="10">
        <f t="shared" si="5"/>
        <v>14603</v>
      </c>
      <c r="J10" s="10">
        <f t="shared" si="3"/>
        <v>94095279000.885376</v>
      </c>
      <c r="K10" s="11">
        <f t="shared" si="4"/>
        <v>6.8999999999999062E-3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6399402.2291783756</v>
      </c>
      <c r="D11" s="11">
        <v>5.4999999999999997E-3</v>
      </c>
      <c r="E11" s="10">
        <f t="shared" si="2"/>
        <v>35004.189219772816</v>
      </c>
      <c r="F11" s="3"/>
      <c r="G11" s="28"/>
      <c r="H11" s="10"/>
      <c r="I11" s="10">
        <f t="shared" si="5"/>
        <v>14603</v>
      </c>
      <c r="J11" s="10">
        <f t="shared" si="3"/>
        <v>93450470752.691818</v>
      </c>
      <c r="K11" s="11">
        <f t="shared" si="4"/>
        <v>5.5000000000000604E-3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6364398.0399586027</v>
      </c>
      <c r="D12" s="11">
        <v>4.0000000000000001E-3</v>
      </c>
      <c r="E12" s="10">
        <f t="shared" si="2"/>
        <v>25356.167489875108</v>
      </c>
      <c r="F12" s="3"/>
      <c r="G12" s="28"/>
      <c r="H12" s="10"/>
      <c r="I12" s="10">
        <f t="shared" si="5"/>
        <v>14603</v>
      </c>
      <c r="J12" s="10">
        <f t="shared" si="3"/>
        <v>92939304577.515472</v>
      </c>
      <c r="K12" s="11">
        <f t="shared" si="4"/>
        <v>4.0000000000000036E-3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6339041.8724687276</v>
      </c>
      <c r="D13" s="11">
        <v>6.7000000000000002E-3</v>
      </c>
      <c r="E13" s="10">
        <f t="shared" si="2"/>
        <v>42188.914816270582</v>
      </c>
      <c r="F13" s="3"/>
      <c r="G13" s="28"/>
      <c r="H13" s="10"/>
      <c r="I13" s="10">
        <f t="shared" si="5"/>
        <v>14603</v>
      </c>
      <c r="J13" s="10">
        <f t="shared" si="3"/>
        <v>92569028463.660828</v>
      </c>
      <c r="K13" s="11">
        <f t="shared" si="4"/>
        <v>6.6999999999999282E-3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6296852.9576524571</v>
      </c>
      <c r="D14" s="11">
        <v>5.1000000000000004E-3</v>
      </c>
      <c r="E14" s="10">
        <f t="shared" si="2"/>
        <v>31950.999984108843</v>
      </c>
      <c r="F14" s="3"/>
      <c r="G14" s="28"/>
      <c r="H14" s="10"/>
      <c r="I14" s="10">
        <f t="shared" si="5"/>
        <v>14603</v>
      </c>
      <c r="J14" s="10">
        <f t="shared" si="3"/>
        <v>91952943740.598831</v>
      </c>
      <c r="K14" s="11">
        <f t="shared" si="4"/>
        <v>5.1000000000001044E-3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6264901.9576683482</v>
      </c>
      <c r="D15" s="11">
        <v>4.4000000000000003E-3</v>
      </c>
      <c r="E15" s="10">
        <f t="shared" si="2"/>
        <v>27444.811443389393</v>
      </c>
      <c r="F15" s="3"/>
      <c r="G15" s="28"/>
      <c r="H15" s="10"/>
      <c r="I15" s="10">
        <f t="shared" si="5"/>
        <v>14603</v>
      </c>
      <c r="J15" s="10">
        <f t="shared" si="3"/>
        <v>91486363287.830887</v>
      </c>
      <c r="K15" s="11">
        <f t="shared" si="4"/>
        <v>4.3999999999999595E-3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6237457.1462249588</v>
      </c>
      <c r="D16" s="11">
        <v>1.1000000000000001E-3</v>
      </c>
      <c r="E16" s="10">
        <f t="shared" si="2"/>
        <v>6853.6638306342065</v>
      </c>
      <c r="F16" s="3"/>
      <c r="G16" s="28"/>
      <c r="H16" s="10"/>
      <c r="I16" s="10">
        <f t="shared" si="5"/>
        <v>14603</v>
      </c>
      <c r="J16" s="10">
        <f t="shared" si="3"/>
        <v>91085586706.323074</v>
      </c>
      <c r="K16" s="11">
        <f t="shared" si="4"/>
        <v>1.1000000000001009E-3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6230603.4823943246</v>
      </c>
      <c r="D17" s="11">
        <v>2.2000000000000001E-3</v>
      </c>
      <c r="E17" s="10">
        <f t="shared" si="2"/>
        <v>13677.237738243304</v>
      </c>
      <c r="F17" s="3"/>
      <c r="G17" s="28"/>
      <c r="H17" s="10"/>
      <c r="I17" s="10">
        <f t="shared" si="5"/>
        <v>14603</v>
      </c>
      <c r="J17" s="10">
        <f t="shared" si="3"/>
        <v>90985502653.404327</v>
      </c>
      <c r="K17" s="11">
        <f t="shared" si="4"/>
        <v>2.1999999999999797E-3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6216926.2446560813</v>
      </c>
      <c r="D18" s="11">
        <v>4.0000000000000002E-4</v>
      </c>
      <c r="E18" s="10">
        <f t="shared" si="2"/>
        <v>2485.7761873872951</v>
      </c>
      <c r="F18" s="3"/>
      <c r="G18" s="28"/>
      <c r="H18" s="10"/>
      <c r="I18" s="10">
        <f t="shared" si="5"/>
        <v>14603</v>
      </c>
      <c r="J18" s="10">
        <f t="shared" si="3"/>
        <v>90785773950.712753</v>
      </c>
      <c r="K18" s="11">
        <f t="shared" si="4"/>
        <v>3.9999999999995595E-4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6214440.468468694</v>
      </c>
      <c r="D19" s="11">
        <v>1.6000000000000001E-3</v>
      </c>
      <c r="E19" s="10">
        <f t="shared" si="2"/>
        <v>9927.2211956372485</v>
      </c>
      <c r="F19" s="3"/>
      <c r="G19" s="28"/>
      <c r="H19" s="10"/>
      <c r="I19" s="10">
        <f t="shared" si="5"/>
        <v>14603</v>
      </c>
      <c r="J19" s="10">
        <f t="shared" si="3"/>
        <v>90749474161.04834</v>
      </c>
      <c r="K19" s="11">
        <f t="shared" si="4"/>
        <v>1.6000000000000458E-3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6204513.2472730568</v>
      </c>
      <c r="D20" s="11">
        <v>1.1999999999999999E-3</v>
      </c>
      <c r="E20" s="10">
        <f t="shared" si="2"/>
        <v>7436.4921062011272</v>
      </c>
      <c r="F20" s="3"/>
      <c r="G20" s="28"/>
      <c r="H20" s="10"/>
      <c r="I20" s="10">
        <f t="shared" si="5"/>
        <v>14603</v>
      </c>
      <c r="J20" s="10">
        <f t="shared" si="3"/>
        <v>90604506949.928452</v>
      </c>
      <c r="K20" s="11">
        <f t="shared" si="4"/>
        <v>1.2000000000000899E-3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6197076.7551668556</v>
      </c>
      <c r="D21" s="11">
        <v>1E-3</v>
      </c>
      <c r="E21" s="10">
        <f t="shared" si="2"/>
        <v>6190.885869297199</v>
      </c>
      <c r="F21" s="3"/>
      <c r="G21" s="28"/>
      <c r="H21" s="10"/>
      <c r="I21" s="10">
        <f t="shared" si="5"/>
        <v>14603</v>
      </c>
      <c r="J21" s="10">
        <f t="shared" si="3"/>
        <v>90495911855.701599</v>
      </c>
      <c r="K21" s="11">
        <f t="shared" si="4"/>
        <v>9.9999999999988987E-4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6190885.8692975584</v>
      </c>
      <c r="D22" s="11">
        <v>4.0000000000000002E-4</v>
      </c>
      <c r="E22" s="10">
        <f t="shared" si="2"/>
        <v>2475.364202038385</v>
      </c>
      <c r="F22" s="3"/>
      <c r="G22" s="28"/>
      <c r="H22" s="10"/>
      <c r="I22" s="10">
        <f t="shared" si="5"/>
        <v>14603</v>
      </c>
      <c r="J22" s="10">
        <f t="shared" si="3"/>
        <v>90405506349.352249</v>
      </c>
      <c r="K22" s="11">
        <f t="shared" si="4"/>
        <v>3.9999999999995595E-4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6188410.5050955201</v>
      </c>
      <c r="D23" s="11">
        <v>1.2999999999999999E-3</v>
      </c>
      <c r="E23" s="10">
        <f t="shared" si="2"/>
        <v>8034.4888211572543</v>
      </c>
      <c r="F23" s="3"/>
      <c r="G23" s="28"/>
      <c r="H23" s="10"/>
      <c r="I23" s="10">
        <f t="shared" si="5"/>
        <v>14603</v>
      </c>
      <c r="J23" s="10">
        <f t="shared" si="3"/>
        <v>90369358605.909882</v>
      </c>
      <c r="K23" s="11">
        <f t="shared" si="4"/>
        <v>1.3000000000000789E-3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6180376.0162743628</v>
      </c>
      <c r="D24" s="11">
        <v>2.0999999999999999E-3</v>
      </c>
      <c r="E24" s="10">
        <f t="shared" si="2"/>
        <v>12951.591292462312</v>
      </c>
      <c r="F24" s="3"/>
      <c r="G24" s="28"/>
      <c r="H24" s="10"/>
      <c r="I24" s="10">
        <f t="shared" si="5"/>
        <v>14603</v>
      </c>
      <c r="J24" s="10">
        <f t="shared" si="3"/>
        <v>90252030965.654526</v>
      </c>
      <c r="K24" s="11">
        <f t="shared" si="4"/>
        <v>2.0999999999999908E-3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6167424.4249819005</v>
      </c>
      <c r="D25" s="11">
        <v>1.6000000000000001E-3</v>
      </c>
      <c r="E25" s="10">
        <f t="shared" si="2"/>
        <v>9852.1156948599964</v>
      </c>
      <c r="F25" s="3"/>
      <c r="G25" s="28"/>
      <c r="H25" s="10"/>
      <c r="I25" s="10">
        <f t="shared" si="5"/>
        <v>14603</v>
      </c>
      <c r="J25" s="10">
        <f t="shared" si="3"/>
        <v>90062898878.010696</v>
      </c>
      <c r="K25" s="11">
        <f t="shared" si="4"/>
        <v>1.6000000000002679E-3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6157572.3092870405</v>
      </c>
      <c r="D26" s="11">
        <v>4.0000000000000001E-3</v>
      </c>
      <c r="E26" s="10">
        <f t="shared" si="2"/>
        <v>24532.160594768822</v>
      </c>
      <c r="F26" s="3"/>
      <c r="G26" s="28"/>
      <c r="H26" s="10"/>
      <c r="I26" s="10">
        <f t="shared" si="5"/>
        <v>14603</v>
      </c>
      <c r="J26" s="10">
        <f t="shared" si="3"/>
        <v>89919028432.518646</v>
      </c>
      <c r="K26" s="11">
        <f t="shared" si="4"/>
        <v>4.0000000000000036E-3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6133040.1486922717</v>
      </c>
      <c r="D27" s="11">
        <v>2.2000000000000001E-3</v>
      </c>
      <c r="E27" s="10">
        <f t="shared" si="2"/>
        <v>13463.069574059919</v>
      </c>
      <c r="F27" s="3"/>
      <c r="G27" s="28"/>
      <c r="H27" s="10"/>
      <c r="I27" s="10">
        <f t="shared" si="5"/>
        <v>14603</v>
      </c>
      <c r="J27" s="10">
        <f t="shared" si="3"/>
        <v>89560785291.353241</v>
      </c>
      <c r="K27" s="11">
        <f t="shared" si="4"/>
        <v>2.1999999999999797E-3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6119577.0791182118</v>
      </c>
      <c r="D28" s="11">
        <v>4.8999999999999998E-3</v>
      </c>
      <c r="E28" s="10">
        <f t="shared" si="2"/>
        <v>29839.713093520142</v>
      </c>
      <c r="F28" s="3"/>
      <c r="G28" s="28"/>
      <c r="H28" s="10"/>
      <c r="I28" s="10">
        <f t="shared" si="5"/>
        <v>14603</v>
      </c>
      <c r="J28" s="10">
        <f t="shared" si="3"/>
        <v>89364184086.363251</v>
      </c>
      <c r="K28" s="11">
        <f t="shared" si="4"/>
        <v>4.8999999999999044E-3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6089737.3660246916</v>
      </c>
      <c r="D29" s="11">
        <v>6.6E-3</v>
      </c>
      <c r="E29" s="10">
        <f t="shared" si="2"/>
        <v>39928.736951880157</v>
      </c>
      <c r="F29" s="3"/>
      <c r="G29" s="28"/>
      <c r="H29" s="10"/>
      <c r="I29" s="10">
        <f t="shared" si="5"/>
        <v>14603</v>
      </c>
      <c r="J29" s="10">
        <f t="shared" si="3"/>
        <v>88928434756.058578</v>
      </c>
      <c r="K29" s="11">
        <f t="shared" si="4"/>
        <v>6.5999999999999392E-3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6049808.6290728115</v>
      </c>
      <c r="D30" s="12">
        <v>4.1999999999999997E-3</v>
      </c>
      <c r="E30" s="10">
        <f t="shared" si="2"/>
        <v>25302.92396146711</v>
      </c>
      <c r="F30" s="3"/>
      <c r="G30" s="28"/>
      <c r="H30" s="10"/>
      <c r="I30" s="10">
        <f t="shared" si="5"/>
        <v>14603</v>
      </c>
      <c r="J30" s="10">
        <f t="shared" si="3"/>
        <v>88345355410.350266</v>
      </c>
      <c r="K30" s="11">
        <f t="shared" si="4"/>
        <v>4.1999999999997595E-3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6024505.7051113443</v>
      </c>
      <c r="D31" s="13">
        <v>2.7000000000000001E-3</v>
      </c>
      <c r="E31" s="10">
        <f t="shared" si="2"/>
        <v>16222.365018251352</v>
      </c>
      <c r="F31" s="3"/>
      <c r="G31" s="28"/>
      <c r="H31" s="10"/>
      <c r="I31" s="10">
        <f t="shared" si="5"/>
        <v>14603</v>
      </c>
      <c r="J31" s="10">
        <f t="shared" si="3"/>
        <v>87975856811.740967</v>
      </c>
      <c r="K31" s="11">
        <f t="shared" si="4"/>
        <v>2.6999999999999247E-3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6008283.340093093</v>
      </c>
      <c r="D32" s="12">
        <v>1E-3</v>
      </c>
      <c r="E32" s="10">
        <f t="shared" si="2"/>
        <v>6002.2810590332374</v>
      </c>
      <c r="F32" s="3"/>
      <c r="G32" s="28"/>
      <c r="H32" s="10"/>
      <c r="I32" s="10">
        <f t="shared" si="5"/>
        <v>14603</v>
      </c>
      <c r="J32" s="10">
        <f t="shared" si="3"/>
        <v>87738961615.37944</v>
      </c>
      <c r="K32" s="11">
        <f t="shared" si="4"/>
        <v>9.9999999999988987E-4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6002281.0590340598</v>
      </c>
      <c r="D33" s="13">
        <v>-8.9999999999999998E-4</v>
      </c>
      <c r="E33" s="10">
        <f t="shared" si="2"/>
        <v>-5406.919180393219</v>
      </c>
      <c r="F33" s="3"/>
      <c r="G33" s="28"/>
      <c r="H33" s="10"/>
      <c r="I33" s="10">
        <f t="shared" si="5"/>
        <v>14603</v>
      </c>
      <c r="J33" s="10">
        <f t="shared" si="3"/>
        <v>87651310305.074371</v>
      </c>
      <c r="K33" s="11">
        <f t="shared" si="4"/>
        <v>-9.0000000000012292E-4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6007687.978214453</v>
      </c>
      <c r="D34" s="12">
        <v>-4.0000000000000002E-4</v>
      </c>
      <c r="E34" s="10">
        <f t="shared" si="2"/>
        <v>-2404.0368060078472</v>
      </c>
      <c r="F34" s="3"/>
      <c r="G34" s="28"/>
      <c r="H34" s="10"/>
      <c r="I34" s="10">
        <f t="shared" si="5"/>
        <v>14603</v>
      </c>
      <c r="J34" s="10">
        <f t="shared" ref="J34:J65" si="6">IF(I34="","",I34*C34)</f>
        <v>87730267545.865662</v>
      </c>
      <c r="K34" s="11">
        <f t="shared" ref="K34:K65" si="7">IFERROR(J34/J35-1,"")</f>
        <v>-3.9999999999995595E-4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6010092.0150204608</v>
      </c>
      <c r="D35" s="11">
        <v>-3.3E-3</v>
      </c>
      <c r="E35" s="10">
        <f t="shared" si="2"/>
        <v>-19898.97025139723</v>
      </c>
      <c r="F35" s="3"/>
      <c r="G35" s="28"/>
      <c r="H35" s="10"/>
      <c r="I35" s="10">
        <f t="shared" ref="I35:I66" si="8">IF(H35&lt;&gt;"",H35,I34/(1+IF(G34="",0,G34)/100))</f>
        <v>14603</v>
      </c>
      <c r="J35" s="10">
        <f t="shared" si="6"/>
        <v>87765373695.343796</v>
      </c>
      <c r="K35" s="11">
        <f t="shared" si="7"/>
        <v>-3.2999999999999696E-3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6029990.9852718581</v>
      </c>
      <c r="D36" s="11">
        <v>-8.0000000000000004E-4</v>
      </c>
      <c r="E36" s="10">
        <f t="shared" si="2"/>
        <v>-4827.8550722757354</v>
      </c>
      <c r="F36" s="3"/>
      <c r="G36" s="28"/>
      <c r="H36" s="10"/>
      <c r="I36" s="10">
        <f t="shared" si="8"/>
        <v>14603</v>
      </c>
      <c r="J36" s="10">
        <f t="shared" si="6"/>
        <v>88055958357.924942</v>
      </c>
      <c r="K36" s="11">
        <f t="shared" si="7"/>
        <v>-8.0000000000002292E-4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6034818.8403441338</v>
      </c>
      <c r="D37" s="11">
        <v>2E-3</v>
      </c>
      <c r="E37" s="10">
        <f t="shared" si="2"/>
        <v>12045.546587512828</v>
      </c>
      <c r="F37" s="3"/>
      <c r="G37" s="28"/>
      <c r="H37" s="10"/>
      <c r="I37" s="10">
        <f t="shared" si="8"/>
        <v>14603</v>
      </c>
      <c r="J37" s="10">
        <f t="shared" si="6"/>
        <v>88126459525.54538</v>
      </c>
      <c r="K37" s="11">
        <f t="shared" si="7"/>
        <v>1.9999999999997797E-3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6022773.293756621</v>
      </c>
      <c r="D38" s="11">
        <v>2.0999999999999999E-3</v>
      </c>
      <c r="E38" s="10">
        <f t="shared" si="2"/>
        <v>12621.319146680646</v>
      </c>
      <c r="F38" s="3"/>
      <c r="G38" s="28"/>
      <c r="H38" s="10"/>
      <c r="I38" s="10">
        <f t="shared" si="8"/>
        <v>14603</v>
      </c>
      <c r="J38" s="10">
        <f t="shared" si="6"/>
        <v>87950558408.727936</v>
      </c>
      <c r="K38" s="11">
        <f t="shared" si="7"/>
        <v>2.0999999999999908E-3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6010151.9746099403</v>
      </c>
      <c r="D39" s="11">
        <v>1.2999999999999999E-3</v>
      </c>
      <c r="E39" s="10">
        <f t="shared" si="2"/>
        <v>7803.0535973170772</v>
      </c>
      <c r="F39" s="3"/>
      <c r="G39" s="28"/>
      <c r="H39" s="10"/>
      <c r="I39" s="10">
        <f t="shared" si="8"/>
        <v>14603</v>
      </c>
      <c r="J39" s="10">
        <f t="shared" si="6"/>
        <v>87766249285.228958</v>
      </c>
      <c r="K39" s="11">
        <f t="shared" si="7"/>
        <v>1.3000000000000789E-3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6002348.9210126232</v>
      </c>
      <c r="D40" s="11">
        <v>5.0000000000000001E-4</v>
      </c>
      <c r="E40" s="10">
        <f t="shared" si="2"/>
        <v>2999.6746231941506</v>
      </c>
      <c r="F40" s="3"/>
      <c r="G40" s="28"/>
      <c r="H40" s="10"/>
      <c r="I40" s="10">
        <f t="shared" si="8"/>
        <v>14603</v>
      </c>
      <c r="J40" s="10">
        <f t="shared" si="6"/>
        <v>87652301293.547333</v>
      </c>
      <c r="K40" s="11">
        <f t="shared" si="7"/>
        <v>4.9999999999994493E-4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5999349.2463894291</v>
      </c>
      <c r="D41" s="11">
        <v>1.4E-3</v>
      </c>
      <c r="E41" s="10">
        <f t="shared" si="2"/>
        <v>8387.3466596221551</v>
      </c>
      <c r="F41" s="3"/>
      <c r="G41" s="28"/>
      <c r="H41" s="10"/>
      <c r="I41" s="10">
        <f t="shared" si="8"/>
        <v>14603</v>
      </c>
      <c r="J41" s="10">
        <f t="shared" si="6"/>
        <v>87608497045.024826</v>
      </c>
      <c r="K41" s="11">
        <f t="shared" si="7"/>
        <v>1.4000000000000679E-3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5990961.8997298069</v>
      </c>
      <c r="D42" s="11">
        <v>3.7000000000000002E-3</v>
      </c>
      <c r="E42" s="10">
        <f t="shared" si="2"/>
        <v>22084.845102122985</v>
      </c>
      <c r="F42" s="3"/>
      <c r="G42" s="28"/>
      <c r="H42" s="10"/>
      <c r="I42" s="10">
        <f t="shared" si="8"/>
        <v>14603</v>
      </c>
      <c r="J42" s="10">
        <f t="shared" si="6"/>
        <v>87486016621.754364</v>
      </c>
      <c r="K42" s="11">
        <f t="shared" si="7"/>
        <v>3.7000000000000366E-3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5968877.0546276839</v>
      </c>
      <c r="D43" s="11">
        <v>4.4999999999999997E-3</v>
      </c>
      <c r="E43" s="10">
        <f t="shared" si="2"/>
        <v>26739.618462742306</v>
      </c>
      <c r="F43" s="3"/>
      <c r="G43" s="28"/>
      <c r="H43" s="10"/>
      <c r="I43" s="10">
        <f t="shared" si="8"/>
        <v>14603</v>
      </c>
      <c r="J43" s="10">
        <f t="shared" si="6"/>
        <v>87163511628.728073</v>
      </c>
      <c r="K43" s="11">
        <f t="shared" si="7"/>
        <v>4.5000000000001705E-3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5942137.4361649416</v>
      </c>
      <c r="D44" s="11">
        <v>6.4000000000000003E-3</v>
      </c>
      <c r="E44" s="10">
        <f t="shared" si="2"/>
        <v>37787.83743189089</v>
      </c>
      <c r="F44" s="3"/>
      <c r="G44" s="28"/>
      <c r="H44" s="10"/>
      <c r="I44" s="10">
        <f t="shared" si="8"/>
        <v>14603</v>
      </c>
      <c r="J44" s="10">
        <f t="shared" si="6"/>
        <v>86773032980.316635</v>
      </c>
      <c r="K44" s="11">
        <f t="shared" si="7"/>
        <v>6.3999999999997392E-3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5904349.5987330507</v>
      </c>
      <c r="D45" s="11">
        <v>5.4000000000000003E-3</v>
      </c>
      <c r="E45" s="10">
        <f t="shared" si="2"/>
        <v>31712.241727828979</v>
      </c>
      <c r="F45" s="3"/>
      <c r="G45" s="28"/>
      <c r="H45" s="10"/>
      <c r="I45" s="10">
        <f t="shared" si="8"/>
        <v>14603</v>
      </c>
      <c r="J45" s="10">
        <f t="shared" si="6"/>
        <v>86221217190.298737</v>
      </c>
      <c r="K45" s="11">
        <f t="shared" si="7"/>
        <v>5.4000000000000714E-3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5872637.3570052218</v>
      </c>
      <c r="D46" s="11">
        <v>3.0000000000000001E-3</v>
      </c>
      <c r="E46" s="10">
        <f t="shared" si="2"/>
        <v>17565.216421749443</v>
      </c>
      <c r="F46" s="3"/>
      <c r="G46" s="28"/>
      <c r="H46" s="10"/>
      <c r="I46" s="10">
        <f t="shared" si="8"/>
        <v>14603</v>
      </c>
      <c r="J46" s="10">
        <f t="shared" si="6"/>
        <v>85758123324.34726</v>
      </c>
      <c r="K46" s="11">
        <f t="shared" si="7"/>
        <v>2.9999999999998916E-3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5855072.1405834723</v>
      </c>
      <c r="D47" s="11">
        <v>3.0000000000000001E-3</v>
      </c>
      <c r="E47" s="10">
        <f t="shared" si="2"/>
        <v>17512.678386590444</v>
      </c>
      <c r="F47" s="3"/>
      <c r="G47" s="28"/>
      <c r="H47" s="10"/>
      <c r="I47" s="10">
        <f t="shared" si="8"/>
        <v>14603</v>
      </c>
      <c r="J47" s="10">
        <f t="shared" si="6"/>
        <v>85501618468.940445</v>
      </c>
      <c r="K47" s="11">
        <f t="shared" si="7"/>
        <v>3.0000000000001137E-3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5837559.4621968819</v>
      </c>
      <c r="D48" s="11">
        <v>3.0000000000000001E-3</v>
      </c>
      <c r="E48" s="10">
        <f t="shared" si="2"/>
        <v>17460.297494107857</v>
      </c>
      <c r="F48" s="3"/>
      <c r="G48" s="28"/>
      <c r="H48" s="10"/>
      <c r="I48" s="10">
        <f t="shared" si="8"/>
        <v>14603</v>
      </c>
      <c r="J48" s="10">
        <f t="shared" si="6"/>
        <v>85245880826.46106</v>
      </c>
      <c r="K48" s="11">
        <f t="shared" si="7"/>
        <v>2.9999999999998916E-3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5820099.164702774</v>
      </c>
      <c r="D49" s="11">
        <v>4.0000000000000001E-3</v>
      </c>
      <c r="E49" s="10">
        <f t="shared" si="2"/>
        <v>23187.646074512973</v>
      </c>
      <c r="F49" s="3"/>
      <c r="G49" s="28"/>
      <c r="H49" s="10"/>
      <c r="I49" s="10">
        <f t="shared" si="8"/>
        <v>14603</v>
      </c>
      <c r="J49" s="10">
        <f t="shared" si="6"/>
        <v>84990908102.154602</v>
      </c>
      <c r="K49" s="11">
        <f t="shared" si="7"/>
        <v>3.9999999999997815E-3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5796911.5186282611</v>
      </c>
      <c r="D50" s="11">
        <v>4.0000000000000001E-3</v>
      </c>
      <c r="E50" s="10">
        <f t="shared" si="2"/>
        <v>23095.265014455654</v>
      </c>
      <c r="F50" s="3"/>
      <c r="G50" s="28"/>
      <c r="H50" s="10"/>
      <c r="I50" s="10">
        <f t="shared" si="8"/>
        <v>14603</v>
      </c>
      <c r="J50" s="10">
        <f t="shared" si="6"/>
        <v>84652298906.528503</v>
      </c>
      <c r="K50" s="11">
        <f t="shared" si="7"/>
        <v>4.0000000000002256E-3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5773816.2536138054</v>
      </c>
      <c r="D51" s="11">
        <v>4.0000000000000001E-3</v>
      </c>
      <c r="E51" s="10">
        <f t="shared" si="2"/>
        <v>23003.252006429248</v>
      </c>
      <c r="F51" s="3"/>
      <c r="G51" s="28"/>
      <c r="H51" s="10"/>
      <c r="I51" s="10">
        <f t="shared" si="8"/>
        <v>14603</v>
      </c>
      <c r="J51" s="10">
        <f t="shared" si="6"/>
        <v>84315038751.5224</v>
      </c>
      <c r="K51" s="11">
        <f t="shared" si="7"/>
        <v>3.9999999999997815E-3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5750813.0016073762</v>
      </c>
      <c r="D52" s="11">
        <v>4.0000000000000001E-3</v>
      </c>
      <c r="E52" s="10">
        <f t="shared" si="2"/>
        <v>22911.60558409337</v>
      </c>
      <c r="F52" s="3"/>
      <c r="G52" s="28"/>
      <c r="H52" s="10"/>
      <c r="I52" s="10">
        <f t="shared" si="8"/>
        <v>14603</v>
      </c>
      <c r="J52" s="10">
        <f t="shared" si="6"/>
        <v>83979122262.472519</v>
      </c>
      <c r="K52" s="11">
        <f t="shared" si="7"/>
        <v>4.0000000000000036E-3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5727901.3960232828</v>
      </c>
      <c r="D53" s="11">
        <v>4.0000000000000001E-3</v>
      </c>
      <c r="E53" s="10">
        <f t="shared" si="2"/>
        <v>22820.324286945164</v>
      </c>
      <c r="F53" s="3"/>
      <c r="G53" s="28"/>
      <c r="H53" s="10"/>
      <c r="I53" s="10">
        <f t="shared" si="8"/>
        <v>14603</v>
      </c>
      <c r="J53" s="10">
        <f t="shared" si="6"/>
        <v>83644544086.128006</v>
      </c>
      <c r="K53" s="11">
        <f t="shared" si="7"/>
        <v>4.0000000000000036E-3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5705081.0717363376</v>
      </c>
      <c r="D54" s="11">
        <v>3.5000000000000001E-3</v>
      </c>
      <c r="E54" s="10">
        <f t="shared" si="2"/>
        <v>19898.140260166489</v>
      </c>
      <c r="F54" s="3"/>
      <c r="G54" s="28"/>
      <c r="H54" s="10"/>
      <c r="I54" s="10">
        <f t="shared" si="8"/>
        <v>14603</v>
      </c>
      <c r="J54" s="10">
        <f t="shared" si="6"/>
        <v>83311298890.565735</v>
      </c>
      <c r="K54" s="11">
        <f t="shared" si="7"/>
        <v>3.4999999999998366E-3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5685182.9314761711</v>
      </c>
      <c r="D55" s="11">
        <v>3.0000000000000001E-3</v>
      </c>
      <c r="E55" s="10">
        <f t="shared" si="2"/>
        <v>17004.535188861191</v>
      </c>
      <c r="F55" s="3"/>
      <c r="G55" s="28"/>
      <c r="H55" s="10"/>
      <c r="I55" s="10">
        <f t="shared" si="8"/>
        <v>14603</v>
      </c>
      <c r="J55" s="10">
        <f t="shared" si="6"/>
        <v>83020726348.346527</v>
      </c>
      <c r="K55" s="11">
        <f t="shared" si="7"/>
        <v>2.9999999999998916E-3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5668178.3962873099</v>
      </c>
      <c r="D56" s="11">
        <v>2E-3</v>
      </c>
      <c r="E56" s="10">
        <f t="shared" si="2"/>
        <v>11313.729333906434</v>
      </c>
      <c r="F56" s="3"/>
      <c r="G56" s="28"/>
      <c r="H56" s="10"/>
      <c r="I56" s="10">
        <f t="shared" si="8"/>
        <v>14603</v>
      </c>
      <c r="J56" s="10">
        <f t="shared" si="6"/>
        <v>82772409120.983582</v>
      </c>
      <c r="K56" s="11">
        <f t="shared" si="7"/>
        <v>1.9999999999997797E-3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5656864.6669534035</v>
      </c>
      <c r="D57" s="11">
        <v>1E-3</v>
      </c>
      <c r="E57" s="10">
        <f t="shared" si="2"/>
        <v>5651.2134534996003</v>
      </c>
      <c r="F57" s="3"/>
      <c r="G57" s="28"/>
      <c r="H57" s="10"/>
      <c r="I57" s="10">
        <f t="shared" si="8"/>
        <v>14603</v>
      </c>
      <c r="J57" s="10">
        <f t="shared" si="6"/>
        <v>82607194731.520554</v>
      </c>
      <c r="K57" s="11">
        <f t="shared" si="7"/>
        <v>1.0000000000001119E-3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5651213.4534999039</v>
      </c>
      <c r="D58" s="11">
        <v>1E-3</v>
      </c>
      <c r="E58" s="10">
        <f t="shared" si="2"/>
        <v>5645.5678856140003</v>
      </c>
      <c r="F58" s="3"/>
      <c r="G58" s="28"/>
      <c r="H58" s="10"/>
      <c r="I58" s="10">
        <f t="shared" si="8"/>
        <v>14603</v>
      </c>
      <c r="J58" s="10">
        <f t="shared" si="6"/>
        <v>82524670061.459091</v>
      </c>
      <c r="K58" s="11">
        <f t="shared" si="7"/>
        <v>9.9999999999988987E-4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5645567.8856142899</v>
      </c>
      <c r="D59" s="11">
        <v>1.5E-3</v>
      </c>
      <c r="E59" s="10">
        <f t="shared" si="2"/>
        <v>8455.6683259326965</v>
      </c>
      <c r="F59" s="3"/>
      <c r="G59" s="28"/>
      <c r="H59" s="10"/>
      <c r="I59" s="10">
        <f t="shared" si="8"/>
        <v>14603</v>
      </c>
      <c r="J59" s="10">
        <f t="shared" si="6"/>
        <v>82442227833.625473</v>
      </c>
      <c r="K59" s="11">
        <f t="shared" si="7"/>
        <v>1.5000000000000568E-3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5637112.2172883572</v>
      </c>
      <c r="D60" s="11">
        <v>1.8E-3</v>
      </c>
      <c r="E60" s="10">
        <f t="shared" si="2"/>
        <v>10128.570564104244</v>
      </c>
      <c r="F60" s="3"/>
      <c r="G60" s="28"/>
      <c r="H60" s="10"/>
      <c r="I60" s="10">
        <f t="shared" si="8"/>
        <v>14603</v>
      </c>
      <c r="J60" s="10">
        <f t="shared" si="6"/>
        <v>82318749709.061874</v>
      </c>
      <c r="K60" s="11">
        <f t="shared" si="7"/>
        <v>1.8000000000000238E-3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5626983.646724253</v>
      </c>
      <c r="D61" s="11">
        <v>2E-3</v>
      </c>
      <c r="E61" s="10">
        <f t="shared" si="2"/>
        <v>11231.504284879193</v>
      </c>
      <c r="F61" s="3"/>
      <c r="G61" s="28"/>
      <c r="H61" s="10"/>
      <c r="I61" s="10">
        <f t="shared" si="8"/>
        <v>14603</v>
      </c>
      <c r="J61" s="10">
        <f t="shared" si="6"/>
        <v>82170842193.114273</v>
      </c>
      <c r="K61" s="11">
        <f t="shared" si="7"/>
        <v>2.0000000000002238E-3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5615752.1424393738</v>
      </c>
      <c r="D62" s="11">
        <v>2E-3</v>
      </c>
      <c r="E62" s="10">
        <f t="shared" si="2"/>
        <v>11209.086112653837</v>
      </c>
      <c r="F62" s="3"/>
      <c r="G62" s="28"/>
      <c r="H62" s="10"/>
      <c r="I62" s="10">
        <f t="shared" si="8"/>
        <v>14603</v>
      </c>
      <c r="J62" s="10">
        <f t="shared" si="6"/>
        <v>82006828536.042175</v>
      </c>
      <c r="K62" s="11">
        <f t="shared" si="7"/>
        <v>2.0000000000000018E-3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5604543.0563267199</v>
      </c>
      <c r="D63" s="11">
        <v>2E-3</v>
      </c>
      <c r="E63" s="10">
        <f t="shared" si="2"/>
        <v>11186.712687279098</v>
      </c>
      <c r="F63" s="3"/>
      <c r="G63" s="28"/>
      <c r="H63" s="10"/>
      <c r="I63" s="10">
        <f t="shared" si="8"/>
        <v>14603</v>
      </c>
      <c r="J63" s="10">
        <f t="shared" si="6"/>
        <v>81843142251.539093</v>
      </c>
      <c r="K63" s="11">
        <f t="shared" si="7"/>
        <v>2.0000000000002238E-3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5593356.3436394408</v>
      </c>
      <c r="D64" s="11">
        <v>2E-3</v>
      </c>
      <c r="E64" s="10">
        <f t="shared" si="2"/>
        <v>11164.38391944021</v>
      </c>
      <c r="F64" s="3"/>
      <c r="G64" s="28"/>
      <c r="H64" s="10"/>
      <c r="I64" s="10">
        <f t="shared" si="8"/>
        <v>14603</v>
      </c>
      <c r="J64" s="10">
        <f t="shared" si="6"/>
        <v>81679782686.166748</v>
      </c>
      <c r="K64" s="11">
        <f t="shared" si="7"/>
        <v>2.0000000000000018E-3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5582191.9597200006</v>
      </c>
      <c r="D65" s="11">
        <v>2E-3</v>
      </c>
      <c r="E65" s="10">
        <f t="shared" si="2"/>
        <v>11142.099720000289</v>
      </c>
      <c r="F65" s="3"/>
      <c r="G65" s="28"/>
      <c r="H65" s="10"/>
      <c r="I65" s="10">
        <f t="shared" si="8"/>
        <v>14603</v>
      </c>
      <c r="J65" s="10">
        <f t="shared" si="6"/>
        <v>81516749187.791168</v>
      </c>
      <c r="K65" s="11">
        <f t="shared" si="7"/>
        <v>2.0000000000000018E-3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5571049.8600000003</v>
      </c>
      <c r="D66" s="11">
        <v>2E-3</v>
      </c>
      <c r="E66" s="10">
        <f t="shared" si="2"/>
        <v>11119.860000000335</v>
      </c>
      <c r="F66" s="15"/>
      <c r="G66" s="28"/>
      <c r="H66" s="10"/>
      <c r="I66" s="10">
        <f t="shared" si="8"/>
        <v>14603</v>
      </c>
      <c r="J66" s="10">
        <f t="shared" ref="J66:J67" si="9">IF(I66="","",I66*C66)</f>
        <v>81354041105.580002</v>
      </c>
      <c r="K66" s="11">
        <f t="shared" ref="K66" si="10">IFERROR(J66/J67-1,"")</f>
        <v>2.0000000000000018E-3</v>
      </c>
    </row>
    <row r="67" spans="1:11" ht="22.5" customHeight="1">
      <c r="A67" s="3">
        <f t="shared" si="0"/>
        <v>1950</v>
      </c>
      <c r="B67" s="3">
        <v>1700</v>
      </c>
      <c r="C67" s="15">
        <v>5559930</v>
      </c>
      <c r="D67" s="11">
        <v>1.5E-3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14603</v>
      </c>
      <c r="J67" s="10">
        <f t="shared" si="9"/>
        <v>81191657790</v>
      </c>
      <c r="K67" s="11"/>
    </row>
  </sheetData>
  <dataValidations count="1">
    <dataValidation type="custom" allowBlank="1" showDropDown="1" sqref="D2:D67" xr:uid="{00000000-0002-0000-0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579077699.51143062</v>
      </c>
      <c r="D2" s="11">
        <v>2.5999999999999999E-3</v>
      </c>
      <c r="E2" s="10">
        <f t="shared" ref="E2:E66" si="2">SUM(C2-C3)</f>
        <v>1501697.6049567461</v>
      </c>
      <c r="F2" s="15">
        <v>579087437</v>
      </c>
      <c r="G2" s="28"/>
      <c r="H2" s="10"/>
      <c r="I2" s="10">
        <f>IF(H2&lt;&gt;"",H2,7937)</f>
        <v>7937</v>
      </c>
      <c r="J2" s="10">
        <f t="shared" ref="J2:J33" si="3">IF(I2="","",I2*C2)</f>
        <v>4596139701022.2246</v>
      </c>
      <c r="K2" s="11">
        <f t="shared" ref="K2:K33" si="4">IFERROR(J2/J3-1,"")</f>
        <v>2.5999999999997137E-3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577576001.90647388</v>
      </c>
      <c r="D3" s="11">
        <v>2.8000000000000004E-3</v>
      </c>
      <c r="E3" s="10">
        <f t="shared" si="2"/>
        <v>1612697.2530295849</v>
      </c>
      <c r="F3" s="3"/>
      <c r="G3" s="28"/>
      <c r="H3" s="10"/>
      <c r="I3" s="10">
        <f t="shared" ref="I3:I34" si="5">IF(H3&lt;&gt;"",H3,I2/(1+IF(G2="",0,G2)/100))</f>
        <v>7937</v>
      </c>
      <c r="J3" s="10">
        <f t="shared" si="3"/>
        <v>4584220727131.6836</v>
      </c>
      <c r="K3" s="11">
        <f t="shared" si="4"/>
        <v>2.7999999999999137E-3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575963304.65344429</v>
      </c>
      <c r="D4" s="11">
        <v>1.5999999999999999E-3</v>
      </c>
      <c r="E4" s="10">
        <f t="shared" si="2"/>
        <v>920069.17676270008</v>
      </c>
      <c r="F4" s="3"/>
      <c r="G4" s="28"/>
      <c r="H4" s="10"/>
      <c r="I4" s="10">
        <f t="shared" si="5"/>
        <v>7937</v>
      </c>
      <c r="J4" s="10">
        <f t="shared" si="3"/>
        <v>4571420749034.3877</v>
      </c>
      <c r="K4" s="11">
        <f t="shared" si="4"/>
        <v>1.6000000000000458E-3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575043235.47668159</v>
      </c>
      <c r="D5" s="11">
        <v>7.000000000000001E-4</v>
      </c>
      <c r="E5" s="10">
        <f t="shared" si="2"/>
        <v>402248.69075012207</v>
      </c>
      <c r="F5" s="3"/>
      <c r="G5" s="28"/>
      <c r="H5" s="10"/>
      <c r="I5" s="10">
        <f t="shared" si="5"/>
        <v>7937</v>
      </c>
      <c r="J5" s="10">
        <f t="shared" si="3"/>
        <v>4564118159978.4219</v>
      </c>
      <c r="K5" s="11">
        <f t="shared" si="4"/>
        <v>6.9999999999992291E-4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574640986.78593147</v>
      </c>
      <c r="D6" s="11">
        <v>2.2000000000000006E-3</v>
      </c>
      <c r="E6" s="10">
        <f t="shared" si="2"/>
        <v>1261435.0138984919</v>
      </c>
      <c r="F6" s="3"/>
      <c r="G6" s="28"/>
      <c r="H6" s="10"/>
      <c r="I6" s="10">
        <f t="shared" si="5"/>
        <v>7937</v>
      </c>
      <c r="J6" s="10">
        <f t="shared" si="3"/>
        <v>4560925512119.9385</v>
      </c>
      <c r="K6" s="11">
        <f t="shared" si="4"/>
        <v>2.1999999999999797E-3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573379551.77203298</v>
      </c>
      <c r="D7" s="11">
        <v>3.4999999999999996E-3</v>
      </c>
      <c r="E7" s="10">
        <f t="shared" si="2"/>
        <v>1999829.0295985937</v>
      </c>
      <c r="F7" s="3"/>
      <c r="G7" s="28"/>
      <c r="H7" s="10"/>
      <c r="I7" s="10">
        <f t="shared" si="5"/>
        <v>7937</v>
      </c>
      <c r="J7" s="10">
        <f t="shared" si="3"/>
        <v>4550913502414.626</v>
      </c>
      <c r="K7" s="11">
        <f t="shared" si="4"/>
        <v>3.5000000000000586E-3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571379722.74243438</v>
      </c>
      <c r="D8" s="11">
        <v>3.4999999999999996E-3</v>
      </c>
      <c r="E8" s="10">
        <f t="shared" si="2"/>
        <v>1992854.0404570103</v>
      </c>
      <c r="F8" s="3"/>
      <c r="G8" s="28"/>
      <c r="H8" s="10"/>
      <c r="I8" s="10">
        <f t="shared" si="5"/>
        <v>7937</v>
      </c>
      <c r="J8" s="10">
        <f t="shared" si="3"/>
        <v>4535040859406.7021</v>
      </c>
      <c r="K8" s="11">
        <f t="shared" si="4"/>
        <v>3.5000000000002807E-3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569386868.70197737</v>
      </c>
      <c r="D9" s="11">
        <v>9.5000000000000015E-3</v>
      </c>
      <c r="E9" s="10">
        <f t="shared" si="2"/>
        <v>5358271.6717869043</v>
      </c>
      <c r="F9" s="3"/>
      <c r="G9" s="28"/>
      <c r="H9" s="10"/>
      <c r="I9" s="10">
        <f t="shared" si="5"/>
        <v>7937</v>
      </c>
      <c r="J9" s="10">
        <f t="shared" si="3"/>
        <v>4519223576887.5947</v>
      </c>
      <c r="K9" s="11">
        <f t="shared" si="4"/>
        <v>9.5000000000000639E-3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564028597.03019047</v>
      </c>
      <c r="D10" s="11">
        <v>5.4000000000000012E-3</v>
      </c>
      <c r="E10" s="10">
        <f t="shared" si="2"/>
        <v>3029395.6872519255</v>
      </c>
      <c r="F10" s="3"/>
      <c r="G10" s="28"/>
      <c r="H10" s="10"/>
      <c r="I10" s="10">
        <f t="shared" si="5"/>
        <v>7937</v>
      </c>
      <c r="J10" s="10">
        <f t="shared" si="3"/>
        <v>4476694974628.6221</v>
      </c>
      <c r="K10" s="11">
        <f t="shared" si="4"/>
        <v>5.4000000000000714E-3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560999201.34293854</v>
      </c>
      <c r="D11" s="11">
        <v>6.899999999999999E-3</v>
      </c>
      <c r="E11" s="10">
        <f t="shared" si="2"/>
        <v>3844368.3476673365</v>
      </c>
      <c r="F11" s="3"/>
      <c r="G11" s="28"/>
      <c r="H11" s="10"/>
      <c r="I11" s="10">
        <f t="shared" si="5"/>
        <v>7937</v>
      </c>
      <c r="J11" s="10">
        <f t="shared" si="3"/>
        <v>4452650661058.9033</v>
      </c>
      <c r="K11" s="11">
        <f t="shared" si="4"/>
        <v>6.8999999999999062E-3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557154832.99527121</v>
      </c>
      <c r="D12" s="11">
        <v>6.899999999999999E-3</v>
      </c>
      <c r="E12" s="10">
        <f t="shared" si="2"/>
        <v>3818023.9821902514</v>
      </c>
      <c r="F12" s="3"/>
      <c r="G12" s="28"/>
      <c r="H12" s="10"/>
      <c r="I12" s="10">
        <f t="shared" si="5"/>
        <v>7937</v>
      </c>
      <c r="J12" s="10">
        <f t="shared" si="3"/>
        <v>4422137909483.4678</v>
      </c>
      <c r="K12" s="11">
        <f t="shared" si="4"/>
        <v>6.8999999999999062E-3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553336809.01308095</v>
      </c>
      <c r="D13" s="11">
        <v>7.2000000000000007E-3</v>
      </c>
      <c r="E13" s="10">
        <f t="shared" si="2"/>
        <v>3955545.1001729965</v>
      </c>
      <c r="F13" s="3"/>
      <c r="G13" s="28"/>
      <c r="H13" s="10"/>
      <c r="I13" s="10">
        <f t="shared" si="5"/>
        <v>7937</v>
      </c>
      <c r="J13" s="10">
        <f t="shared" si="3"/>
        <v>4391834253136.8237</v>
      </c>
      <c r="K13" s="11">
        <f t="shared" si="4"/>
        <v>7.2000000000000952E-3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549381263.91290796</v>
      </c>
      <c r="D14" s="11">
        <v>7.5999999999999983E-3</v>
      </c>
      <c r="E14" s="10">
        <f t="shared" si="2"/>
        <v>4143804.6900933981</v>
      </c>
      <c r="F14" s="3"/>
      <c r="G14" s="28"/>
      <c r="H14" s="10"/>
      <c r="I14" s="10">
        <f t="shared" si="5"/>
        <v>7937</v>
      </c>
      <c r="J14" s="10">
        <f t="shared" si="3"/>
        <v>4360439091676.7505</v>
      </c>
      <c r="K14" s="11">
        <f t="shared" si="4"/>
        <v>7.6000000000000512E-3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545237459.22281456</v>
      </c>
      <c r="D15" s="11">
        <v>8.0000000000000002E-3</v>
      </c>
      <c r="E15" s="10">
        <f t="shared" si="2"/>
        <v>4327281.4224033356</v>
      </c>
      <c r="F15" s="3"/>
      <c r="G15" s="28"/>
      <c r="H15" s="10"/>
      <c r="I15" s="10">
        <f t="shared" si="5"/>
        <v>7937</v>
      </c>
      <c r="J15" s="10">
        <f t="shared" si="3"/>
        <v>4327549713851.479</v>
      </c>
      <c r="K15" s="11">
        <f t="shared" si="4"/>
        <v>8.0000000000000071E-3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540910177.80041122</v>
      </c>
      <c r="D16" s="11">
        <v>8.5000000000000006E-3</v>
      </c>
      <c r="E16" s="10">
        <f t="shared" si="2"/>
        <v>4558985.1376335621</v>
      </c>
      <c r="F16" s="3"/>
      <c r="G16" s="28"/>
      <c r="H16" s="10"/>
      <c r="I16" s="10">
        <f t="shared" si="5"/>
        <v>7937</v>
      </c>
      <c r="J16" s="10">
        <f t="shared" si="3"/>
        <v>4293204081201.8638</v>
      </c>
      <c r="K16" s="11">
        <f t="shared" si="4"/>
        <v>8.499999999999952E-3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536351192.66277766</v>
      </c>
      <c r="D17" s="11">
        <v>8.9000000000000017E-3</v>
      </c>
      <c r="E17" s="10">
        <f t="shared" si="2"/>
        <v>4731416.0121901631</v>
      </c>
      <c r="F17" s="3"/>
      <c r="G17" s="28"/>
      <c r="H17" s="10"/>
      <c r="I17" s="10">
        <f t="shared" si="5"/>
        <v>7937</v>
      </c>
      <c r="J17" s="10">
        <f t="shared" si="3"/>
        <v>4257019416164.4663</v>
      </c>
      <c r="K17" s="11">
        <f t="shared" si="4"/>
        <v>8.899999999999908E-3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531619776.6505875</v>
      </c>
      <c r="D18" s="11">
        <v>9.1000000000000004E-3</v>
      </c>
      <c r="E18" s="10">
        <f t="shared" si="2"/>
        <v>4794113.5343577266</v>
      </c>
      <c r="F18" s="3"/>
      <c r="G18" s="28"/>
      <c r="H18" s="10"/>
      <c r="I18" s="10">
        <f t="shared" si="5"/>
        <v>7937</v>
      </c>
      <c r="J18" s="10">
        <f t="shared" si="3"/>
        <v>4219466167275.7129</v>
      </c>
      <c r="K18" s="11">
        <f t="shared" si="4"/>
        <v>9.100000000000108E-3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526825663.11622977</v>
      </c>
      <c r="D19" s="11">
        <v>9.0000000000000011E-3</v>
      </c>
      <c r="E19" s="10">
        <f t="shared" si="2"/>
        <v>4699138.7195698619</v>
      </c>
      <c r="F19" s="3"/>
      <c r="G19" s="28"/>
      <c r="H19" s="10"/>
      <c r="I19" s="10">
        <f t="shared" si="5"/>
        <v>7937</v>
      </c>
      <c r="J19" s="10">
        <f t="shared" si="3"/>
        <v>4181415288153.5156</v>
      </c>
      <c r="K19" s="11">
        <f t="shared" si="4"/>
        <v>8.999999999999897E-3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522126524.39665991</v>
      </c>
      <c r="D20" s="11">
        <v>8.6999999999999994E-3</v>
      </c>
      <c r="E20" s="10">
        <f t="shared" si="2"/>
        <v>4503321.8620510697</v>
      </c>
      <c r="F20" s="3"/>
      <c r="G20" s="28"/>
      <c r="H20" s="10"/>
      <c r="I20" s="10">
        <f t="shared" si="5"/>
        <v>7937</v>
      </c>
      <c r="J20" s="10">
        <f t="shared" si="3"/>
        <v>4144118224136.2896</v>
      </c>
      <c r="K20" s="11">
        <f t="shared" si="4"/>
        <v>8.69999999999993E-3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517623202.53460884</v>
      </c>
      <c r="D21" s="11">
        <v>8.3000000000000018E-3</v>
      </c>
      <c r="E21" s="10">
        <f t="shared" si="2"/>
        <v>4260907.0525014997</v>
      </c>
      <c r="F21" s="3"/>
      <c r="G21" s="28"/>
      <c r="H21" s="10"/>
      <c r="I21" s="10">
        <f t="shared" si="5"/>
        <v>7937</v>
      </c>
      <c r="J21" s="10">
        <f t="shared" si="3"/>
        <v>4108375358517.1904</v>
      </c>
      <c r="K21" s="11">
        <f t="shared" si="4"/>
        <v>8.2999999999999741E-3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513362295.48210734</v>
      </c>
      <c r="D22" s="11">
        <v>7.9000000000000008E-3</v>
      </c>
      <c r="E22" s="10">
        <f t="shared" si="2"/>
        <v>4023774.3172027469</v>
      </c>
      <c r="F22" s="3"/>
      <c r="G22" s="28"/>
      <c r="H22" s="10"/>
      <c r="I22" s="10">
        <f t="shared" si="5"/>
        <v>7937</v>
      </c>
      <c r="J22" s="10">
        <f t="shared" si="3"/>
        <v>4074556539241.4858</v>
      </c>
      <c r="K22" s="11">
        <f t="shared" si="4"/>
        <v>7.9000000000000181E-3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509338521.16490459</v>
      </c>
      <c r="D23" s="11">
        <v>7.7000000000000011E-3</v>
      </c>
      <c r="E23" s="10">
        <f t="shared" si="2"/>
        <v>3891938.6850945354</v>
      </c>
      <c r="F23" s="3"/>
      <c r="G23" s="28"/>
      <c r="H23" s="10"/>
      <c r="I23" s="10">
        <f t="shared" si="5"/>
        <v>7937</v>
      </c>
      <c r="J23" s="10">
        <f t="shared" si="3"/>
        <v>4042619842485.8477</v>
      </c>
      <c r="K23" s="11">
        <f t="shared" si="4"/>
        <v>7.7000000000000401E-3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505446582.47981006</v>
      </c>
      <c r="D24" s="11">
        <v>7.8000000000000005E-3</v>
      </c>
      <c r="E24" s="10">
        <f t="shared" si="2"/>
        <v>3911969.9775179029</v>
      </c>
      <c r="F24" s="3"/>
      <c r="G24" s="28"/>
      <c r="H24" s="10"/>
      <c r="I24" s="10">
        <f t="shared" si="5"/>
        <v>7937</v>
      </c>
      <c r="J24" s="10">
        <f t="shared" si="3"/>
        <v>4011729525142.2524</v>
      </c>
      <c r="K24" s="11">
        <f t="shared" si="4"/>
        <v>7.8000000000000291E-3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501534612.50229216</v>
      </c>
      <c r="D25" s="11">
        <v>8.0999999999999996E-3</v>
      </c>
      <c r="E25" s="10">
        <f t="shared" si="2"/>
        <v>4029789.0698031783</v>
      </c>
      <c r="F25" s="3"/>
      <c r="G25" s="28"/>
      <c r="H25" s="10"/>
      <c r="I25" s="10">
        <f t="shared" si="5"/>
        <v>7937</v>
      </c>
      <c r="J25" s="10">
        <f t="shared" si="3"/>
        <v>3980680219430.6929</v>
      </c>
      <c r="K25" s="11">
        <f t="shared" si="4"/>
        <v>8.0999999999999961E-3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497504823.43248898</v>
      </c>
      <c r="D26" s="11">
        <v>8.5000000000000006E-3</v>
      </c>
      <c r="E26" s="10">
        <f t="shared" si="2"/>
        <v>4193149.2307150364</v>
      </c>
      <c r="F26" s="3"/>
      <c r="G26" s="28"/>
      <c r="H26" s="10"/>
      <c r="I26" s="10">
        <f t="shared" si="5"/>
        <v>7937</v>
      </c>
      <c r="J26" s="10">
        <f t="shared" si="3"/>
        <v>3948695783583.665</v>
      </c>
      <c r="K26" s="11">
        <f t="shared" si="4"/>
        <v>8.499999999999952E-3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493311674.20177394</v>
      </c>
      <c r="D27" s="11">
        <v>8.9000000000000017E-3</v>
      </c>
      <c r="E27" s="10">
        <f t="shared" si="2"/>
        <v>4351743.3842756748</v>
      </c>
      <c r="F27" s="3"/>
      <c r="G27" s="28"/>
      <c r="H27" s="10"/>
      <c r="I27" s="10">
        <f t="shared" si="5"/>
        <v>7937</v>
      </c>
      <c r="J27" s="10">
        <f t="shared" si="3"/>
        <v>3915414758139.48</v>
      </c>
      <c r="K27" s="11">
        <f t="shared" si="4"/>
        <v>8.899999999999908E-3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488959930.81749827</v>
      </c>
      <c r="D28" s="11">
        <v>9.2999999999999992E-3</v>
      </c>
      <c r="E28" s="10">
        <f t="shared" si="2"/>
        <v>4505426.8865578175</v>
      </c>
      <c r="F28" s="3"/>
      <c r="G28" s="28"/>
      <c r="H28" s="10"/>
      <c r="I28" s="10">
        <f t="shared" si="5"/>
        <v>7937</v>
      </c>
      <c r="J28" s="10">
        <f t="shared" si="3"/>
        <v>3880874970898.4839</v>
      </c>
      <c r="K28" s="11">
        <f t="shared" si="4"/>
        <v>9.300000000000086E-3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484454503.93094045</v>
      </c>
      <c r="D29" s="11">
        <v>9.7000000000000003E-3</v>
      </c>
      <c r="E29" s="10">
        <f t="shared" si="2"/>
        <v>4654064.2647619247</v>
      </c>
      <c r="F29" s="3"/>
      <c r="G29" s="28"/>
      <c r="H29" s="10"/>
      <c r="I29" s="10">
        <f t="shared" si="5"/>
        <v>7937</v>
      </c>
      <c r="J29" s="10">
        <f t="shared" si="3"/>
        <v>3845115397699.8745</v>
      </c>
      <c r="K29" s="11">
        <f t="shared" si="4"/>
        <v>9.7000000000000419E-3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479800439.66617852</v>
      </c>
      <c r="D30" s="12">
        <v>1.0200000000000001E-2</v>
      </c>
      <c r="E30" s="10">
        <f t="shared" si="2"/>
        <v>4844550.0738418102</v>
      </c>
      <c r="F30" s="3"/>
      <c r="G30" s="28"/>
      <c r="H30" s="10"/>
      <c r="I30" s="10">
        <f t="shared" si="5"/>
        <v>7937</v>
      </c>
      <c r="J30" s="10">
        <f t="shared" si="3"/>
        <v>3808176089630.459</v>
      </c>
      <c r="K30" s="11">
        <f t="shared" si="4"/>
        <v>1.0199999999999987E-2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474955889.59233671</v>
      </c>
      <c r="D31" s="13">
        <v>1.0700000000000001E-2</v>
      </c>
      <c r="E31" s="10">
        <f t="shared" si="2"/>
        <v>5028226.0004333258</v>
      </c>
      <c r="F31" s="3"/>
      <c r="G31" s="28"/>
      <c r="H31" s="10"/>
      <c r="I31" s="10">
        <f t="shared" si="5"/>
        <v>7937</v>
      </c>
      <c r="J31" s="10">
        <f t="shared" si="3"/>
        <v>3769724895694.3765</v>
      </c>
      <c r="K31" s="11">
        <f t="shared" si="4"/>
        <v>1.0699999999999932E-2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469927663.59190339</v>
      </c>
      <c r="D32" s="12">
        <v>1.1300000000000001E-2</v>
      </c>
      <c r="E32" s="10">
        <f t="shared" si="2"/>
        <v>5250848.0160076618</v>
      </c>
      <c r="F32" s="3"/>
      <c r="G32" s="28"/>
      <c r="H32" s="10"/>
      <c r="I32" s="10">
        <f t="shared" si="5"/>
        <v>7937</v>
      </c>
      <c r="J32" s="10">
        <f t="shared" si="3"/>
        <v>3729815865928.937</v>
      </c>
      <c r="K32" s="11">
        <f t="shared" si="4"/>
        <v>1.1300000000000088E-2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464676815.57589573</v>
      </c>
      <c r="D33" s="13">
        <v>1.1800000000000001E-2</v>
      </c>
      <c r="E33" s="10">
        <f t="shared" si="2"/>
        <v>5419239.3988887072</v>
      </c>
      <c r="F33" s="3"/>
      <c r="G33" s="28"/>
      <c r="H33" s="10"/>
      <c r="I33" s="10">
        <f t="shared" si="5"/>
        <v>7937</v>
      </c>
      <c r="J33" s="10">
        <f t="shared" si="3"/>
        <v>3688139885225.8843</v>
      </c>
      <c r="K33" s="11">
        <f t="shared" si="4"/>
        <v>1.1800000000000033E-2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459257576.17700702</v>
      </c>
      <c r="D34" s="12">
        <v>1.2300000000000002E-2</v>
      </c>
      <c r="E34" s="10">
        <f t="shared" si="2"/>
        <v>5580231.3414770365</v>
      </c>
      <c r="F34" s="3"/>
      <c r="G34" s="28"/>
      <c r="H34" s="10"/>
      <c r="I34" s="10">
        <f t="shared" si="5"/>
        <v>7937</v>
      </c>
      <c r="J34" s="10">
        <f t="shared" ref="J34:J65" si="6">IF(I34="","",I34*C34)</f>
        <v>3645127382116.9048</v>
      </c>
      <c r="K34" s="11">
        <f t="shared" ref="K34:K65" si="7">IFERROR(J34/J35-1,"")</f>
        <v>1.2299999999999978E-2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453677344.83552998</v>
      </c>
      <c r="D35" s="11">
        <v>1.2700000000000003E-2</v>
      </c>
      <c r="E35" s="10">
        <f t="shared" si="2"/>
        <v>5689446.3112581968</v>
      </c>
      <c r="F35" s="3"/>
      <c r="G35" s="28"/>
      <c r="H35" s="10"/>
      <c r="I35" s="10">
        <f t="shared" ref="I35:I66" si="8">IF(H35&lt;&gt;"",H35,I34/(1+IF(G34="",0,G34)/100))</f>
        <v>7937</v>
      </c>
      <c r="J35" s="10">
        <f t="shared" si="6"/>
        <v>3600837085959.6016</v>
      </c>
      <c r="K35" s="11">
        <f t="shared" si="7"/>
        <v>1.2699999999999934E-2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447987898.52427179</v>
      </c>
      <c r="D36" s="11">
        <v>1.3100000000000001E-2</v>
      </c>
      <c r="E36" s="10">
        <f t="shared" si="2"/>
        <v>5792756.3623216152</v>
      </c>
      <c r="F36" s="3"/>
      <c r="G36" s="28"/>
      <c r="H36" s="10"/>
      <c r="I36" s="10">
        <f t="shared" si="8"/>
        <v>7937</v>
      </c>
      <c r="J36" s="10">
        <f t="shared" si="6"/>
        <v>3555679950587.145</v>
      </c>
      <c r="K36" s="11">
        <f t="shared" si="7"/>
        <v>1.3100000000000112E-2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442195142.16195017</v>
      </c>
      <c r="D37" s="11">
        <v>1.3600000000000001E-2</v>
      </c>
      <c r="E37" s="10">
        <f t="shared" si="2"/>
        <v>5933162.9177215099</v>
      </c>
      <c r="F37" s="3"/>
      <c r="G37" s="28"/>
      <c r="H37" s="10"/>
      <c r="I37" s="10">
        <f t="shared" si="8"/>
        <v>7937</v>
      </c>
      <c r="J37" s="10">
        <f t="shared" si="6"/>
        <v>3509702843339.3984</v>
      </c>
      <c r="K37" s="11">
        <f t="shared" si="7"/>
        <v>1.3600000000000056E-2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436261979.24422866</v>
      </c>
      <c r="D38" s="11">
        <v>1.4100000000000001E-2</v>
      </c>
      <c r="E38" s="10">
        <f t="shared" si="2"/>
        <v>6065766.5983074903</v>
      </c>
      <c r="F38" s="3"/>
      <c r="G38" s="28"/>
      <c r="H38" s="10"/>
      <c r="I38" s="10">
        <f t="shared" si="8"/>
        <v>7937</v>
      </c>
      <c r="J38" s="10">
        <f t="shared" si="6"/>
        <v>3462611329261.4429</v>
      </c>
      <c r="K38" s="11">
        <f t="shared" si="7"/>
        <v>1.4100000000000001E-2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430196212.64592117</v>
      </c>
      <c r="D39" s="11">
        <v>1.4600000000000002E-2</v>
      </c>
      <c r="E39" s="10">
        <f t="shared" si="2"/>
        <v>6190483.6434362531</v>
      </c>
      <c r="F39" s="3"/>
      <c r="G39" s="28"/>
      <c r="H39" s="10"/>
      <c r="I39" s="10">
        <f t="shared" si="8"/>
        <v>7937</v>
      </c>
      <c r="J39" s="10">
        <f t="shared" si="6"/>
        <v>3414467339770.6763</v>
      </c>
      <c r="K39" s="11">
        <f t="shared" si="7"/>
        <v>1.4599999999999946E-2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424005729.00248492</v>
      </c>
      <c r="D40" s="11">
        <v>1.5300000000000001E-2</v>
      </c>
      <c r="E40" s="10">
        <f t="shared" si="2"/>
        <v>6389527.8772166371</v>
      </c>
      <c r="F40" s="3"/>
      <c r="G40" s="28"/>
      <c r="H40" s="10"/>
      <c r="I40" s="10">
        <f t="shared" si="8"/>
        <v>7937</v>
      </c>
      <c r="J40" s="10">
        <f t="shared" si="6"/>
        <v>3365333471092.7227</v>
      </c>
      <c r="K40" s="11">
        <f t="shared" si="7"/>
        <v>1.5300000000000091E-2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417616201.12526828</v>
      </c>
      <c r="D41" s="11">
        <v>1.5900000000000001E-2</v>
      </c>
      <c r="E41" s="10">
        <f t="shared" si="2"/>
        <v>6536172.4558438659</v>
      </c>
      <c r="F41" s="3"/>
      <c r="G41" s="28"/>
      <c r="H41" s="10"/>
      <c r="I41" s="10">
        <f t="shared" si="8"/>
        <v>7937</v>
      </c>
      <c r="J41" s="10">
        <f t="shared" si="6"/>
        <v>3314619788331.2544</v>
      </c>
      <c r="K41" s="11">
        <f t="shared" si="7"/>
        <v>1.5900000000000025E-2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411080028.66942441</v>
      </c>
      <c r="D42" s="11">
        <v>1.66E-2</v>
      </c>
      <c r="E42" s="10">
        <f t="shared" si="2"/>
        <v>6712500.9599767923</v>
      </c>
      <c r="F42" s="3"/>
      <c r="G42" s="28"/>
      <c r="H42" s="10"/>
      <c r="I42" s="10">
        <f t="shared" si="8"/>
        <v>7937</v>
      </c>
      <c r="J42" s="10">
        <f t="shared" si="6"/>
        <v>3262742187549.2217</v>
      </c>
      <c r="K42" s="11">
        <f t="shared" si="7"/>
        <v>1.6599999999999948E-2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404367527.70944762</v>
      </c>
      <c r="D43" s="11">
        <v>1.72E-2</v>
      </c>
      <c r="E43" s="10">
        <f t="shared" si="2"/>
        <v>6837516.197996974</v>
      </c>
      <c r="F43" s="3"/>
      <c r="G43" s="28"/>
      <c r="H43" s="10"/>
      <c r="I43" s="10">
        <f t="shared" si="8"/>
        <v>7937</v>
      </c>
      <c r="J43" s="10">
        <f t="shared" si="6"/>
        <v>3209465067429.8857</v>
      </c>
      <c r="K43" s="11">
        <f t="shared" si="7"/>
        <v>1.7200000000000104E-2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397530011.51145065</v>
      </c>
      <c r="D44" s="11">
        <v>1.7800000000000003E-2</v>
      </c>
      <c r="E44" s="10">
        <f t="shared" si="2"/>
        <v>6952283.5575789213</v>
      </c>
      <c r="F44" s="3"/>
      <c r="G44" s="28"/>
      <c r="H44" s="10"/>
      <c r="I44" s="10">
        <f t="shared" si="8"/>
        <v>7937</v>
      </c>
      <c r="J44" s="10">
        <f t="shared" si="6"/>
        <v>3155195701366.3838</v>
      </c>
      <c r="K44" s="11">
        <f t="shared" si="7"/>
        <v>1.7800000000000038E-2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390577727.95387173</v>
      </c>
      <c r="D45" s="11">
        <v>1.83E-2</v>
      </c>
      <c r="E45" s="10">
        <f t="shared" si="2"/>
        <v>7019122.4801687598</v>
      </c>
      <c r="F45" s="3"/>
      <c r="G45" s="28"/>
      <c r="H45" s="10"/>
      <c r="I45" s="10">
        <f t="shared" si="8"/>
        <v>7937</v>
      </c>
      <c r="J45" s="10">
        <f t="shared" si="6"/>
        <v>3100015426769.8799</v>
      </c>
      <c r="K45" s="11">
        <f t="shared" si="7"/>
        <v>1.8299999999999983E-2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383558605.47370297</v>
      </c>
      <c r="D46" s="11">
        <v>1.8800000000000001E-2</v>
      </c>
      <c r="E46" s="10">
        <f t="shared" si="2"/>
        <v>7077838.4205983281</v>
      </c>
      <c r="F46" s="3"/>
      <c r="G46" s="28"/>
      <c r="H46" s="10"/>
      <c r="I46" s="10">
        <f t="shared" si="8"/>
        <v>7937</v>
      </c>
      <c r="J46" s="10">
        <f t="shared" si="6"/>
        <v>3044304651644.7803</v>
      </c>
      <c r="K46" s="11">
        <f t="shared" si="7"/>
        <v>1.8799999999999706E-2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376480767.05310464</v>
      </c>
      <c r="D47" s="11">
        <v>1.9300000000000001E-2</v>
      </c>
      <c r="E47" s="10">
        <f t="shared" si="2"/>
        <v>7128498.7777150273</v>
      </c>
      <c r="F47" s="3"/>
      <c r="G47" s="28"/>
      <c r="H47" s="10"/>
      <c r="I47" s="10">
        <f t="shared" si="8"/>
        <v>7937</v>
      </c>
      <c r="J47" s="10">
        <f t="shared" si="6"/>
        <v>2988127848100.4917</v>
      </c>
      <c r="K47" s="11">
        <f t="shared" si="7"/>
        <v>1.9300000000000095E-2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369352268.27538961</v>
      </c>
      <c r="D48" s="11">
        <v>1.9800000000000002E-2</v>
      </c>
      <c r="E48" s="10">
        <f t="shared" si="2"/>
        <v>7171185.4401379824</v>
      </c>
      <c r="F48" s="3"/>
      <c r="G48" s="28"/>
      <c r="H48" s="10"/>
      <c r="I48" s="10">
        <f t="shared" si="8"/>
        <v>7937</v>
      </c>
      <c r="J48" s="10">
        <f t="shared" si="6"/>
        <v>2931548953301.7676</v>
      </c>
      <c r="K48" s="11">
        <f t="shared" si="7"/>
        <v>1.980000000000004E-2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362181082.83525163</v>
      </c>
      <c r="D49" s="11">
        <v>2.06E-2</v>
      </c>
      <c r="E49" s="10">
        <f t="shared" si="2"/>
        <v>7310337.3568549752</v>
      </c>
      <c r="F49" s="3"/>
      <c r="G49" s="28"/>
      <c r="H49" s="10"/>
      <c r="I49" s="10">
        <f t="shared" si="8"/>
        <v>7937</v>
      </c>
      <c r="J49" s="10">
        <f t="shared" si="6"/>
        <v>2874631254463.3921</v>
      </c>
      <c r="K49" s="11">
        <f t="shared" si="7"/>
        <v>2.0599999999999952E-2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354870745.47839665</v>
      </c>
      <c r="D50" s="11">
        <v>2.1400000000000002E-2</v>
      </c>
      <c r="E50" s="10">
        <f t="shared" si="2"/>
        <v>7435122.3352630734</v>
      </c>
      <c r="F50" s="3"/>
      <c r="G50" s="28"/>
      <c r="H50" s="10"/>
      <c r="I50" s="10">
        <f t="shared" si="8"/>
        <v>7937</v>
      </c>
      <c r="J50" s="10">
        <f t="shared" si="6"/>
        <v>2816609106862.0342</v>
      </c>
      <c r="K50" s="11">
        <f t="shared" si="7"/>
        <v>2.1400000000000086E-2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347435623.14313358</v>
      </c>
      <c r="D51" s="11">
        <v>2.23E-2</v>
      </c>
      <c r="E51" s="10">
        <f t="shared" si="2"/>
        <v>7578806.9999920726</v>
      </c>
      <c r="F51" s="3"/>
      <c r="G51" s="28"/>
      <c r="H51" s="10"/>
      <c r="I51" s="10">
        <f t="shared" si="8"/>
        <v>7937</v>
      </c>
      <c r="J51" s="10">
        <f t="shared" si="6"/>
        <v>2757596540887.0513</v>
      </c>
      <c r="K51" s="11">
        <f t="shared" si="7"/>
        <v>2.2299999999999986E-2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339856816.14314151</v>
      </c>
      <c r="D52" s="11">
        <v>2.3200000000000002E-2</v>
      </c>
      <c r="E52" s="10">
        <f t="shared" si="2"/>
        <v>7705901.2260759473</v>
      </c>
      <c r="F52" s="3"/>
      <c r="G52" s="28"/>
      <c r="H52" s="10"/>
      <c r="I52" s="10">
        <f t="shared" si="8"/>
        <v>7937</v>
      </c>
      <c r="J52" s="10">
        <f t="shared" si="6"/>
        <v>2697443549728.1143</v>
      </c>
      <c r="K52" s="11">
        <f t="shared" si="7"/>
        <v>2.3200000000000109E-2</v>
      </c>
      <c r="L52" t="s">
        <v>108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332150914.91706556</v>
      </c>
      <c r="D53" s="11">
        <v>2.3900000000000001E-2</v>
      </c>
      <c r="E53" s="10">
        <f t="shared" si="2"/>
        <v>7753107.5949974656</v>
      </c>
      <c r="F53" s="3"/>
      <c r="G53" s="28"/>
      <c r="H53" s="10"/>
      <c r="I53" s="10">
        <f t="shared" si="8"/>
        <v>7937</v>
      </c>
      <c r="J53" s="10">
        <f t="shared" si="6"/>
        <v>2636281811696.7495</v>
      </c>
      <c r="K53" s="11">
        <f t="shared" si="7"/>
        <v>2.3900000000000254E-2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324397807.3220681</v>
      </c>
      <c r="D54" s="11">
        <v>2.4400000000000002E-2</v>
      </c>
      <c r="E54" s="10">
        <f t="shared" si="2"/>
        <v>7726773.2318024635</v>
      </c>
      <c r="F54" s="3"/>
      <c r="G54" s="28"/>
      <c r="H54" s="10"/>
      <c r="I54" s="10">
        <f t="shared" si="8"/>
        <v>7937</v>
      </c>
      <c r="J54" s="10">
        <f t="shared" si="6"/>
        <v>2574745396715.2544</v>
      </c>
      <c r="K54" s="11">
        <f t="shared" si="7"/>
        <v>2.4399999999999755E-2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316671034.09026563</v>
      </c>
      <c r="D55" s="11">
        <v>2.4700000000000003E-2</v>
      </c>
      <c r="E55" s="10">
        <f t="shared" si="2"/>
        <v>7633233.6703713536</v>
      </c>
      <c r="F55" s="3"/>
      <c r="G55" s="28"/>
      <c r="H55" s="10"/>
      <c r="I55" s="10">
        <f t="shared" si="8"/>
        <v>7937</v>
      </c>
      <c r="J55" s="10">
        <f t="shared" si="6"/>
        <v>2513417997574.4385</v>
      </c>
      <c r="K55" s="11">
        <f t="shared" si="7"/>
        <v>2.4699999999999944E-2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309037800.41989428</v>
      </c>
      <c r="D56" s="11">
        <v>2.5000000000000001E-2</v>
      </c>
      <c r="E56" s="10">
        <f t="shared" si="2"/>
        <v>7537507.327314496</v>
      </c>
      <c r="F56" s="3"/>
      <c r="G56" s="28"/>
      <c r="H56" s="10"/>
      <c r="I56" s="10">
        <f t="shared" si="8"/>
        <v>7937</v>
      </c>
      <c r="J56" s="10">
        <f t="shared" si="6"/>
        <v>2452833021932.7007</v>
      </c>
      <c r="K56" s="11">
        <f t="shared" si="7"/>
        <v>2.4999999999999911E-2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301500293.09257978</v>
      </c>
      <c r="D57" s="11">
        <v>2.52E-2</v>
      </c>
      <c r="E57" s="10">
        <f t="shared" si="2"/>
        <v>7411048.9523341656</v>
      </c>
      <c r="F57" s="3"/>
      <c r="G57" s="28"/>
      <c r="H57" s="10"/>
      <c r="I57" s="10">
        <f t="shared" si="8"/>
        <v>7937</v>
      </c>
      <c r="J57" s="10">
        <f t="shared" si="6"/>
        <v>2393007826275.8057</v>
      </c>
      <c r="K57" s="11">
        <f t="shared" si="7"/>
        <v>2.5199999999999889E-2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294089244.14024562</v>
      </c>
      <c r="D58" s="11">
        <v>2.5399999999999999E-2</v>
      </c>
      <c r="E58" s="10">
        <f t="shared" si="2"/>
        <v>7284832.0666688681</v>
      </c>
      <c r="F58" s="3"/>
      <c r="G58" s="28"/>
      <c r="H58" s="10"/>
      <c r="I58" s="10">
        <f t="shared" si="8"/>
        <v>7937</v>
      </c>
      <c r="J58" s="10">
        <f t="shared" si="6"/>
        <v>2334186330741.1294</v>
      </c>
      <c r="K58" s="11">
        <f t="shared" si="7"/>
        <v>2.5400000000000089E-2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286804412.07357675</v>
      </c>
      <c r="D59" s="11">
        <v>2.5600000000000005E-2</v>
      </c>
      <c r="E59" s="10">
        <f t="shared" si="2"/>
        <v>7158924.4823358059</v>
      </c>
      <c r="F59" s="3"/>
      <c r="G59" s="28"/>
      <c r="H59" s="10"/>
      <c r="I59" s="10">
        <f t="shared" si="8"/>
        <v>7937</v>
      </c>
      <c r="J59" s="10">
        <f t="shared" si="6"/>
        <v>2276366618627.9785</v>
      </c>
      <c r="K59" s="11">
        <f t="shared" si="7"/>
        <v>2.5600000000000067E-2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279645487.59124094</v>
      </c>
      <c r="D60" s="11">
        <v>2.5600000000000005E-2</v>
      </c>
      <c r="E60" s="10">
        <f t="shared" si="2"/>
        <v>6980230.579500556</v>
      </c>
      <c r="F60" s="3"/>
      <c r="G60" s="28"/>
      <c r="H60" s="10"/>
      <c r="I60" s="10">
        <f t="shared" si="8"/>
        <v>7937</v>
      </c>
      <c r="J60" s="10">
        <f t="shared" si="6"/>
        <v>2219546235011.6792</v>
      </c>
      <c r="K60" s="11">
        <f t="shared" si="7"/>
        <v>2.5600000000000067E-2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272665257.01174039</v>
      </c>
      <c r="D61" s="11">
        <v>2.5600000000000005E-2</v>
      </c>
      <c r="E61" s="10">
        <f t="shared" si="2"/>
        <v>6805997.0548952818</v>
      </c>
      <c r="F61" s="3"/>
      <c r="G61" s="28"/>
      <c r="H61" s="10"/>
      <c r="I61" s="10">
        <f t="shared" si="8"/>
        <v>7937</v>
      </c>
      <c r="J61" s="10">
        <f t="shared" si="6"/>
        <v>2164144144902.1833</v>
      </c>
      <c r="K61" s="11">
        <f t="shared" si="7"/>
        <v>2.5600000000000289E-2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265859259.9568451</v>
      </c>
      <c r="D62" s="11">
        <v>2.5600000000000005E-2</v>
      </c>
      <c r="E62" s="10">
        <f t="shared" si="2"/>
        <v>6636112.5730257928</v>
      </c>
      <c r="F62" s="3"/>
      <c r="G62" s="28"/>
      <c r="H62" s="10"/>
      <c r="I62" s="10">
        <f t="shared" si="8"/>
        <v>7937</v>
      </c>
      <c r="J62" s="10">
        <f t="shared" si="6"/>
        <v>2110124946277.4795</v>
      </c>
      <c r="K62" s="11">
        <f t="shared" si="7"/>
        <v>2.5600000000000067E-2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259223147.38381931</v>
      </c>
      <c r="D63" s="11">
        <v>2.5600000000000005E-2</v>
      </c>
      <c r="E63" s="10">
        <f t="shared" si="2"/>
        <v>6470468.5774432421</v>
      </c>
      <c r="F63" s="3"/>
      <c r="G63" s="28"/>
      <c r="H63" s="10"/>
      <c r="I63" s="10">
        <f t="shared" si="8"/>
        <v>7937</v>
      </c>
      <c r="J63" s="10">
        <f t="shared" si="6"/>
        <v>2057454120785.3738</v>
      </c>
      <c r="K63" s="11">
        <f t="shared" si="7"/>
        <v>2.5600000000000067E-2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252752678.80637607</v>
      </c>
      <c r="D64" s="11">
        <v>2.5500000000000002E-2</v>
      </c>
      <c r="E64" s="10">
        <f t="shared" si="2"/>
        <v>6284927.65437603</v>
      </c>
      <c r="F64" s="3"/>
      <c r="G64" s="28"/>
      <c r="H64" s="10"/>
      <c r="I64" s="10">
        <f t="shared" si="8"/>
        <v>7937</v>
      </c>
      <c r="J64" s="10">
        <f t="shared" si="6"/>
        <v>2006098011686.2068</v>
      </c>
      <c r="K64" s="11">
        <f t="shared" si="7"/>
        <v>2.5500000000000078E-2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246467751.15200004</v>
      </c>
      <c r="D65" s="11">
        <v>2.5500000000000002E-2</v>
      </c>
      <c r="E65" s="10">
        <f t="shared" si="2"/>
        <v>6128647.15200001</v>
      </c>
      <c r="F65" s="3"/>
      <c r="G65" s="28"/>
      <c r="H65" s="10"/>
      <c r="I65" s="10">
        <f t="shared" si="8"/>
        <v>7937</v>
      </c>
      <c r="J65" s="10">
        <f t="shared" si="6"/>
        <v>1956214540893.4243</v>
      </c>
      <c r="K65" s="11">
        <f t="shared" si="7"/>
        <v>2.5500000000000078E-2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240339104.00000003</v>
      </c>
      <c r="D66" s="11">
        <v>2.5600000000000005E-2</v>
      </c>
      <c r="E66" s="10">
        <f t="shared" si="2"/>
        <v>5999104.0000000298</v>
      </c>
      <c r="F66" s="3"/>
      <c r="G66" s="28"/>
      <c r="H66" s="10"/>
      <c r="I66" s="10">
        <f t="shared" si="8"/>
        <v>7937</v>
      </c>
      <c r="J66" s="10">
        <f t="shared" ref="J66:J67" si="9">IF(I66="","",I66*C66)</f>
        <v>1907571468448.0002</v>
      </c>
      <c r="K66" s="11">
        <f t="shared" ref="K66" si="10">IFERROR(J66/J67-1,"")</f>
        <v>2.5600000000000067E-2</v>
      </c>
    </row>
    <row r="67" spans="1:11" ht="22.5" customHeight="1">
      <c r="A67" s="3">
        <f t="shared" si="0"/>
        <v>1950</v>
      </c>
      <c r="B67" s="3">
        <v>1700</v>
      </c>
      <c r="C67" s="10">
        <v>234340000</v>
      </c>
      <c r="D67" s="11">
        <v>2.5600000000000005E-2</v>
      </c>
      <c r="E67" s="3" t="s">
        <v>72</v>
      </c>
      <c r="F67" s="10"/>
      <c r="G67" s="28"/>
      <c r="H67" s="10"/>
      <c r="I67" s="10">
        <f t="shared" ref="I67" si="11">IF(H67&lt;&gt;"",H67,I66/(1+IF(G66="",0,G66)/100))</f>
        <v>7937</v>
      </c>
      <c r="J67" s="10">
        <f t="shared" si="9"/>
        <v>1859956580000</v>
      </c>
      <c r="K67" s="11"/>
    </row>
  </sheetData>
  <dataValidations count="1">
    <dataValidation type="custom" allowBlank="1" showDropDown="1" sqref="D2:D67" xr:uid="{00000000-0002-0000-0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62285576.664969265</v>
      </c>
      <c r="D2" s="11">
        <v>3.0999999999999999E-3</v>
      </c>
      <c r="E2" s="10">
        <f t="shared" ref="E2:E66" si="2">SUM(C2-C3)</f>
        <v>192488.57308484614</v>
      </c>
      <c r="F2" s="15">
        <v>62265521</v>
      </c>
      <c r="G2" s="28"/>
      <c r="H2" s="10"/>
      <c r="I2" s="10">
        <f>IF(H2&lt;&gt;"",H2,12738)</f>
        <v>12738</v>
      </c>
      <c r="J2" s="10">
        <f t="shared" ref="J2:J33" si="3">IF(I2="","",I2*C2)</f>
        <v>793393675558.37854</v>
      </c>
      <c r="K2" s="11">
        <f t="shared" ref="K2:K33" si="4">IFERROR(J2/J3-1,"")</f>
        <v>3.1000000000001027E-3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62093088.091884419</v>
      </c>
      <c r="D3" s="11">
        <v>3.5999999999999999E-3</v>
      </c>
      <c r="E3" s="10">
        <f t="shared" si="2"/>
        <v>222733.27733238786</v>
      </c>
      <c r="F3" s="3"/>
      <c r="G3" s="28"/>
      <c r="H3" s="10"/>
      <c r="I3" s="10">
        <f t="shared" ref="I3:I34" si="5">IF(H3&lt;&gt;"",H3,I2/(1+IF(G2="",0,G2)/100))</f>
        <v>12738</v>
      </c>
      <c r="J3" s="10">
        <f t="shared" si="3"/>
        <v>790941756114.42371</v>
      </c>
      <c r="K3" s="11">
        <f t="shared" si="4"/>
        <v>3.6000000000000476E-3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61870354.814552031</v>
      </c>
      <c r="D4" s="11">
        <v>4.1000000000000003E-3</v>
      </c>
      <c r="E4" s="10">
        <f t="shared" si="2"/>
        <v>252632.66083025932</v>
      </c>
      <c r="F4" s="3"/>
      <c r="G4" s="28"/>
      <c r="H4" s="10"/>
      <c r="I4" s="10">
        <f t="shared" si="5"/>
        <v>12738</v>
      </c>
      <c r="J4" s="10">
        <f t="shared" si="3"/>
        <v>788104579627.76379</v>
      </c>
      <c r="K4" s="11">
        <f t="shared" si="4"/>
        <v>4.0999999999999925E-3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61617722.153721772</v>
      </c>
      <c r="D5" s="11">
        <v>4.3E-3</v>
      </c>
      <c r="E5" s="10">
        <f t="shared" si="2"/>
        <v>263821.77164293826</v>
      </c>
      <c r="F5" s="3"/>
      <c r="G5" s="28"/>
      <c r="H5" s="10"/>
      <c r="I5" s="10">
        <f t="shared" si="5"/>
        <v>12738</v>
      </c>
      <c r="J5" s="10">
        <f t="shared" si="3"/>
        <v>784886544794.10791</v>
      </c>
      <c r="K5" s="11">
        <f t="shared" si="4"/>
        <v>4.2999999999999705E-3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61353900.382078834</v>
      </c>
      <c r="D6" s="11">
        <v>4.3E-3</v>
      </c>
      <c r="E6" s="10">
        <f t="shared" si="2"/>
        <v>262692.19520356506</v>
      </c>
      <c r="F6" s="3"/>
      <c r="G6" s="28"/>
      <c r="H6" s="10"/>
      <c r="I6" s="10">
        <f t="shared" si="5"/>
        <v>12738</v>
      </c>
      <c r="J6" s="10">
        <f t="shared" si="3"/>
        <v>781525983066.92017</v>
      </c>
      <c r="K6" s="11">
        <f t="shared" si="4"/>
        <v>4.2999999999999705E-3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61091208.186875269</v>
      </c>
      <c r="D7" s="11">
        <v>4.1999999999999997E-3</v>
      </c>
      <c r="E7" s="10">
        <f t="shared" si="2"/>
        <v>255509.93266767263</v>
      </c>
      <c r="F7" s="3"/>
      <c r="G7" s="28"/>
      <c r="H7" s="10"/>
      <c r="I7" s="10">
        <f t="shared" si="5"/>
        <v>12738</v>
      </c>
      <c r="J7" s="10">
        <f t="shared" si="3"/>
        <v>778179809884.41711</v>
      </c>
      <c r="K7" s="11">
        <f t="shared" si="4"/>
        <v>4.1999999999999815E-3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60835698.254207596</v>
      </c>
      <c r="D8" s="11">
        <v>4.1999999999999997E-3</v>
      </c>
      <c r="E8" s="10">
        <f t="shared" si="2"/>
        <v>254441.27929463238</v>
      </c>
      <c r="F8" s="3"/>
      <c r="G8" s="28"/>
      <c r="H8" s="10"/>
      <c r="I8" s="10">
        <f t="shared" si="5"/>
        <v>12738</v>
      </c>
      <c r="J8" s="10">
        <f t="shared" si="3"/>
        <v>774925124362.09631</v>
      </c>
      <c r="K8" s="11">
        <f t="shared" si="4"/>
        <v>4.1999999999999815E-3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60581256.974912964</v>
      </c>
      <c r="D9" s="11">
        <v>4.4000000000000003E-3</v>
      </c>
      <c r="E9" s="10">
        <f t="shared" si="2"/>
        <v>265389.81550140679</v>
      </c>
      <c r="F9" s="3"/>
      <c r="G9" s="28"/>
      <c r="H9" s="10"/>
      <c r="I9" s="10">
        <f t="shared" si="5"/>
        <v>12738</v>
      </c>
      <c r="J9" s="10">
        <f t="shared" si="3"/>
        <v>771684051346.44128</v>
      </c>
      <c r="K9" s="11">
        <f t="shared" si="4"/>
        <v>4.3999999999997375E-3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60315867.159411557</v>
      </c>
      <c r="D10" s="11">
        <v>4.7000000000000002E-3</v>
      </c>
      <c r="E10" s="10">
        <f t="shared" si="2"/>
        <v>282158.4310234189</v>
      </c>
      <c r="F10" s="3"/>
      <c r="G10" s="28"/>
      <c r="H10" s="10"/>
      <c r="I10" s="10">
        <f t="shared" si="5"/>
        <v>12738</v>
      </c>
      <c r="J10" s="10">
        <f t="shared" si="3"/>
        <v>768303515876.58447</v>
      </c>
      <c r="K10" s="11">
        <f t="shared" si="4"/>
        <v>4.6999999999999265E-3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60033708.728388138</v>
      </c>
      <c r="D11" s="11">
        <v>5.1999999999999998E-3</v>
      </c>
      <c r="E11" s="10">
        <f t="shared" si="2"/>
        <v>310560.37145604938</v>
      </c>
      <c r="F11" s="3"/>
      <c r="G11" s="28"/>
      <c r="H11" s="10"/>
      <c r="I11" s="10">
        <f t="shared" si="5"/>
        <v>12738</v>
      </c>
      <c r="J11" s="10">
        <f t="shared" si="3"/>
        <v>764709381782.20813</v>
      </c>
      <c r="K11" s="11">
        <f t="shared" si="4"/>
        <v>5.2000000000000934E-3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59723148.356932089</v>
      </c>
      <c r="D12" s="11">
        <v>5.4999999999999997E-3</v>
      </c>
      <c r="E12" s="10">
        <f t="shared" si="2"/>
        <v>326680.57281266153</v>
      </c>
      <c r="F12" s="3"/>
      <c r="G12" s="28"/>
      <c r="H12" s="10"/>
      <c r="I12" s="10">
        <f t="shared" si="5"/>
        <v>12738</v>
      </c>
      <c r="J12" s="10">
        <f t="shared" si="3"/>
        <v>760753463770.60095</v>
      </c>
      <c r="K12" s="11">
        <f t="shared" si="4"/>
        <v>5.5000000000000604E-3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59396467.784119427</v>
      </c>
      <c r="D13" s="11">
        <v>5.8999999999999999E-3</v>
      </c>
      <c r="E13" s="10">
        <f t="shared" si="2"/>
        <v>348383.69611920416</v>
      </c>
      <c r="F13" s="3"/>
      <c r="G13" s="28"/>
      <c r="H13" s="10"/>
      <c r="I13" s="10">
        <f t="shared" si="5"/>
        <v>12738</v>
      </c>
      <c r="J13" s="10">
        <f t="shared" si="3"/>
        <v>756592206634.11328</v>
      </c>
      <c r="K13" s="11">
        <f t="shared" si="4"/>
        <v>5.9000000000000163E-3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59048084.088000223</v>
      </c>
      <c r="D14" s="11">
        <v>6.1000000000000004E-3</v>
      </c>
      <c r="E14" s="10">
        <f t="shared" si="2"/>
        <v>358009.455259718</v>
      </c>
      <c r="F14" s="3"/>
      <c r="G14" s="28"/>
      <c r="H14" s="10"/>
      <c r="I14" s="10">
        <f t="shared" si="5"/>
        <v>12738</v>
      </c>
      <c r="J14" s="10">
        <f t="shared" si="3"/>
        <v>752154495112.9469</v>
      </c>
      <c r="K14" s="11">
        <f t="shared" si="4"/>
        <v>6.1000000000002164E-3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58690074.632740505</v>
      </c>
      <c r="D15" s="11">
        <v>6.1000000000000004E-3</v>
      </c>
      <c r="E15" s="10">
        <f t="shared" si="2"/>
        <v>355838.83834581077</v>
      </c>
      <c r="F15" s="3"/>
      <c r="G15" s="28"/>
      <c r="H15" s="10"/>
      <c r="I15" s="10">
        <f t="shared" si="5"/>
        <v>12738</v>
      </c>
      <c r="J15" s="10">
        <f t="shared" si="3"/>
        <v>747594170671.84851</v>
      </c>
      <c r="K15" s="11">
        <f t="shared" si="4"/>
        <v>6.0999999999999943E-3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58334235.794394694</v>
      </c>
      <c r="D16" s="11">
        <v>6.3E-3</v>
      </c>
      <c r="E16" s="10">
        <f t="shared" si="2"/>
        <v>365204.89466827363</v>
      </c>
      <c r="F16" s="3"/>
      <c r="G16" s="28"/>
      <c r="H16" s="10"/>
      <c r="I16" s="10">
        <f t="shared" si="5"/>
        <v>12738</v>
      </c>
      <c r="J16" s="10">
        <f t="shared" si="3"/>
        <v>743061495548.99963</v>
      </c>
      <c r="K16" s="11">
        <f t="shared" si="4"/>
        <v>6.2999999999999723E-3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57969030.899726421</v>
      </c>
      <c r="D17" s="11">
        <v>6.8999999999999999E-3</v>
      </c>
      <c r="E17" s="10">
        <f t="shared" si="2"/>
        <v>397245.32049667835</v>
      </c>
      <c r="F17" s="3"/>
      <c r="G17" s="28"/>
      <c r="H17" s="10"/>
      <c r="I17" s="10">
        <f t="shared" si="5"/>
        <v>12738</v>
      </c>
      <c r="J17" s="10">
        <f t="shared" si="3"/>
        <v>738409515600.71509</v>
      </c>
      <c r="K17" s="11">
        <f t="shared" si="4"/>
        <v>6.8999999999996842E-3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57571785.579229742</v>
      </c>
      <c r="D18" s="11">
        <v>7.7999999999999996E-3</v>
      </c>
      <c r="E18" s="10">
        <f t="shared" si="2"/>
        <v>445584.3694363907</v>
      </c>
      <c r="F18" s="3"/>
      <c r="G18" s="28"/>
      <c r="H18" s="10"/>
      <c r="I18" s="10">
        <f t="shared" si="5"/>
        <v>12738</v>
      </c>
      <c r="J18" s="10">
        <f t="shared" si="3"/>
        <v>733349404708.22852</v>
      </c>
      <c r="K18" s="11">
        <f t="shared" si="4"/>
        <v>7.8000000000002512E-3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57126201.209793352</v>
      </c>
      <c r="D19" s="11">
        <v>8.6E-3</v>
      </c>
      <c r="E19" s="10">
        <f t="shared" si="2"/>
        <v>487096.30220525712</v>
      </c>
      <c r="F19" s="3"/>
      <c r="G19" s="28"/>
      <c r="H19" s="10"/>
      <c r="I19" s="10">
        <f t="shared" si="5"/>
        <v>12738</v>
      </c>
      <c r="J19" s="10">
        <f t="shared" si="3"/>
        <v>727673551010.34766</v>
      </c>
      <c r="K19" s="11">
        <f t="shared" si="4"/>
        <v>8.599999999999941E-3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56639104.907588094</v>
      </c>
      <c r="D20" s="11">
        <v>9.1999999999999998E-3</v>
      </c>
      <c r="E20" s="10">
        <f t="shared" si="2"/>
        <v>516329.53344214708</v>
      </c>
      <c r="F20" s="3"/>
      <c r="G20" s="28"/>
      <c r="H20" s="10"/>
      <c r="I20" s="10">
        <f t="shared" si="5"/>
        <v>12738</v>
      </c>
      <c r="J20" s="10">
        <f t="shared" si="3"/>
        <v>721468918312.85718</v>
      </c>
      <c r="K20" s="11">
        <f t="shared" si="4"/>
        <v>9.200000000000097E-3</v>
      </c>
      <c r="L20" t="s">
        <v>109</v>
      </c>
      <c r="M20" t="s">
        <v>110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56122775.374145947</v>
      </c>
      <c r="D21" s="11">
        <v>9.7000000000000003E-3</v>
      </c>
      <c r="E21" s="10">
        <f t="shared" si="2"/>
        <v>539161.05885829031</v>
      </c>
      <c r="F21" s="3"/>
      <c r="G21" s="28"/>
      <c r="H21" s="10"/>
      <c r="I21" s="10">
        <f t="shared" si="5"/>
        <v>12738</v>
      </c>
      <c r="J21" s="10">
        <f t="shared" si="3"/>
        <v>714891912715.87109</v>
      </c>
      <c r="K21" s="11">
        <f t="shared" si="4"/>
        <v>9.7000000000000419E-3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55583614.315287657</v>
      </c>
      <c r="D22" s="11">
        <v>0.01</v>
      </c>
      <c r="E22" s="10">
        <f t="shared" si="2"/>
        <v>550332.81500285119</v>
      </c>
      <c r="F22" s="3"/>
      <c r="G22" s="28"/>
      <c r="H22" s="10"/>
      <c r="I22" s="10">
        <f t="shared" si="5"/>
        <v>12738</v>
      </c>
      <c r="J22" s="10">
        <f t="shared" si="3"/>
        <v>708024079148.13416</v>
      </c>
      <c r="K22" s="11">
        <f t="shared" si="4"/>
        <v>1.0000000000000009E-2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55033281.500284806</v>
      </c>
      <c r="D23" s="11">
        <v>1.03E-2</v>
      </c>
      <c r="E23" s="10">
        <f t="shared" si="2"/>
        <v>561063.84188155085</v>
      </c>
      <c r="F23" s="3"/>
      <c r="G23" s="28"/>
      <c r="H23" s="10"/>
      <c r="I23" s="10">
        <f t="shared" si="5"/>
        <v>12738</v>
      </c>
      <c r="J23" s="10">
        <f t="shared" si="3"/>
        <v>701013939750.62781</v>
      </c>
      <c r="K23" s="11">
        <f t="shared" si="4"/>
        <v>1.0299999999999754E-2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54472217.658403255</v>
      </c>
      <c r="D24" s="11">
        <v>1.03E-2</v>
      </c>
      <c r="E24" s="10">
        <f t="shared" si="2"/>
        <v>555343.80073399097</v>
      </c>
      <c r="F24" s="3"/>
      <c r="G24" s="28"/>
      <c r="H24" s="10"/>
      <c r="I24" s="10">
        <f t="shared" si="5"/>
        <v>12738</v>
      </c>
      <c r="J24" s="10">
        <f t="shared" si="3"/>
        <v>693867108532.74072</v>
      </c>
      <c r="K24" s="11">
        <f t="shared" si="4"/>
        <v>1.0299999999999976E-2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53916873.857669264</v>
      </c>
      <c r="D25" s="11">
        <v>9.9000000000000008E-3</v>
      </c>
      <c r="E25" s="10">
        <f t="shared" si="2"/>
        <v>528544.46102676541</v>
      </c>
      <c r="F25" s="3"/>
      <c r="G25" s="28"/>
      <c r="H25" s="10"/>
      <c r="I25" s="10">
        <f t="shared" si="5"/>
        <v>12738</v>
      </c>
      <c r="J25" s="10">
        <f t="shared" si="3"/>
        <v>686793139198.99109</v>
      </c>
      <c r="K25" s="11">
        <f t="shared" si="4"/>
        <v>9.9000000000000199E-3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53388329.396642499</v>
      </c>
      <c r="D26" s="11">
        <v>8.8000000000000005E-3</v>
      </c>
      <c r="E26" s="10">
        <f t="shared" si="2"/>
        <v>465718.97173914313</v>
      </c>
      <c r="F26" s="3"/>
      <c r="G26" s="28"/>
      <c r="H26" s="10"/>
      <c r="I26" s="10">
        <f t="shared" si="5"/>
        <v>12738</v>
      </c>
      <c r="J26" s="10">
        <f t="shared" si="3"/>
        <v>680060539854.43213</v>
      </c>
      <c r="K26" s="11">
        <f t="shared" si="4"/>
        <v>8.799999999999919E-3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52922610.424903356</v>
      </c>
      <c r="D27" s="11">
        <v>7.6E-3</v>
      </c>
      <c r="E27" s="10">
        <f t="shared" si="2"/>
        <v>399178.08577735722</v>
      </c>
      <c r="F27" s="3"/>
      <c r="G27" s="28"/>
      <c r="H27" s="10"/>
      <c r="I27" s="10">
        <f t="shared" si="5"/>
        <v>12738</v>
      </c>
      <c r="J27" s="10">
        <f t="shared" si="3"/>
        <v>674128211592.41895</v>
      </c>
      <c r="K27" s="11">
        <f t="shared" si="4"/>
        <v>7.6000000000000512E-3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52523432.339125998</v>
      </c>
      <c r="D28" s="11">
        <v>6.8999999999999999E-3</v>
      </c>
      <c r="E28" s="10">
        <f t="shared" si="2"/>
        <v>359928.17870688438</v>
      </c>
      <c r="F28" s="3"/>
      <c r="G28" s="28"/>
      <c r="H28" s="10"/>
      <c r="I28" s="10">
        <f t="shared" si="5"/>
        <v>12738</v>
      </c>
      <c r="J28" s="10">
        <f t="shared" si="3"/>
        <v>669043481135.78699</v>
      </c>
      <c r="K28" s="11">
        <f t="shared" si="4"/>
        <v>6.8999999999999062E-3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52163504.160419114</v>
      </c>
      <c r="D29" s="11">
        <v>6.7999999999999996E-3</v>
      </c>
      <c r="E29" s="10">
        <f t="shared" si="2"/>
        <v>352316.07895395905</v>
      </c>
      <c r="F29" s="3"/>
      <c r="G29" s="28"/>
      <c r="H29" s="10"/>
      <c r="I29" s="10">
        <f t="shared" si="5"/>
        <v>12738</v>
      </c>
      <c r="J29" s="10">
        <f t="shared" si="3"/>
        <v>664458715995.4187</v>
      </c>
      <c r="K29" s="11">
        <f t="shared" si="4"/>
        <v>6.7999999999999172E-3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51811188.081465155</v>
      </c>
      <c r="D30" s="12">
        <v>7.6E-3</v>
      </c>
      <c r="E30" s="10">
        <f t="shared" si="2"/>
        <v>390794.98751403391</v>
      </c>
      <c r="F30" s="3"/>
      <c r="G30" s="28"/>
      <c r="H30" s="10"/>
      <c r="I30" s="10">
        <f t="shared" si="5"/>
        <v>12738</v>
      </c>
      <c r="J30" s="10">
        <f t="shared" si="3"/>
        <v>659970913781.70313</v>
      </c>
      <c r="K30" s="11">
        <f t="shared" si="4"/>
        <v>7.6000000000000512E-3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51420393.093951121</v>
      </c>
      <c r="D31" s="13">
        <v>9.2999999999999992E-3</v>
      </c>
      <c r="E31" s="10">
        <f t="shared" si="2"/>
        <v>473803.28522118926</v>
      </c>
      <c r="F31" s="3"/>
      <c r="G31" s="28"/>
      <c r="H31" s="10"/>
      <c r="I31" s="10">
        <f t="shared" si="5"/>
        <v>12738</v>
      </c>
      <c r="J31" s="10">
        <f t="shared" si="3"/>
        <v>654992967230.74939</v>
      </c>
      <c r="K31" s="11">
        <f t="shared" si="4"/>
        <v>9.2999999999998639E-3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50946589.808729932</v>
      </c>
      <c r="D32" s="12">
        <v>1.15E-2</v>
      </c>
      <c r="E32" s="10">
        <f t="shared" si="2"/>
        <v>579224.69876460731</v>
      </c>
      <c r="F32" s="3"/>
      <c r="G32" s="28"/>
      <c r="H32" s="10"/>
      <c r="I32" s="10">
        <f t="shared" si="5"/>
        <v>12738</v>
      </c>
      <c r="J32" s="10">
        <f t="shared" si="3"/>
        <v>648957660983.60193</v>
      </c>
      <c r="K32" s="11">
        <f t="shared" si="4"/>
        <v>1.1500000000000288E-2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50367365.109965324</v>
      </c>
      <c r="D33" s="13">
        <v>1.32E-2</v>
      </c>
      <c r="E33" s="10">
        <f t="shared" si="2"/>
        <v>656187.54387243092</v>
      </c>
      <c r="F33" s="3"/>
      <c r="G33" s="28"/>
      <c r="H33" s="10"/>
      <c r="I33" s="10">
        <f t="shared" si="5"/>
        <v>12738</v>
      </c>
      <c r="J33" s="10">
        <f t="shared" si="3"/>
        <v>641579496770.73828</v>
      </c>
      <c r="K33" s="11">
        <f t="shared" si="4"/>
        <v>1.3200000000000101E-2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49711177.566092893</v>
      </c>
      <c r="D34" s="12">
        <v>1.3899999999999999E-2</v>
      </c>
      <c r="E34" s="10">
        <f t="shared" si="2"/>
        <v>681512.34655162692</v>
      </c>
      <c r="F34" s="3"/>
      <c r="G34" s="28"/>
      <c r="H34" s="10"/>
      <c r="I34" s="10">
        <f t="shared" si="5"/>
        <v>12738</v>
      </c>
      <c r="J34" s="10">
        <f t="shared" ref="J34:J65" si="6">IF(I34="","",I34*C34)</f>
        <v>633220979836.89124</v>
      </c>
      <c r="K34" s="11">
        <f t="shared" ref="K34:K65" si="7">IFERROR(J34/J35-1,"")</f>
        <v>1.3900000000000023E-2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49029665.219541267</v>
      </c>
      <c r="D35" s="11">
        <v>1.37E-2</v>
      </c>
      <c r="E35" s="10">
        <f t="shared" si="2"/>
        <v>662628.40436787903</v>
      </c>
      <c r="F35" s="3"/>
      <c r="G35" s="28"/>
      <c r="H35" s="10"/>
      <c r="I35" s="10">
        <f t="shared" ref="I35:I66" si="8">IF(H35&lt;&gt;"",H35,I34/(1+IF(G34="",0,G34)/100))</f>
        <v>12738</v>
      </c>
      <c r="J35" s="10">
        <f t="shared" si="6"/>
        <v>624539875566.5166</v>
      </c>
      <c r="K35" s="11">
        <f t="shared" si="7"/>
        <v>1.3700000000000045E-2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48367036.815173388</v>
      </c>
      <c r="D36" s="11">
        <v>1.2999999999999999E-2</v>
      </c>
      <c r="E36" s="10">
        <f t="shared" si="2"/>
        <v>620702.34807231277</v>
      </c>
      <c r="F36" s="3"/>
      <c r="G36" s="28"/>
      <c r="H36" s="10"/>
      <c r="I36" s="10">
        <f t="shared" si="8"/>
        <v>12738</v>
      </c>
      <c r="J36" s="10">
        <f t="shared" si="6"/>
        <v>616099314951.67859</v>
      </c>
      <c r="K36" s="11">
        <f t="shared" si="7"/>
        <v>1.2999999999999901E-2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47746334.467101075</v>
      </c>
      <c r="D37" s="11">
        <v>1.23E-2</v>
      </c>
      <c r="E37" s="10">
        <f t="shared" si="2"/>
        <v>580144.14101091027</v>
      </c>
      <c r="F37" s="3"/>
      <c r="G37" s="28"/>
      <c r="H37" s="10"/>
      <c r="I37" s="10">
        <f t="shared" si="8"/>
        <v>12738</v>
      </c>
      <c r="J37" s="10">
        <f t="shared" si="6"/>
        <v>608192808441.93347</v>
      </c>
      <c r="K37" s="11">
        <f t="shared" si="7"/>
        <v>1.2299999999999978E-2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47166190.326090164</v>
      </c>
      <c r="D38" s="11">
        <v>1.17E-2</v>
      </c>
      <c r="E38" s="10">
        <f t="shared" si="2"/>
        <v>545462.51538524777</v>
      </c>
      <c r="F38" s="3"/>
      <c r="G38" s="28"/>
      <c r="H38" s="10"/>
      <c r="I38" s="10">
        <f t="shared" si="8"/>
        <v>12738</v>
      </c>
      <c r="J38" s="10">
        <f t="shared" si="6"/>
        <v>600802932373.73657</v>
      </c>
      <c r="K38" s="11">
        <f t="shared" si="7"/>
        <v>1.1700000000000044E-2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46620727.810704917</v>
      </c>
      <c r="D39" s="11">
        <v>1.1599999999999999E-2</v>
      </c>
      <c r="E39" s="10">
        <f t="shared" si="2"/>
        <v>534599.09312394261</v>
      </c>
      <c r="F39" s="3"/>
      <c r="G39" s="28"/>
      <c r="H39" s="10"/>
      <c r="I39" s="10">
        <f t="shared" si="8"/>
        <v>12738</v>
      </c>
      <c r="J39" s="10">
        <f t="shared" si="6"/>
        <v>593854830852.75928</v>
      </c>
      <c r="K39" s="11">
        <f t="shared" si="7"/>
        <v>1.1600000000000055E-2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46086128.717580974</v>
      </c>
      <c r="D40" s="11">
        <v>1.2200000000000001E-2</v>
      </c>
      <c r="E40" s="10">
        <f t="shared" si="2"/>
        <v>555473.98770449311</v>
      </c>
      <c r="F40" s="3"/>
      <c r="G40" s="28"/>
      <c r="H40" s="10"/>
      <c r="I40" s="10">
        <f t="shared" si="8"/>
        <v>12738</v>
      </c>
      <c r="J40" s="10">
        <f t="shared" si="6"/>
        <v>587045107604.54651</v>
      </c>
      <c r="K40" s="11">
        <f t="shared" si="7"/>
        <v>1.2199999999999989E-2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45530654.729876481</v>
      </c>
      <c r="D41" s="11">
        <v>1.3100000000000001E-2</v>
      </c>
      <c r="E41" s="10">
        <f t="shared" si="2"/>
        <v>588739.09481925517</v>
      </c>
      <c r="F41" s="3"/>
      <c r="G41" s="28"/>
      <c r="H41" s="10"/>
      <c r="I41" s="10">
        <f t="shared" si="8"/>
        <v>12738</v>
      </c>
      <c r="J41" s="10">
        <f t="shared" si="6"/>
        <v>579969479949.16663</v>
      </c>
      <c r="K41" s="11">
        <f t="shared" si="7"/>
        <v>1.3100000000000334E-2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44941915.635057226</v>
      </c>
      <c r="D42" s="11">
        <v>1.4E-2</v>
      </c>
      <c r="E42" s="10">
        <f t="shared" si="2"/>
        <v>620499.82139132172</v>
      </c>
      <c r="F42" s="3"/>
      <c r="G42" s="28"/>
      <c r="H42" s="10"/>
      <c r="I42" s="10">
        <f t="shared" si="8"/>
        <v>12738</v>
      </c>
      <c r="J42" s="10">
        <f t="shared" si="6"/>
        <v>572470121359.35889</v>
      </c>
      <c r="K42" s="11">
        <f t="shared" si="7"/>
        <v>1.399999999999979E-2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44321415.813665904</v>
      </c>
      <c r="D43" s="11">
        <v>1.4999999999999999E-2</v>
      </c>
      <c r="E43" s="10">
        <f t="shared" si="2"/>
        <v>654996.29281279445</v>
      </c>
      <c r="F43" s="3"/>
      <c r="G43" s="28"/>
      <c r="H43" s="10"/>
      <c r="I43" s="10">
        <f t="shared" si="8"/>
        <v>12738</v>
      </c>
      <c r="J43" s="10">
        <f t="shared" si="6"/>
        <v>564566194634.47632</v>
      </c>
      <c r="K43" s="11">
        <f t="shared" si="7"/>
        <v>1.4999999999999902E-2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43666419.52085311</v>
      </c>
      <c r="D44" s="11">
        <v>1.52E-2</v>
      </c>
      <c r="E44" s="10">
        <f t="shared" si="2"/>
        <v>653791.93924051523</v>
      </c>
      <c r="F44" s="3"/>
      <c r="G44" s="28"/>
      <c r="H44" s="10"/>
      <c r="I44" s="10">
        <f t="shared" si="8"/>
        <v>12738</v>
      </c>
      <c r="J44" s="10">
        <f t="shared" si="6"/>
        <v>556222851856.62695</v>
      </c>
      <c r="K44" s="11">
        <f t="shared" si="7"/>
        <v>1.5200000000000102E-2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43012627.581612594</v>
      </c>
      <c r="D45" s="11">
        <v>1.4500000000000001E-2</v>
      </c>
      <c r="E45" s="10">
        <f t="shared" si="2"/>
        <v>614768.950156115</v>
      </c>
      <c r="F45" s="3"/>
      <c r="G45" s="28"/>
      <c r="H45" s="10"/>
      <c r="I45" s="10">
        <f t="shared" si="8"/>
        <v>12738</v>
      </c>
      <c r="J45" s="10">
        <f t="shared" si="6"/>
        <v>547894850134.58124</v>
      </c>
      <c r="K45" s="11">
        <f t="shared" si="7"/>
        <v>1.4499999999999957E-2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42397858.631456479</v>
      </c>
      <c r="D46" s="11">
        <v>1.35E-2</v>
      </c>
      <c r="E46" s="10">
        <f t="shared" si="2"/>
        <v>564747.00693109632</v>
      </c>
      <c r="F46" s="3"/>
      <c r="G46" s="28"/>
      <c r="H46" s="10"/>
      <c r="I46" s="10">
        <f t="shared" si="8"/>
        <v>12738</v>
      </c>
      <c r="J46" s="10">
        <f t="shared" si="6"/>
        <v>540063923247.49261</v>
      </c>
      <c r="K46" s="11">
        <f t="shared" si="7"/>
        <v>1.3500000000000068E-2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41833111.624525383</v>
      </c>
      <c r="D47" s="11">
        <v>1.24E-2</v>
      </c>
      <c r="E47" s="10">
        <f t="shared" si="2"/>
        <v>512377.10800485313</v>
      </c>
      <c r="F47" s="3"/>
      <c r="G47" s="28"/>
      <c r="H47" s="10"/>
      <c r="I47" s="10">
        <f t="shared" si="8"/>
        <v>12738</v>
      </c>
      <c r="J47" s="10">
        <f t="shared" si="6"/>
        <v>532870175873.20435</v>
      </c>
      <c r="K47" s="11">
        <f t="shared" si="7"/>
        <v>1.2399999999999967E-2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41320734.51652053</v>
      </c>
      <c r="D48" s="11">
        <v>1.1599999999999999E-2</v>
      </c>
      <c r="E48" s="10">
        <f t="shared" si="2"/>
        <v>473824.16013408452</v>
      </c>
      <c r="F48" s="3"/>
      <c r="G48" s="28"/>
      <c r="H48" s="10"/>
      <c r="I48" s="10">
        <f t="shared" si="8"/>
        <v>12738</v>
      </c>
      <c r="J48" s="10">
        <f t="shared" si="6"/>
        <v>526343516271.43854</v>
      </c>
      <c r="K48" s="11">
        <f t="shared" si="7"/>
        <v>1.1600000000000055E-2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40846910.356386445</v>
      </c>
      <c r="D49" s="11">
        <v>1.15E-2</v>
      </c>
      <c r="E49" s="10">
        <f t="shared" si="2"/>
        <v>464398.88195595145</v>
      </c>
      <c r="F49" s="3"/>
      <c r="G49" s="28"/>
      <c r="H49" s="10"/>
      <c r="I49" s="10">
        <f t="shared" si="8"/>
        <v>12738</v>
      </c>
      <c r="J49" s="10">
        <f t="shared" si="6"/>
        <v>520307944119.65051</v>
      </c>
      <c r="K49" s="11">
        <f t="shared" si="7"/>
        <v>1.1499999999999844E-2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40382511.474430494</v>
      </c>
      <c r="D50" s="11">
        <v>1.1900000000000001E-2</v>
      </c>
      <c r="E50" s="10">
        <f t="shared" si="2"/>
        <v>474900.56976551563</v>
      </c>
      <c r="F50" s="3"/>
      <c r="G50" s="28"/>
      <c r="H50" s="10"/>
      <c r="I50" s="10">
        <f t="shared" si="8"/>
        <v>12738</v>
      </c>
      <c r="J50" s="10">
        <f t="shared" si="6"/>
        <v>514392431161.29565</v>
      </c>
      <c r="K50" s="11">
        <f t="shared" si="7"/>
        <v>1.1900000000000022E-2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39907610.904664978</v>
      </c>
      <c r="D51" s="11">
        <v>1.2500000000000001E-2</v>
      </c>
      <c r="E51" s="10">
        <f t="shared" si="2"/>
        <v>492686.55437857658</v>
      </c>
      <c r="F51" s="3"/>
      <c r="G51" s="28"/>
      <c r="H51" s="10"/>
      <c r="I51" s="10">
        <f t="shared" si="8"/>
        <v>12738</v>
      </c>
      <c r="J51" s="10">
        <f t="shared" si="6"/>
        <v>508343147703.6225</v>
      </c>
      <c r="K51" s="11">
        <f t="shared" si="7"/>
        <v>1.2499999999999956E-2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39414924.350286402</v>
      </c>
      <c r="D52" s="11">
        <v>1.34E-2</v>
      </c>
      <c r="E52" s="10">
        <f t="shared" si="2"/>
        <v>521176.22488044202</v>
      </c>
      <c r="F52" s="3"/>
      <c r="G52" s="28"/>
      <c r="H52" s="10"/>
      <c r="I52" s="10">
        <f t="shared" si="8"/>
        <v>12738</v>
      </c>
      <c r="J52" s="10">
        <f t="shared" si="6"/>
        <v>502067306373.94818</v>
      </c>
      <c r="K52" s="11">
        <f t="shared" si="7"/>
        <v>1.3400000000000079E-2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38893748.12540596</v>
      </c>
      <c r="D53" s="11">
        <v>1.41E-2</v>
      </c>
      <c r="E53" s="10">
        <f t="shared" si="2"/>
        <v>540776.89435777813</v>
      </c>
      <c r="F53" s="3"/>
      <c r="G53" s="28"/>
      <c r="H53" s="10"/>
      <c r="I53" s="10">
        <f t="shared" si="8"/>
        <v>12738</v>
      </c>
      <c r="J53" s="10">
        <f t="shared" si="6"/>
        <v>495428563621.42114</v>
      </c>
      <c r="K53" s="11">
        <f t="shared" si="7"/>
        <v>1.4100000000000001E-2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38352971.231048182</v>
      </c>
      <c r="D54" s="11">
        <v>1.41E-2</v>
      </c>
      <c r="E54" s="10">
        <f t="shared" si="2"/>
        <v>533257.95716179907</v>
      </c>
      <c r="F54" s="3"/>
      <c r="G54" s="28"/>
      <c r="H54" s="10"/>
      <c r="I54" s="10">
        <f t="shared" si="8"/>
        <v>12738</v>
      </c>
      <c r="J54" s="10">
        <f t="shared" si="6"/>
        <v>488540147541.09174</v>
      </c>
      <c r="K54" s="11">
        <f t="shared" si="7"/>
        <v>1.4100000000000001E-2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37819713.273886383</v>
      </c>
      <c r="D55" s="11">
        <v>1.4E-2</v>
      </c>
      <c r="E55" s="10">
        <f t="shared" si="2"/>
        <v>522165.66650336236</v>
      </c>
      <c r="F55" s="3"/>
      <c r="G55" s="28"/>
      <c r="H55" s="10"/>
      <c r="I55" s="10">
        <f t="shared" si="8"/>
        <v>12738</v>
      </c>
      <c r="J55" s="10">
        <f t="shared" si="6"/>
        <v>481747507682.76477</v>
      </c>
      <c r="K55" s="11">
        <f t="shared" si="7"/>
        <v>1.4000000000000012E-2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37297547.60738302</v>
      </c>
      <c r="D56" s="11">
        <v>1.4E-2</v>
      </c>
      <c r="E56" s="10">
        <f t="shared" si="2"/>
        <v>514956.27860292047</v>
      </c>
      <c r="F56" s="3"/>
      <c r="G56" s="28"/>
      <c r="H56" s="10"/>
      <c r="I56" s="10">
        <f t="shared" si="8"/>
        <v>12738</v>
      </c>
      <c r="J56" s="10">
        <f t="shared" si="6"/>
        <v>475096161422.84491</v>
      </c>
      <c r="K56" s="11">
        <f t="shared" si="7"/>
        <v>1.4000000000000012E-2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36782591.3287801</v>
      </c>
      <c r="D57" s="11">
        <v>1.4E-2</v>
      </c>
      <c r="E57" s="10">
        <f t="shared" si="2"/>
        <v>507846.42860248685</v>
      </c>
      <c r="F57" s="3"/>
      <c r="G57" s="28"/>
      <c r="H57" s="10"/>
      <c r="I57" s="10">
        <f t="shared" si="8"/>
        <v>12738</v>
      </c>
      <c r="J57" s="10">
        <f t="shared" si="6"/>
        <v>468536648346.00092</v>
      </c>
      <c r="K57" s="11">
        <f t="shared" si="7"/>
        <v>1.4000000000000012E-2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36274744.900177613</v>
      </c>
      <c r="D58" s="11">
        <v>1.2999999999999999E-2</v>
      </c>
      <c r="E58" s="10">
        <f t="shared" si="2"/>
        <v>465519.92468144745</v>
      </c>
      <c r="F58" s="3"/>
      <c r="G58" s="28"/>
      <c r="H58" s="10"/>
      <c r="I58" s="10">
        <f t="shared" si="8"/>
        <v>12738</v>
      </c>
      <c r="J58" s="10">
        <f t="shared" si="6"/>
        <v>462067700538.46246</v>
      </c>
      <c r="K58" s="11">
        <f t="shared" si="7"/>
        <v>1.2999999999999901E-2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35809224.975496165</v>
      </c>
      <c r="D59" s="11">
        <v>1.2999999999999999E-2</v>
      </c>
      <c r="E59" s="10">
        <f t="shared" si="2"/>
        <v>459545.82890567183</v>
      </c>
      <c r="F59" s="3"/>
      <c r="G59" s="28"/>
      <c r="H59" s="10"/>
      <c r="I59" s="10">
        <f t="shared" si="8"/>
        <v>12738</v>
      </c>
      <c r="J59" s="10">
        <f t="shared" si="6"/>
        <v>456137907737.87018</v>
      </c>
      <c r="K59" s="11">
        <f t="shared" si="7"/>
        <v>1.2999999999999901E-2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35349679.146590494</v>
      </c>
      <c r="D60" s="11">
        <v>1.4E-2</v>
      </c>
      <c r="E60" s="10">
        <f t="shared" si="2"/>
        <v>488062.63121525198</v>
      </c>
      <c r="F60" s="3"/>
      <c r="G60" s="28"/>
      <c r="H60" s="10"/>
      <c r="I60" s="10">
        <f t="shared" si="8"/>
        <v>12738</v>
      </c>
      <c r="J60" s="10">
        <f t="shared" si="6"/>
        <v>450284212969.26971</v>
      </c>
      <c r="K60" s="11">
        <f t="shared" si="7"/>
        <v>1.4000000000000012E-2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34861616.515375242</v>
      </c>
      <c r="D61" s="11">
        <v>1.4999999999999999E-2</v>
      </c>
      <c r="E61" s="10">
        <f t="shared" si="2"/>
        <v>515196.30318288505</v>
      </c>
      <c r="F61" s="3"/>
      <c r="G61" s="28"/>
      <c r="H61" s="10"/>
      <c r="I61" s="10">
        <f t="shared" si="8"/>
        <v>12738</v>
      </c>
      <c r="J61" s="10">
        <f t="shared" si="6"/>
        <v>444067271172.84985</v>
      </c>
      <c r="K61" s="11">
        <f t="shared" si="7"/>
        <v>1.5000000000000124E-2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34346420.212192357</v>
      </c>
      <c r="D62" s="11">
        <v>1.7000000000000001E-2</v>
      </c>
      <c r="E62" s="10">
        <f t="shared" si="2"/>
        <v>574128.95143290609</v>
      </c>
      <c r="F62" s="3"/>
      <c r="G62" s="28"/>
      <c r="H62" s="10"/>
      <c r="I62" s="10">
        <f t="shared" si="8"/>
        <v>12738</v>
      </c>
      <c r="J62" s="10">
        <f t="shared" si="6"/>
        <v>437504700662.90625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33772291.26075945</v>
      </c>
      <c r="D63" s="11">
        <v>1.7999999999999999E-2</v>
      </c>
      <c r="E63" s="10">
        <f t="shared" si="2"/>
        <v>597152.49773445353</v>
      </c>
      <c r="F63" s="3"/>
      <c r="G63" s="28"/>
      <c r="H63" s="10"/>
      <c r="I63" s="10">
        <f t="shared" si="8"/>
        <v>12738</v>
      </c>
      <c r="J63" s="10">
        <f t="shared" si="6"/>
        <v>430191446079.55389</v>
      </c>
      <c r="K63" s="11">
        <f t="shared" si="7"/>
        <v>1.8000000000000238E-2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33175138.763024997</v>
      </c>
      <c r="D64" s="11">
        <v>1.8499999999999999E-2</v>
      </c>
      <c r="E64" s="10">
        <f t="shared" si="2"/>
        <v>602592.11302499846</v>
      </c>
      <c r="F64" s="3"/>
      <c r="G64" s="28"/>
      <c r="H64" s="10"/>
      <c r="I64" s="10">
        <f t="shared" si="8"/>
        <v>12738</v>
      </c>
      <c r="J64" s="10">
        <f t="shared" si="6"/>
        <v>422584917563.41241</v>
      </c>
      <c r="K64" s="11">
        <f t="shared" si="7"/>
        <v>1.8499999999999961E-2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32572546.649999999</v>
      </c>
      <c r="D65" s="11">
        <v>1.8499999999999999E-2</v>
      </c>
      <c r="E65" s="10">
        <f t="shared" si="2"/>
        <v>591646.64999999851</v>
      </c>
      <c r="F65" s="3"/>
      <c r="G65" s="28"/>
      <c r="H65" s="10"/>
      <c r="I65" s="10">
        <f t="shared" si="8"/>
        <v>12738</v>
      </c>
      <c r="J65" s="10">
        <f t="shared" si="6"/>
        <v>414909099227.69995</v>
      </c>
      <c r="K65" s="11">
        <f t="shared" si="7"/>
        <v>1.8499999999999961E-2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31980900</v>
      </c>
      <c r="D66" s="11">
        <v>1.8499999999999999E-2</v>
      </c>
      <c r="E66" s="10">
        <f t="shared" si="2"/>
        <v>580900</v>
      </c>
      <c r="F66" s="3"/>
      <c r="G66" s="28"/>
      <c r="H66" s="10"/>
      <c r="I66" s="10">
        <f t="shared" si="8"/>
        <v>12738</v>
      </c>
      <c r="J66" s="10">
        <f t="shared" ref="J66:J67" si="9">IF(I66="","",I66*C66)</f>
        <v>407372704200</v>
      </c>
      <c r="K66" s="11">
        <f t="shared" ref="K66" si="10">IFERROR(J66/J67-1,"")</f>
        <v>1.8499999999999961E-2</v>
      </c>
    </row>
    <row r="67" spans="1:11" ht="22.5" customHeight="1">
      <c r="A67" s="3">
        <f t="shared" si="0"/>
        <v>1950</v>
      </c>
      <c r="B67" s="3">
        <v>1700</v>
      </c>
      <c r="C67" s="10">
        <v>31400000</v>
      </c>
      <c r="D67" s="11">
        <v>1.7999999999999999E-2</v>
      </c>
      <c r="E67" s="3" t="s">
        <v>72</v>
      </c>
      <c r="F67" s="10"/>
      <c r="G67" s="28"/>
      <c r="H67" s="10"/>
      <c r="I67" s="10">
        <f t="shared" ref="I67" si="11">IF(H67&lt;&gt;"",H67,I66/(1+IF(G66="",0,G66)/100))</f>
        <v>12738</v>
      </c>
      <c r="J67" s="10">
        <f t="shared" si="9"/>
        <v>399973200000</v>
      </c>
      <c r="K67" s="11"/>
    </row>
  </sheetData>
  <dataValidations count="1">
    <dataValidation type="custom" allowBlank="1" showDropDown="1" sqref="D2:D67" xr:uid="{00000000-0002-0000-0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44284291.401775993</v>
      </c>
      <c r="D2" s="11">
        <v>1.09E-2</v>
      </c>
      <c r="E2" s="10">
        <f t="shared" ref="E2:E66" si="2">SUM(C2-C3)</f>
        <v>477494.09069082141</v>
      </c>
      <c r="F2" s="15">
        <v>44277194</v>
      </c>
      <c r="G2" s="28"/>
      <c r="H2" s="10"/>
      <c r="I2" s="10">
        <f>IF(H2&lt;&gt;"",H2,3694)</f>
        <v>3694</v>
      </c>
      <c r="J2" s="10">
        <f t="shared" ref="J2:J33" si="3">IF(I2="","",I2*C2)</f>
        <v>163586172438.16052</v>
      </c>
      <c r="K2" s="11">
        <f t="shared" ref="K2:K33" si="4">IFERROR(J2/J3-1,"")</f>
        <v>1.089999999999991E-2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43806797.311085172</v>
      </c>
      <c r="D3" s="11">
        <v>1.0999999999999999E-2</v>
      </c>
      <c r="E3" s="10">
        <f t="shared" si="2"/>
        <v>476631.82039755583</v>
      </c>
      <c r="F3" s="3"/>
      <c r="G3" s="28"/>
      <c r="H3" s="10"/>
      <c r="I3" s="10">
        <f t="shared" ref="I3:I34" si="5">IF(H3&lt;&gt;"",H3,I2/(1+IF(G2="",0,G2)/100))</f>
        <v>3694</v>
      </c>
      <c r="J3" s="10">
        <f t="shared" si="3"/>
        <v>161822309267.14862</v>
      </c>
      <c r="K3" s="11">
        <f t="shared" si="4"/>
        <v>1.0999999999999677E-2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43330165.490687616</v>
      </c>
      <c r="D4" s="11">
        <v>9.5999999999999992E-3</v>
      </c>
      <c r="E4" s="10">
        <f t="shared" si="2"/>
        <v>412014.25189243257</v>
      </c>
      <c r="F4" s="3"/>
      <c r="G4" s="28"/>
      <c r="H4" s="10"/>
      <c r="I4" s="10">
        <f t="shared" si="5"/>
        <v>3694</v>
      </c>
      <c r="J4" s="10">
        <f t="shared" si="3"/>
        <v>160061631322.60007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42918151.238795184</v>
      </c>
      <c r="D5" s="11">
        <v>9.5999999999999992E-3</v>
      </c>
      <c r="E5" s="10">
        <f t="shared" si="2"/>
        <v>408096.52525003254</v>
      </c>
      <c r="F5" s="3"/>
      <c r="G5" s="28"/>
      <c r="H5" s="10"/>
      <c r="I5" s="10">
        <f t="shared" si="5"/>
        <v>3694</v>
      </c>
      <c r="J5" s="10">
        <f t="shared" si="3"/>
        <v>158539650676.10941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42510054.713545151</v>
      </c>
      <c r="D6" s="11">
        <v>1.1900000000000001E-2</v>
      </c>
      <c r="E6" s="10">
        <f t="shared" si="2"/>
        <v>499920.59599880129</v>
      </c>
      <c r="F6" s="3"/>
      <c r="G6" s="28"/>
      <c r="H6" s="10"/>
      <c r="I6" s="10">
        <f t="shared" si="5"/>
        <v>3694</v>
      </c>
      <c r="J6" s="10">
        <f t="shared" si="3"/>
        <v>157032142111.83578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42010134.11754635</v>
      </c>
      <c r="D7" s="11">
        <v>1.7100000000000001E-2</v>
      </c>
      <c r="E7" s="10">
        <f t="shared" si="2"/>
        <v>706295.63800023496</v>
      </c>
      <c r="F7" s="3"/>
      <c r="G7" s="28"/>
      <c r="H7" s="10"/>
      <c r="I7" s="10">
        <f t="shared" si="5"/>
        <v>3694</v>
      </c>
      <c r="J7" s="10">
        <f t="shared" si="3"/>
        <v>155185435430.21622</v>
      </c>
      <c r="K7" s="11">
        <f t="shared" si="4"/>
        <v>1.7099999999999893E-2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41303838.479546115</v>
      </c>
      <c r="D8" s="11">
        <v>1.8100000000000002E-2</v>
      </c>
      <c r="E8" s="10">
        <f t="shared" si="2"/>
        <v>734308.49276081473</v>
      </c>
      <c r="F8" s="3"/>
      <c r="G8" s="28"/>
      <c r="H8" s="10"/>
      <c r="I8" s="10">
        <f t="shared" si="5"/>
        <v>3694</v>
      </c>
      <c r="J8" s="10">
        <f t="shared" si="3"/>
        <v>152576379343.44336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40569529.9867853</v>
      </c>
      <c r="D9" s="11">
        <v>1.47E-2</v>
      </c>
      <c r="E9" s="10">
        <f t="shared" si="2"/>
        <v>587732.42417043447</v>
      </c>
      <c r="F9" s="3"/>
      <c r="G9" s="28"/>
      <c r="H9" s="10"/>
      <c r="I9" s="10">
        <f t="shared" si="5"/>
        <v>3694</v>
      </c>
      <c r="J9" s="10">
        <f t="shared" si="3"/>
        <v>149863843771.18491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39981797.562614866</v>
      </c>
      <c r="D10" s="11">
        <v>1.3299999999999999E-2</v>
      </c>
      <c r="E10" s="10">
        <f t="shared" si="2"/>
        <v>524778.3554552272</v>
      </c>
      <c r="F10" s="3"/>
      <c r="G10" s="28"/>
      <c r="H10" s="10"/>
      <c r="I10" s="10">
        <f t="shared" si="5"/>
        <v>3694</v>
      </c>
      <c r="J10" s="10">
        <f t="shared" si="3"/>
        <v>147692760196.29932</v>
      </c>
      <c r="K10" s="11">
        <f t="shared" si="4"/>
        <v>1.330000000000009E-2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39457019.207159638</v>
      </c>
      <c r="D11" s="11">
        <v>1.1299999999999999E-2</v>
      </c>
      <c r="E11" s="10">
        <f t="shared" si="2"/>
        <v>440882.34652516991</v>
      </c>
      <c r="F11" s="3"/>
      <c r="G11" s="28"/>
      <c r="H11" s="10"/>
      <c r="I11" s="10">
        <f t="shared" si="5"/>
        <v>3694</v>
      </c>
      <c r="J11" s="10">
        <f t="shared" si="3"/>
        <v>145754228951.24771</v>
      </c>
      <c r="K11" s="11">
        <f t="shared" si="4"/>
        <v>1.1300000000000088E-2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39016136.860634468</v>
      </c>
      <c r="D12" s="11">
        <v>9.9000000000000008E-3</v>
      </c>
      <c r="E12" s="10">
        <f t="shared" si="2"/>
        <v>382473.26955171674</v>
      </c>
      <c r="F12" s="3"/>
      <c r="G12" s="28"/>
      <c r="H12" s="10"/>
      <c r="I12" s="10">
        <f t="shared" si="5"/>
        <v>3694</v>
      </c>
      <c r="J12" s="10">
        <f t="shared" si="3"/>
        <v>144125609563.18372</v>
      </c>
      <c r="K12" s="11">
        <f t="shared" si="4"/>
        <v>9.8999999999997979E-3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38633663.591082752</v>
      </c>
      <c r="D13" s="11">
        <v>8.9999999999999993E-3</v>
      </c>
      <c r="E13" s="10">
        <f t="shared" si="2"/>
        <v>344601.55829508603</v>
      </c>
      <c r="F13" s="3"/>
      <c r="G13" s="28"/>
      <c r="H13" s="10"/>
      <c r="I13" s="10">
        <f t="shared" si="5"/>
        <v>3694</v>
      </c>
      <c r="J13" s="10">
        <f t="shared" si="3"/>
        <v>142712753305.45969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38289062.032787666</v>
      </c>
      <c r="D14" s="11">
        <v>8.3999999999999995E-3</v>
      </c>
      <c r="E14" s="10">
        <f t="shared" si="2"/>
        <v>318948.94989628345</v>
      </c>
      <c r="F14" s="3"/>
      <c r="G14" s="28"/>
      <c r="H14" s="10"/>
      <c r="I14" s="10">
        <f t="shared" si="5"/>
        <v>3694</v>
      </c>
      <c r="J14" s="10">
        <f t="shared" si="3"/>
        <v>141439795149.11765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37970113.082891382</v>
      </c>
      <c r="D15" s="11">
        <v>7.4999999999999997E-3</v>
      </c>
      <c r="E15" s="10">
        <f t="shared" si="2"/>
        <v>282655.92865676433</v>
      </c>
      <c r="F15" s="3"/>
      <c r="G15" s="28"/>
      <c r="H15" s="10"/>
      <c r="I15" s="10">
        <f t="shared" si="5"/>
        <v>3694</v>
      </c>
      <c r="J15" s="10">
        <f t="shared" si="3"/>
        <v>140261597728.20078</v>
      </c>
      <c r="K15" s="11">
        <f t="shared" si="4"/>
        <v>7.5000000000002842E-3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37687457.154234618</v>
      </c>
      <c r="D16" s="11">
        <v>6.4999999999999997E-3</v>
      </c>
      <c r="E16" s="10">
        <f t="shared" si="2"/>
        <v>243386.45951566845</v>
      </c>
      <c r="F16" s="3"/>
      <c r="G16" s="28"/>
      <c r="H16" s="10"/>
      <c r="I16" s="10">
        <f t="shared" si="5"/>
        <v>3694</v>
      </c>
      <c r="J16" s="10">
        <f t="shared" si="3"/>
        <v>139217466727.74268</v>
      </c>
      <c r="K16" s="11">
        <f t="shared" si="4"/>
        <v>6.4999999999997282E-3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37444070.694718949</v>
      </c>
      <c r="D17" s="11">
        <v>6.1999999999999998E-3</v>
      </c>
      <c r="E17" s="10">
        <f t="shared" si="2"/>
        <v>230722.757212542</v>
      </c>
      <c r="F17" s="3"/>
      <c r="G17" s="28"/>
      <c r="H17" s="10"/>
      <c r="I17" s="10">
        <f t="shared" si="5"/>
        <v>3694</v>
      </c>
      <c r="J17" s="10">
        <f t="shared" si="3"/>
        <v>138318397146.29181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37213347.937506407</v>
      </c>
      <c r="D18" s="11">
        <v>6.6E-3</v>
      </c>
      <c r="E18" s="10">
        <f t="shared" si="2"/>
        <v>243997.71149169654</v>
      </c>
      <c r="F18" s="3"/>
      <c r="G18" s="28"/>
      <c r="H18" s="10"/>
      <c r="I18" s="10">
        <f t="shared" si="5"/>
        <v>3694</v>
      </c>
      <c r="J18" s="10">
        <f t="shared" si="3"/>
        <v>137466107281.14868</v>
      </c>
      <c r="K18" s="11">
        <f t="shared" si="4"/>
        <v>6.5999999999999392E-3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36969350.226014711</v>
      </c>
      <c r="D19" s="11">
        <v>7.3000000000000001E-3</v>
      </c>
      <c r="E19" s="10">
        <f t="shared" si="2"/>
        <v>267920.43745648116</v>
      </c>
      <c r="F19" s="3"/>
      <c r="G19" s="28"/>
      <c r="H19" s="10"/>
      <c r="I19" s="10">
        <f t="shared" si="5"/>
        <v>3694</v>
      </c>
      <c r="J19" s="10">
        <f t="shared" si="3"/>
        <v>136564779734.89835</v>
      </c>
      <c r="K19" s="11">
        <f t="shared" si="4"/>
        <v>7.3000000000003062E-3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36701429.78855823</v>
      </c>
      <c r="D20" s="11">
        <v>7.9000000000000008E-3</v>
      </c>
      <c r="E20" s="10">
        <f t="shared" si="2"/>
        <v>287668.71250085533</v>
      </c>
      <c r="F20" s="3"/>
      <c r="G20" s="28"/>
      <c r="H20" s="10"/>
      <c r="I20" s="10">
        <f t="shared" si="5"/>
        <v>3694</v>
      </c>
      <c r="J20" s="10">
        <f t="shared" si="3"/>
        <v>135575081638.9341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36413761.076057374</v>
      </c>
      <c r="D21" s="11">
        <v>8.8999999999999999E-3</v>
      </c>
      <c r="E21" s="10">
        <f t="shared" si="2"/>
        <v>321223.58368213475</v>
      </c>
      <c r="F21" s="3"/>
      <c r="G21" s="28"/>
      <c r="H21" s="10"/>
      <c r="I21" s="10">
        <f t="shared" si="5"/>
        <v>3694</v>
      </c>
      <c r="J21" s="10">
        <f t="shared" si="3"/>
        <v>134512433414.95595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36092537.49237524</v>
      </c>
      <c r="D22" s="11">
        <v>9.7999999999999997E-3</v>
      </c>
      <c r="E22" s="10">
        <f t="shared" si="2"/>
        <v>350274.18045680225</v>
      </c>
      <c r="F22" s="3"/>
      <c r="G22" s="28"/>
      <c r="H22" s="10"/>
      <c r="I22" s="10">
        <f t="shared" si="5"/>
        <v>3694</v>
      </c>
      <c r="J22" s="10">
        <f t="shared" si="3"/>
        <v>133325833496.83414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35742263.311918437</v>
      </c>
      <c r="D23" s="11">
        <v>1.0699999999999999E-2</v>
      </c>
      <c r="E23" s="10">
        <f t="shared" si="2"/>
        <v>378393.40797222406</v>
      </c>
      <c r="F23" s="3"/>
      <c r="G23" s="28"/>
      <c r="H23" s="10"/>
      <c r="I23" s="10">
        <f t="shared" si="5"/>
        <v>3694</v>
      </c>
      <c r="J23" s="10">
        <f t="shared" si="3"/>
        <v>132031920674.22672</v>
      </c>
      <c r="K23" s="11">
        <f t="shared" si="4"/>
        <v>1.0700000000000154E-2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35363869.903946213</v>
      </c>
      <c r="D24" s="11">
        <v>1.1900000000000001E-2</v>
      </c>
      <c r="E24" s="10">
        <f t="shared" si="2"/>
        <v>415881.06715778261</v>
      </c>
      <c r="F24" s="3"/>
      <c r="G24" s="28"/>
      <c r="H24" s="10"/>
      <c r="I24" s="10">
        <f t="shared" si="5"/>
        <v>3694</v>
      </c>
      <c r="J24" s="10">
        <f t="shared" si="3"/>
        <v>130634135425.17731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34947988.836788431</v>
      </c>
      <c r="D25" s="11">
        <v>1.37E-2</v>
      </c>
      <c r="E25" s="10">
        <f t="shared" si="2"/>
        <v>472316.70816218108</v>
      </c>
      <c r="F25" s="3"/>
      <c r="G25" s="28"/>
      <c r="H25" s="10"/>
      <c r="I25" s="10">
        <f t="shared" si="5"/>
        <v>3694</v>
      </c>
      <c r="J25" s="10">
        <f t="shared" si="3"/>
        <v>129097870763.09647</v>
      </c>
      <c r="K25" s="11">
        <f t="shared" si="4"/>
        <v>1.3700000000000045E-2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34475672.12862625</v>
      </c>
      <c r="D26" s="11">
        <v>1.5599999999999999E-2</v>
      </c>
      <c r="E26" s="10">
        <f t="shared" si="2"/>
        <v>529559.35920300335</v>
      </c>
      <c r="F26" s="3"/>
      <c r="G26" s="28"/>
      <c r="H26" s="10"/>
      <c r="I26" s="10">
        <f t="shared" si="5"/>
        <v>3694</v>
      </c>
      <c r="J26" s="10">
        <f t="shared" si="3"/>
        <v>127353132843.14537</v>
      </c>
      <c r="K26" s="11">
        <f t="shared" si="4"/>
        <v>1.5600000000000058E-2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33946112.769423246</v>
      </c>
      <c r="D27" s="11">
        <v>1.7299999999999999E-2</v>
      </c>
      <c r="E27" s="10">
        <f t="shared" si="2"/>
        <v>577280.79318885878</v>
      </c>
      <c r="F27" s="3"/>
      <c r="G27" s="28"/>
      <c r="H27" s="10"/>
      <c r="I27" s="10">
        <f t="shared" si="5"/>
        <v>3694</v>
      </c>
      <c r="J27" s="10">
        <f t="shared" si="3"/>
        <v>125396940570.24947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33368831.976234388</v>
      </c>
      <c r="D28" s="11">
        <v>1.8200000000000001E-2</v>
      </c>
      <c r="E28" s="10">
        <f t="shared" si="2"/>
        <v>596457.22055339441</v>
      </c>
      <c r="F28" s="3"/>
      <c r="G28" s="28"/>
      <c r="H28" s="10"/>
      <c r="I28" s="10">
        <f t="shared" si="5"/>
        <v>3694</v>
      </c>
      <c r="J28" s="10">
        <f t="shared" si="3"/>
        <v>123264465320.20982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32772374.755680993</v>
      </c>
      <c r="D29" s="11">
        <v>1.8499999999999999E-2</v>
      </c>
      <c r="E29" s="10">
        <f t="shared" si="2"/>
        <v>595276.32104084268</v>
      </c>
      <c r="F29" s="3"/>
      <c r="G29" s="28"/>
      <c r="H29" s="10"/>
      <c r="I29" s="10">
        <f t="shared" si="5"/>
        <v>3694</v>
      </c>
      <c r="J29" s="10">
        <f t="shared" si="3"/>
        <v>121061152347.4856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32177098.434640151</v>
      </c>
      <c r="D30" s="12">
        <v>1.8800000000000001E-2</v>
      </c>
      <c r="E30" s="10">
        <f t="shared" si="2"/>
        <v>593766.63778094947</v>
      </c>
      <c r="F30" s="3"/>
      <c r="G30" s="28"/>
      <c r="H30" s="10"/>
      <c r="I30" s="10">
        <f t="shared" si="5"/>
        <v>3694</v>
      </c>
      <c r="J30" s="10">
        <f t="shared" si="3"/>
        <v>118862201617.56071</v>
      </c>
      <c r="K30" s="11">
        <f t="shared" si="4"/>
        <v>1.8799999999999928E-2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31583331.796859201</v>
      </c>
      <c r="D31" s="13">
        <v>1.9400000000000001E-2</v>
      </c>
      <c r="E31" s="10">
        <f t="shared" si="2"/>
        <v>601056.14759571478</v>
      </c>
      <c r="F31" s="3"/>
      <c r="G31" s="28"/>
      <c r="H31" s="10"/>
      <c r="I31" s="10">
        <f t="shared" si="5"/>
        <v>3694</v>
      </c>
      <c r="J31" s="10">
        <f t="shared" si="3"/>
        <v>116668827657.59789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30982275.649263486</v>
      </c>
      <c r="D32" s="12">
        <v>1.9800000000000002E-2</v>
      </c>
      <c r="E32" s="10">
        <f t="shared" si="2"/>
        <v>601538.59370015562</v>
      </c>
      <c r="F32" s="3"/>
      <c r="G32" s="28"/>
      <c r="H32" s="10"/>
      <c r="I32" s="10">
        <f t="shared" si="5"/>
        <v>3694</v>
      </c>
      <c r="J32" s="10">
        <f t="shared" si="3"/>
        <v>114448526248.37932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30380737.055563331</v>
      </c>
      <c r="D33" s="13">
        <v>2.0199999999999999E-2</v>
      </c>
      <c r="E33" s="10">
        <f t="shared" si="2"/>
        <v>601539.78486804292</v>
      </c>
      <c r="F33" s="3"/>
      <c r="G33" s="28"/>
      <c r="H33" s="10"/>
      <c r="I33" s="10">
        <f t="shared" si="5"/>
        <v>3694</v>
      </c>
      <c r="J33" s="10">
        <f t="shared" si="3"/>
        <v>112226442683.25095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29779197.270695288</v>
      </c>
      <c r="D34" s="12">
        <v>2.0400000000000001E-2</v>
      </c>
      <c r="E34" s="10">
        <f t="shared" si="2"/>
        <v>595350.47463953495</v>
      </c>
      <c r="F34" s="3"/>
      <c r="G34" s="28"/>
      <c r="H34" s="10"/>
      <c r="I34" s="10">
        <f t="shared" si="5"/>
        <v>3694</v>
      </c>
      <c r="J34" s="10">
        <f t="shared" ref="J34:J65" si="6">IF(I34="","",I34*C34)</f>
        <v>110004354717.94839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29183846.796055753</v>
      </c>
      <c r="D35" s="11">
        <v>2.1100000000000001E-2</v>
      </c>
      <c r="E35" s="10">
        <f t="shared" si="2"/>
        <v>603054.71295345575</v>
      </c>
      <c r="F35" s="3"/>
      <c r="G35" s="28"/>
      <c r="H35" s="10"/>
      <c r="I35" s="10">
        <f t="shared" ref="I35:I66" si="8">IF(H35&lt;&gt;"",H35,I34/(1+IF(G34="",0,G34)/100))</f>
        <v>3694</v>
      </c>
      <c r="J35" s="10">
        <f t="shared" si="6"/>
        <v>107805130064.62994</v>
      </c>
      <c r="K35" s="11">
        <f t="shared" si="7"/>
        <v>2.1099999999999897E-2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28580792.083102297</v>
      </c>
      <c r="D36" s="11">
        <v>2.2100000000000002E-2</v>
      </c>
      <c r="E36" s="10">
        <f t="shared" si="2"/>
        <v>617978.18710161373</v>
      </c>
      <c r="F36" s="3"/>
      <c r="G36" s="28"/>
      <c r="H36" s="10"/>
      <c r="I36" s="10">
        <f t="shared" si="8"/>
        <v>3694</v>
      </c>
      <c r="J36" s="10">
        <f t="shared" si="6"/>
        <v>105577445954.97989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27962813.896000683</v>
      </c>
      <c r="D37" s="11">
        <v>2.24E-2</v>
      </c>
      <c r="E37" s="10">
        <f t="shared" si="2"/>
        <v>612643.80992802605</v>
      </c>
      <c r="F37" s="3"/>
      <c r="G37" s="28"/>
      <c r="H37" s="10"/>
      <c r="I37" s="10">
        <f t="shared" si="8"/>
        <v>3694</v>
      </c>
      <c r="J37" s="10">
        <f t="shared" si="6"/>
        <v>103294634531.82652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27350170.086072657</v>
      </c>
      <c r="D38" s="11">
        <v>2.2700000000000001E-2</v>
      </c>
      <c r="E38" s="10">
        <f t="shared" si="2"/>
        <v>607068.40809020028</v>
      </c>
      <c r="F38" s="3"/>
      <c r="G38" s="28"/>
      <c r="H38" s="10"/>
      <c r="I38" s="10">
        <f t="shared" si="8"/>
        <v>3694</v>
      </c>
      <c r="J38" s="10">
        <f t="shared" si="6"/>
        <v>101031528297.95239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26743101.677982457</v>
      </c>
      <c r="D39" s="11">
        <v>2.29E-2</v>
      </c>
      <c r="E39" s="10">
        <f t="shared" si="2"/>
        <v>598706.64622719213</v>
      </c>
      <c r="F39" s="3"/>
      <c r="G39" s="28"/>
      <c r="H39" s="10"/>
      <c r="I39" s="10">
        <f t="shared" si="8"/>
        <v>3694</v>
      </c>
      <c r="J39" s="10">
        <f t="shared" si="6"/>
        <v>98789017598.467194</v>
      </c>
      <c r="K39" s="11">
        <f t="shared" si="7"/>
        <v>2.2899999999999698E-2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26144395.031755265</v>
      </c>
      <c r="D40" s="11">
        <v>2.3599999999999999E-2</v>
      </c>
      <c r="E40" s="10">
        <f t="shared" si="2"/>
        <v>602782.06599201262</v>
      </c>
      <c r="F40" s="3"/>
      <c r="G40" s="28"/>
      <c r="H40" s="10"/>
      <c r="I40" s="10">
        <f t="shared" si="8"/>
        <v>3694</v>
      </c>
      <c r="J40" s="10">
        <f t="shared" si="6"/>
        <v>96577395247.303955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25541612.965763252</v>
      </c>
      <c r="D41" s="11">
        <v>2.4400000000000002E-2</v>
      </c>
      <c r="E41" s="10">
        <f t="shared" si="2"/>
        <v>608371.10148830712</v>
      </c>
      <c r="F41" s="3"/>
      <c r="G41" s="28"/>
      <c r="H41" s="10"/>
      <c r="I41" s="10">
        <f t="shared" si="8"/>
        <v>3694</v>
      </c>
      <c r="J41" s="10">
        <f t="shared" si="6"/>
        <v>94350718295.529449</v>
      </c>
      <c r="K41" s="11">
        <f t="shared" si="7"/>
        <v>2.4399999999999755E-2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24933241.864274945</v>
      </c>
      <c r="D42" s="11">
        <v>2.4799999999999999E-2</v>
      </c>
      <c r="E42" s="10">
        <f t="shared" si="2"/>
        <v>603380.56033764407</v>
      </c>
      <c r="F42" s="3"/>
      <c r="G42" s="28"/>
      <c r="H42" s="10"/>
      <c r="I42" s="10">
        <f t="shared" si="8"/>
        <v>3694</v>
      </c>
      <c r="J42" s="10">
        <f t="shared" si="6"/>
        <v>92103395446.631653</v>
      </c>
      <c r="K42" s="11">
        <f t="shared" si="7"/>
        <v>2.4800000000000155E-2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24329861.303937301</v>
      </c>
      <c r="D43" s="11">
        <v>2.4899999999999999E-2</v>
      </c>
      <c r="E43" s="10">
        <f t="shared" si="2"/>
        <v>591095.27414190397</v>
      </c>
      <c r="F43" s="3"/>
      <c r="G43" s="28"/>
      <c r="H43" s="10"/>
      <c r="I43" s="10">
        <f t="shared" si="8"/>
        <v>3694</v>
      </c>
      <c r="J43" s="10">
        <f t="shared" si="6"/>
        <v>89874507656.744385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23738766.029795397</v>
      </c>
      <c r="D44" s="11">
        <v>2.4799999999999999E-2</v>
      </c>
      <c r="E44" s="10">
        <f t="shared" si="2"/>
        <v>574474.43163439259</v>
      </c>
      <c r="F44" s="3"/>
      <c r="G44" s="28"/>
      <c r="H44" s="10"/>
      <c r="I44" s="10">
        <f t="shared" si="8"/>
        <v>3694</v>
      </c>
      <c r="J44" s="10">
        <f t="shared" si="6"/>
        <v>87691001714.064194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23164291.598161004</v>
      </c>
      <c r="D45" s="11">
        <v>2.4899999999999999E-2</v>
      </c>
      <c r="E45" s="10">
        <f t="shared" si="2"/>
        <v>562777.69615982845</v>
      </c>
      <c r="F45" s="3"/>
      <c r="G45" s="28"/>
      <c r="H45" s="10"/>
      <c r="I45" s="10">
        <f t="shared" si="8"/>
        <v>3694</v>
      </c>
      <c r="J45" s="10">
        <f t="shared" si="6"/>
        <v>85568893163.60675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22601513.902001176</v>
      </c>
      <c r="D46" s="11">
        <v>2.5000000000000001E-2</v>
      </c>
      <c r="E46" s="10">
        <f t="shared" si="2"/>
        <v>551256.43663417175</v>
      </c>
      <c r="F46" s="3"/>
      <c r="G46" s="28"/>
      <c r="H46" s="10"/>
      <c r="I46" s="10">
        <f t="shared" si="8"/>
        <v>3694</v>
      </c>
      <c r="J46" s="10">
        <f t="shared" si="6"/>
        <v>83489992353.99234</v>
      </c>
      <c r="K46" s="11">
        <f t="shared" si="7"/>
        <v>2.4999999999999689E-2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22050257.465367004</v>
      </c>
      <c r="D47" s="11">
        <v>2.4899999999999999E-2</v>
      </c>
      <c r="E47" s="10">
        <f t="shared" si="2"/>
        <v>535712.17766380683</v>
      </c>
      <c r="F47" s="3"/>
      <c r="G47" s="28"/>
      <c r="H47" s="10"/>
      <c r="I47" s="10">
        <f t="shared" si="8"/>
        <v>3694</v>
      </c>
      <c r="J47" s="10">
        <f t="shared" si="6"/>
        <v>81453651077.06572</v>
      </c>
      <c r="K47" s="11">
        <f t="shared" si="7"/>
        <v>2.4900000000000144E-2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21514545.287703197</v>
      </c>
      <c r="D48" s="11">
        <v>2.4899999999999999E-2</v>
      </c>
      <c r="E48" s="10">
        <f t="shared" si="2"/>
        <v>522697.02182047814</v>
      </c>
      <c r="F48" s="3"/>
      <c r="G48" s="28"/>
      <c r="H48" s="10"/>
      <c r="I48" s="10">
        <f t="shared" si="8"/>
        <v>3694</v>
      </c>
      <c r="J48" s="10">
        <f t="shared" si="6"/>
        <v>79474730292.775604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20991848.265882719</v>
      </c>
      <c r="D49" s="11">
        <v>2.47E-2</v>
      </c>
      <c r="E49" s="10">
        <f t="shared" si="2"/>
        <v>506000.44126798213</v>
      </c>
      <c r="F49" s="3"/>
      <c r="G49" s="28"/>
      <c r="H49" s="10"/>
      <c r="I49" s="10">
        <f t="shared" si="8"/>
        <v>3694</v>
      </c>
      <c r="J49" s="10">
        <f t="shared" si="6"/>
        <v>77543887494.170761</v>
      </c>
      <c r="K49" s="11">
        <f t="shared" si="7"/>
        <v>2.4699999999999722E-2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20485847.824614737</v>
      </c>
      <c r="D50" s="11">
        <v>2.47E-2</v>
      </c>
      <c r="E50" s="10">
        <f t="shared" si="2"/>
        <v>493803.49494289234</v>
      </c>
      <c r="F50" s="3"/>
      <c r="G50" s="28"/>
      <c r="H50" s="10"/>
      <c r="I50" s="10">
        <f t="shared" si="8"/>
        <v>3694</v>
      </c>
      <c r="J50" s="10">
        <f t="shared" si="6"/>
        <v>75674721864.126846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19992044.329671845</v>
      </c>
      <c r="D51" s="11">
        <v>2.4899999999999999E-2</v>
      </c>
      <c r="E51" s="10">
        <f t="shared" si="2"/>
        <v>485707.78008471802</v>
      </c>
      <c r="F51" s="3"/>
      <c r="G51" s="28"/>
      <c r="H51" s="10"/>
      <c r="I51" s="10">
        <f t="shared" si="8"/>
        <v>3694</v>
      </c>
      <c r="J51" s="10">
        <f t="shared" si="6"/>
        <v>73850611753.8078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19506336.549587127</v>
      </c>
      <c r="D52" s="11">
        <v>2.53E-2</v>
      </c>
      <c r="E52" s="10">
        <f t="shared" si="2"/>
        <v>481332.59992641956</v>
      </c>
      <c r="F52" s="3"/>
      <c r="G52" s="28"/>
      <c r="H52" s="10"/>
      <c r="I52" s="10">
        <f t="shared" si="8"/>
        <v>3694</v>
      </c>
      <c r="J52" s="10">
        <f t="shared" si="6"/>
        <v>72056407214.17485</v>
      </c>
      <c r="K52" s="11">
        <f t="shared" si="7"/>
        <v>2.5300000000000322E-2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19025003.949660707</v>
      </c>
      <c r="D53" s="11">
        <v>2.5899999999999999E-2</v>
      </c>
      <c r="E53" s="10">
        <f t="shared" si="2"/>
        <v>480307.63456108049</v>
      </c>
      <c r="F53" s="3"/>
      <c r="G53" s="28"/>
      <c r="H53" s="10"/>
      <c r="I53" s="10">
        <f t="shared" si="8"/>
        <v>3694</v>
      </c>
      <c r="J53" s="10">
        <f t="shared" si="6"/>
        <v>70278364590.046646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18544696.315099627</v>
      </c>
      <c r="D54" s="11">
        <v>2.6499999999999999E-2</v>
      </c>
      <c r="E54" s="10">
        <f t="shared" si="2"/>
        <v>478747.63989297673</v>
      </c>
      <c r="F54" s="3"/>
      <c r="G54" s="28"/>
      <c r="H54" s="10"/>
      <c r="I54" s="10">
        <f t="shared" si="8"/>
        <v>3694</v>
      </c>
      <c r="J54" s="10">
        <f t="shared" si="6"/>
        <v>68504108187.97802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18065948.67520665</v>
      </c>
      <c r="D55" s="11">
        <v>2.46E-2</v>
      </c>
      <c r="E55" s="10">
        <f t="shared" si="2"/>
        <v>433752.03729268163</v>
      </c>
      <c r="F55" s="3"/>
      <c r="G55" s="28"/>
      <c r="H55" s="10"/>
      <c r="I55" s="10">
        <f t="shared" si="8"/>
        <v>3694</v>
      </c>
      <c r="J55" s="10">
        <f t="shared" si="6"/>
        <v>66735614406.213364</v>
      </c>
      <c r="K55" s="11">
        <f t="shared" si="7"/>
        <v>2.4599999999999733E-2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17632196.637913968</v>
      </c>
      <c r="D56" s="11">
        <v>2.5100000000000001E-2</v>
      </c>
      <c r="E56" s="10">
        <f t="shared" si="2"/>
        <v>431731.67067763209</v>
      </c>
      <c r="F56" s="3"/>
      <c r="G56" s="28"/>
      <c r="H56" s="10"/>
      <c r="I56" s="10">
        <f t="shared" si="8"/>
        <v>3694</v>
      </c>
      <c r="J56" s="10">
        <f t="shared" si="6"/>
        <v>65133334380.454201</v>
      </c>
      <c r="K56" s="11">
        <f t="shared" si="7"/>
        <v>2.5100000000000122E-2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17200464.967236336</v>
      </c>
      <c r="D57" s="11">
        <v>2.7900000000000001E-2</v>
      </c>
      <c r="E57" s="10">
        <f t="shared" si="2"/>
        <v>466867.37288247421</v>
      </c>
      <c r="F57" s="3"/>
      <c r="G57" s="28"/>
      <c r="H57" s="10"/>
      <c r="I57" s="10">
        <f t="shared" si="8"/>
        <v>3694</v>
      </c>
      <c r="J57" s="10">
        <f t="shared" si="6"/>
        <v>63538517588.971024</v>
      </c>
      <c r="K57" s="11">
        <f t="shared" si="7"/>
        <v>2.7900000000000036E-2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16733597.594353862</v>
      </c>
      <c r="D58" s="11">
        <v>2.81E-2</v>
      </c>
      <c r="E58" s="10">
        <f t="shared" si="2"/>
        <v>457362.21418280713</v>
      </c>
      <c r="F58" s="3"/>
      <c r="G58" s="28"/>
      <c r="H58" s="10"/>
      <c r="I58" s="10">
        <f t="shared" si="8"/>
        <v>3694</v>
      </c>
      <c r="J58" s="10">
        <f t="shared" si="6"/>
        <v>61813909513.543167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16276235.380171055</v>
      </c>
      <c r="D59" s="11">
        <v>2.8299999999999999E-2</v>
      </c>
      <c r="E59" s="10">
        <f t="shared" si="2"/>
        <v>447940.73836316355</v>
      </c>
      <c r="F59" s="3"/>
      <c r="G59" s="28"/>
      <c r="H59" s="10"/>
      <c r="I59" s="10">
        <f t="shared" si="8"/>
        <v>3694</v>
      </c>
      <c r="J59" s="10">
        <f t="shared" si="6"/>
        <v>60124413494.351875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15828294.641807891</v>
      </c>
      <c r="D60" s="11">
        <v>2.8500000000000001E-2</v>
      </c>
      <c r="E60" s="10">
        <f t="shared" si="2"/>
        <v>438606.12279195338</v>
      </c>
      <c r="F60" s="3"/>
      <c r="G60" s="28"/>
      <c r="H60" s="10"/>
      <c r="I60" s="10">
        <f t="shared" si="8"/>
        <v>3694</v>
      </c>
      <c r="J60" s="10">
        <f t="shared" si="6"/>
        <v>58469720406.838348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15389688.519015938</v>
      </c>
      <c r="D61" s="11">
        <v>2.87E-2</v>
      </c>
      <c r="E61" s="10">
        <f t="shared" si="2"/>
        <v>429361.38864173926</v>
      </c>
      <c r="F61" s="3"/>
      <c r="G61" s="28"/>
      <c r="H61" s="10"/>
      <c r="I61" s="10">
        <f t="shared" si="8"/>
        <v>3694</v>
      </c>
      <c r="J61" s="10">
        <f t="shared" si="6"/>
        <v>56849509389.244873</v>
      </c>
      <c r="K61" s="11">
        <f t="shared" si="7"/>
        <v>2.8699999999999948E-2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14960327.130374199</v>
      </c>
      <c r="D62" s="11">
        <v>2.8899999999999999E-2</v>
      </c>
      <c r="E62" s="10">
        <f t="shared" si="2"/>
        <v>420209.40234018117</v>
      </c>
      <c r="F62" s="3"/>
      <c r="G62" s="28"/>
      <c r="H62" s="10"/>
      <c r="I62" s="10">
        <f t="shared" si="8"/>
        <v>3694</v>
      </c>
      <c r="J62" s="10">
        <f t="shared" si="6"/>
        <v>55263448419.602287</v>
      </c>
      <c r="K62" s="11">
        <f t="shared" si="7"/>
        <v>2.8899999999999926E-2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14540117.728034018</v>
      </c>
      <c r="D63" s="11">
        <v>2.9000000000000001E-2</v>
      </c>
      <c r="E63" s="10">
        <f t="shared" si="2"/>
        <v>409779.79991543852</v>
      </c>
      <c r="F63" s="3"/>
      <c r="G63" s="28"/>
      <c r="H63" s="10"/>
      <c r="I63" s="10">
        <f t="shared" si="8"/>
        <v>3694</v>
      </c>
      <c r="J63" s="10">
        <f t="shared" si="6"/>
        <v>53711194887.357658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14130337.928118579</v>
      </c>
      <c r="D64" s="11">
        <v>2.9100000000000001E-2</v>
      </c>
      <c r="E64" s="10">
        <f t="shared" si="2"/>
        <v>399565.47829001024</v>
      </c>
      <c r="F64" s="3"/>
      <c r="G64" s="28"/>
      <c r="H64" s="10"/>
      <c r="I64" s="10">
        <f t="shared" si="8"/>
        <v>3694</v>
      </c>
      <c r="J64" s="10">
        <f t="shared" si="6"/>
        <v>52197468306.470032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13730772.449828569</v>
      </c>
      <c r="D65" s="11">
        <v>2.92E-2</v>
      </c>
      <c r="E65" s="10">
        <f t="shared" si="2"/>
        <v>389563.30697142705</v>
      </c>
      <c r="F65" s="3"/>
      <c r="G65" s="28"/>
      <c r="H65" s="10"/>
      <c r="I65" s="10">
        <f t="shared" si="8"/>
        <v>3694</v>
      </c>
      <c r="J65" s="10">
        <f t="shared" si="6"/>
        <v>50721473429.666733</v>
      </c>
      <c r="K65" s="11">
        <f t="shared" si="7"/>
        <v>2.9199999999999893E-2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13341209.142857142</v>
      </c>
      <c r="D66" s="11">
        <v>2.9414285714285698E-2</v>
      </c>
      <c r="E66" s="10">
        <f t="shared" si="2"/>
        <v>381209.14285714179</v>
      </c>
      <c r="F66" s="3"/>
      <c r="G66" s="28"/>
      <c r="H66" s="10"/>
      <c r="I66" s="10">
        <f t="shared" si="8"/>
        <v>3694</v>
      </c>
      <c r="J66" s="10">
        <f t="shared" ref="J66:J67" si="9">IF(I66="","",I66*C66)</f>
        <v>49282426573.714279</v>
      </c>
      <c r="K66" s="11">
        <f t="shared" ref="K66" si="10">IFERROR(J66/J67-1,"")</f>
        <v>2.9414285714285615E-2</v>
      </c>
    </row>
    <row r="67" spans="1:11" ht="22.5" customHeight="1">
      <c r="A67" s="3">
        <f t="shared" si="0"/>
        <v>1950</v>
      </c>
      <c r="B67" s="3">
        <v>1700</v>
      </c>
      <c r="C67" s="10">
        <v>12960000</v>
      </c>
      <c r="D67" s="11">
        <v>2.9564285714285699E-2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3694</v>
      </c>
      <c r="J67" s="10">
        <f t="shared" si="9"/>
        <v>47874240000</v>
      </c>
      <c r="K67" s="11"/>
    </row>
  </sheetData>
  <dataValidations count="1">
    <dataValidation type="custom" allowBlank="1" showDropDown="1" sqref="D2:D67" xr:uid="{00000000-0002-0000-0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1638367.4844887413</v>
      </c>
      <c r="D2" s="11">
        <v>3.1199999999999999E-2</v>
      </c>
      <c r="E2" s="10">
        <f t="shared" ref="E2:E66" si="2">SUM(C2-C3)</f>
        <v>49570.466947292909</v>
      </c>
      <c r="F2" s="15">
        <v>1638021</v>
      </c>
      <c r="G2" s="28"/>
      <c r="H2" s="10"/>
      <c r="I2" s="10">
        <f>IF(H2&lt;&gt;"",H2,9405)</f>
        <v>9405</v>
      </c>
      <c r="J2" s="10">
        <f t="shared" ref="J2:J33" si="3">IF(I2="","",I2*C2)</f>
        <v>15408846191.616611</v>
      </c>
      <c r="K2" s="11">
        <f t="shared" ref="K2:K33" si="4">IFERROR(J2/J3-1,"")</f>
        <v>3.1199999999999894E-2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1588797.0175414484</v>
      </c>
      <c r="D3" s="11">
        <v>3.6299999999999999E-2</v>
      </c>
      <c r="E3" s="10">
        <f t="shared" si="2"/>
        <v>55653.12335882918</v>
      </c>
      <c r="F3" s="3"/>
      <c r="G3" s="28"/>
      <c r="H3" s="10"/>
      <c r="I3" s="10">
        <f t="shared" ref="I3:I34" si="5">IF(H3&lt;&gt;"",H3,I2/(1+IF(G2="",0,G2)/100))</f>
        <v>9405</v>
      </c>
      <c r="J3" s="10">
        <f t="shared" si="3"/>
        <v>14942635949.977322</v>
      </c>
      <c r="K3" s="11">
        <f t="shared" si="4"/>
        <v>3.6299999999999999E-2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1533143.8941826192</v>
      </c>
      <c r="D4" s="11">
        <v>3.4200000000000001E-2</v>
      </c>
      <c r="E4" s="10">
        <f t="shared" si="2"/>
        <v>50699.595030985773</v>
      </c>
      <c r="F4" s="3"/>
      <c r="G4" s="28"/>
      <c r="H4" s="10"/>
      <c r="I4" s="10">
        <f t="shared" si="5"/>
        <v>9405</v>
      </c>
      <c r="J4" s="10">
        <f t="shared" si="3"/>
        <v>14419218324.787533</v>
      </c>
      <c r="K4" s="11">
        <f t="shared" si="4"/>
        <v>3.4199999999999786E-2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1482444.2991516334</v>
      </c>
      <c r="D5" s="11">
        <v>4.0500000000000001E-2</v>
      </c>
      <c r="E5" s="10">
        <f t="shared" si="2"/>
        <v>57702.060658953618</v>
      </c>
      <c r="F5" s="3"/>
      <c r="G5" s="28"/>
      <c r="H5" s="10"/>
      <c r="I5" s="10">
        <f t="shared" si="5"/>
        <v>9405</v>
      </c>
      <c r="J5" s="10">
        <f t="shared" si="3"/>
        <v>13942388633.521112</v>
      </c>
      <c r="K5" s="11">
        <f t="shared" si="4"/>
        <v>4.0500000000000203E-2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1424742.2384926798</v>
      </c>
      <c r="D6" s="11">
        <v>3.6900000000000002E-2</v>
      </c>
      <c r="E6" s="10">
        <f t="shared" si="2"/>
        <v>50702.081782601774</v>
      </c>
      <c r="F6" s="3"/>
      <c r="G6" s="28"/>
      <c r="H6" s="10"/>
      <c r="I6" s="10">
        <f t="shared" si="5"/>
        <v>9405</v>
      </c>
      <c r="J6" s="10">
        <f t="shared" si="3"/>
        <v>13399700753.023653</v>
      </c>
      <c r="K6" s="11">
        <f t="shared" si="4"/>
        <v>3.6899999999999933E-2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1374040.156710078</v>
      </c>
      <c r="D7" s="11">
        <v>2.93E-2</v>
      </c>
      <c r="E7" s="10">
        <f t="shared" si="2"/>
        <v>39113.355281847296</v>
      </c>
      <c r="F7" s="3"/>
      <c r="G7" s="28"/>
      <c r="H7" s="10"/>
      <c r="I7" s="10">
        <f t="shared" si="5"/>
        <v>9405</v>
      </c>
      <c r="J7" s="10">
        <f t="shared" si="3"/>
        <v>12922847673.858284</v>
      </c>
      <c r="K7" s="11">
        <f t="shared" si="4"/>
        <v>2.9300000000000104E-2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1334926.8014282307</v>
      </c>
      <c r="D8" s="11">
        <v>3.6499999999999998E-2</v>
      </c>
      <c r="E8" s="10">
        <f t="shared" si="2"/>
        <v>47008.999760858947</v>
      </c>
      <c r="F8" s="3"/>
      <c r="G8" s="28"/>
      <c r="H8" s="10"/>
      <c r="I8" s="10">
        <f t="shared" si="5"/>
        <v>9405</v>
      </c>
      <c r="J8" s="10">
        <f t="shared" si="3"/>
        <v>12554986567.43251</v>
      </c>
      <c r="K8" s="11">
        <f t="shared" si="4"/>
        <v>3.6499999999999977E-2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1287917.8016673718</v>
      </c>
      <c r="D9" s="11">
        <v>2.1899999999999999E-2</v>
      </c>
      <c r="E9" s="10">
        <f t="shared" si="2"/>
        <v>27600.939286148874</v>
      </c>
      <c r="F9" s="3"/>
      <c r="G9" s="28"/>
      <c r="H9" s="10"/>
      <c r="I9" s="10">
        <f t="shared" si="5"/>
        <v>9405</v>
      </c>
      <c r="J9" s="10">
        <f t="shared" si="3"/>
        <v>12112866924.681631</v>
      </c>
      <c r="K9" s="11">
        <f t="shared" si="4"/>
        <v>2.1900000000000031E-2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1260316.8623812229</v>
      </c>
      <c r="D10" s="11">
        <v>1.89E-2</v>
      </c>
      <c r="E10" s="10">
        <f t="shared" si="2"/>
        <v>23378.141818632837</v>
      </c>
      <c r="F10" s="3"/>
      <c r="G10" s="28"/>
      <c r="H10" s="10"/>
      <c r="I10" s="10">
        <f t="shared" si="5"/>
        <v>9405</v>
      </c>
      <c r="J10" s="10">
        <f t="shared" si="3"/>
        <v>11853280090.695402</v>
      </c>
      <c r="K10" s="11">
        <f t="shared" si="4"/>
        <v>1.8899999999999917E-2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1236938.7205625901</v>
      </c>
      <c r="D11" s="11">
        <v>4.0899999999999999E-2</v>
      </c>
      <c r="E11" s="10">
        <f t="shared" si="2"/>
        <v>48602.933683360461</v>
      </c>
      <c r="F11" s="3"/>
      <c r="G11" s="28"/>
      <c r="H11" s="10"/>
      <c r="I11" s="10">
        <f t="shared" si="5"/>
        <v>9405</v>
      </c>
      <c r="J11" s="10">
        <f t="shared" si="3"/>
        <v>11633408666.891159</v>
      </c>
      <c r="K11" s="11">
        <f t="shared" si="4"/>
        <v>4.0899999999999936E-2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1188335.7868792296</v>
      </c>
      <c r="D12" s="11">
        <v>3.5200000000000002E-2</v>
      </c>
      <c r="E12" s="10">
        <f t="shared" si="2"/>
        <v>40407.090125723276</v>
      </c>
      <c r="F12" s="3"/>
      <c r="G12" s="28"/>
      <c r="H12" s="10"/>
      <c r="I12" s="10">
        <f t="shared" si="5"/>
        <v>9405</v>
      </c>
      <c r="J12" s="10">
        <f t="shared" si="3"/>
        <v>11176298075.599154</v>
      </c>
      <c r="K12" s="11">
        <f t="shared" si="4"/>
        <v>3.5199999999999898E-2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1147928.6967535063</v>
      </c>
      <c r="D13" s="11">
        <v>3.5799999999999998E-2</v>
      </c>
      <c r="E13" s="10">
        <f t="shared" si="2"/>
        <v>39675.465672693215</v>
      </c>
      <c r="F13" s="3"/>
      <c r="G13" s="28"/>
      <c r="H13" s="10"/>
      <c r="I13" s="10">
        <f t="shared" si="5"/>
        <v>9405</v>
      </c>
      <c r="J13" s="10">
        <f t="shared" si="3"/>
        <v>10796269392.966726</v>
      </c>
      <c r="K13" s="11">
        <f t="shared" si="4"/>
        <v>3.5800000000000054E-2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1108253.2310808131</v>
      </c>
      <c r="D14" s="11">
        <v>6.1499999999999999E-2</v>
      </c>
      <c r="E14" s="10">
        <f t="shared" si="2"/>
        <v>64208.736421545153</v>
      </c>
      <c r="F14" s="3"/>
      <c r="G14" s="28"/>
      <c r="H14" s="10"/>
      <c r="I14" s="10">
        <f t="shared" si="5"/>
        <v>9405</v>
      </c>
      <c r="J14" s="10">
        <f t="shared" si="3"/>
        <v>10423121638.315046</v>
      </c>
      <c r="K14" s="11">
        <f t="shared" si="4"/>
        <v>6.150000000000011E-2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1044044.4946592679</v>
      </c>
      <c r="D15" s="11">
        <v>5.2499999999999998E-2</v>
      </c>
      <c r="E15" s="10">
        <f t="shared" si="2"/>
        <v>52078.228949749726</v>
      </c>
      <c r="F15" s="3"/>
      <c r="G15" s="28"/>
      <c r="H15" s="10"/>
      <c r="I15" s="10">
        <f t="shared" si="5"/>
        <v>9405</v>
      </c>
      <c r="J15" s="10">
        <f t="shared" si="3"/>
        <v>9819238472.2704144</v>
      </c>
      <c r="K15" s="11">
        <f t="shared" si="4"/>
        <v>5.2499999999999991E-2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991966.26570951822</v>
      </c>
      <c r="D16" s="11">
        <v>7.6E-3</v>
      </c>
      <c r="E16" s="10">
        <f t="shared" si="2"/>
        <v>7482.0798128149472</v>
      </c>
      <c r="F16" s="3"/>
      <c r="G16" s="28"/>
      <c r="H16" s="10"/>
      <c r="I16" s="10">
        <f t="shared" si="5"/>
        <v>9405</v>
      </c>
      <c r="J16" s="10">
        <f t="shared" si="3"/>
        <v>9329442728.9980183</v>
      </c>
      <c r="K16" s="11">
        <f t="shared" si="4"/>
        <v>7.6000000000000512E-3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984484.18589670327</v>
      </c>
      <c r="D17" s="11">
        <v>1.21E-2</v>
      </c>
      <c r="E17" s="10">
        <f t="shared" si="2"/>
        <v>11769.84354248608</v>
      </c>
      <c r="F17" s="3"/>
      <c r="G17" s="28"/>
      <c r="H17" s="10"/>
      <c r="I17" s="10">
        <f t="shared" si="5"/>
        <v>9405</v>
      </c>
      <c r="J17" s="10">
        <f t="shared" si="3"/>
        <v>9259073768.3584938</v>
      </c>
      <c r="K17" s="11">
        <f t="shared" si="4"/>
        <v>1.21E-2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972714.34235421719</v>
      </c>
      <c r="D18" s="11">
        <v>3.73E-2</v>
      </c>
      <c r="E18" s="10">
        <f t="shared" si="2"/>
        <v>34977.581191374105</v>
      </c>
      <c r="F18" s="3"/>
      <c r="G18" s="28"/>
      <c r="H18" s="10"/>
      <c r="I18" s="10">
        <f t="shared" si="5"/>
        <v>9405</v>
      </c>
      <c r="J18" s="10">
        <f t="shared" si="3"/>
        <v>9148378389.8414135</v>
      </c>
      <c r="K18" s="11">
        <f t="shared" si="4"/>
        <v>3.7300000000000111E-2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937736.76116284309</v>
      </c>
      <c r="D19" s="11">
        <v>3.7600000000000001E-2</v>
      </c>
      <c r="E19" s="10">
        <f t="shared" si="2"/>
        <v>33981.20876997197</v>
      </c>
      <c r="F19" s="3"/>
      <c r="G19" s="28"/>
      <c r="H19" s="10"/>
      <c r="I19" s="10">
        <f t="shared" si="5"/>
        <v>9405</v>
      </c>
      <c r="J19" s="10">
        <f t="shared" si="3"/>
        <v>8819414238.7365398</v>
      </c>
      <c r="K19" s="11">
        <f t="shared" si="4"/>
        <v>3.7600000000000078E-2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903755.55239287112</v>
      </c>
      <c r="D20" s="11">
        <v>3.7999999999999999E-2</v>
      </c>
      <c r="E20" s="10">
        <f t="shared" si="2"/>
        <v>33085.463382398011</v>
      </c>
      <c r="F20" s="3"/>
      <c r="G20" s="28"/>
      <c r="H20" s="10"/>
      <c r="I20" s="10">
        <f t="shared" si="5"/>
        <v>9405</v>
      </c>
      <c r="J20" s="10">
        <f t="shared" si="3"/>
        <v>8499820970.2549524</v>
      </c>
      <c r="K20" s="11">
        <f t="shared" si="4"/>
        <v>3.8000000000000034E-2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870670.08901047311</v>
      </c>
      <c r="D21" s="11">
        <v>4.0099999999999997E-2</v>
      </c>
      <c r="E21" s="10">
        <f t="shared" si="2"/>
        <v>33567.801720334566</v>
      </c>
      <c r="F21" s="3"/>
      <c r="G21" s="28"/>
      <c r="H21" s="10"/>
      <c r="I21" s="10">
        <f t="shared" si="5"/>
        <v>9405</v>
      </c>
      <c r="J21" s="10">
        <f t="shared" si="3"/>
        <v>8188652187.1434994</v>
      </c>
      <c r="K21" s="11">
        <f t="shared" si="4"/>
        <v>4.0100000000000025E-2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837102.28729013854</v>
      </c>
      <c r="D22" s="11">
        <v>4.8899999999999999E-2</v>
      </c>
      <c r="E22" s="10">
        <f t="shared" si="2"/>
        <v>39025.933690997888</v>
      </c>
      <c r="F22" s="3"/>
      <c r="G22" s="28"/>
      <c r="H22" s="10"/>
      <c r="I22" s="10">
        <f t="shared" si="5"/>
        <v>9405</v>
      </c>
      <c r="J22" s="10">
        <f t="shared" si="3"/>
        <v>7872947011.9637527</v>
      </c>
      <c r="K22" s="11">
        <f t="shared" si="4"/>
        <v>4.8899999999999944E-2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798076.35359914065</v>
      </c>
      <c r="D23" s="11">
        <v>8.3900000000000002E-2</v>
      </c>
      <c r="E23" s="10">
        <f t="shared" si="2"/>
        <v>61775.630655012443</v>
      </c>
      <c r="F23" s="3"/>
      <c r="G23" s="28"/>
      <c r="H23" s="10"/>
      <c r="I23" s="10">
        <f t="shared" si="5"/>
        <v>9405</v>
      </c>
      <c r="J23" s="10">
        <f t="shared" si="3"/>
        <v>7505908105.5999174</v>
      </c>
      <c r="K23" s="11">
        <f t="shared" si="4"/>
        <v>8.3900000000000086E-2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736300.72294412821</v>
      </c>
      <c r="D24" s="11">
        <v>0.1181</v>
      </c>
      <c r="E24" s="10">
        <f t="shared" si="2"/>
        <v>77772.216599321691</v>
      </c>
      <c r="F24" s="3"/>
      <c r="G24" s="28"/>
      <c r="H24" s="10"/>
      <c r="I24" s="10">
        <f t="shared" si="5"/>
        <v>9405</v>
      </c>
      <c r="J24" s="10">
        <f t="shared" si="3"/>
        <v>6924908299.289526</v>
      </c>
      <c r="K24" s="11">
        <f t="shared" si="4"/>
        <v>0.11810000000000009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658528.50634480652</v>
      </c>
      <c r="D25" s="11">
        <v>8.1600000000000006E-2</v>
      </c>
      <c r="E25" s="10">
        <f t="shared" si="2"/>
        <v>49681.884354415815</v>
      </c>
      <c r="F25" s="3"/>
      <c r="G25" s="28"/>
      <c r="H25" s="10"/>
      <c r="I25" s="10">
        <f t="shared" si="5"/>
        <v>9405</v>
      </c>
      <c r="J25" s="10">
        <f t="shared" si="3"/>
        <v>6193460602.172905</v>
      </c>
      <c r="K25" s="11">
        <f t="shared" si="4"/>
        <v>8.1599999999999673E-2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608846.6219903907</v>
      </c>
      <c r="D26" s="11">
        <v>1.5900000000000001E-2</v>
      </c>
      <c r="E26" s="10">
        <f t="shared" si="2"/>
        <v>9529.1478390069678</v>
      </c>
      <c r="F26" s="3"/>
      <c r="G26" s="28"/>
      <c r="H26" s="10"/>
      <c r="I26" s="10">
        <f t="shared" si="5"/>
        <v>9405</v>
      </c>
      <c r="J26" s="10">
        <f t="shared" si="3"/>
        <v>5726202479.8196249</v>
      </c>
      <c r="K26" s="11">
        <f t="shared" si="4"/>
        <v>1.5900000000000025E-2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599317.47415138374</v>
      </c>
      <c r="D27" s="11">
        <v>1.43E-2</v>
      </c>
      <c r="E27" s="10">
        <f t="shared" si="2"/>
        <v>8449.4132705952507</v>
      </c>
      <c r="F27" s="3"/>
      <c r="G27" s="28"/>
      <c r="H27" s="10"/>
      <c r="I27" s="10">
        <f t="shared" si="5"/>
        <v>9405</v>
      </c>
      <c r="J27" s="10">
        <f t="shared" si="3"/>
        <v>5636580844.3937645</v>
      </c>
      <c r="K27" s="11">
        <f t="shared" si="4"/>
        <v>1.4299999999999979E-2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590868.06088078849</v>
      </c>
      <c r="D28" s="11">
        <v>0.03</v>
      </c>
      <c r="E28" s="10">
        <f t="shared" si="2"/>
        <v>17209.749346042401</v>
      </c>
      <c r="F28" s="3"/>
      <c r="G28" s="28"/>
      <c r="H28" s="10"/>
      <c r="I28" s="10">
        <f t="shared" si="5"/>
        <v>9405</v>
      </c>
      <c r="J28" s="10">
        <f t="shared" si="3"/>
        <v>5557114112.5838156</v>
      </c>
      <c r="K28" s="11">
        <f t="shared" si="4"/>
        <v>3.0000000000000027E-2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573658.31153474608</v>
      </c>
      <c r="D29" s="11">
        <v>1.18E-2</v>
      </c>
      <c r="E29" s="10">
        <f t="shared" si="2"/>
        <v>6690.223439523601</v>
      </c>
      <c r="F29" s="3"/>
      <c r="G29" s="28"/>
      <c r="H29" s="10"/>
      <c r="I29" s="10">
        <f t="shared" si="5"/>
        <v>9405</v>
      </c>
      <c r="J29" s="10">
        <f t="shared" si="3"/>
        <v>5395256419.9842873</v>
      </c>
      <c r="K29" s="11">
        <f t="shared" si="4"/>
        <v>1.1800000000000033E-2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566968.08809522248</v>
      </c>
      <c r="D30" s="12">
        <v>-2.8E-3</v>
      </c>
      <c r="E30" s="10">
        <f t="shared" si="2"/>
        <v>-1591.968157507712</v>
      </c>
      <c r="F30" s="3"/>
      <c r="G30" s="28"/>
      <c r="H30" s="10"/>
      <c r="I30" s="10">
        <f t="shared" si="5"/>
        <v>9405</v>
      </c>
      <c r="J30" s="10">
        <f t="shared" si="3"/>
        <v>5332334868.5355673</v>
      </c>
      <c r="K30" s="11">
        <f t="shared" si="4"/>
        <v>-2.8000000000001357E-3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568560.0562527302</v>
      </c>
      <c r="D31" s="13">
        <v>-5.9999999999999995E-4</v>
      </c>
      <c r="E31" s="10">
        <f t="shared" si="2"/>
        <v>-341.34083825466223</v>
      </c>
      <c r="F31" s="3"/>
      <c r="G31" s="28"/>
      <c r="H31" s="10"/>
      <c r="I31" s="10">
        <f t="shared" si="5"/>
        <v>9405</v>
      </c>
      <c r="J31" s="10">
        <f t="shared" si="3"/>
        <v>5347307329.0569277</v>
      </c>
      <c r="K31" s="11">
        <f t="shared" si="4"/>
        <v>-6.0000000000015596E-4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568901.39709098486</v>
      </c>
      <c r="D32" s="12">
        <v>2.0899999999999998E-2</v>
      </c>
      <c r="E32" s="10">
        <f t="shared" si="2"/>
        <v>11646.624742091866</v>
      </c>
      <c r="F32" s="3"/>
      <c r="G32" s="28"/>
      <c r="H32" s="10"/>
      <c r="I32" s="10">
        <f t="shared" si="5"/>
        <v>9405</v>
      </c>
      <c r="J32" s="10">
        <f t="shared" si="3"/>
        <v>5350517639.6407127</v>
      </c>
      <c r="K32" s="11">
        <f t="shared" si="4"/>
        <v>2.0900000000000141E-2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557254.77234889299</v>
      </c>
      <c r="D33" s="13">
        <v>2.46E-2</v>
      </c>
      <c r="E33" s="10">
        <f t="shared" si="2"/>
        <v>13379.335740564857</v>
      </c>
      <c r="F33" s="3"/>
      <c r="G33" s="28"/>
      <c r="H33" s="10"/>
      <c r="I33" s="10">
        <f t="shared" si="5"/>
        <v>9405</v>
      </c>
      <c r="J33" s="10">
        <f t="shared" si="3"/>
        <v>5240981133.9413385</v>
      </c>
      <c r="K33" s="11">
        <f t="shared" si="4"/>
        <v>2.4599999999999955E-2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543875.43660832813</v>
      </c>
      <c r="D34" s="12">
        <v>-6.7000000000000002E-3</v>
      </c>
      <c r="E34" s="10">
        <f t="shared" si="2"/>
        <v>-3668.5446745955851</v>
      </c>
      <c r="F34" s="3"/>
      <c r="G34" s="28"/>
      <c r="H34" s="10"/>
      <c r="I34" s="10">
        <f t="shared" si="5"/>
        <v>9405</v>
      </c>
      <c r="J34" s="10">
        <f t="shared" ref="J34:J65" si="6">IF(I34="","",I34*C34)</f>
        <v>5115148481.3013258</v>
      </c>
      <c r="K34" s="11">
        <f t="shared" ref="K34:K65" si="7">IFERROR(J34/J35-1,"")</f>
        <v>-6.7000000000000393E-3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547543.98128292372</v>
      </c>
      <c r="D35" s="11">
        <v>-8.2600000000000007E-2</v>
      </c>
      <c r="E35" s="10">
        <f t="shared" si="2"/>
        <v>-49299.250985360239</v>
      </c>
      <c r="F35" s="3"/>
      <c r="G35" s="28"/>
      <c r="H35" s="10"/>
      <c r="I35" s="10">
        <f t="shared" ref="I35:I66" si="8">IF(H35&lt;&gt;"",H35,I34/(1+IF(G34="",0,G34)/100))</f>
        <v>9405</v>
      </c>
      <c r="J35" s="10">
        <f t="shared" si="6"/>
        <v>5149651143.9658976</v>
      </c>
      <c r="K35" s="11">
        <f t="shared" si="7"/>
        <v>-8.2600000000000007E-2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596843.23226828396</v>
      </c>
      <c r="D36" s="11">
        <v>-9.8199999999999996E-2</v>
      </c>
      <c r="E36" s="10">
        <f t="shared" si="2"/>
        <v>-64992.243744450505</v>
      </c>
      <c r="F36" s="3"/>
      <c r="G36" s="28"/>
      <c r="H36" s="10"/>
      <c r="I36" s="10">
        <f t="shared" si="8"/>
        <v>9405</v>
      </c>
      <c r="J36" s="10">
        <f t="shared" si="6"/>
        <v>5613310599.4832106</v>
      </c>
      <c r="K36" s="11">
        <f t="shared" si="7"/>
        <v>-9.8200000000000065E-2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661835.47601273446</v>
      </c>
      <c r="D37" s="11">
        <v>-3.6299999999999999E-2</v>
      </c>
      <c r="E37" s="10">
        <f t="shared" si="2"/>
        <v>-24929.571214342955</v>
      </c>
      <c r="F37" s="3"/>
      <c r="G37" s="28"/>
      <c r="H37" s="10"/>
      <c r="I37" s="10">
        <f t="shared" si="8"/>
        <v>9405</v>
      </c>
      <c r="J37" s="10">
        <f t="shared" si="6"/>
        <v>6224562651.8997679</v>
      </c>
      <c r="K37" s="11">
        <f t="shared" si="7"/>
        <v>-3.6299999999999999E-2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686765.04722707742</v>
      </c>
      <c r="D38" s="11">
        <v>3.2000000000000002E-3</v>
      </c>
      <c r="E38" s="10">
        <f t="shared" si="2"/>
        <v>2190.638109177351</v>
      </c>
      <c r="F38" s="3"/>
      <c r="G38" s="28"/>
      <c r="H38" s="10"/>
      <c r="I38" s="10">
        <f t="shared" si="8"/>
        <v>9405</v>
      </c>
      <c r="J38" s="10">
        <f t="shared" si="6"/>
        <v>6459025269.1706629</v>
      </c>
      <c r="K38" s="11">
        <f t="shared" si="7"/>
        <v>3.2000000000000917E-3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684574.40911790007</v>
      </c>
      <c r="D39" s="11">
        <v>2.01E-2</v>
      </c>
      <c r="E39" s="10">
        <f t="shared" si="2"/>
        <v>13488.820334545453</v>
      </c>
      <c r="F39" s="3"/>
      <c r="G39" s="28"/>
      <c r="H39" s="10"/>
      <c r="I39" s="10">
        <f t="shared" si="8"/>
        <v>9405</v>
      </c>
      <c r="J39" s="10">
        <f t="shared" si="6"/>
        <v>6438422317.75385</v>
      </c>
      <c r="K39" s="11">
        <f t="shared" si="7"/>
        <v>2.0100000000000007E-2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671085.58878335461</v>
      </c>
      <c r="D40" s="11">
        <v>2.1299999999999999E-2</v>
      </c>
      <c r="E40" s="10">
        <f t="shared" si="2"/>
        <v>13996.008069211268</v>
      </c>
      <c r="F40" s="3"/>
      <c r="G40" s="28"/>
      <c r="H40" s="10"/>
      <c r="I40" s="10">
        <f t="shared" si="8"/>
        <v>9405</v>
      </c>
      <c r="J40" s="10">
        <f t="shared" si="6"/>
        <v>6311559962.5074501</v>
      </c>
      <c r="K40" s="11">
        <f t="shared" si="7"/>
        <v>2.1300000000000097E-2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657089.58071414335</v>
      </c>
      <c r="D41" s="11">
        <v>2.2100000000000002E-2</v>
      </c>
      <c r="E41" s="10">
        <f t="shared" si="2"/>
        <v>14207.689789436059</v>
      </c>
      <c r="F41" s="3"/>
      <c r="G41" s="28"/>
      <c r="H41" s="10"/>
      <c r="I41" s="10">
        <f t="shared" si="8"/>
        <v>9405</v>
      </c>
      <c r="J41" s="10">
        <f t="shared" si="6"/>
        <v>6179927506.616518</v>
      </c>
      <c r="K41" s="11">
        <f t="shared" si="7"/>
        <v>2.2100000000000009E-2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642881.89092470729</v>
      </c>
      <c r="D42" s="11">
        <v>2.4199999999999999E-2</v>
      </c>
      <c r="E42" s="10">
        <f t="shared" si="2"/>
        <v>15190.140363579267</v>
      </c>
      <c r="F42" s="3"/>
      <c r="G42" s="28"/>
      <c r="H42" s="10"/>
      <c r="I42" s="10">
        <f t="shared" si="8"/>
        <v>9405</v>
      </c>
      <c r="J42" s="10">
        <f t="shared" si="6"/>
        <v>6046304184.1468716</v>
      </c>
      <c r="K42" s="11">
        <f t="shared" si="7"/>
        <v>2.4199999999999999E-2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627691.75056112802</v>
      </c>
      <c r="D43" s="11">
        <v>2.53E-2</v>
      </c>
      <c r="E43" s="10">
        <f t="shared" si="2"/>
        <v>15488.736261773738</v>
      </c>
      <c r="F43" s="3"/>
      <c r="G43" s="28"/>
      <c r="H43" s="10"/>
      <c r="I43" s="10">
        <f t="shared" si="8"/>
        <v>9405</v>
      </c>
      <c r="J43" s="10">
        <f t="shared" si="6"/>
        <v>5903440914.0274086</v>
      </c>
      <c r="K43" s="11">
        <f t="shared" si="7"/>
        <v>2.53000000000001E-2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612203.01429935428</v>
      </c>
      <c r="D44" s="11">
        <v>2.53E-2</v>
      </c>
      <c r="E44" s="10">
        <f t="shared" si="2"/>
        <v>15106.540780038689</v>
      </c>
      <c r="F44" s="3"/>
      <c r="G44" s="28"/>
      <c r="H44" s="10"/>
      <c r="I44" s="10">
        <f t="shared" si="8"/>
        <v>9405</v>
      </c>
      <c r="J44" s="10">
        <f t="shared" si="6"/>
        <v>5757769349.4854269</v>
      </c>
      <c r="K44" s="11">
        <f t="shared" si="7"/>
        <v>2.5299999999999878E-2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597096.47351931559</v>
      </c>
      <c r="D45" s="11">
        <v>2.4400000000000002E-2</v>
      </c>
      <c r="E45" s="10">
        <f t="shared" si="2"/>
        <v>14222.133887027856</v>
      </c>
      <c r="F45" s="3"/>
      <c r="G45" s="28"/>
      <c r="H45" s="10"/>
      <c r="I45" s="10">
        <f t="shared" si="8"/>
        <v>9405</v>
      </c>
      <c r="J45" s="10">
        <f t="shared" si="6"/>
        <v>5615692333.4491634</v>
      </c>
      <c r="K45" s="11">
        <f t="shared" si="7"/>
        <v>2.4400000000000199E-2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582874.33963228774</v>
      </c>
      <c r="D46" s="11">
        <v>2.4299999999999999E-2</v>
      </c>
      <c r="E46" s="10">
        <f t="shared" si="2"/>
        <v>13827.83017969795</v>
      </c>
      <c r="F46" s="3"/>
      <c r="G46" s="28"/>
      <c r="H46" s="10"/>
      <c r="I46" s="10">
        <f t="shared" si="8"/>
        <v>9405</v>
      </c>
      <c r="J46" s="10">
        <f t="shared" si="6"/>
        <v>5481933164.2416658</v>
      </c>
      <c r="K46" s="11">
        <f t="shared" si="7"/>
        <v>2.4299999999999988E-2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569046.50945258979</v>
      </c>
      <c r="D47" s="11">
        <v>2.4500000000000001E-2</v>
      </c>
      <c r="E47" s="10">
        <f t="shared" si="2"/>
        <v>13608.23765894433</v>
      </c>
      <c r="F47" s="3"/>
      <c r="G47" s="28"/>
      <c r="H47" s="10"/>
      <c r="I47" s="10">
        <f t="shared" si="8"/>
        <v>9405</v>
      </c>
      <c r="J47" s="10">
        <f t="shared" si="6"/>
        <v>5351882421.4016066</v>
      </c>
      <c r="K47" s="11">
        <f t="shared" si="7"/>
        <v>2.4499999999999966E-2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555438.27179364546</v>
      </c>
      <c r="D48" s="11">
        <v>2.3900000000000001E-2</v>
      </c>
      <c r="E48" s="10">
        <f t="shared" si="2"/>
        <v>12965.108600320527</v>
      </c>
      <c r="F48" s="3"/>
      <c r="G48" s="28"/>
      <c r="H48" s="10"/>
      <c r="I48" s="10">
        <f t="shared" si="8"/>
        <v>9405</v>
      </c>
      <c r="J48" s="10">
        <f t="shared" si="6"/>
        <v>5223896946.2192354</v>
      </c>
      <c r="K48" s="11">
        <f t="shared" si="7"/>
        <v>2.3900000000000032E-2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542473.16319332493</v>
      </c>
      <c r="D49" s="11">
        <v>2.3599999999999999E-2</v>
      </c>
      <c r="E49" s="10">
        <f t="shared" si="2"/>
        <v>12507.196806723834</v>
      </c>
      <c r="F49" s="3"/>
      <c r="G49" s="28"/>
      <c r="H49" s="10"/>
      <c r="I49" s="10">
        <f t="shared" si="8"/>
        <v>9405</v>
      </c>
      <c r="J49" s="10">
        <f t="shared" si="6"/>
        <v>5101960099.8332214</v>
      </c>
      <c r="K49" s="11">
        <f t="shared" si="7"/>
        <v>2.3600000000000287E-2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529965.9663866011</v>
      </c>
      <c r="D50" s="11">
        <v>2.3099999999999999E-2</v>
      </c>
      <c r="E50" s="10">
        <f t="shared" si="2"/>
        <v>11965.803756749548</v>
      </c>
      <c r="F50" s="3"/>
      <c r="G50" s="28"/>
      <c r="H50" s="10"/>
      <c r="I50" s="10">
        <f t="shared" si="8"/>
        <v>9405</v>
      </c>
      <c r="J50" s="10">
        <f t="shared" si="6"/>
        <v>4984329913.865983</v>
      </c>
      <c r="K50" s="11">
        <f t="shared" si="7"/>
        <v>2.3099999999999898E-2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518000.16262985155</v>
      </c>
      <c r="D51" s="11">
        <v>2.2700000000000001E-2</v>
      </c>
      <c r="E51" s="10">
        <f t="shared" si="2"/>
        <v>11497.607990317396</v>
      </c>
      <c r="F51" s="3"/>
      <c r="G51" s="28"/>
      <c r="H51" s="10"/>
      <c r="I51" s="10">
        <f t="shared" si="8"/>
        <v>9405</v>
      </c>
      <c r="J51" s="10">
        <f t="shared" si="6"/>
        <v>4871791529.5337534</v>
      </c>
      <c r="K51" s="11">
        <f t="shared" si="7"/>
        <v>2.269999999999972E-2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506502.55463953415</v>
      </c>
      <c r="D52" s="11">
        <v>2.23E-2</v>
      </c>
      <c r="E52" s="10">
        <f t="shared" si="2"/>
        <v>11048.622682638757</v>
      </c>
      <c r="F52" s="3"/>
      <c r="G52" s="28"/>
      <c r="H52" s="10"/>
      <c r="I52" s="10">
        <f t="shared" si="8"/>
        <v>9405</v>
      </c>
      <c r="J52" s="10">
        <f t="shared" si="6"/>
        <v>4763656526.384819</v>
      </c>
      <c r="K52" s="11">
        <f t="shared" si="7"/>
        <v>2.2300000000000209E-2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495453.93195689539</v>
      </c>
      <c r="D53" s="11">
        <v>2.1600000000000001E-2</v>
      </c>
      <c r="E53" s="10">
        <f t="shared" si="2"/>
        <v>10475.533408642281</v>
      </c>
      <c r="F53" s="3"/>
      <c r="G53" s="28"/>
      <c r="H53" s="10"/>
      <c r="I53" s="10">
        <f t="shared" si="8"/>
        <v>9405</v>
      </c>
      <c r="J53" s="10">
        <f t="shared" si="6"/>
        <v>4659744230.0546007</v>
      </c>
      <c r="K53" s="11">
        <f t="shared" si="7"/>
        <v>2.1600000000000064E-2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484978.39854825311</v>
      </c>
      <c r="D54" s="11">
        <v>2.1100000000000001E-2</v>
      </c>
      <c r="E54" s="10">
        <f t="shared" si="2"/>
        <v>10021.588688050222</v>
      </c>
      <c r="F54" s="3"/>
      <c r="G54" s="28"/>
      <c r="H54" s="10"/>
      <c r="I54" s="10">
        <f t="shared" si="8"/>
        <v>9405</v>
      </c>
      <c r="J54" s="10">
        <f t="shared" si="6"/>
        <v>4561221838.3463202</v>
      </c>
      <c r="K54" s="11">
        <f t="shared" si="7"/>
        <v>2.1099999999999675E-2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474956.80986020289</v>
      </c>
      <c r="D55" s="11">
        <v>2.0400000000000001E-2</v>
      </c>
      <c r="E55" s="10">
        <f t="shared" si="2"/>
        <v>9495.4125060252263</v>
      </c>
      <c r="F55" s="3"/>
      <c r="G55" s="28"/>
      <c r="H55" s="10"/>
      <c r="I55" s="10">
        <f t="shared" si="8"/>
        <v>9405</v>
      </c>
      <c r="J55" s="10">
        <f t="shared" si="6"/>
        <v>4466968796.7352085</v>
      </c>
      <c r="K55" s="11">
        <f t="shared" si="7"/>
        <v>2.0399999999999974E-2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465461.39735417766</v>
      </c>
      <c r="D56" s="11">
        <v>1.9599999999999999E-2</v>
      </c>
      <c r="E56" s="10">
        <f t="shared" si="2"/>
        <v>8947.6690742858918</v>
      </c>
      <c r="F56" s="3"/>
      <c r="G56" s="28"/>
      <c r="H56" s="10"/>
      <c r="I56" s="10">
        <f t="shared" si="8"/>
        <v>9405</v>
      </c>
      <c r="J56" s="10">
        <f t="shared" si="6"/>
        <v>4377664442.1160412</v>
      </c>
      <c r="K56" s="11">
        <f t="shared" si="7"/>
        <v>1.9600000000000062E-2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456513.72827989177</v>
      </c>
      <c r="D57" s="11">
        <v>1.95E-2</v>
      </c>
      <c r="E57" s="10">
        <f t="shared" si="2"/>
        <v>8731.74860368605</v>
      </c>
      <c r="F57" s="3"/>
      <c r="G57" s="28"/>
      <c r="H57" s="10"/>
      <c r="I57" s="10">
        <f t="shared" si="8"/>
        <v>9405</v>
      </c>
      <c r="J57" s="10">
        <f t="shared" si="6"/>
        <v>4293511614.4723821</v>
      </c>
      <c r="K57" s="11">
        <f t="shared" si="7"/>
        <v>1.9500000000000073E-2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447781.97967620572</v>
      </c>
      <c r="D58" s="11">
        <v>1.9300000000000001E-2</v>
      </c>
      <c r="E58" s="10">
        <f t="shared" si="2"/>
        <v>8478.5560754938051</v>
      </c>
      <c r="F58" s="3"/>
      <c r="G58" s="28"/>
      <c r="H58" s="10"/>
      <c r="I58" s="10">
        <f t="shared" si="8"/>
        <v>9405</v>
      </c>
      <c r="J58" s="10">
        <f t="shared" si="6"/>
        <v>4211389518.8547149</v>
      </c>
      <c r="K58" s="11">
        <f t="shared" si="7"/>
        <v>1.9300000000000095E-2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439303.42360071192</v>
      </c>
      <c r="D59" s="11">
        <v>1.9E-2</v>
      </c>
      <c r="E59" s="10">
        <f t="shared" si="2"/>
        <v>8191.1335116913542</v>
      </c>
      <c r="F59" s="3"/>
      <c r="G59" s="28"/>
      <c r="H59" s="10"/>
      <c r="I59" s="10">
        <f t="shared" si="8"/>
        <v>9405</v>
      </c>
      <c r="J59" s="10">
        <f t="shared" si="6"/>
        <v>4131648698.9646955</v>
      </c>
      <c r="K59" s="11">
        <f t="shared" si="7"/>
        <v>1.8999999999999906E-2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431112.29008902056</v>
      </c>
      <c r="D60" s="11">
        <v>1.8499999999999999E-2</v>
      </c>
      <c r="E60" s="10">
        <f t="shared" si="2"/>
        <v>7830.7092456031824</v>
      </c>
      <c r="F60" s="3"/>
      <c r="G60" s="28"/>
      <c r="H60" s="10"/>
      <c r="I60" s="10">
        <f t="shared" si="8"/>
        <v>9405</v>
      </c>
      <c r="J60" s="10">
        <f t="shared" si="6"/>
        <v>4054611088.2872386</v>
      </c>
      <c r="K60" s="11">
        <f t="shared" si="7"/>
        <v>1.8499999999999961E-2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423281.58084341738</v>
      </c>
      <c r="D61" s="11">
        <v>1.7999999999999999E-2</v>
      </c>
      <c r="E61" s="10">
        <f t="shared" si="2"/>
        <v>7484.3501524376334</v>
      </c>
      <c r="F61" s="3"/>
      <c r="G61" s="28"/>
      <c r="H61" s="10"/>
      <c r="I61" s="10">
        <f t="shared" si="8"/>
        <v>9405</v>
      </c>
      <c r="J61" s="10">
        <f t="shared" si="6"/>
        <v>3980963267.8323402</v>
      </c>
      <c r="K61" s="11">
        <f t="shared" si="7"/>
        <v>1.8000000000000016E-2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415797.23069097975</v>
      </c>
      <c r="D62" s="11">
        <v>1.7500000000000002E-2</v>
      </c>
      <c r="E62" s="10">
        <f t="shared" si="2"/>
        <v>7151.3037219578982</v>
      </c>
      <c r="F62" s="3"/>
      <c r="G62" s="28"/>
      <c r="H62" s="10"/>
      <c r="I62" s="10">
        <f t="shared" si="8"/>
        <v>9405</v>
      </c>
      <c r="J62" s="10">
        <f t="shared" si="6"/>
        <v>3910572954.6486645</v>
      </c>
      <c r="K62" s="11">
        <f t="shared" si="7"/>
        <v>1.7500000000000071E-2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408645.92696902185</v>
      </c>
      <c r="D63" s="11">
        <v>1.7000000000000001E-2</v>
      </c>
      <c r="E63" s="10">
        <f t="shared" si="2"/>
        <v>6830.8562030219473</v>
      </c>
      <c r="F63" s="3"/>
      <c r="G63" s="28"/>
      <c r="H63" s="10"/>
      <c r="I63" s="10">
        <f t="shared" si="8"/>
        <v>9405</v>
      </c>
      <c r="J63" s="10">
        <f t="shared" si="6"/>
        <v>3843314943.1436505</v>
      </c>
      <c r="K63" s="11">
        <f t="shared" si="7"/>
        <v>1.6999999999999904E-2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401815.0707659999</v>
      </c>
      <c r="D64" s="11">
        <v>1.7000000000000001E-2</v>
      </c>
      <c r="E64" s="10">
        <f t="shared" si="2"/>
        <v>6716.6727659999742</v>
      </c>
      <c r="F64" s="3"/>
      <c r="G64" s="28"/>
      <c r="H64" s="10"/>
      <c r="I64" s="10">
        <f t="shared" si="8"/>
        <v>9405</v>
      </c>
      <c r="J64" s="10">
        <f t="shared" si="6"/>
        <v>3779070740.5542293</v>
      </c>
      <c r="K64" s="11">
        <f t="shared" si="7"/>
        <v>1.7000000000000126E-2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395098.39799999993</v>
      </c>
      <c r="D65" s="11">
        <v>1.7000000000000001E-2</v>
      </c>
      <c r="E65" s="10">
        <f t="shared" si="2"/>
        <v>6604.3979999999865</v>
      </c>
      <c r="F65" s="3"/>
      <c r="G65" s="28"/>
      <c r="H65" s="10"/>
      <c r="I65" s="10">
        <f t="shared" si="8"/>
        <v>9405</v>
      </c>
      <c r="J65" s="10">
        <f t="shared" si="6"/>
        <v>3715900433.1899991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388493.99999999994</v>
      </c>
      <c r="D66" s="11">
        <v>1.7000000000000001E-2</v>
      </c>
      <c r="E66" s="10">
        <f t="shared" si="2"/>
        <v>6493.9999999999418</v>
      </c>
      <c r="F66" s="3"/>
      <c r="G66" s="28"/>
      <c r="H66" s="10"/>
      <c r="I66" s="10">
        <f t="shared" si="8"/>
        <v>9405</v>
      </c>
      <c r="J66" s="10">
        <f t="shared" ref="J66:J67" si="9">IF(I66="","",I66*C66)</f>
        <v>3653786069.9999995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382000</v>
      </c>
      <c r="D67" s="11">
        <v>1.7000000000000001E-2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9405</v>
      </c>
      <c r="J67" s="10">
        <f t="shared" si="9"/>
        <v>3592710000</v>
      </c>
      <c r="K67" s="11"/>
    </row>
  </sheetData>
  <dataValidations count="1">
    <dataValidation type="custom" allowBlank="1" showDropDown="1" sqref="D2:D67" xr:uid="{00000000-0002-0000-0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67"/>
  <sheetViews>
    <sheetView workbookViewId="0">
      <selection activeCell="T8" sqref="T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9105457.7760035135</v>
      </c>
      <c r="D2" s="11">
        <v>1.3299999999999999E-2</v>
      </c>
      <c r="E2" s="10">
        <f t="shared" ref="E2:E66" si="2">SUM(C2-C3)</f>
        <v>119513.06466085836</v>
      </c>
      <c r="F2" s="16">
        <v>9106539</v>
      </c>
      <c r="G2" s="28"/>
      <c r="H2" s="10"/>
      <c r="I2" s="10">
        <f>IF(H2&lt;&gt;"",H2,1385)</f>
        <v>1385</v>
      </c>
      <c r="J2" s="10">
        <f t="shared" ref="J2:J33" si="3">IF(I2="","",I2*C2)</f>
        <v>12611059019.764866</v>
      </c>
      <c r="K2" s="11">
        <f t="shared" ref="K2:K33" si="4">IFERROR(J2/J3-1,"")</f>
        <v>1.330000000000009E-2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8985944.7113426551</v>
      </c>
      <c r="D3" s="11">
        <v>1.35E-2</v>
      </c>
      <c r="E3" s="10">
        <f t="shared" si="2"/>
        <v>119694.37948014401</v>
      </c>
      <c r="F3" s="3"/>
      <c r="G3" s="28"/>
      <c r="H3" s="10"/>
      <c r="I3" s="10">
        <f t="shared" ref="I3:I34" si="5">IF(H3&lt;&gt;"",H3,I2/(1+IF(G2="",0,G2)/100))</f>
        <v>1385</v>
      </c>
      <c r="J3" s="10">
        <f t="shared" si="3"/>
        <v>12445533425.209578</v>
      </c>
      <c r="K3" s="11">
        <f t="shared" si="4"/>
        <v>1.3500000000000068E-2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8866250.3318625111</v>
      </c>
      <c r="D4" s="11">
        <v>1.2800000000000001E-2</v>
      </c>
      <c r="E4" s="10">
        <f t="shared" si="2"/>
        <v>112053.71667440794</v>
      </c>
      <c r="F4" s="3"/>
      <c r="G4" s="28"/>
      <c r="H4" s="10"/>
      <c r="I4" s="10">
        <f t="shared" si="5"/>
        <v>1385</v>
      </c>
      <c r="J4" s="10">
        <f t="shared" si="3"/>
        <v>12279756709.629578</v>
      </c>
      <c r="K4" s="11">
        <f t="shared" si="4"/>
        <v>1.2800000000000145E-2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8754196.6151881032</v>
      </c>
      <c r="D5" s="11">
        <v>1.2699999999999999E-2</v>
      </c>
      <c r="E5" s="10">
        <f t="shared" si="2"/>
        <v>109784.03970859013</v>
      </c>
      <c r="F5" s="3"/>
      <c r="G5" s="28"/>
      <c r="H5" s="10"/>
      <c r="I5" s="10">
        <f t="shared" si="5"/>
        <v>1385</v>
      </c>
      <c r="J5" s="10">
        <f t="shared" si="3"/>
        <v>12124562312.035522</v>
      </c>
      <c r="K5" s="11">
        <f t="shared" si="4"/>
        <v>1.2699999999999934E-2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8644412.575479513</v>
      </c>
      <c r="D6" s="11">
        <v>1.47E-2</v>
      </c>
      <c r="E6" s="10">
        <f t="shared" si="2"/>
        <v>125231.95511929505</v>
      </c>
      <c r="F6" s="3"/>
      <c r="G6" s="28"/>
      <c r="H6" s="10"/>
      <c r="I6" s="10">
        <f t="shared" si="5"/>
        <v>1385</v>
      </c>
      <c r="J6" s="10">
        <f t="shared" si="3"/>
        <v>11972511417.039125</v>
      </c>
      <c r="K6" s="11">
        <f t="shared" si="4"/>
        <v>1.4699999999999935E-2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8519180.620360218</v>
      </c>
      <c r="D7" s="11">
        <v>1.52E-2</v>
      </c>
      <c r="E7" s="10">
        <f t="shared" si="2"/>
        <v>127552.74372485839</v>
      </c>
      <c r="F7" s="3"/>
      <c r="G7" s="28"/>
      <c r="H7" s="10"/>
      <c r="I7" s="10">
        <f t="shared" si="5"/>
        <v>1385</v>
      </c>
      <c r="J7" s="10">
        <f t="shared" si="3"/>
        <v>11799065159.198902</v>
      </c>
      <c r="K7" s="11">
        <f t="shared" si="4"/>
        <v>1.5200000000000102E-2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8391627.8766353596</v>
      </c>
      <c r="D8" s="11">
        <v>1.38E-2</v>
      </c>
      <c r="E8" s="10">
        <f t="shared" si="2"/>
        <v>114228.11668728385</v>
      </c>
      <c r="F8" s="3"/>
      <c r="G8" s="28"/>
      <c r="H8" s="10"/>
      <c r="I8" s="10">
        <f t="shared" si="5"/>
        <v>1385</v>
      </c>
      <c r="J8" s="10">
        <f t="shared" si="3"/>
        <v>11622404609.139973</v>
      </c>
      <c r="K8" s="11">
        <f t="shared" si="4"/>
        <v>1.3800000000000034E-2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8277399.7599480757</v>
      </c>
      <c r="D9" s="11">
        <v>1.2699999999999999E-2</v>
      </c>
      <c r="E9" s="10">
        <f t="shared" si="2"/>
        <v>103804.65779731423</v>
      </c>
      <c r="F9" s="3"/>
      <c r="G9" s="28"/>
      <c r="H9" s="10"/>
      <c r="I9" s="10">
        <f t="shared" si="5"/>
        <v>1385</v>
      </c>
      <c r="J9" s="10">
        <f t="shared" si="3"/>
        <v>11464198667.528086</v>
      </c>
      <c r="K9" s="11">
        <f t="shared" si="4"/>
        <v>1.2699999999999934E-2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8173595.1021507615</v>
      </c>
      <c r="D10" s="11">
        <v>1.6000000000000001E-3</v>
      </c>
      <c r="E10" s="10">
        <f t="shared" si="2"/>
        <v>13056.861185545102</v>
      </c>
      <c r="F10" s="3"/>
      <c r="G10" s="28"/>
      <c r="H10" s="10"/>
      <c r="I10" s="10">
        <f t="shared" si="5"/>
        <v>1385</v>
      </c>
      <c r="J10" s="10">
        <f t="shared" si="3"/>
        <v>11320429216.478806</v>
      </c>
      <c r="K10" s="11">
        <f t="shared" si="4"/>
        <v>1.6000000000002679E-3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8160538.2409652164</v>
      </c>
      <c r="D11" s="11">
        <v>1.03E-2</v>
      </c>
      <c r="E11" s="10">
        <f t="shared" si="2"/>
        <v>83196.618709236383</v>
      </c>
      <c r="F11" s="3"/>
      <c r="G11" s="28"/>
      <c r="H11" s="10"/>
      <c r="I11" s="10">
        <f t="shared" si="5"/>
        <v>1385</v>
      </c>
      <c r="J11" s="10">
        <f t="shared" si="3"/>
        <v>11302345463.736824</v>
      </c>
      <c r="K11" s="11">
        <f t="shared" si="4"/>
        <v>1.0299999999999976E-2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8077341.62225598</v>
      </c>
      <c r="D12" s="11">
        <v>1.0699999999999999E-2</v>
      </c>
      <c r="E12" s="10">
        <f t="shared" si="2"/>
        <v>85512.570850042626</v>
      </c>
      <c r="F12" s="3"/>
      <c r="G12" s="28"/>
      <c r="H12" s="10"/>
      <c r="I12" s="10">
        <f t="shared" si="5"/>
        <v>1385</v>
      </c>
      <c r="J12" s="10">
        <f t="shared" si="3"/>
        <v>11187118146.824532</v>
      </c>
      <c r="K12" s="11">
        <f t="shared" si="4"/>
        <v>1.069999999999971E-2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7991829.0514059374</v>
      </c>
      <c r="D13" s="11">
        <v>1.12E-2</v>
      </c>
      <c r="E13" s="10">
        <f t="shared" si="2"/>
        <v>88517.093923800625</v>
      </c>
      <c r="F13" s="3"/>
      <c r="G13" s="28"/>
      <c r="H13" s="10"/>
      <c r="I13" s="10">
        <f t="shared" si="5"/>
        <v>1385</v>
      </c>
      <c r="J13" s="10">
        <f t="shared" si="3"/>
        <v>11068683236.197224</v>
      </c>
      <c r="K13" s="11">
        <f t="shared" si="4"/>
        <v>1.1200000000000099E-2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7903311.9574821368</v>
      </c>
      <c r="D14" s="11">
        <v>1.1599999999999999E-2</v>
      </c>
      <c r="E14" s="10">
        <f t="shared" si="2"/>
        <v>90627.143838269636</v>
      </c>
      <c r="F14" s="3"/>
      <c r="G14" s="28"/>
      <c r="H14" s="10"/>
      <c r="I14" s="10">
        <f t="shared" si="5"/>
        <v>1385</v>
      </c>
      <c r="J14" s="10">
        <f t="shared" si="3"/>
        <v>10946087061.112759</v>
      </c>
      <c r="K14" s="11">
        <f t="shared" si="4"/>
        <v>1.1600000000000055E-2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7812684.8136438671</v>
      </c>
      <c r="D15" s="11">
        <v>1.21E-2</v>
      </c>
      <c r="E15" s="10">
        <f t="shared" si="2"/>
        <v>93403.306239591911</v>
      </c>
      <c r="F15" s="3"/>
      <c r="G15" s="28"/>
      <c r="H15" s="10"/>
      <c r="I15" s="10">
        <f t="shared" si="5"/>
        <v>1385</v>
      </c>
      <c r="J15" s="10">
        <f t="shared" si="3"/>
        <v>10820568466.896755</v>
      </c>
      <c r="K15" s="11">
        <f t="shared" si="4"/>
        <v>1.21E-2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7719281.5074042752</v>
      </c>
      <c r="D16" s="11">
        <v>1.24E-2</v>
      </c>
      <c r="E16" s="10">
        <f t="shared" si="2"/>
        <v>94546.711469589733</v>
      </c>
      <c r="F16" s="3"/>
      <c r="G16" s="28"/>
      <c r="H16" s="10"/>
      <c r="I16" s="10">
        <f t="shared" si="5"/>
        <v>1385</v>
      </c>
      <c r="J16" s="10">
        <f t="shared" si="3"/>
        <v>10691204887.754921</v>
      </c>
      <c r="K16" s="11">
        <f t="shared" si="4"/>
        <v>1.2399999999999967E-2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7624734.7959346855</v>
      </c>
      <c r="D17" s="11">
        <v>1.2800000000000001E-2</v>
      </c>
      <c r="E17" s="10">
        <f t="shared" si="2"/>
        <v>96363.15697863698</v>
      </c>
      <c r="F17" s="3"/>
      <c r="G17" s="28"/>
      <c r="H17" s="10"/>
      <c r="I17" s="10">
        <f t="shared" si="5"/>
        <v>1385</v>
      </c>
      <c r="J17" s="10">
        <f t="shared" si="3"/>
        <v>10560257692.369539</v>
      </c>
      <c r="K17" s="11">
        <f t="shared" si="4"/>
        <v>1.2799999999999923E-2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7528371.6389560485</v>
      </c>
      <c r="D18" s="11">
        <v>1.34E-2</v>
      </c>
      <c r="E18" s="10">
        <f t="shared" si="2"/>
        <v>99546.260076980107</v>
      </c>
      <c r="F18" s="3"/>
      <c r="G18" s="28"/>
      <c r="H18" s="10"/>
      <c r="I18" s="10">
        <f t="shared" si="5"/>
        <v>1385</v>
      </c>
      <c r="J18" s="10">
        <f t="shared" si="3"/>
        <v>10426794719.954126</v>
      </c>
      <c r="K18" s="11">
        <f t="shared" si="4"/>
        <v>1.3400000000000079E-2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7428825.3788790684</v>
      </c>
      <c r="D19" s="11">
        <v>1.3899999999999999E-2</v>
      </c>
      <c r="E19" s="10">
        <f t="shared" si="2"/>
        <v>101845.02689261176</v>
      </c>
      <c r="F19" s="3"/>
      <c r="G19" s="28"/>
      <c r="H19" s="10"/>
      <c r="I19" s="10">
        <f t="shared" si="5"/>
        <v>1385</v>
      </c>
      <c r="J19" s="10">
        <f t="shared" si="3"/>
        <v>10288923149.747509</v>
      </c>
      <c r="K19" s="11">
        <f t="shared" si="4"/>
        <v>1.3900000000000023E-2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7326980.3519864567</v>
      </c>
      <c r="D20" s="11">
        <v>1.4500000000000001E-2</v>
      </c>
      <c r="E20" s="10">
        <f t="shared" si="2"/>
        <v>104722.73543992452</v>
      </c>
      <c r="F20" s="3"/>
      <c r="G20" s="28"/>
      <c r="H20" s="10"/>
      <c r="I20" s="10">
        <f t="shared" si="5"/>
        <v>1385</v>
      </c>
      <c r="J20" s="10">
        <f t="shared" si="3"/>
        <v>10147867787.501242</v>
      </c>
      <c r="K20" s="11">
        <f t="shared" si="4"/>
        <v>1.4499999999999957E-2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7222257.6165465321</v>
      </c>
      <c r="D21" s="11">
        <v>1.5100000000000001E-2</v>
      </c>
      <c r="E21" s="10">
        <f t="shared" si="2"/>
        <v>107433.83904034272</v>
      </c>
      <c r="F21" s="3"/>
      <c r="G21" s="28"/>
      <c r="H21" s="10"/>
      <c r="I21" s="10">
        <f t="shared" si="5"/>
        <v>1385</v>
      </c>
      <c r="J21" s="10">
        <f t="shared" si="3"/>
        <v>10002826798.916946</v>
      </c>
      <c r="K21" s="11">
        <f t="shared" si="4"/>
        <v>1.5099999999999669E-2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7114823.7775061894</v>
      </c>
      <c r="D22" s="11">
        <v>1.6400000000000001E-2</v>
      </c>
      <c r="E22" s="10">
        <f t="shared" si="2"/>
        <v>114800.38365909178</v>
      </c>
      <c r="F22" s="3"/>
      <c r="G22" s="28"/>
      <c r="H22" s="10"/>
      <c r="I22" s="10">
        <f t="shared" si="5"/>
        <v>1385</v>
      </c>
      <c r="J22" s="10">
        <f t="shared" si="3"/>
        <v>9854030931.8460732</v>
      </c>
      <c r="K22" s="11">
        <f t="shared" si="4"/>
        <v>1.639999999999997E-2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7000023.3938470976</v>
      </c>
      <c r="D23" s="11">
        <v>1.7399999999999999E-2</v>
      </c>
      <c r="E23" s="10">
        <f t="shared" si="2"/>
        <v>119717.32558771409</v>
      </c>
      <c r="F23" s="3"/>
      <c r="G23" s="28"/>
      <c r="H23" s="10"/>
      <c r="I23" s="10">
        <f t="shared" si="5"/>
        <v>1385</v>
      </c>
      <c r="J23" s="10">
        <f t="shared" si="3"/>
        <v>9695032400.4782295</v>
      </c>
      <c r="K23" s="11">
        <f t="shared" si="4"/>
        <v>1.7400000000000082E-2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6880306.0682593836</v>
      </c>
      <c r="D24" s="11">
        <v>1.7299999999999999E-2</v>
      </c>
      <c r="E24" s="10">
        <f t="shared" si="2"/>
        <v>117005.10663608368</v>
      </c>
      <c r="F24" s="3"/>
      <c r="G24" s="28"/>
      <c r="H24" s="10"/>
      <c r="I24" s="10">
        <f t="shared" si="5"/>
        <v>1385</v>
      </c>
      <c r="J24" s="10">
        <f t="shared" si="3"/>
        <v>9529223904.5392456</v>
      </c>
      <c r="K24" s="11">
        <f t="shared" si="4"/>
        <v>1.7300000000000093E-2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6763300.9616232999</v>
      </c>
      <c r="D25" s="11">
        <v>1.7000000000000001E-2</v>
      </c>
      <c r="E25" s="10">
        <f t="shared" si="2"/>
        <v>113054.19503205083</v>
      </c>
      <c r="F25" s="3"/>
      <c r="G25" s="28"/>
      <c r="H25" s="10"/>
      <c r="I25" s="10">
        <f t="shared" si="5"/>
        <v>1385</v>
      </c>
      <c r="J25" s="10">
        <f t="shared" si="3"/>
        <v>9367171831.8482704</v>
      </c>
      <c r="K25" s="11">
        <f t="shared" si="4"/>
        <v>1.6999999999999904E-2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6650246.766591249</v>
      </c>
      <c r="D26" s="11">
        <v>1.7600000000000001E-2</v>
      </c>
      <c r="E26" s="10">
        <f t="shared" si="2"/>
        <v>115019.99124607537</v>
      </c>
      <c r="F26" s="3"/>
      <c r="G26" s="28"/>
      <c r="H26" s="10"/>
      <c r="I26" s="10">
        <f t="shared" si="5"/>
        <v>1385</v>
      </c>
      <c r="J26" s="10">
        <f t="shared" si="3"/>
        <v>9210591771.7288799</v>
      </c>
      <c r="K26" s="11">
        <f t="shared" si="4"/>
        <v>1.760000000000006E-2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6535226.7753451737</v>
      </c>
      <c r="D27" s="11">
        <v>1.8700000000000001E-2</v>
      </c>
      <c r="E27" s="10">
        <f t="shared" si="2"/>
        <v>119965.38794439379</v>
      </c>
      <c r="F27" s="3"/>
      <c r="G27" s="28"/>
      <c r="H27" s="10"/>
      <c r="I27" s="10">
        <f t="shared" si="5"/>
        <v>1385</v>
      </c>
      <c r="J27" s="10">
        <f t="shared" si="3"/>
        <v>9051289083.8530655</v>
      </c>
      <c r="K27" s="11">
        <f t="shared" si="4"/>
        <v>1.8699999999999939E-2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6415261.3874007799</v>
      </c>
      <c r="D28" s="11">
        <v>1.9599999999999999E-2</v>
      </c>
      <c r="E28" s="10">
        <f t="shared" si="2"/>
        <v>123322.01176251005</v>
      </c>
      <c r="F28" s="3"/>
      <c r="G28" s="28"/>
      <c r="H28" s="10"/>
      <c r="I28" s="10">
        <f t="shared" si="5"/>
        <v>1385</v>
      </c>
      <c r="J28" s="10">
        <f t="shared" si="3"/>
        <v>8885137021.5500793</v>
      </c>
      <c r="K28" s="11">
        <f t="shared" si="4"/>
        <v>1.959999999999984E-2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6291939.3756382698</v>
      </c>
      <c r="D29" s="11">
        <v>0.02</v>
      </c>
      <c r="E29" s="10">
        <f t="shared" si="2"/>
        <v>123371.36030663271</v>
      </c>
      <c r="F29" s="3"/>
      <c r="G29" s="28"/>
      <c r="H29" s="10"/>
      <c r="I29" s="10">
        <f t="shared" si="5"/>
        <v>1385</v>
      </c>
      <c r="J29" s="10">
        <f t="shared" si="3"/>
        <v>8714336035.2590046</v>
      </c>
      <c r="K29" s="11">
        <f t="shared" si="4"/>
        <v>2.0000000000000018E-2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6168568.0153316371</v>
      </c>
      <c r="D30" s="12">
        <v>2.0400000000000001E-2</v>
      </c>
      <c r="E30" s="10">
        <f t="shared" si="2"/>
        <v>123322.99834649637</v>
      </c>
      <c r="F30" s="3"/>
      <c r="G30" s="28"/>
      <c r="H30" s="10"/>
      <c r="I30" s="10">
        <f t="shared" si="5"/>
        <v>1385</v>
      </c>
      <c r="J30" s="10">
        <f t="shared" si="3"/>
        <v>8543466701.2343178</v>
      </c>
      <c r="K30" s="11">
        <f t="shared" si="4"/>
        <v>2.0399999999999974E-2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6045245.0169851407</v>
      </c>
      <c r="D31" s="13">
        <v>2.1299999999999999E-2</v>
      </c>
      <c r="E31" s="10">
        <f t="shared" si="2"/>
        <v>126078.25209221989</v>
      </c>
      <c r="F31" s="3"/>
      <c r="G31" s="28"/>
      <c r="H31" s="10"/>
      <c r="I31" s="10">
        <f t="shared" si="5"/>
        <v>1385</v>
      </c>
      <c r="J31" s="10">
        <f t="shared" si="3"/>
        <v>8372664348.5244198</v>
      </c>
      <c r="K31" s="11">
        <f t="shared" si="4"/>
        <v>2.1300000000000097E-2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5919166.7648929209</v>
      </c>
      <c r="D32" s="12">
        <v>2.2200000000000001E-2</v>
      </c>
      <c r="E32" s="10">
        <f t="shared" si="2"/>
        <v>128551.65543007478</v>
      </c>
      <c r="F32" s="3"/>
      <c r="G32" s="28"/>
      <c r="H32" s="10"/>
      <c r="I32" s="10">
        <f t="shared" si="5"/>
        <v>1385</v>
      </c>
      <c r="J32" s="10">
        <f t="shared" si="3"/>
        <v>8198045969.3766956</v>
      </c>
      <c r="K32" s="11">
        <f t="shared" si="4"/>
        <v>2.2199999999999998E-2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5790615.1094628461</v>
      </c>
      <c r="D33" s="13">
        <v>2.3E-2</v>
      </c>
      <c r="E33" s="10">
        <f t="shared" si="2"/>
        <v>130189.78251969162</v>
      </c>
      <c r="F33" s="3"/>
      <c r="G33" s="28"/>
      <c r="H33" s="10"/>
      <c r="I33" s="10">
        <f t="shared" si="5"/>
        <v>1385</v>
      </c>
      <c r="J33" s="10">
        <f t="shared" si="3"/>
        <v>8020001926.6060419</v>
      </c>
      <c r="K33" s="11">
        <f t="shared" si="4"/>
        <v>2.2999999999999909E-2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5660425.3269431544</v>
      </c>
      <c r="D34" s="12">
        <v>2.35E-2</v>
      </c>
      <c r="E34" s="10">
        <f t="shared" si="2"/>
        <v>129965.79890880734</v>
      </c>
      <c r="F34" s="3"/>
      <c r="G34" s="28"/>
      <c r="H34" s="10"/>
      <c r="I34" s="10">
        <f t="shared" si="5"/>
        <v>1385</v>
      </c>
      <c r="J34" s="10">
        <f t="shared" ref="J34:J65" si="6">IF(I34="","",I34*C34)</f>
        <v>7839689077.8162689</v>
      </c>
      <c r="K34" s="11">
        <f t="shared" ref="K34:K65" si="7">IFERROR(J34/J35-1,"")</f>
        <v>2.3500000000000076E-2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5530459.5280343471</v>
      </c>
      <c r="D35" s="11">
        <v>2.1399999999999999E-2</v>
      </c>
      <c r="E35" s="10">
        <f t="shared" si="2"/>
        <v>115872.16947320849</v>
      </c>
      <c r="F35" s="3"/>
      <c r="G35" s="28"/>
      <c r="H35" s="10"/>
      <c r="I35" s="10">
        <f t="shared" ref="I35:I66" si="8">IF(H35&lt;&gt;"",H35,I34/(1+IF(G34="",0,G34)/100))</f>
        <v>1385</v>
      </c>
      <c r="J35" s="10">
        <f t="shared" si="6"/>
        <v>7659686446.3275709</v>
      </c>
      <c r="K35" s="11">
        <f t="shared" si="7"/>
        <v>2.1400000000000086E-2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5414587.3585611386</v>
      </c>
      <c r="D36" s="11">
        <v>1.9900000000000001E-2</v>
      </c>
      <c r="E36" s="10">
        <f t="shared" si="2"/>
        <v>105647.89531852771</v>
      </c>
      <c r="F36" s="3"/>
      <c r="G36" s="28"/>
      <c r="H36" s="10"/>
      <c r="I36" s="10">
        <f t="shared" si="8"/>
        <v>1385</v>
      </c>
      <c r="J36" s="10">
        <f t="shared" si="6"/>
        <v>7499203491.6071768</v>
      </c>
      <c r="K36" s="11">
        <f t="shared" si="7"/>
        <v>1.9900000000000029E-2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5308939.4632426109</v>
      </c>
      <c r="D37" s="11">
        <v>0.02</v>
      </c>
      <c r="E37" s="10">
        <f t="shared" si="2"/>
        <v>104096.85222044308</v>
      </c>
      <c r="F37" s="3"/>
      <c r="G37" s="28"/>
      <c r="H37" s="10"/>
      <c r="I37" s="10">
        <f t="shared" si="8"/>
        <v>1385</v>
      </c>
      <c r="J37" s="10">
        <f t="shared" si="6"/>
        <v>7352881156.5910158</v>
      </c>
      <c r="K37" s="11">
        <f t="shared" si="7"/>
        <v>2.0000000000000018E-2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5204842.6110221678</v>
      </c>
      <c r="D38" s="11">
        <v>1.9599999999999999E-2</v>
      </c>
      <c r="E38" s="10">
        <f t="shared" si="2"/>
        <v>100053.85952926148</v>
      </c>
      <c r="F38" s="3"/>
      <c r="G38" s="28"/>
      <c r="H38" s="10"/>
      <c r="I38" s="10">
        <f t="shared" si="8"/>
        <v>1385</v>
      </c>
      <c r="J38" s="10">
        <f t="shared" si="6"/>
        <v>7208707016.2657022</v>
      </c>
      <c r="K38" s="11">
        <f t="shared" si="7"/>
        <v>1.9600000000000062E-2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5104788.7514929064</v>
      </c>
      <c r="D39" s="11">
        <v>2.0199999999999999E-2</v>
      </c>
      <c r="E39" s="10">
        <f t="shared" si="2"/>
        <v>101075.01742810849</v>
      </c>
      <c r="F39" s="3"/>
      <c r="G39" s="28"/>
      <c r="H39" s="10"/>
      <c r="I39" s="10">
        <f t="shared" si="8"/>
        <v>1385</v>
      </c>
      <c r="J39" s="10">
        <f t="shared" si="6"/>
        <v>7070132420.8176756</v>
      </c>
      <c r="K39" s="11">
        <f t="shared" si="7"/>
        <v>2.0199999999999996E-2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5003713.7340647979</v>
      </c>
      <c r="D40" s="11">
        <v>2.06E-2</v>
      </c>
      <c r="E40" s="10">
        <f t="shared" si="2"/>
        <v>100995.98561800364</v>
      </c>
      <c r="F40" s="3"/>
      <c r="G40" s="28"/>
      <c r="H40" s="10"/>
      <c r="I40" s="10">
        <f t="shared" si="8"/>
        <v>1385</v>
      </c>
      <c r="J40" s="10">
        <f t="shared" si="6"/>
        <v>6930143521.6797447</v>
      </c>
      <c r="K40" s="11">
        <f t="shared" si="7"/>
        <v>2.0599999999999952E-2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4902717.7484467942</v>
      </c>
      <c r="D41" s="11">
        <v>2.0400000000000001E-2</v>
      </c>
      <c r="E41" s="10">
        <f t="shared" si="2"/>
        <v>98015.917354286648</v>
      </c>
      <c r="F41" s="3"/>
      <c r="G41" s="28"/>
      <c r="H41" s="10"/>
      <c r="I41" s="10">
        <f t="shared" si="8"/>
        <v>1385</v>
      </c>
      <c r="J41" s="10">
        <f t="shared" si="6"/>
        <v>6790264081.5988102</v>
      </c>
      <c r="K41" s="11">
        <f t="shared" si="7"/>
        <v>2.0399999999999974E-2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4804701.8310925076</v>
      </c>
      <c r="D42" s="11">
        <v>2.07E-2</v>
      </c>
      <c r="E42" s="10">
        <f t="shared" si="2"/>
        <v>97440.313415905461</v>
      </c>
      <c r="F42" s="3"/>
      <c r="G42" s="28"/>
      <c r="H42" s="10"/>
      <c r="I42" s="10">
        <f t="shared" si="8"/>
        <v>1385</v>
      </c>
      <c r="J42" s="10">
        <f t="shared" si="6"/>
        <v>6654512036.0631227</v>
      </c>
      <c r="K42" s="11">
        <f t="shared" si="7"/>
        <v>2.0699999999999941E-2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4707261.5176766021</v>
      </c>
      <c r="D43" s="11">
        <v>2.2100000000000002E-2</v>
      </c>
      <c r="E43" s="10">
        <f t="shared" si="2"/>
        <v>101781.11685808934</v>
      </c>
      <c r="F43" s="3"/>
      <c r="G43" s="28"/>
      <c r="H43" s="10"/>
      <c r="I43" s="10">
        <f t="shared" si="8"/>
        <v>1385</v>
      </c>
      <c r="J43" s="10">
        <f t="shared" si="6"/>
        <v>6519557201.9820938</v>
      </c>
      <c r="K43" s="11">
        <f t="shared" si="7"/>
        <v>2.2100000000000009E-2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4605480.4008185128</v>
      </c>
      <c r="D44" s="11">
        <v>2.3099999999999999E-2</v>
      </c>
      <c r="E44" s="10">
        <f t="shared" si="2"/>
        <v>103984.55406011827</v>
      </c>
      <c r="F44" s="3"/>
      <c r="G44" s="28"/>
      <c r="H44" s="10"/>
      <c r="I44" s="10">
        <f t="shared" si="8"/>
        <v>1385</v>
      </c>
      <c r="J44" s="10">
        <f t="shared" si="6"/>
        <v>6378590355.1336403</v>
      </c>
      <c r="K44" s="11">
        <f t="shared" si="7"/>
        <v>2.3099999999999898E-2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4501495.8467583945</v>
      </c>
      <c r="D45" s="11">
        <v>2.4E-2</v>
      </c>
      <c r="E45" s="10">
        <f t="shared" si="2"/>
        <v>105503.80890840013</v>
      </c>
      <c r="F45" s="3"/>
      <c r="G45" s="28"/>
      <c r="H45" s="10"/>
      <c r="I45" s="10">
        <f t="shared" si="8"/>
        <v>1385</v>
      </c>
      <c r="J45" s="10">
        <f t="shared" si="6"/>
        <v>6234571747.760376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4395992.0378499944</v>
      </c>
      <c r="D46" s="11">
        <v>2.3699999999999999E-2</v>
      </c>
      <c r="E46" s="10">
        <f t="shared" si="2"/>
        <v>101772.99140084535</v>
      </c>
      <c r="F46" s="3"/>
      <c r="G46" s="28"/>
      <c r="H46" s="10"/>
      <c r="I46" s="10">
        <f t="shared" si="8"/>
        <v>1385</v>
      </c>
      <c r="J46" s="10">
        <f t="shared" si="6"/>
        <v>6088448972.4222422</v>
      </c>
      <c r="K46" s="11">
        <f t="shared" si="7"/>
        <v>2.3700000000000054E-2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4294219.046449149</v>
      </c>
      <c r="D47" s="11">
        <v>2.35E-2</v>
      </c>
      <c r="E47" s="10">
        <f t="shared" si="2"/>
        <v>98597.115380122326</v>
      </c>
      <c r="F47" s="3"/>
      <c r="G47" s="28"/>
      <c r="H47" s="10"/>
      <c r="I47" s="10">
        <f t="shared" si="8"/>
        <v>1385</v>
      </c>
      <c r="J47" s="10">
        <f t="shared" si="6"/>
        <v>5947493379.3320713</v>
      </c>
      <c r="K47" s="11">
        <f t="shared" si="7"/>
        <v>2.3499999999999854E-2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4195621.9310690267</v>
      </c>
      <c r="D48" s="11">
        <v>2.4500000000000001E-2</v>
      </c>
      <c r="E48" s="10">
        <f t="shared" si="2"/>
        <v>100334.5410553352</v>
      </c>
      <c r="F48" s="3"/>
      <c r="G48" s="28"/>
      <c r="H48" s="10"/>
      <c r="I48" s="10">
        <f t="shared" si="8"/>
        <v>1385</v>
      </c>
      <c r="J48" s="10">
        <f t="shared" si="6"/>
        <v>5810936374.5306025</v>
      </c>
      <c r="K48" s="11">
        <f t="shared" si="7"/>
        <v>2.4499999999999966E-2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4095287.3900136915</v>
      </c>
      <c r="D49" s="11">
        <v>2.53E-2</v>
      </c>
      <c r="E49" s="10">
        <f t="shared" si="2"/>
        <v>101054.10218213871</v>
      </c>
      <c r="F49" s="3"/>
      <c r="G49" s="28"/>
      <c r="H49" s="10"/>
      <c r="I49" s="10">
        <f t="shared" si="8"/>
        <v>1385</v>
      </c>
      <c r="J49" s="10">
        <f t="shared" si="6"/>
        <v>5671973035.1689625</v>
      </c>
      <c r="K49" s="11">
        <f t="shared" si="7"/>
        <v>2.53000000000001E-2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3994233.2878315528</v>
      </c>
      <c r="D50" s="11">
        <v>2.5999999999999999E-2</v>
      </c>
      <c r="E50" s="10">
        <f t="shared" si="2"/>
        <v>101218.38741093595</v>
      </c>
      <c r="F50" s="3"/>
      <c r="G50" s="28"/>
      <c r="H50" s="10"/>
      <c r="I50" s="10">
        <f t="shared" si="8"/>
        <v>1385</v>
      </c>
      <c r="J50" s="10">
        <f t="shared" si="6"/>
        <v>5532013103.6467009</v>
      </c>
      <c r="K50" s="11">
        <f t="shared" si="7"/>
        <v>2.6000000000000023E-2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3893014.9004206168</v>
      </c>
      <c r="D51" s="11">
        <v>2.5399999999999999E-2</v>
      </c>
      <c r="E51" s="10">
        <f t="shared" si="2"/>
        <v>96433.175805231091</v>
      </c>
      <c r="F51" s="3"/>
      <c r="G51" s="28"/>
      <c r="H51" s="10"/>
      <c r="I51" s="10">
        <f t="shared" si="8"/>
        <v>1385</v>
      </c>
      <c r="J51" s="10">
        <f t="shared" si="6"/>
        <v>5391825637.0825539</v>
      </c>
      <c r="K51" s="11">
        <f t="shared" si="7"/>
        <v>2.5400000000000089E-2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3796581.7246153858</v>
      </c>
      <c r="D52" s="11">
        <v>2.5100000000000001E-2</v>
      </c>
      <c r="E52" s="10">
        <f t="shared" si="2"/>
        <v>92960.883121496066</v>
      </c>
      <c r="F52" s="3"/>
      <c r="G52" s="28"/>
      <c r="H52" s="10"/>
      <c r="I52" s="10">
        <f t="shared" si="8"/>
        <v>1385</v>
      </c>
      <c r="J52" s="10">
        <f t="shared" si="6"/>
        <v>5258265688.592309</v>
      </c>
      <c r="K52" s="11">
        <f t="shared" si="7"/>
        <v>2.50999999999999E-2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3703620.8414938897</v>
      </c>
      <c r="D53" s="11">
        <v>2.6200000000000001E-2</v>
      </c>
      <c r="E53" s="10">
        <f t="shared" si="2"/>
        <v>94557.46057994524</v>
      </c>
      <c r="F53" s="3"/>
      <c r="G53" s="28"/>
      <c r="H53" s="10"/>
      <c r="I53" s="10">
        <f t="shared" si="8"/>
        <v>1385</v>
      </c>
      <c r="J53" s="10">
        <f t="shared" si="6"/>
        <v>5129514865.4690371</v>
      </c>
      <c r="K53" s="11">
        <f t="shared" si="7"/>
        <v>2.6200000000000001E-2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3609063.3809139444</v>
      </c>
      <c r="D54" s="11">
        <v>2.6700000000000002E-2</v>
      </c>
      <c r="E54" s="10">
        <f t="shared" si="2"/>
        <v>93856.036106362473</v>
      </c>
      <c r="F54" s="3"/>
      <c r="G54" s="28"/>
      <c r="H54" s="10"/>
      <c r="I54" s="10">
        <f t="shared" si="8"/>
        <v>1385</v>
      </c>
      <c r="J54" s="10">
        <f t="shared" si="6"/>
        <v>4998552782.5658131</v>
      </c>
      <c r="K54" s="11">
        <f t="shared" si="7"/>
        <v>2.6699999999999946E-2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3515207.344807582</v>
      </c>
      <c r="D55" s="11">
        <v>2.7E-2</v>
      </c>
      <c r="E55" s="10">
        <f t="shared" si="2"/>
        <v>92415.382969624363</v>
      </c>
      <c r="F55" s="3"/>
      <c r="G55" s="28"/>
      <c r="H55" s="10"/>
      <c r="I55" s="10">
        <f t="shared" si="8"/>
        <v>1385</v>
      </c>
      <c r="J55" s="10">
        <f t="shared" si="6"/>
        <v>4868562172.5585012</v>
      </c>
      <c r="K55" s="11">
        <f t="shared" si="7"/>
        <v>2.6999999999999913E-2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3422791.9618379576</v>
      </c>
      <c r="D56" s="11">
        <v>2.75E-2</v>
      </c>
      <c r="E56" s="10">
        <f t="shared" si="2"/>
        <v>91607.570754787419</v>
      </c>
      <c r="F56" s="3"/>
      <c r="G56" s="28"/>
      <c r="H56" s="10"/>
      <c r="I56" s="10">
        <f t="shared" si="8"/>
        <v>1385</v>
      </c>
      <c r="J56" s="10">
        <f t="shared" si="6"/>
        <v>4740566867.1455717</v>
      </c>
      <c r="K56" s="11">
        <f t="shared" si="7"/>
        <v>2.7500000000000302E-2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3331184.3910831702</v>
      </c>
      <c r="D57" s="11">
        <v>2.8000000000000001E-2</v>
      </c>
      <c r="E57" s="10">
        <f t="shared" si="2"/>
        <v>90732.648784366436</v>
      </c>
      <c r="F57" s="3"/>
      <c r="G57" s="28"/>
      <c r="H57" s="10"/>
      <c r="I57" s="10">
        <f t="shared" si="8"/>
        <v>1385</v>
      </c>
      <c r="J57" s="10">
        <f t="shared" si="6"/>
        <v>4613690381.6501904</v>
      </c>
      <c r="K57" s="11">
        <f t="shared" si="7"/>
        <v>2.7999999999999803E-2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3240451.7422988038</v>
      </c>
      <c r="D58" s="11">
        <v>2.8500000000000001E-2</v>
      </c>
      <c r="E58" s="10">
        <f t="shared" si="2"/>
        <v>89793.752703466918</v>
      </c>
      <c r="F58" s="3"/>
      <c r="G58" s="28"/>
      <c r="H58" s="10"/>
      <c r="I58" s="10">
        <f t="shared" si="8"/>
        <v>1385</v>
      </c>
      <c r="J58" s="10">
        <f t="shared" si="6"/>
        <v>4488025663.0838432</v>
      </c>
      <c r="K58" s="11">
        <f t="shared" si="7"/>
        <v>2.849999999999997E-2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3150657.9895953368</v>
      </c>
      <c r="D59" s="11">
        <v>2.8500000000000001E-2</v>
      </c>
      <c r="E59" s="10">
        <f t="shared" si="2"/>
        <v>87305.544680084568</v>
      </c>
      <c r="F59" s="3"/>
      <c r="G59" s="28"/>
      <c r="H59" s="10"/>
      <c r="I59" s="10">
        <f t="shared" si="8"/>
        <v>1385</v>
      </c>
      <c r="J59" s="10">
        <f t="shared" si="6"/>
        <v>4363661315.5895414</v>
      </c>
      <c r="K59" s="11">
        <f t="shared" si="7"/>
        <v>2.849999999999997E-2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3063352.4449152523</v>
      </c>
      <c r="D60" s="11">
        <v>2.8500000000000001E-2</v>
      </c>
      <c r="E60" s="10">
        <f t="shared" si="2"/>
        <v>84886.28554213373</v>
      </c>
      <c r="F60" s="3"/>
      <c r="G60" s="28"/>
      <c r="H60" s="10"/>
      <c r="I60" s="10">
        <f t="shared" si="8"/>
        <v>1385</v>
      </c>
      <c r="J60" s="10">
        <f t="shared" si="6"/>
        <v>4242743136.2076244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2978466.1593731185</v>
      </c>
      <c r="D61" s="11">
        <v>2.8500000000000001E-2</v>
      </c>
      <c r="E61" s="10">
        <f t="shared" si="2"/>
        <v>82534.0646982342</v>
      </c>
      <c r="F61" s="3"/>
      <c r="G61" s="28"/>
      <c r="H61" s="10"/>
      <c r="I61" s="10">
        <f t="shared" si="8"/>
        <v>1385</v>
      </c>
      <c r="J61" s="10">
        <f t="shared" si="6"/>
        <v>4125175630.7317691</v>
      </c>
      <c r="K61" s="11">
        <f t="shared" si="7"/>
        <v>2.849999999999997E-2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2895932.0946748843</v>
      </c>
      <c r="D62" s="11">
        <v>2.8500000000000001E-2</v>
      </c>
      <c r="E62" s="10">
        <f t="shared" si="2"/>
        <v>80247.024499984458</v>
      </c>
      <c r="F62" s="3"/>
      <c r="G62" s="28"/>
      <c r="H62" s="10"/>
      <c r="I62" s="10">
        <f t="shared" si="8"/>
        <v>1385</v>
      </c>
      <c r="J62" s="10">
        <f t="shared" si="6"/>
        <v>4010865951.1247149</v>
      </c>
      <c r="K62" s="11">
        <f t="shared" si="7"/>
        <v>2.849999999999997E-2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2815685.0701748999</v>
      </c>
      <c r="D63" s="11">
        <v>2.8500000000000001E-2</v>
      </c>
      <c r="E63" s="10">
        <f t="shared" si="2"/>
        <v>78023.358774899971</v>
      </c>
      <c r="F63" s="3"/>
      <c r="G63" s="28"/>
      <c r="H63" s="10"/>
      <c r="I63" s="10">
        <f t="shared" si="8"/>
        <v>1385</v>
      </c>
      <c r="J63" s="10">
        <f t="shared" si="6"/>
        <v>3899723822.1922364</v>
      </c>
      <c r="K63" s="11">
        <f t="shared" si="7"/>
        <v>2.849999999999997E-2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2737661.7113999999</v>
      </c>
      <c r="D64" s="11">
        <v>2.8500000000000001E-2</v>
      </c>
      <c r="E64" s="10">
        <f t="shared" si="2"/>
        <v>75861.311400000006</v>
      </c>
      <c r="F64" s="3"/>
      <c r="G64" s="28"/>
      <c r="H64" s="10"/>
      <c r="I64" s="10">
        <f t="shared" si="8"/>
        <v>1385</v>
      </c>
      <c r="J64" s="10">
        <f t="shared" si="6"/>
        <v>3791661470.289</v>
      </c>
      <c r="K64" s="11">
        <f t="shared" si="7"/>
        <v>2.849999999999997E-2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2661800.4</v>
      </c>
      <c r="D65" s="11">
        <v>2.8000000000000001E-2</v>
      </c>
      <c r="E65" s="10">
        <f t="shared" si="2"/>
        <v>72500.399999999907</v>
      </c>
      <c r="F65" s="3"/>
      <c r="G65" s="28"/>
      <c r="H65" s="10"/>
      <c r="I65" s="10">
        <f t="shared" si="8"/>
        <v>1385</v>
      </c>
      <c r="J65" s="10">
        <f t="shared" si="6"/>
        <v>3686593554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2589300</v>
      </c>
      <c r="D66" s="11">
        <v>2.75E-2</v>
      </c>
      <c r="E66" s="10">
        <f t="shared" si="2"/>
        <v>69300</v>
      </c>
      <c r="F66" s="3"/>
      <c r="G66" s="28"/>
      <c r="H66" s="10"/>
      <c r="I66" s="10">
        <f t="shared" si="8"/>
        <v>1385</v>
      </c>
      <c r="J66" s="10">
        <f t="shared" ref="J66:J67" si="9">IF(I66="","",I66*C66)</f>
        <v>3586180500</v>
      </c>
      <c r="K66" s="11">
        <f t="shared" ref="K66" si="10">IFERROR(J66/J67-1,"")</f>
        <v>2.750000000000008E-2</v>
      </c>
    </row>
    <row r="67" spans="1:11" ht="22.5" customHeight="1">
      <c r="A67" s="3">
        <f t="shared" si="0"/>
        <v>1950</v>
      </c>
      <c r="B67" s="3">
        <v>1700</v>
      </c>
      <c r="C67" s="10">
        <v>2520000</v>
      </c>
      <c r="D67" s="11">
        <v>2.7E-2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1385</v>
      </c>
      <c r="J67" s="10">
        <f t="shared" si="9"/>
        <v>3490200000</v>
      </c>
      <c r="K67" s="11"/>
    </row>
  </sheetData>
  <dataValidations count="1">
    <dataValidation type="custom" allowBlank="1" showDropDown="1" sqref="D2:D67" xr:uid="{00000000-0002-0000-0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27332501.14654782</v>
      </c>
      <c r="D2" s="11">
        <v>3.61E-2</v>
      </c>
      <c r="E2" s="10">
        <f t="shared" ref="E2:E66" si="2">SUM(C2-C3)</f>
        <v>952324.38122804463</v>
      </c>
      <c r="F2" s="15">
        <v>27332521</v>
      </c>
      <c r="G2" s="28"/>
      <c r="H2" s="10"/>
      <c r="I2" s="10">
        <f>IF(H2&lt;&gt;"",H2,302)</f>
        <v>302</v>
      </c>
      <c r="J2" s="10">
        <f t="shared" ref="J2:J33" si="3">IF(I2="","",I2*C2)</f>
        <v>8254415346.2574415</v>
      </c>
      <c r="K2" s="11">
        <f t="shared" ref="K2:K33" si="4">IFERROR(J2/J3-1,"")</f>
        <v>3.6100000000000021E-2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26380176.765319776</v>
      </c>
      <c r="D3" s="11">
        <v>3.73E-2</v>
      </c>
      <c r="E3" s="10">
        <f t="shared" si="2"/>
        <v>948597.89197573438</v>
      </c>
      <c r="F3" s="3"/>
      <c r="G3" s="28"/>
      <c r="H3" s="10"/>
      <c r="I3" s="10">
        <f t="shared" ref="I3:I34" si="5">IF(H3&lt;&gt;"",H3,I2/(1+IF(G2="",0,G2)/100))</f>
        <v>302</v>
      </c>
      <c r="J3" s="10">
        <f t="shared" si="3"/>
        <v>7966813383.1265726</v>
      </c>
      <c r="K3" s="11">
        <f t="shared" si="4"/>
        <v>3.7300000000000111E-2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25431578.873344041</v>
      </c>
      <c r="D4" s="11">
        <v>3.85E-2</v>
      </c>
      <c r="E4" s="10">
        <f t="shared" si="2"/>
        <v>942817.31981102005</v>
      </c>
      <c r="F4" s="3"/>
      <c r="G4" s="28"/>
      <c r="H4" s="10"/>
      <c r="I4" s="10">
        <f t="shared" si="5"/>
        <v>302</v>
      </c>
      <c r="J4" s="10">
        <f t="shared" si="3"/>
        <v>7680336819.7499008</v>
      </c>
      <c r="K4" s="11">
        <f t="shared" si="4"/>
        <v>3.8499999999999979E-2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24488761.553533021</v>
      </c>
      <c r="D5" s="11">
        <v>3.8800000000000001E-2</v>
      </c>
      <c r="E5" s="10">
        <f t="shared" si="2"/>
        <v>914674.57477578148</v>
      </c>
      <c r="F5" s="3"/>
      <c r="G5" s="28"/>
      <c r="H5" s="10"/>
      <c r="I5" s="10">
        <f t="shared" si="5"/>
        <v>302</v>
      </c>
      <c r="J5" s="10">
        <f t="shared" si="3"/>
        <v>7395605989.1669722</v>
      </c>
      <c r="K5" s="11">
        <f t="shared" si="4"/>
        <v>3.8799999999999946E-2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23574086.97875724</v>
      </c>
      <c r="D6" s="11">
        <v>3.8899999999999997E-2</v>
      </c>
      <c r="E6" s="10">
        <f t="shared" si="2"/>
        <v>882695.14243301004</v>
      </c>
      <c r="F6" s="3"/>
      <c r="G6" s="28"/>
      <c r="H6" s="10"/>
      <c r="I6" s="10">
        <f t="shared" si="5"/>
        <v>302</v>
      </c>
      <c r="J6" s="10">
        <f t="shared" si="3"/>
        <v>7119374267.5846863</v>
      </c>
      <c r="K6" s="11">
        <f t="shared" si="4"/>
        <v>3.8899999999999935E-2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22691391.83632423</v>
      </c>
      <c r="D7" s="11">
        <v>3.85E-2</v>
      </c>
      <c r="E7" s="10">
        <f t="shared" si="2"/>
        <v>841231.18507316709</v>
      </c>
      <c r="F7" s="3"/>
      <c r="G7" s="28"/>
      <c r="H7" s="10"/>
      <c r="I7" s="10">
        <f t="shared" si="5"/>
        <v>302</v>
      </c>
      <c r="J7" s="10">
        <f t="shared" si="3"/>
        <v>6852800334.5699177</v>
      </c>
      <c r="K7" s="11">
        <f t="shared" si="4"/>
        <v>3.8499999999999979E-2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21850160.651251063</v>
      </c>
      <c r="D8" s="11">
        <v>3.7999999999999999E-2</v>
      </c>
      <c r="E8" s="10">
        <f t="shared" si="2"/>
        <v>799909.54214599356</v>
      </c>
      <c r="F8" s="3"/>
      <c r="G8" s="28"/>
      <c r="H8" s="10"/>
      <c r="I8" s="10">
        <f t="shared" si="5"/>
        <v>302</v>
      </c>
      <c r="J8" s="10">
        <f t="shared" si="3"/>
        <v>6598748516.6778212</v>
      </c>
      <c r="K8" s="11">
        <f t="shared" si="4"/>
        <v>3.8000000000000034E-2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21050251.109105069</v>
      </c>
      <c r="D9" s="11">
        <v>3.78E-2</v>
      </c>
      <c r="E9" s="10">
        <f t="shared" si="2"/>
        <v>766717.56785909832</v>
      </c>
      <c r="F9" s="3"/>
      <c r="G9" s="28"/>
      <c r="H9" s="10"/>
      <c r="I9" s="10">
        <f t="shared" si="5"/>
        <v>302</v>
      </c>
      <c r="J9" s="10">
        <f t="shared" si="3"/>
        <v>6357175834.9497309</v>
      </c>
      <c r="K9" s="11">
        <f t="shared" si="4"/>
        <v>3.7800000000000056E-2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20283533.541245971</v>
      </c>
      <c r="D10" s="11">
        <v>3.7400000000000003E-2</v>
      </c>
      <c r="E10" s="10">
        <f t="shared" si="2"/>
        <v>731255.20960343257</v>
      </c>
      <c r="F10" s="3"/>
      <c r="G10" s="28"/>
      <c r="H10" s="10"/>
      <c r="I10" s="10">
        <f t="shared" si="5"/>
        <v>302</v>
      </c>
      <c r="J10" s="10">
        <f t="shared" si="3"/>
        <v>6125627129.4562836</v>
      </c>
      <c r="K10" s="11">
        <f t="shared" si="4"/>
        <v>3.74000000000001E-2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19552278.331642538</v>
      </c>
      <c r="D11" s="11">
        <v>3.6799999999999999E-2</v>
      </c>
      <c r="E11" s="10">
        <f t="shared" si="2"/>
        <v>693985.18769718707</v>
      </c>
      <c r="F11" s="3"/>
      <c r="G11" s="28"/>
      <c r="H11" s="10"/>
      <c r="I11" s="10">
        <f t="shared" si="5"/>
        <v>302</v>
      </c>
      <c r="J11" s="10">
        <f t="shared" si="3"/>
        <v>5904788056.1560469</v>
      </c>
      <c r="K11" s="11">
        <f t="shared" si="4"/>
        <v>3.6799999999999944E-2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18858293.143945351</v>
      </c>
      <c r="D12" s="11">
        <v>3.6499999999999998E-2</v>
      </c>
      <c r="E12" s="10">
        <f t="shared" si="2"/>
        <v>664088.47057791054</v>
      </c>
      <c r="F12" s="3"/>
      <c r="G12" s="28"/>
      <c r="H12" s="10"/>
      <c r="I12" s="10">
        <f t="shared" si="5"/>
        <v>302</v>
      </c>
      <c r="J12" s="10">
        <f t="shared" si="3"/>
        <v>5695204529.4714956</v>
      </c>
      <c r="K12" s="11">
        <f t="shared" si="4"/>
        <v>3.6499999999999977E-2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18194204.673367441</v>
      </c>
      <c r="D13" s="11">
        <v>3.5900000000000001E-2</v>
      </c>
      <c r="E13" s="10">
        <f t="shared" si="2"/>
        <v>630535.71558441222</v>
      </c>
      <c r="F13" s="3"/>
      <c r="G13" s="28"/>
      <c r="H13" s="10"/>
      <c r="I13" s="10">
        <f t="shared" si="5"/>
        <v>302</v>
      </c>
      <c r="J13" s="10">
        <f t="shared" si="3"/>
        <v>5494649811.356967</v>
      </c>
      <c r="K13" s="11">
        <f t="shared" si="4"/>
        <v>3.5900000000000043E-2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17563668.957783028</v>
      </c>
      <c r="D14" s="11">
        <v>3.49E-2</v>
      </c>
      <c r="E14" s="10">
        <f t="shared" si="2"/>
        <v>592300.75043639541</v>
      </c>
      <c r="F14" s="3"/>
      <c r="G14" s="28"/>
      <c r="H14" s="10"/>
      <c r="I14" s="10">
        <f t="shared" si="5"/>
        <v>302</v>
      </c>
      <c r="J14" s="10">
        <f t="shared" si="3"/>
        <v>5304228025.2504749</v>
      </c>
      <c r="K14" s="11">
        <f t="shared" si="4"/>
        <v>3.4899999999999931E-2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16971368.207346633</v>
      </c>
      <c r="D15" s="11">
        <v>3.4099999999999998E-2</v>
      </c>
      <c r="E15" s="10">
        <f t="shared" si="2"/>
        <v>559639.93411712535</v>
      </c>
      <c r="F15" s="3"/>
      <c r="G15" s="28"/>
      <c r="H15" s="10"/>
      <c r="I15" s="10">
        <f t="shared" si="5"/>
        <v>302</v>
      </c>
      <c r="J15" s="10">
        <f t="shared" si="3"/>
        <v>5125353198.6186829</v>
      </c>
      <c r="K15" s="11">
        <f t="shared" si="4"/>
        <v>3.4099999999999797E-2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16411728.273229508</v>
      </c>
      <c r="D16" s="11">
        <v>3.3500000000000002E-2</v>
      </c>
      <c r="E16" s="10">
        <f t="shared" si="2"/>
        <v>531971.84049655497</v>
      </c>
      <c r="F16" s="3"/>
      <c r="G16" s="28"/>
      <c r="H16" s="10"/>
      <c r="I16" s="10">
        <f t="shared" si="5"/>
        <v>302</v>
      </c>
      <c r="J16" s="10">
        <f t="shared" si="3"/>
        <v>4956341938.5153112</v>
      </c>
      <c r="K16" s="11">
        <f t="shared" si="4"/>
        <v>3.3500000000000085E-2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15879756.432732953</v>
      </c>
      <c r="D17" s="11">
        <v>3.3099999999999997E-2</v>
      </c>
      <c r="E17" s="10">
        <f t="shared" si="2"/>
        <v>508779.34171276726</v>
      </c>
      <c r="F17" s="3"/>
      <c r="G17" s="28"/>
      <c r="H17" s="10"/>
      <c r="I17" s="10">
        <f t="shared" si="5"/>
        <v>302</v>
      </c>
      <c r="J17" s="10">
        <f t="shared" si="3"/>
        <v>4795686442.6853514</v>
      </c>
      <c r="K17" s="11">
        <f t="shared" si="4"/>
        <v>3.3099999999999907E-2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15370977.091020186</v>
      </c>
      <c r="D18" s="11">
        <v>3.3000000000000002E-2</v>
      </c>
      <c r="E18" s="10">
        <f t="shared" si="2"/>
        <v>491037.99032300524</v>
      </c>
      <c r="F18" s="3"/>
      <c r="G18" s="28"/>
      <c r="H18" s="10"/>
      <c r="I18" s="10">
        <f t="shared" si="5"/>
        <v>302</v>
      </c>
      <c r="J18" s="10">
        <f t="shared" si="3"/>
        <v>4642035081.4880962</v>
      </c>
      <c r="K18" s="11">
        <f t="shared" si="4"/>
        <v>3.2999999999999918E-2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14879939.10069718</v>
      </c>
      <c r="D19" s="11">
        <v>3.3500000000000002E-2</v>
      </c>
      <c r="E19" s="10">
        <f t="shared" si="2"/>
        <v>482320.2320980709</v>
      </c>
      <c r="F19" s="3"/>
      <c r="G19" s="28"/>
      <c r="H19" s="10"/>
      <c r="I19" s="10">
        <f t="shared" si="5"/>
        <v>302</v>
      </c>
      <c r="J19" s="10">
        <f t="shared" si="3"/>
        <v>4493741608.4105482</v>
      </c>
      <c r="K19" s="11">
        <f t="shared" si="4"/>
        <v>3.3500000000000085E-2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14397618.868599109</v>
      </c>
      <c r="D20" s="11">
        <v>3.4000000000000002E-2</v>
      </c>
      <c r="E20" s="10">
        <f t="shared" si="2"/>
        <v>473422.67072763108</v>
      </c>
      <c r="F20" s="3"/>
      <c r="G20" s="28"/>
      <c r="H20" s="10"/>
      <c r="I20" s="10">
        <f t="shared" si="5"/>
        <v>302</v>
      </c>
      <c r="J20" s="10">
        <f t="shared" si="3"/>
        <v>4348080898.3169308</v>
      </c>
      <c r="K20" s="11">
        <f t="shared" si="4"/>
        <v>3.400000000000003E-2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13924196.197871478</v>
      </c>
      <c r="D21" s="11">
        <v>3.3799999999999997E-2</v>
      </c>
      <c r="E21" s="10">
        <f t="shared" si="2"/>
        <v>455250.3690153379</v>
      </c>
      <c r="F21" s="3"/>
      <c r="G21" s="28"/>
      <c r="H21" s="10"/>
      <c r="I21" s="10">
        <f t="shared" si="5"/>
        <v>302</v>
      </c>
      <c r="J21" s="10">
        <f t="shared" si="3"/>
        <v>4205107251.7571864</v>
      </c>
      <c r="K21" s="11">
        <f t="shared" si="4"/>
        <v>3.3800000000000052E-2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13468945.82885614</v>
      </c>
      <c r="D22" s="11">
        <v>3.3399999999999999E-2</v>
      </c>
      <c r="E22" s="10">
        <f t="shared" si="2"/>
        <v>435323.00240351819</v>
      </c>
      <c r="F22" s="3"/>
      <c r="G22" s="28"/>
      <c r="H22" s="10"/>
      <c r="I22" s="10">
        <f t="shared" si="5"/>
        <v>302</v>
      </c>
      <c r="J22" s="10">
        <f t="shared" si="3"/>
        <v>4067621640.3145542</v>
      </c>
      <c r="K22" s="11">
        <f t="shared" si="4"/>
        <v>3.3400000000000096E-2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13033622.826452622</v>
      </c>
      <c r="D23" s="11">
        <v>3.2399999999999998E-2</v>
      </c>
      <c r="E23" s="10">
        <f t="shared" si="2"/>
        <v>409036.59393361583</v>
      </c>
      <c r="F23" s="3"/>
      <c r="G23" s="28"/>
      <c r="H23" s="10"/>
      <c r="I23" s="10">
        <f t="shared" si="5"/>
        <v>302</v>
      </c>
      <c r="J23" s="10">
        <f t="shared" si="3"/>
        <v>3936154093.5886917</v>
      </c>
      <c r="K23" s="11">
        <f t="shared" si="4"/>
        <v>3.2399999999999984E-2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12624586.232519006</v>
      </c>
      <c r="D24" s="11">
        <v>3.2000000000000001E-2</v>
      </c>
      <c r="E24" s="10">
        <f t="shared" si="2"/>
        <v>391460.03821764328</v>
      </c>
      <c r="F24" s="3"/>
      <c r="G24" s="28"/>
      <c r="H24" s="10"/>
      <c r="I24" s="10">
        <f t="shared" si="5"/>
        <v>302</v>
      </c>
      <c r="J24" s="10">
        <f t="shared" si="3"/>
        <v>3812625042.2207398</v>
      </c>
      <c r="K24" s="11">
        <f t="shared" si="4"/>
        <v>3.1999999999999806E-2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12233126.194301363</v>
      </c>
      <c r="D25" s="11">
        <v>3.27E-2</v>
      </c>
      <c r="E25" s="10">
        <f t="shared" si="2"/>
        <v>387356.66365222633</v>
      </c>
      <c r="F25" s="3"/>
      <c r="G25" s="28"/>
      <c r="H25" s="10"/>
      <c r="I25" s="10">
        <f t="shared" si="5"/>
        <v>302</v>
      </c>
      <c r="J25" s="10">
        <f t="shared" si="3"/>
        <v>3694404110.6790118</v>
      </c>
      <c r="K25" s="11">
        <f t="shared" si="4"/>
        <v>3.2699999999999951E-2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11845769.530649137</v>
      </c>
      <c r="D26" s="11">
        <v>3.3599999999999998E-2</v>
      </c>
      <c r="E26" s="10">
        <f t="shared" si="2"/>
        <v>385079.19526877999</v>
      </c>
      <c r="F26" s="3"/>
      <c r="G26" s="28"/>
      <c r="H26" s="10"/>
      <c r="I26" s="10">
        <f t="shared" si="5"/>
        <v>302</v>
      </c>
      <c r="J26" s="10">
        <f t="shared" si="3"/>
        <v>3577422398.2560391</v>
      </c>
      <c r="K26" s="11">
        <f t="shared" si="4"/>
        <v>3.3599999999999852E-2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11460690.335380357</v>
      </c>
      <c r="D27" s="11">
        <v>3.39E-2</v>
      </c>
      <c r="E27" s="10">
        <f t="shared" si="2"/>
        <v>375778.5108515285</v>
      </c>
      <c r="F27" s="3"/>
      <c r="G27" s="28"/>
      <c r="H27" s="10"/>
      <c r="I27" s="10">
        <f t="shared" si="5"/>
        <v>302</v>
      </c>
      <c r="J27" s="10">
        <f t="shared" si="3"/>
        <v>3461128481.2848678</v>
      </c>
      <c r="K27" s="11">
        <f t="shared" si="4"/>
        <v>3.3900000000000041E-2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11084911.824528828</v>
      </c>
      <c r="D28" s="11">
        <v>3.4099999999999998E-2</v>
      </c>
      <c r="E28" s="10">
        <f t="shared" si="2"/>
        <v>365530.88987180404</v>
      </c>
      <c r="F28" s="3"/>
      <c r="G28" s="28"/>
      <c r="H28" s="10"/>
      <c r="I28" s="10">
        <f t="shared" si="5"/>
        <v>302</v>
      </c>
      <c r="J28" s="10">
        <f t="shared" si="3"/>
        <v>3347643371.0077062</v>
      </c>
      <c r="K28" s="11">
        <f t="shared" si="4"/>
        <v>3.4100000000000019E-2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10719380.934657024</v>
      </c>
      <c r="D29" s="11">
        <v>3.4000000000000002E-2</v>
      </c>
      <c r="E29" s="10">
        <f t="shared" si="2"/>
        <v>352474.80829626694</v>
      </c>
      <c r="F29" s="3"/>
      <c r="G29" s="28"/>
      <c r="H29" s="10"/>
      <c r="I29" s="10">
        <f t="shared" si="5"/>
        <v>302</v>
      </c>
      <c r="J29" s="10">
        <f t="shared" si="3"/>
        <v>3237253042.2664213</v>
      </c>
      <c r="K29" s="11">
        <f t="shared" si="4"/>
        <v>3.400000000000003E-2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10366906.126360757</v>
      </c>
      <c r="D30" s="12">
        <v>3.4700000000000002E-2</v>
      </c>
      <c r="E30" s="10">
        <f t="shared" si="2"/>
        <v>347667.57764058933</v>
      </c>
      <c r="F30" s="3"/>
      <c r="G30" s="28"/>
      <c r="H30" s="10"/>
      <c r="I30" s="10">
        <f t="shared" si="5"/>
        <v>302</v>
      </c>
      <c r="J30" s="10">
        <f t="shared" si="3"/>
        <v>3130805650.1609488</v>
      </c>
      <c r="K30" s="11">
        <f t="shared" si="4"/>
        <v>3.4699999999999953E-2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10019238.548720168</v>
      </c>
      <c r="D31" s="13">
        <v>3.6200000000000003E-2</v>
      </c>
      <c r="E31" s="10">
        <f t="shared" si="2"/>
        <v>350025.51193174161</v>
      </c>
      <c r="F31" s="3"/>
      <c r="G31" s="28"/>
      <c r="H31" s="10"/>
      <c r="I31" s="10">
        <f t="shared" si="5"/>
        <v>302</v>
      </c>
      <c r="J31" s="10">
        <f t="shared" si="3"/>
        <v>3025810041.7134905</v>
      </c>
      <c r="K31" s="11">
        <f t="shared" si="4"/>
        <v>3.620000000000001E-2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9669213.0367884263</v>
      </c>
      <c r="D32" s="12">
        <v>3.6799999999999999E-2</v>
      </c>
      <c r="E32" s="10">
        <f t="shared" si="2"/>
        <v>343197.37630576082</v>
      </c>
      <c r="F32" s="3"/>
      <c r="G32" s="28"/>
      <c r="H32" s="10"/>
      <c r="I32" s="10">
        <f t="shared" si="5"/>
        <v>302</v>
      </c>
      <c r="J32" s="10">
        <f t="shared" si="3"/>
        <v>2920102337.1101046</v>
      </c>
      <c r="K32" s="11">
        <f t="shared" si="4"/>
        <v>3.6799999999999722E-2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9326015.6604826655</v>
      </c>
      <c r="D33" s="13">
        <v>3.7100000000000001E-2</v>
      </c>
      <c r="E33" s="10">
        <f t="shared" si="2"/>
        <v>333617.95487793535</v>
      </c>
      <c r="F33" s="3"/>
      <c r="G33" s="28"/>
      <c r="H33" s="10"/>
      <c r="I33" s="10">
        <f t="shared" si="5"/>
        <v>302</v>
      </c>
      <c r="J33" s="10">
        <f t="shared" si="3"/>
        <v>2816456729.465765</v>
      </c>
      <c r="K33" s="11">
        <f t="shared" si="4"/>
        <v>3.7099999999999911E-2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8992397.7056047302</v>
      </c>
      <c r="D34" s="12">
        <v>3.7199999999999997E-2</v>
      </c>
      <c r="E34" s="10">
        <f t="shared" si="2"/>
        <v>322519.47035142221</v>
      </c>
      <c r="F34" s="3"/>
      <c r="G34" s="28"/>
      <c r="H34" s="10"/>
      <c r="I34" s="10">
        <f t="shared" si="5"/>
        <v>302</v>
      </c>
      <c r="J34" s="10">
        <f t="shared" ref="J34:J65" si="6">IF(I34="","",I34*C34)</f>
        <v>2715704107.0926285</v>
      </c>
      <c r="K34" s="11">
        <f t="shared" ref="K34:K65" si="7">IFERROR(J34/J35-1,"")</f>
        <v>3.71999999999999E-2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8669878.235253308</v>
      </c>
      <c r="D35" s="11">
        <v>3.6799999999999999E-2</v>
      </c>
      <c r="E35" s="10">
        <f t="shared" si="2"/>
        <v>307727.159584607</v>
      </c>
      <c r="F35" s="3"/>
      <c r="G35" s="28"/>
      <c r="H35" s="10"/>
      <c r="I35" s="10">
        <f t="shared" ref="I35:I66" si="8">IF(H35&lt;&gt;"",H35,I34/(1+IF(G34="",0,G34)/100))</f>
        <v>302</v>
      </c>
      <c r="J35" s="10">
        <f t="shared" si="6"/>
        <v>2618303227.0464988</v>
      </c>
      <c r="K35" s="11">
        <f t="shared" si="7"/>
        <v>3.6799999999999722E-2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8362151.075668701</v>
      </c>
      <c r="D36" s="11">
        <v>3.6400000000000002E-2</v>
      </c>
      <c r="E36" s="10">
        <f t="shared" si="2"/>
        <v>293691.91350283753</v>
      </c>
      <c r="F36" s="3"/>
      <c r="G36" s="28"/>
      <c r="H36" s="10"/>
      <c r="I36" s="10">
        <f t="shared" si="8"/>
        <v>302</v>
      </c>
      <c r="J36" s="10">
        <f t="shared" si="6"/>
        <v>2525369624.8519478</v>
      </c>
      <c r="K36" s="11">
        <f t="shared" si="7"/>
        <v>3.640000000000021E-2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8068459.1621658634</v>
      </c>
      <c r="D37" s="11">
        <v>3.5900000000000001E-2</v>
      </c>
      <c r="E37" s="10">
        <f t="shared" si="2"/>
        <v>279619.34928251244</v>
      </c>
      <c r="F37" s="3"/>
      <c r="G37" s="28"/>
      <c r="H37" s="10"/>
      <c r="I37" s="10">
        <f t="shared" si="8"/>
        <v>302</v>
      </c>
      <c r="J37" s="10">
        <f t="shared" si="6"/>
        <v>2436674666.9740906</v>
      </c>
      <c r="K37" s="11">
        <f t="shared" si="7"/>
        <v>3.5900000000000043E-2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7788839.812883351</v>
      </c>
      <c r="D38" s="11">
        <v>3.5099999999999999E-2</v>
      </c>
      <c r="E38" s="10">
        <f t="shared" si="2"/>
        <v>264117.74459685571</v>
      </c>
      <c r="F38" s="3"/>
      <c r="G38" s="28"/>
      <c r="H38" s="10"/>
      <c r="I38" s="10">
        <f t="shared" si="8"/>
        <v>302</v>
      </c>
      <c r="J38" s="10">
        <f t="shared" si="6"/>
        <v>2352229623.4907718</v>
      </c>
      <c r="K38" s="11">
        <f t="shared" si="7"/>
        <v>3.5099999999999909E-2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7524722.0682864953</v>
      </c>
      <c r="D39" s="11">
        <v>3.4799999999999998E-2</v>
      </c>
      <c r="E39" s="10">
        <f t="shared" si="2"/>
        <v>253054.04713603575</v>
      </c>
      <c r="F39" s="3"/>
      <c r="G39" s="28"/>
      <c r="H39" s="10"/>
      <c r="I39" s="10">
        <f t="shared" si="8"/>
        <v>302</v>
      </c>
      <c r="J39" s="10">
        <f t="shared" si="6"/>
        <v>2272466064.6225214</v>
      </c>
      <c r="K39" s="11">
        <f t="shared" si="7"/>
        <v>3.4799999999999942E-2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7271668.0211504595</v>
      </c>
      <c r="D40" s="11">
        <v>3.3799999999999997E-2</v>
      </c>
      <c r="E40" s="10">
        <f t="shared" si="2"/>
        <v>237746.54586466029</v>
      </c>
      <c r="F40" s="3"/>
      <c r="G40" s="28"/>
      <c r="H40" s="10"/>
      <c r="I40" s="10">
        <f t="shared" si="8"/>
        <v>302</v>
      </c>
      <c r="J40" s="10">
        <f t="shared" si="6"/>
        <v>2196043742.3874388</v>
      </c>
      <c r="K40" s="11">
        <f t="shared" si="7"/>
        <v>3.3800000000000052E-2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7033921.4752857992</v>
      </c>
      <c r="D41" s="11">
        <v>3.3300000000000003E-2</v>
      </c>
      <c r="E41" s="10">
        <f t="shared" si="2"/>
        <v>226681.1043520933</v>
      </c>
      <c r="F41" s="3"/>
      <c r="G41" s="28"/>
      <c r="H41" s="10"/>
      <c r="I41" s="10">
        <f t="shared" si="8"/>
        <v>302</v>
      </c>
      <c r="J41" s="10">
        <f t="shared" si="6"/>
        <v>2124244285.5363114</v>
      </c>
      <c r="K41" s="11">
        <f t="shared" si="7"/>
        <v>3.3300000000000107E-2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6807240.3709337059</v>
      </c>
      <c r="D42" s="11">
        <v>3.4099999999999998E-2</v>
      </c>
      <c r="E42" s="10">
        <f t="shared" si="2"/>
        <v>224472.38821084984</v>
      </c>
      <c r="F42" s="3"/>
      <c r="G42" s="28"/>
      <c r="H42" s="10"/>
      <c r="I42" s="10">
        <f t="shared" si="8"/>
        <v>302</v>
      </c>
      <c r="J42" s="10">
        <f t="shared" si="6"/>
        <v>2055786592.0219791</v>
      </c>
      <c r="K42" s="11">
        <f t="shared" si="7"/>
        <v>3.4100000000000019E-2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6582767.9827228561</v>
      </c>
      <c r="D43" s="11">
        <v>3.4599999999999999E-2</v>
      </c>
      <c r="E43" s="10">
        <f t="shared" si="2"/>
        <v>220146.69650319964</v>
      </c>
      <c r="F43" s="3"/>
      <c r="G43" s="28"/>
      <c r="H43" s="10"/>
      <c r="I43" s="10">
        <f t="shared" si="8"/>
        <v>302</v>
      </c>
      <c r="J43" s="10">
        <f t="shared" si="6"/>
        <v>1987995930.7823026</v>
      </c>
      <c r="K43" s="11">
        <f t="shared" si="7"/>
        <v>3.4599999999999964E-2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6362621.2862196565</v>
      </c>
      <c r="D44" s="11">
        <v>3.4099999999999998E-2</v>
      </c>
      <c r="E44" s="10">
        <f t="shared" si="2"/>
        <v>209810.83634086698</v>
      </c>
      <c r="F44" s="3"/>
      <c r="G44" s="28"/>
      <c r="H44" s="10"/>
      <c r="I44" s="10">
        <f t="shared" si="8"/>
        <v>302</v>
      </c>
      <c r="J44" s="10">
        <f t="shared" si="6"/>
        <v>1921511628.4383364</v>
      </c>
      <c r="K44" s="11">
        <f t="shared" si="7"/>
        <v>3.4100000000000019E-2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6152810.4498787895</v>
      </c>
      <c r="D45" s="11">
        <v>3.0099999999999998E-2</v>
      </c>
      <c r="E45" s="10">
        <f t="shared" si="2"/>
        <v>179787.97645020019</v>
      </c>
      <c r="F45" s="3"/>
      <c r="G45" s="28"/>
      <c r="H45" s="10"/>
      <c r="I45" s="10">
        <f t="shared" si="8"/>
        <v>302</v>
      </c>
      <c r="J45" s="10">
        <f t="shared" si="6"/>
        <v>1858148755.8633945</v>
      </c>
      <c r="K45" s="11">
        <f t="shared" si="7"/>
        <v>3.0100000000000016E-2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5973022.4734285893</v>
      </c>
      <c r="D46" s="11">
        <v>2.3400000000000001E-2</v>
      </c>
      <c r="E46" s="10">
        <f t="shared" si="2"/>
        <v>136572.91956051346</v>
      </c>
      <c r="F46" s="3"/>
      <c r="G46" s="28"/>
      <c r="H46" s="10"/>
      <c r="I46" s="10">
        <f t="shared" si="8"/>
        <v>302</v>
      </c>
      <c r="J46" s="10">
        <f t="shared" si="6"/>
        <v>1803852786.9754341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5836449.5538680758</v>
      </c>
      <c r="D47" s="11">
        <v>1.5299999999999999E-2</v>
      </c>
      <c r="E47" s="10">
        <f t="shared" si="2"/>
        <v>87952.012384695932</v>
      </c>
      <c r="F47" s="3"/>
      <c r="G47" s="28"/>
      <c r="H47" s="10"/>
      <c r="I47" s="10">
        <f t="shared" si="8"/>
        <v>302</v>
      </c>
      <c r="J47" s="10">
        <f t="shared" si="6"/>
        <v>1762607765.2681589</v>
      </c>
      <c r="K47" s="11">
        <f t="shared" si="7"/>
        <v>1.5300000000000091E-2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5748497.5414833799</v>
      </c>
      <c r="D48" s="11">
        <v>1.06E-2</v>
      </c>
      <c r="E48" s="10">
        <f t="shared" si="2"/>
        <v>60294.94749626331</v>
      </c>
      <c r="F48" s="3"/>
      <c r="G48" s="28"/>
      <c r="H48" s="10"/>
      <c r="I48" s="10">
        <f t="shared" si="8"/>
        <v>302</v>
      </c>
      <c r="J48" s="10">
        <f t="shared" si="6"/>
        <v>1736046257.5279808</v>
      </c>
      <c r="K48" s="11">
        <f t="shared" si="7"/>
        <v>1.0599999999999943E-2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5688202.5939871166</v>
      </c>
      <c r="D49" s="11">
        <v>1.0699999999999999E-2</v>
      </c>
      <c r="E49" s="10">
        <f t="shared" si="2"/>
        <v>60219.419962068088</v>
      </c>
      <c r="F49" s="3"/>
      <c r="G49" s="28"/>
      <c r="H49" s="10"/>
      <c r="I49" s="10">
        <f t="shared" si="8"/>
        <v>302</v>
      </c>
      <c r="J49" s="10">
        <f t="shared" si="6"/>
        <v>1717837183.3841093</v>
      </c>
      <c r="K49" s="11">
        <f t="shared" si="7"/>
        <v>1.0700000000000154E-2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5627983.1740250485</v>
      </c>
      <c r="D50" s="11">
        <v>1.0800000000000001E-2</v>
      </c>
      <c r="E50" s="10">
        <f t="shared" si="2"/>
        <v>60132.78421000205</v>
      </c>
      <c r="F50" s="3"/>
      <c r="G50" s="28"/>
      <c r="H50" s="10"/>
      <c r="I50" s="10">
        <f t="shared" si="8"/>
        <v>302</v>
      </c>
      <c r="J50" s="10">
        <f t="shared" si="6"/>
        <v>1699650918.5555646</v>
      </c>
      <c r="K50" s="11">
        <f t="shared" si="7"/>
        <v>1.0799999999999921E-2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5567850.3898150465</v>
      </c>
      <c r="D51" s="11">
        <v>1.0699999999999999E-2</v>
      </c>
      <c r="E51" s="10">
        <f t="shared" si="2"/>
        <v>58945.284625527449</v>
      </c>
      <c r="F51" s="3"/>
      <c r="G51" s="28"/>
      <c r="H51" s="10"/>
      <c r="I51" s="10">
        <f t="shared" si="8"/>
        <v>302</v>
      </c>
      <c r="J51" s="10">
        <f t="shared" si="6"/>
        <v>1681490817.724144</v>
      </c>
      <c r="K51" s="11">
        <f t="shared" si="7"/>
        <v>1.0699999999999932E-2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5508905.105189519</v>
      </c>
      <c r="D52" s="11">
        <v>1.0500000000000001E-2</v>
      </c>
      <c r="E52" s="10">
        <f t="shared" si="2"/>
        <v>57242.457797614858</v>
      </c>
      <c r="F52" s="3"/>
      <c r="G52" s="28"/>
      <c r="H52" s="10"/>
      <c r="I52" s="10">
        <f t="shared" si="8"/>
        <v>302</v>
      </c>
      <c r="J52" s="10">
        <f t="shared" si="6"/>
        <v>1663689341.7672348</v>
      </c>
      <c r="K52" s="11">
        <f t="shared" si="7"/>
        <v>1.0499999999999954E-2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5451662.6473919041</v>
      </c>
      <c r="D53" s="11">
        <v>1.03E-2</v>
      </c>
      <c r="E53" s="10">
        <f t="shared" si="2"/>
        <v>55579.654823455028</v>
      </c>
      <c r="F53" s="3"/>
      <c r="G53" s="28"/>
      <c r="H53" s="10"/>
      <c r="I53" s="10">
        <f t="shared" si="8"/>
        <v>302</v>
      </c>
      <c r="J53" s="10">
        <f t="shared" si="6"/>
        <v>1646402119.5123551</v>
      </c>
      <c r="K53" s="11">
        <f t="shared" si="7"/>
        <v>1.0299999999999976E-2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5396082.9925684491</v>
      </c>
      <c r="D54" s="11">
        <v>0.01</v>
      </c>
      <c r="E54" s="10">
        <f t="shared" si="2"/>
        <v>53426.56428285595</v>
      </c>
      <c r="F54" s="3"/>
      <c r="G54" s="28"/>
      <c r="H54" s="10"/>
      <c r="I54" s="10">
        <f t="shared" si="8"/>
        <v>302</v>
      </c>
      <c r="J54" s="10">
        <f t="shared" si="6"/>
        <v>1629617063.7556717</v>
      </c>
      <c r="K54" s="11">
        <f t="shared" si="7"/>
        <v>1.0000000000000009E-2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5342656.4282855932</v>
      </c>
      <c r="D55" s="11">
        <v>9.9000000000000008E-3</v>
      </c>
      <c r="E55" s="10">
        <f t="shared" si="2"/>
        <v>52373.798039437272</v>
      </c>
      <c r="F55" s="3"/>
      <c r="G55" s="28"/>
      <c r="H55" s="10"/>
      <c r="I55" s="10">
        <f t="shared" si="8"/>
        <v>302</v>
      </c>
      <c r="J55" s="10">
        <f t="shared" si="6"/>
        <v>1613482241.3422492</v>
      </c>
      <c r="K55" s="11">
        <f t="shared" si="7"/>
        <v>9.9000000000000199E-3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5290282.6302461559</v>
      </c>
      <c r="D56" s="11">
        <v>1.3299999999999999E-2</v>
      </c>
      <c r="E56" s="10">
        <f t="shared" si="2"/>
        <v>69437.2436418375</v>
      </c>
      <c r="F56" s="3"/>
      <c r="G56" s="28"/>
      <c r="H56" s="10"/>
      <c r="I56" s="10">
        <f t="shared" si="8"/>
        <v>302</v>
      </c>
      <c r="J56" s="10">
        <f t="shared" si="6"/>
        <v>1597665354.3343391</v>
      </c>
      <c r="K56" s="11">
        <f t="shared" si="7"/>
        <v>1.330000000000009E-2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5220845.3866043184</v>
      </c>
      <c r="D57" s="11">
        <v>1.4500000000000001E-2</v>
      </c>
      <c r="E57" s="10">
        <f t="shared" si="2"/>
        <v>74620.264273792505</v>
      </c>
      <c r="F57" s="3"/>
      <c r="G57" s="28"/>
      <c r="H57" s="10"/>
      <c r="I57" s="10">
        <f t="shared" si="8"/>
        <v>302</v>
      </c>
      <c r="J57" s="10">
        <f t="shared" si="6"/>
        <v>1576695306.7545042</v>
      </c>
      <c r="K57" s="11">
        <f t="shared" si="7"/>
        <v>1.4499999999999957E-2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5146225.1223305259</v>
      </c>
      <c r="D58" s="11">
        <v>1.55E-2</v>
      </c>
      <c r="E58" s="10">
        <f t="shared" si="2"/>
        <v>78548.980202977546</v>
      </c>
      <c r="F58" s="3"/>
      <c r="G58" s="28"/>
      <c r="H58" s="10"/>
      <c r="I58" s="10">
        <f t="shared" si="8"/>
        <v>302</v>
      </c>
      <c r="J58" s="10">
        <f t="shared" si="6"/>
        <v>1554159986.9438188</v>
      </c>
      <c r="K58" s="11">
        <f t="shared" si="7"/>
        <v>1.5500000000000069E-2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5067676.1421275483</v>
      </c>
      <c r="D59" s="11">
        <v>1.6500000000000001E-2</v>
      </c>
      <c r="E59" s="10">
        <f t="shared" si="2"/>
        <v>82259.376630697399</v>
      </c>
      <c r="F59" s="3"/>
      <c r="G59" s="28"/>
      <c r="H59" s="10"/>
      <c r="I59" s="10">
        <f t="shared" si="8"/>
        <v>302</v>
      </c>
      <c r="J59" s="10">
        <f t="shared" si="6"/>
        <v>1530438194.9225197</v>
      </c>
      <c r="K59" s="11">
        <f t="shared" si="7"/>
        <v>1.6499999999999959E-2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4985416.7654968509</v>
      </c>
      <c r="D60" s="11">
        <v>1.7000000000000001E-2</v>
      </c>
      <c r="E60" s="10">
        <f t="shared" si="2"/>
        <v>83335.383494047448</v>
      </c>
      <c r="F60" s="3"/>
      <c r="G60" s="28"/>
      <c r="H60" s="10"/>
      <c r="I60" s="10">
        <f t="shared" si="8"/>
        <v>302</v>
      </c>
      <c r="J60" s="10">
        <f t="shared" si="6"/>
        <v>1505595863.1800489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4902081.3820028035</v>
      </c>
      <c r="D61" s="11">
        <v>1.7000000000000001E-2</v>
      </c>
      <c r="E61" s="10">
        <f t="shared" si="2"/>
        <v>81942.363317647018</v>
      </c>
      <c r="F61" s="3"/>
      <c r="G61" s="28"/>
      <c r="H61" s="10"/>
      <c r="I61" s="10">
        <f t="shared" si="8"/>
        <v>302</v>
      </c>
      <c r="J61" s="10">
        <f t="shared" si="6"/>
        <v>1480428577.3648467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4820139.0186851565</v>
      </c>
      <c r="D62" s="11">
        <v>1.7000000000000001E-2</v>
      </c>
      <c r="E62" s="10">
        <f t="shared" si="2"/>
        <v>80572.628630921245</v>
      </c>
      <c r="F62" s="3"/>
      <c r="G62" s="28"/>
      <c r="H62" s="10"/>
      <c r="I62" s="10">
        <f t="shared" si="8"/>
        <v>302</v>
      </c>
      <c r="J62" s="10">
        <f t="shared" si="6"/>
        <v>1455681983.6429172</v>
      </c>
      <c r="K62" s="11">
        <f t="shared" si="7"/>
        <v>1.6999999999999682E-2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4739566.3900542352</v>
      </c>
      <c r="D63" s="11">
        <v>1.7000000000000001E-2</v>
      </c>
      <c r="E63" s="10">
        <f t="shared" si="2"/>
        <v>79225.790197563358</v>
      </c>
      <c r="F63" s="3"/>
      <c r="G63" s="28"/>
      <c r="H63" s="10"/>
      <c r="I63" s="10">
        <f t="shared" si="8"/>
        <v>302</v>
      </c>
      <c r="J63" s="10">
        <f t="shared" si="6"/>
        <v>1431349049.7963791</v>
      </c>
      <c r="K63" s="11">
        <f t="shared" si="7"/>
        <v>1.6999999999999904E-2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4660340.5998566719</v>
      </c>
      <c r="D64" s="11">
        <v>1.7000000000000001E-2</v>
      </c>
      <c r="E64" s="10">
        <f t="shared" si="2"/>
        <v>77901.465287672356</v>
      </c>
      <c r="F64" s="3"/>
      <c r="G64" s="28"/>
      <c r="H64" s="10"/>
      <c r="I64" s="10">
        <f t="shared" si="8"/>
        <v>302</v>
      </c>
      <c r="J64" s="10">
        <f t="shared" si="6"/>
        <v>1407422861.1567149</v>
      </c>
      <c r="K64" s="11">
        <f t="shared" si="7"/>
        <v>1.6999999999999904E-2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4582439.1345689995</v>
      </c>
      <c r="D65" s="11">
        <v>1.7000000000000001E-2</v>
      </c>
      <c r="E65" s="10">
        <f t="shared" si="2"/>
        <v>76599.277568999678</v>
      </c>
      <c r="F65" s="3"/>
      <c r="G65" s="28"/>
      <c r="H65" s="10"/>
      <c r="I65" s="10">
        <f t="shared" si="8"/>
        <v>302</v>
      </c>
      <c r="J65" s="10">
        <f t="shared" si="6"/>
        <v>1383896618.6398377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4505839.8569999998</v>
      </c>
      <c r="D66" s="11">
        <v>1.7000000000000001E-2</v>
      </c>
      <c r="E66" s="10">
        <f t="shared" si="2"/>
        <v>75318.856999999844</v>
      </c>
      <c r="F66" s="3"/>
      <c r="G66" s="28"/>
      <c r="H66" s="10"/>
      <c r="I66" s="10">
        <f t="shared" si="8"/>
        <v>302</v>
      </c>
      <c r="J66" s="10">
        <f t="shared" ref="J66:J67" si="9">IF(I66="","",I66*C66)</f>
        <v>1360763636.8139999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5">
        <v>4430521</v>
      </c>
      <c r="D67" s="11">
        <v>1.7000000000000001E-2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302</v>
      </c>
      <c r="J67" s="10">
        <f t="shared" si="9"/>
        <v>1338017342</v>
      </c>
      <c r="K67" s="11"/>
    </row>
  </sheetData>
  <dataValidations count="1">
    <dataValidation type="custom" allowBlank="1" showDropDown="1" sqref="D2:D67" xr:uid="{00000000-0002-0000-1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759112.55201123783</v>
      </c>
      <c r="D2" s="11">
        <v>4.1500000000000002E-2</v>
      </c>
      <c r="E2" s="10">
        <f t="shared" ref="E2:E66" si="2">SUM(C2-C3)</f>
        <v>30247.883733525174</v>
      </c>
      <c r="F2" s="15">
        <v>759043</v>
      </c>
      <c r="G2" s="28"/>
      <c r="H2" s="10"/>
      <c r="I2" s="10">
        <f>IF(H2&lt;&gt;"",H2,8492)</f>
        <v>8492</v>
      </c>
      <c r="J2" s="10">
        <f t="shared" ref="J2:J33" si="3">IF(I2="","",I2*C2)</f>
        <v>6446383791.6794319</v>
      </c>
      <c r="K2" s="11">
        <f t="shared" ref="K2:K33" si="4">IFERROR(J2/J3-1,"")</f>
        <v>4.1500000000000314E-2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728864.66827771266</v>
      </c>
      <c r="D3" s="11">
        <v>4.7800000000000002E-2</v>
      </c>
      <c r="E3" s="10">
        <f t="shared" si="2"/>
        <v>33250.363756131614</v>
      </c>
      <c r="F3" s="3"/>
      <c r="G3" s="28"/>
      <c r="H3" s="10"/>
      <c r="I3" s="10">
        <f t="shared" ref="I3:I34" si="5">IF(H3&lt;&gt;"",H3,I2/(1+IF(G2="",0,G2)/100))</f>
        <v>8492</v>
      </c>
      <c r="J3" s="10">
        <f t="shared" si="3"/>
        <v>6189518763.0143356</v>
      </c>
      <c r="K3" s="11">
        <f t="shared" si="4"/>
        <v>4.7800000000000065E-2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695614.30452158104</v>
      </c>
      <c r="D4" s="11">
        <v>3.5900000000000001E-2</v>
      </c>
      <c r="E4" s="10">
        <f t="shared" si="2"/>
        <v>24107.108342817635</v>
      </c>
      <c r="F4" s="3"/>
      <c r="G4" s="28"/>
      <c r="H4" s="10"/>
      <c r="I4" s="10">
        <f t="shared" si="5"/>
        <v>8492</v>
      </c>
      <c r="J4" s="10">
        <f t="shared" si="3"/>
        <v>5907156673.9972658</v>
      </c>
      <c r="K4" s="11">
        <f t="shared" si="4"/>
        <v>3.5900000000000043E-2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671507.19617876341</v>
      </c>
      <c r="D5" s="11">
        <v>1.1599999999999999E-2</v>
      </c>
      <c r="E5" s="10">
        <f t="shared" si="2"/>
        <v>7700.1616011009319</v>
      </c>
      <c r="F5" s="3"/>
      <c r="G5" s="28"/>
      <c r="H5" s="10"/>
      <c r="I5" s="10">
        <f t="shared" si="5"/>
        <v>8492</v>
      </c>
      <c r="J5" s="10">
        <f t="shared" si="3"/>
        <v>5702439109.9500589</v>
      </c>
      <c r="K5" s="11">
        <f t="shared" si="4"/>
        <v>1.1600000000000055E-2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663807.03457766247</v>
      </c>
      <c r="D6" s="11">
        <v>-2.7699999999999999E-2</v>
      </c>
      <c r="E6" s="10">
        <f t="shared" si="2"/>
        <v>-18911.29780705669</v>
      </c>
      <c r="F6" s="3"/>
      <c r="G6" s="28"/>
      <c r="H6" s="10"/>
      <c r="I6" s="10">
        <f t="shared" si="5"/>
        <v>8492</v>
      </c>
      <c r="J6" s="10">
        <f t="shared" si="3"/>
        <v>5637049337.6335096</v>
      </c>
      <c r="K6" s="11">
        <f t="shared" si="4"/>
        <v>-2.7700000000000058E-2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682718.33238471916</v>
      </c>
      <c r="D7" s="11">
        <v>4.1700000000000001E-2</v>
      </c>
      <c r="E7" s="10">
        <f t="shared" si="2"/>
        <v>27329.705731441732</v>
      </c>
      <c r="F7" s="3"/>
      <c r="G7" s="28"/>
      <c r="H7" s="10"/>
      <c r="I7" s="10">
        <f t="shared" si="5"/>
        <v>8492</v>
      </c>
      <c r="J7" s="10">
        <f t="shared" si="3"/>
        <v>5797644078.6110353</v>
      </c>
      <c r="K7" s="11">
        <f t="shared" si="4"/>
        <v>4.170000000000007E-2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655388.62665327743</v>
      </c>
      <c r="D8" s="11">
        <v>6.5699999999999995E-2</v>
      </c>
      <c r="E8" s="10">
        <f t="shared" si="2"/>
        <v>40404.459764586994</v>
      </c>
      <c r="F8" s="3"/>
      <c r="G8" s="28"/>
      <c r="H8" s="10"/>
      <c r="I8" s="10">
        <f t="shared" si="5"/>
        <v>8492</v>
      </c>
      <c r="J8" s="10">
        <f t="shared" si="3"/>
        <v>5565560217.5396318</v>
      </c>
      <c r="K8" s="11">
        <f t="shared" si="4"/>
        <v>6.569999999999987E-2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614984.16688869044</v>
      </c>
      <c r="D9" s="11">
        <v>5.9900000000000002E-2</v>
      </c>
      <c r="E9" s="10">
        <f t="shared" si="2"/>
        <v>34755.686004936928</v>
      </c>
      <c r="F9" s="3"/>
      <c r="G9" s="28"/>
      <c r="H9" s="10"/>
      <c r="I9" s="10">
        <f t="shared" si="5"/>
        <v>8492</v>
      </c>
      <c r="J9" s="10">
        <f t="shared" si="3"/>
        <v>5222445545.2187595</v>
      </c>
      <c r="K9" s="11">
        <f t="shared" si="4"/>
        <v>5.9900000000000286E-2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580228.48088375351</v>
      </c>
      <c r="D10" s="11">
        <v>7.8899999999999998E-2</v>
      </c>
      <c r="E10" s="10">
        <f t="shared" si="2"/>
        <v>42432.131932271877</v>
      </c>
      <c r="F10" s="3"/>
      <c r="G10" s="28"/>
      <c r="H10" s="10"/>
      <c r="I10" s="10">
        <f t="shared" si="5"/>
        <v>8492</v>
      </c>
      <c r="J10" s="10">
        <f t="shared" si="3"/>
        <v>4927300259.664835</v>
      </c>
      <c r="K10" s="11">
        <f t="shared" si="4"/>
        <v>7.889999999999997E-2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537796.34895148163</v>
      </c>
      <c r="D11" s="11">
        <v>7.7499999999999999E-2</v>
      </c>
      <c r="E11" s="10">
        <f t="shared" si="2"/>
        <v>38681.407929224835</v>
      </c>
      <c r="F11" s="3"/>
      <c r="G11" s="28"/>
      <c r="H11" s="10"/>
      <c r="I11" s="10">
        <f t="shared" si="5"/>
        <v>8492</v>
      </c>
      <c r="J11" s="10">
        <f t="shared" si="3"/>
        <v>4566966595.2959824</v>
      </c>
      <c r="K11" s="11">
        <f t="shared" si="4"/>
        <v>7.7499999999999902E-2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499114.9410222568</v>
      </c>
      <c r="D12" s="11">
        <v>7.5999999999999998E-2</v>
      </c>
      <c r="E12" s="10">
        <f t="shared" si="2"/>
        <v>35253.471670717059</v>
      </c>
      <c r="F12" s="3"/>
      <c r="G12" s="28"/>
      <c r="H12" s="10"/>
      <c r="I12" s="10">
        <f t="shared" si="5"/>
        <v>8492</v>
      </c>
      <c r="J12" s="10">
        <f t="shared" si="3"/>
        <v>4238484079.1610045</v>
      </c>
      <c r="K12" s="11">
        <f t="shared" si="4"/>
        <v>7.6000000000000068E-2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463861.46935153974</v>
      </c>
      <c r="D13" s="11">
        <v>7.46E-2</v>
      </c>
      <c r="E13" s="10">
        <f t="shared" si="2"/>
        <v>32201.810546831228</v>
      </c>
      <c r="F13" s="3"/>
      <c r="G13" s="28"/>
      <c r="H13" s="10"/>
      <c r="I13" s="10">
        <f t="shared" si="5"/>
        <v>8492</v>
      </c>
      <c r="J13" s="10">
        <f t="shared" si="3"/>
        <v>3939111597.7332754</v>
      </c>
      <c r="K13" s="11">
        <f t="shared" si="4"/>
        <v>7.4599999999999778E-2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431659.65880470851</v>
      </c>
      <c r="D14" s="11">
        <v>7.3200000000000001E-2</v>
      </c>
      <c r="E14" s="10">
        <f t="shared" si="2"/>
        <v>29442.309937108308</v>
      </c>
      <c r="F14" s="3"/>
      <c r="G14" s="28"/>
      <c r="H14" s="10"/>
      <c r="I14" s="10">
        <f t="shared" si="5"/>
        <v>8492</v>
      </c>
      <c r="J14" s="10">
        <f t="shared" si="3"/>
        <v>3665653822.5695848</v>
      </c>
      <c r="K14" s="11">
        <f t="shared" si="4"/>
        <v>7.3199999999999932E-2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402217.3488676002</v>
      </c>
      <c r="D15" s="11">
        <v>7.1800000000000003E-2</v>
      </c>
      <c r="E15" s="10">
        <f t="shared" si="2"/>
        <v>26944.584482826758</v>
      </c>
      <c r="F15" s="3"/>
      <c r="G15" s="28"/>
      <c r="H15" s="10"/>
      <c r="I15" s="10">
        <f t="shared" si="5"/>
        <v>8492</v>
      </c>
      <c r="J15" s="10">
        <f t="shared" si="3"/>
        <v>3415629726.5836611</v>
      </c>
      <c r="K15" s="11">
        <f t="shared" si="4"/>
        <v>7.1800000000000086E-2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375272.76438477344</v>
      </c>
      <c r="D16" s="11">
        <v>3.6499999999999998E-2</v>
      </c>
      <c r="E16" s="10">
        <f t="shared" si="2"/>
        <v>13215.104582772998</v>
      </c>
      <c r="F16" s="3"/>
      <c r="G16" s="28"/>
      <c r="H16" s="10"/>
      <c r="I16" s="10">
        <f t="shared" si="5"/>
        <v>8492</v>
      </c>
      <c r="J16" s="10">
        <f t="shared" si="3"/>
        <v>3186816315.1554961</v>
      </c>
      <c r="K16" s="11">
        <f t="shared" si="4"/>
        <v>3.6499999999999977E-2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362057.65980200045</v>
      </c>
      <c r="D17" s="11">
        <v>2.64E-2</v>
      </c>
      <c r="E17" s="10">
        <f t="shared" si="2"/>
        <v>9312.4729333328432</v>
      </c>
      <c r="F17" s="3"/>
      <c r="G17" s="28"/>
      <c r="H17" s="10"/>
      <c r="I17" s="10">
        <f t="shared" si="5"/>
        <v>8492</v>
      </c>
      <c r="J17" s="10">
        <f t="shared" si="3"/>
        <v>3074593647.0385876</v>
      </c>
      <c r="K17" s="11">
        <f t="shared" si="4"/>
        <v>2.6399999999999979E-2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352745.1868686676</v>
      </c>
      <c r="D18" s="11">
        <v>2.63E-2</v>
      </c>
      <c r="E18" s="10">
        <f t="shared" si="2"/>
        <v>9039.4606008437695</v>
      </c>
      <c r="F18" s="3"/>
      <c r="G18" s="28"/>
      <c r="H18" s="10"/>
      <c r="I18" s="10">
        <f t="shared" si="5"/>
        <v>8492</v>
      </c>
      <c r="J18" s="10">
        <f t="shared" si="3"/>
        <v>2995512126.8887253</v>
      </c>
      <c r="K18" s="11">
        <f t="shared" si="4"/>
        <v>2.629999999999999E-2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343705.72626782383</v>
      </c>
      <c r="D19" s="11">
        <v>2.63E-2</v>
      </c>
      <c r="E19" s="10">
        <f t="shared" si="2"/>
        <v>8807.8150646436261</v>
      </c>
      <c r="F19" s="3"/>
      <c r="G19" s="28"/>
      <c r="H19" s="10"/>
      <c r="I19" s="10">
        <f t="shared" si="5"/>
        <v>8492</v>
      </c>
      <c r="J19" s="10">
        <f t="shared" si="3"/>
        <v>2918749027.4663601</v>
      </c>
      <c r="K19" s="11">
        <f t="shared" si="4"/>
        <v>2.629999999999999E-2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334897.91120318021</v>
      </c>
      <c r="D20" s="11">
        <v>2.64E-2</v>
      </c>
      <c r="E20" s="10">
        <f t="shared" si="2"/>
        <v>8613.8979498869157</v>
      </c>
      <c r="F20" s="3"/>
      <c r="G20" s="28"/>
      <c r="H20" s="10"/>
      <c r="I20" s="10">
        <f t="shared" si="5"/>
        <v>8492</v>
      </c>
      <c r="J20" s="10">
        <f t="shared" si="3"/>
        <v>2843953061.9374065</v>
      </c>
      <c r="K20" s="11">
        <f t="shared" si="4"/>
        <v>2.6399999999999979E-2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326284.01325329329</v>
      </c>
      <c r="D21" s="11">
        <v>2.63E-2</v>
      </c>
      <c r="E21" s="10">
        <f t="shared" si="2"/>
        <v>8361.3656324287294</v>
      </c>
      <c r="F21" s="3"/>
      <c r="G21" s="28"/>
      <c r="H21" s="10"/>
      <c r="I21" s="10">
        <f t="shared" si="5"/>
        <v>8492</v>
      </c>
      <c r="J21" s="10">
        <f t="shared" si="3"/>
        <v>2770803840.5469666</v>
      </c>
      <c r="K21" s="11">
        <f t="shared" si="4"/>
        <v>2.629999999999999E-2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317922.64762086456</v>
      </c>
      <c r="D22" s="11">
        <v>2.63E-2</v>
      </c>
      <c r="E22" s="10">
        <f t="shared" si="2"/>
        <v>8147.0969818072044</v>
      </c>
      <c r="F22" s="3"/>
      <c r="G22" s="28"/>
      <c r="H22" s="10"/>
      <c r="I22" s="10">
        <f t="shared" si="5"/>
        <v>8492</v>
      </c>
      <c r="J22" s="10">
        <f t="shared" si="3"/>
        <v>2699799123.5963817</v>
      </c>
      <c r="K22" s="11">
        <f t="shared" si="4"/>
        <v>2.629999999999999E-2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309775.55063905736</v>
      </c>
      <c r="D23" s="11">
        <v>2.63E-2</v>
      </c>
      <c r="E23" s="10">
        <f t="shared" si="2"/>
        <v>7938.3191871842719</v>
      </c>
      <c r="F23" s="3"/>
      <c r="G23" s="28"/>
      <c r="H23" s="10"/>
      <c r="I23" s="10">
        <f t="shared" si="5"/>
        <v>8492</v>
      </c>
      <c r="J23" s="10">
        <f t="shared" si="3"/>
        <v>2630613976.026875</v>
      </c>
      <c r="K23" s="11">
        <f t="shared" si="4"/>
        <v>2.629999999999999E-2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301837.23145187309</v>
      </c>
      <c r="D24" s="11">
        <v>2.63E-2</v>
      </c>
      <c r="E24" s="10">
        <f t="shared" si="2"/>
        <v>7734.8915396903758</v>
      </c>
      <c r="F24" s="3"/>
      <c r="G24" s="28"/>
      <c r="H24" s="10"/>
      <c r="I24" s="10">
        <f t="shared" si="5"/>
        <v>8492</v>
      </c>
      <c r="J24" s="10">
        <f t="shared" si="3"/>
        <v>2563201769.4893064</v>
      </c>
      <c r="K24" s="11">
        <f t="shared" si="4"/>
        <v>2.629999999999999E-2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294102.33991218271</v>
      </c>
      <c r="D25" s="11">
        <v>2.63E-2</v>
      </c>
      <c r="E25" s="10">
        <f t="shared" si="2"/>
        <v>7536.6769362665946</v>
      </c>
      <c r="F25" s="3"/>
      <c r="G25" s="28"/>
      <c r="H25" s="10"/>
      <c r="I25" s="10">
        <f t="shared" si="5"/>
        <v>8492</v>
      </c>
      <c r="J25" s="10">
        <f t="shared" si="3"/>
        <v>2497517070.5342555</v>
      </c>
      <c r="K25" s="11">
        <f t="shared" si="4"/>
        <v>2.629999999999999E-2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286565.66297591612</v>
      </c>
      <c r="D26" s="11">
        <v>-2.3099999999999999E-2</v>
      </c>
      <c r="E26" s="10">
        <f t="shared" si="2"/>
        <v>-6776.1969646265497</v>
      </c>
      <c r="F26" s="3"/>
      <c r="G26" s="28"/>
      <c r="H26" s="10"/>
      <c r="I26" s="10">
        <f t="shared" si="5"/>
        <v>8492</v>
      </c>
      <c r="J26" s="10">
        <f t="shared" si="3"/>
        <v>2433515609.9914799</v>
      </c>
      <c r="K26" s="11">
        <f t="shared" si="4"/>
        <v>-2.3100000000000009E-2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293341.85994054266</v>
      </c>
      <c r="D27" s="11">
        <v>3.4500000000000003E-2</v>
      </c>
      <c r="E27" s="10">
        <f t="shared" si="2"/>
        <v>9782.7879825507407</v>
      </c>
      <c r="F27" s="3"/>
      <c r="G27" s="28"/>
      <c r="H27" s="10"/>
      <c r="I27" s="10">
        <f t="shared" si="5"/>
        <v>8492</v>
      </c>
      <c r="J27" s="10">
        <f t="shared" si="3"/>
        <v>2491059074.6150885</v>
      </c>
      <c r="K27" s="11">
        <f t="shared" si="4"/>
        <v>3.4500000000000197E-2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283559.07195799192</v>
      </c>
      <c r="D28" s="11">
        <v>3.56E-2</v>
      </c>
      <c r="E28" s="10">
        <f t="shared" si="2"/>
        <v>9747.685362789256</v>
      </c>
      <c r="F28" s="3"/>
      <c r="G28" s="28"/>
      <c r="H28" s="10"/>
      <c r="I28" s="10">
        <f t="shared" si="5"/>
        <v>8492</v>
      </c>
      <c r="J28" s="10">
        <f t="shared" si="3"/>
        <v>2407983639.0672674</v>
      </c>
      <c r="K28" s="11">
        <f t="shared" si="4"/>
        <v>3.5600000000000076E-2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273811.38659520267</v>
      </c>
      <c r="D29" s="11">
        <v>3.6200000000000003E-2</v>
      </c>
      <c r="E29" s="10">
        <f t="shared" si="2"/>
        <v>9565.6940694328514</v>
      </c>
      <c r="F29" s="3"/>
      <c r="G29" s="28"/>
      <c r="H29" s="10"/>
      <c r="I29" s="10">
        <f t="shared" si="5"/>
        <v>8492</v>
      </c>
      <c r="J29" s="10">
        <f t="shared" si="3"/>
        <v>2325206294.9664612</v>
      </c>
      <c r="K29" s="11">
        <f t="shared" si="4"/>
        <v>3.620000000000001E-2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264245.69252576982</v>
      </c>
      <c r="D30" s="12">
        <v>3.6499999999999998E-2</v>
      </c>
      <c r="E30" s="10">
        <f t="shared" si="2"/>
        <v>9305.3234705167124</v>
      </c>
      <c r="F30" s="3"/>
      <c r="G30" s="28"/>
      <c r="H30" s="10"/>
      <c r="I30" s="10">
        <f t="shared" si="5"/>
        <v>8492</v>
      </c>
      <c r="J30" s="10">
        <f t="shared" si="3"/>
        <v>2243974420.9288373</v>
      </c>
      <c r="K30" s="11">
        <f t="shared" si="4"/>
        <v>3.6499999999999755E-2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254940.3690552531</v>
      </c>
      <c r="D31" s="13">
        <v>3.6299999999999999E-2</v>
      </c>
      <c r="E31" s="10">
        <f t="shared" si="2"/>
        <v>8930.1702177995758</v>
      </c>
      <c r="F31" s="3"/>
      <c r="G31" s="28"/>
      <c r="H31" s="10"/>
      <c r="I31" s="10">
        <f t="shared" si="5"/>
        <v>8492</v>
      </c>
      <c r="J31" s="10">
        <f t="shared" si="3"/>
        <v>2164953614.0172095</v>
      </c>
      <c r="K31" s="11">
        <f t="shared" si="4"/>
        <v>3.6300000000000221E-2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246010.19883745353</v>
      </c>
      <c r="D32" s="12">
        <v>3.5999999999999997E-2</v>
      </c>
      <c r="E32" s="10">
        <f t="shared" si="2"/>
        <v>8548.6169480196259</v>
      </c>
      <c r="F32" s="3"/>
      <c r="G32" s="28"/>
      <c r="H32" s="10"/>
      <c r="I32" s="10">
        <f t="shared" si="5"/>
        <v>8492</v>
      </c>
      <c r="J32" s="10">
        <f t="shared" si="3"/>
        <v>2089118608.5276554</v>
      </c>
      <c r="K32" s="11">
        <f t="shared" si="4"/>
        <v>3.6000000000000032E-2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237461.5818894339</v>
      </c>
      <c r="D33" s="13">
        <v>3.5400000000000001E-2</v>
      </c>
      <c r="E33" s="10">
        <f t="shared" si="2"/>
        <v>8118.7367190322548</v>
      </c>
      <c r="F33" s="3"/>
      <c r="G33" s="28"/>
      <c r="H33" s="10"/>
      <c r="I33" s="10">
        <f t="shared" si="5"/>
        <v>8492</v>
      </c>
      <c r="J33" s="10">
        <f t="shared" si="3"/>
        <v>2016523753.4050727</v>
      </c>
      <c r="K33" s="11">
        <f t="shared" si="4"/>
        <v>3.5400000000000098E-2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229342.84517040165</v>
      </c>
      <c r="D34" s="12">
        <v>3.4799999999999998E-2</v>
      </c>
      <c r="E34" s="10">
        <f t="shared" si="2"/>
        <v>7712.7280749226629</v>
      </c>
      <c r="F34" s="3"/>
      <c r="G34" s="28"/>
      <c r="H34" s="10"/>
      <c r="I34" s="10">
        <f t="shared" si="5"/>
        <v>8492</v>
      </c>
      <c r="J34" s="10">
        <f t="shared" ref="J34:J65" si="6">IF(I34="","",I34*C34)</f>
        <v>1947579441.1870508</v>
      </c>
      <c r="K34" s="11">
        <f t="shared" ref="K34:K65" si="7">IFERROR(J34/J35-1,"")</f>
        <v>3.4799999999999942E-2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221630.11709547898</v>
      </c>
      <c r="D35" s="11">
        <v>3.5400000000000001E-2</v>
      </c>
      <c r="E35" s="10">
        <f t="shared" si="2"/>
        <v>7577.4639223295089</v>
      </c>
      <c r="F35" s="3"/>
      <c r="G35" s="28"/>
      <c r="H35" s="10"/>
      <c r="I35" s="10">
        <f t="shared" ref="I35:I66" si="8">IF(H35&lt;&gt;"",H35,I34/(1+IF(G34="",0,G34)/100))</f>
        <v>8492</v>
      </c>
      <c r="J35" s="10">
        <f t="shared" si="6"/>
        <v>1882082954.3748076</v>
      </c>
      <c r="K35" s="11">
        <f t="shared" si="7"/>
        <v>3.5400000000000098E-2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214052.65317314948</v>
      </c>
      <c r="D36" s="11">
        <v>3.9699999999999999E-2</v>
      </c>
      <c r="E36" s="10">
        <f t="shared" si="2"/>
        <v>8173.4061084678688</v>
      </c>
      <c r="F36" s="3"/>
      <c r="G36" s="28"/>
      <c r="H36" s="10"/>
      <c r="I36" s="10">
        <f t="shared" si="8"/>
        <v>8492</v>
      </c>
      <c r="J36" s="10">
        <f t="shared" si="6"/>
        <v>1817735130.7463853</v>
      </c>
      <c r="K36" s="11">
        <f t="shared" si="7"/>
        <v>3.9700000000000069E-2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205879.24706468161</v>
      </c>
      <c r="D37" s="11">
        <v>4.4200000000000003E-2</v>
      </c>
      <c r="E37" s="10">
        <f t="shared" si="2"/>
        <v>8714.6741239790572</v>
      </c>
      <c r="F37" s="3"/>
      <c r="G37" s="28"/>
      <c r="H37" s="10"/>
      <c r="I37" s="10">
        <f t="shared" si="8"/>
        <v>8492</v>
      </c>
      <c r="J37" s="10">
        <f t="shared" si="6"/>
        <v>1748326566.0732763</v>
      </c>
      <c r="K37" s="11">
        <f t="shared" si="7"/>
        <v>4.4200000000000017E-2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197164.57294070255</v>
      </c>
      <c r="D38" s="11">
        <v>4.5900000000000003E-2</v>
      </c>
      <c r="E38" s="10">
        <f t="shared" si="2"/>
        <v>8652.6951888118056</v>
      </c>
      <c r="F38" s="3"/>
      <c r="G38" s="28"/>
      <c r="H38" s="10"/>
      <c r="I38" s="10">
        <f t="shared" si="8"/>
        <v>8492</v>
      </c>
      <c r="J38" s="10">
        <f t="shared" si="6"/>
        <v>1674321553.412446</v>
      </c>
      <c r="K38" s="11">
        <f t="shared" si="7"/>
        <v>4.5900000000000052E-2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188511.87775189074</v>
      </c>
      <c r="D39" s="11">
        <v>4.7500000000000001E-2</v>
      </c>
      <c r="E39" s="10">
        <f t="shared" si="2"/>
        <v>8548.271306171664</v>
      </c>
      <c r="F39" s="3"/>
      <c r="G39" s="28"/>
      <c r="H39" s="10"/>
      <c r="I39" s="10">
        <f t="shared" si="8"/>
        <v>8492</v>
      </c>
      <c r="J39" s="10">
        <f t="shared" si="6"/>
        <v>1600842865.8690562</v>
      </c>
      <c r="K39" s="11">
        <f t="shared" si="7"/>
        <v>4.7500000000000098E-2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179963.60644571908</v>
      </c>
      <c r="D40" s="11">
        <v>4.9000000000000002E-2</v>
      </c>
      <c r="E40" s="10">
        <f t="shared" si="2"/>
        <v>8406.3076414110838</v>
      </c>
      <c r="F40" s="3"/>
      <c r="G40" s="28"/>
      <c r="H40" s="10"/>
      <c r="I40" s="10">
        <f t="shared" si="8"/>
        <v>8492</v>
      </c>
      <c r="J40" s="10">
        <f t="shared" si="6"/>
        <v>1528250945.9370465</v>
      </c>
      <c r="K40" s="11">
        <f t="shared" si="7"/>
        <v>4.9000000000000155E-2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171557.298804308</v>
      </c>
      <c r="D41" s="11">
        <v>5.0299999999999997E-2</v>
      </c>
      <c r="E41" s="10">
        <f t="shared" si="2"/>
        <v>8216.0641053572181</v>
      </c>
      <c r="F41" s="3"/>
      <c r="G41" s="28"/>
      <c r="H41" s="10"/>
      <c r="I41" s="10">
        <f t="shared" si="8"/>
        <v>8492</v>
      </c>
      <c r="J41" s="10">
        <f t="shared" si="6"/>
        <v>1456864581.4461834</v>
      </c>
      <c r="K41" s="11">
        <f t="shared" si="7"/>
        <v>5.0300000000000011E-2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163341.23469895078</v>
      </c>
      <c r="D42" s="11">
        <v>5.1499999999999997E-2</v>
      </c>
      <c r="E42" s="10">
        <f t="shared" si="2"/>
        <v>8000.069982877787</v>
      </c>
      <c r="F42" s="3"/>
      <c r="G42" s="28"/>
      <c r="H42" s="10"/>
      <c r="I42" s="10">
        <f t="shared" si="8"/>
        <v>8492</v>
      </c>
      <c r="J42" s="10">
        <f t="shared" si="6"/>
        <v>1387093765.0634899</v>
      </c>
      <c r="K42" s="11">
        <f t="shared" si="7"/>
        <v>5.1500000000000101E-2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155341.16471607299</v>
      </c>
      <c r="D43" s="11">
        <v>5.2299999999999999E-2</v>
      </c>
      <c r="E43" s="10">
        <f t="shared" si="2"/>
        <v>7720.5577446076495</v>
      </c>
      <c r="F43" s="3"/>
      <c r="G43" s="28"/>
      <c r="H43" s="10"/>
      <c r="I43" s="10">
        <f t="shared" si="8"/>
        <v>8492</v>
      </c>
      <c r="J43" s="10">
        <f t="shared" si="6"/>
        <v>1319157170.7688918</v>
      </c>
      <c r="K43" s="11">
        <f t="shared" si="7"/>
        <v>5.2300000000000235E-2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147620.60697146534</v>
      </c>
      <c r="D44" s="11">
        <v>5.3100000000000001E-2</v>
      </c>
      <c r="E44" s="10">
        <f t="shared" si="2"/>
        <v>7443.4092015808565</v>
      </c>
      <c r="F44" s="3"/>
      <c r="G44" s="28"/>
      <c r="H44" s="10"/>
      <c r="I44" s="10">
        <f t="shared" si="8"/>
        <v>8492</v>
      </c>
      <c r="J44" s="10">
        <f t="shared" si="6"/>
        <v>1253594194.4016836</v>
      </c>
      <c r="K44" s="11">
        <f t="shared" si="7"/>
        <v>5.3099999999999925E-2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140177.19776988449</v>
      </c>
      <c r="D45" s="11">
        <v>4.8099999999999997E-2</v>
      </c>
      <c r="E45" s="10">
        <f t="shared" si="2"/>
        <v>6433.0915110499482</v>
      </c>
      <c r="F45" s="3"/>
      <c r="G45" s="28"/>
      <c r="H45" s="10"/>
      <c r="I45" s="10">
        <f t="shared" si="8"/>
        <v>8492</v>
      </c>
      <c r="J45" s="10">
        <f t="shared" si="6"/>
        <v>1190384763.461859</v>
      </c>
      <c r="K45" s="11">
        <f t="shared" si="7"/>
        <v>4.8100000000000032E-2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133744.10625883454</v>
      </c>
      <c r="D46" s="11">
        <v>2.5999999999999999E-2</v>
      </c>
      <c r="E46" s="10">
        <f t="shared" si="2"/>
        <v>3389.226864258977</v>
      </c>
      <c r="F46" s="3"/>
      <c r="G46" s="28"/>
      <c r="H46" s="10"/>
      <c r="I46" s="10">
        <f t="shared" si="8"/>
        <v>8492</v>
      </c>
      <c r="J46" s="10">
        <f t="shared" si="6"/>
        <v>1135754950.3500228</v>
      </c>
      <c r="K46" s="11">
        <f t="shared" si="7"/>
        <v>2.6000000000000023E-2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130354.87939457556</v>
      </c>
      <c r="D47" s="11">
        <v>1.0500000000000001E-2</v>
      </c>
      <c r="E47" s="10">
        <f t="shared" si="2"/>
        <v>1354.5039422494156</v>
      </c>
      <c r="F47" s="3"/>
      <c r="G47" s="28"/>
      <c r="H47" s="10"/>
      <c r="I47" s="10">
        <f t="shared" si="8"/>
        <v>8492</v>
      </c>
      <c r="J47" s="10">
        <f t="shared" si="6"/>
        <v>1106973635.8187356</v>
      </c>
      <c r="K47" s="11">
        <f t="shared" si="7"/>
        <v>1.0499999999999954E-2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129000.37545232615</v>
      </c>
      <c r="D48" s="11">
        <v>1.4200000000000001E-2</v>
      </c>
      <c r="E48" s="10">
        <f t="shared" si="2"/>
        <v>1806.1578893936385</v>
      </c>
      <c r="F48" s="3"/>
      <c r="G48" s="28"/>
      <c r="H48" s="10"/>
      <c r="I48" s="10">
        <f t="shared" si="8"/>
        <v>8492</v>
      </c>
      <c r="J48" s="10">
        <f t="shared" si="6"/>
        <v>1095471188.3411536</v>
      </c>
      <c r="K48" s="11">
        <f t="shared" si="7"/>
        <v>1.419999999999999E-2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127194.21756293251</v>
      </c>
      <c r="D49" s="11">
        <v>2.3800000000000002E-2</v>
      </c>
      <c r="E49" s="10">
        <f t="shared" si="2"/>
        <v>2956.8493631547171</v>
      </c>
      <c r="F49" s="3"/>
      <c r="G49" s="28"/>
      <c r="H49" s="10"/>
      <c r="I49" s="10">
        <f t="shared" si="8"/>
        <v>8492</v>
      </c>
      <c r="J49" s="10">
        <f t="shared" si="6"/>
        <v>1080133295.5444229</v>
      </c>
      <c r="K49" s="11">
        <f t="shared" si="7"/>
        <v>2.3800000000000043E-2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124237.36819977779</v>
      </c>
      <c r="D50" s="11">
        <v>3.15E-2</v>
      </c>
      <c r="E50" s="10">
        <f t="shared" si="2"/>
        <v>3793.9671335850871</v>
      </c>
      <c r="F50" s="3"/>
      <c r="G50" s="28"/>
      <c r="H50" s="10"/>
      <c r="I50" s="10">
        <f t="shared" si="8"/>
        <v>8492</v>
      </c>
      <c r="J50" s="10">
        <f t="shared" si="6"/>
        <v>1055023730.7525129</v>
      </c>
      <c r="K50" s="11">
        <f t="shared" si="7"/>
        <v>3.1500000000000083E-2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120443.4010661927</v>
      </c>
      <c r="D51" s="11">
        <v>3.27E-2</v>
      </c>
      <c r="E51" s="10">
        <f t="shared" si="2"/>
        <v>3813.7883362685097</v>
      </c>
      <c r="F51" s="3"/>
      <c r="G51" s="28"/>
      <c r="H51" s="10"/>
      <c r="I51" s="10">
        <f t="shared" si="8"/>
        <v>8492</v>
      </c>
      <c r="J51" s="10">
        <f t="shared" si="6"/>
        <v>1022805361.8541085</v>
      </c>
      <c r="K51" s="11">
        <f t="shared" si="7"/>
        <v>3.2699999999999951E-2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116629.61272992419</v>
      </c>
      <c r="D52" s="11">
        <v>3.5700000000000003E-2</v>
      </c>
      <c r="E52" s="10">
        <f t="shared" si="2"/>
        <v>4020.1575499259488</v>
      </c>
      <c r="F52" s="3"/>
      <c r="G52" s="28"/>
      <c r="H52" s="10"/>
      <c r="I52" s="10">
        <f t="shared" si="8"/>
        <v>8492</v>
      </c>
      <c r="J52" s="10">
        <f t="shared" si="6"/>
        <v>990418671.30251622</v>
      </c>
      <c r="K52" s="11">
        <f t="shared" si="7"/>
        <v>3.5700000000000065E-2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112609.45517999824</v>
      </c>
      <c r="D53" s="11">
        <v>3.85E-2</v>
      </c>
      <c r="E53" s="10">
        <f t="shared" si="2"/>
        <v>4174.736662907977</v>
      </c>
      <c r="F53" s="3"/>
      <c r="G53" s="28"/>
      <c r="H53" s="10"/>
      <c r="I53" s="10">
        <f t="shared" si="8"/>
        <v>8492</v>
      </c>
      <c r="J53" s="10">
        <f t="shared" si="6"/>
        <v>956279493.38854504</v>
      </c>
      <c r="K53" s="11">
        <f t="shared" si="7"/>
        <v>3.8499999999999979E-2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108434.71851709027</v>
      </c>
      <c r="D54" s="11">
        <v>3.9100000000000003E-2</v>
      </c>
      <c r="E54" s="10">
        <f t="shared" si="2"/>
        <v>4080.2593533040344</v>
      </c>
      <c r="F54" s="3"/>
      <c r="G54" s="28"/>
      <c r="H54" s="10"/>
      <c r="I54" s="10">
        <f t="shared" si="8"/>
        <v>8492</v>
      </c>
      <c r="J54" s="10">
        <f t="shared" si="6"/>
        <v>920827629.64713049</v>
      </c>
      <c r="K54" s="11">
        <f t="shared" si="7"/>
        <v>3.9099999999999913E-2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104354.45916378623</v>
      </c>
      <c r="D55" s="11">
        <v>3.9800000000000002E-2</v>
      </c>
      <c r="E55" s="10">
        <f t="shared" si="2"/>
        <v>3994.3330205026868</v>
      </c>
      <c r="F55" s="3"/>
      <c r="G55" s="28"/>
      <c r="H55" s="10"/>
      <c r="I55" s="10">
        <f t="shared" si="8"/>
        <v>8492</v>
      </c>
      <c r="J55" s="10">
        <f t="shared" si="6"/>
        <v>886178067.21887267</v>
      </c>
      <c r="K55" s="11">
        <f t="shared" si="7"/>
        <v>3.9800000000000058E-2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100360.12614328355</v>
      </c>
      <c r="D56" s="11">
        <v>4.07E-2</v>
      </c>
      <c r="E56" s="10">
        <f t="shared" si="2"/>
        <v>3924.913168090352</v>
      </c>
      <c r="F56" s="3"/>
      <c r="G56" s="28"/>
      <c r="H56" s="10"/>
      <c r="I56" s="10">
        <f t="shared" si="8"/>
        <v>8492</v>
      </c>
      <c r="J56" s="10">
        <f t="shared" si="6"/>
        <v>852258191.20876384</v>
      </c>
      <c r="K56" s="11">
        <f t="shared" si="7"/>
        <v>4.0699999999999736E-2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96435.212975193193</v>
      </c>
      <c r="D57" s="11">
        <v>4.07E-2</v>
      </c>
      <c r="E57" s="10">
        <f t="shared" si="2"/>
        <v>3771.416515893492</v>
      </c>
      <c r="F57" s="3"/>
      <c r="G57" s="28"/>
      <c r="H57" s="10"/>
      <c r="I57" s="10">
        <f t="shared" si="8"/>
        <v>8492</v>
      </c>
      <c r="J57" s="10">
        <f t="shared" si="6"/>
        <v>818927828.58534062</v>
      </c>
      <c r="K57" s="11">
        <f t="shared" si="7"/>
        <v>4.0699999999999958E-2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92663.796459299701</v>
      </c>
      <c r="D58" s="11">
        <v>4.0500000000000001E-2</v>
      </c>
      <c r="E58" s="10">
        <f t="shared" si="2"/>
        <v>3606.8080313326645</v>
      </c>
      <c r="F58" s="3"/>
      <c r="G58" s="28"/>
      <c r="H58" s="10"/>
      <c r="I58" s="10">
        <f t="shared" si="8"/>
        <v>8492</v>
      </c>
      <c r="J58" s="10">
        <f t="shared" si="6"/>
        <v>786900959.53237307</v>
      </c>
      <c r="K58" s="11">
        <f t="shared" si="7"/>
        <v>4.049999999999998E-2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89056.988427967037</v>
      </c>
      <c r="D59" s="11">
        <v>0.04</v>
      </c>
      <c r="E59" s="10">
        <f t="shared" si="2"/>
        <v>3425.2687856910488</v>
      </c>
      <c r="F59" s="3"/>
      <c r="G59" s="28"/>
      <c r="H59" s="10"/>
      <c r="I59" s="10">
        <f t="shared" si="8"/>
        <v>8492</v>
      </c>
      <c r="J59" s="10">
        <f t="shared" si="6"/>
        <v>756271945.73029613</v>
      </c>
      <c r="K59" s="11">
        <f t="shared" si="7"/>
        <v>4.0000000000000258E-2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85631.719642275988</v>
      </c>
      <c r="D60" s="11">
        <v>0.04</v>
      </c>
      <c r="E60" s="10">
        <f t="shared" si="2"/>
        <v>3293.527678549086</v>
      </c>
      <c r="F60" s="3"/>
      <c r="G60" s="28"/>
      <c r="H60" s="10"/>
      <c r="I60" s="10">
        <f t="shared" si="8"/>
        <v>8492</v>
      </c>
      <c r="J60" s="10">
        <f t="shared" si="6"/>
        <v>727184563.20220768</v>
      </c>
      <c r="K60" s="11">
        <f t="shared" si="7"/>
        <v>4.0000000000000036E-2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82338.191963726902</v>
      </c>
      <c r="D61" s="11">
        <v>0.04</v>
      </c>
      <c r="E61" s="10">
        <f t="shared" si="2"/>
        <v>3166.8535370664176</v>
      </c>
      <c r="F61" s="3"/>
      <c r="G61" s="28"/>
      <c r="H61" s="10"/>
      <c r="I61" s="10">
        <f t="shared" si="8"/>
        <v>8492</v>
      </c>
      <c r="J61" s="10">
        <f t="shared" si="6"/>
        <v>699215926.1559689</v>
      </c>
      <c r="K61" s="11">
        <f t="shared" si="7"/>
        <v>4.0000000000000036E-2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79171.338426660484</v>
      </c>
      <c r="D62" s="11">
        <v>0.04</v>
      </c>
      <c r="E62" s="10">
        <f t="shared" si="2"/>
        <v>3045.0514779484802</v>
      </c>
      <c r="F62" s="3"/>
      <c r="G62" s="28"/>
      <c r="H62" s="10"/>
      <c r="I62" s="10">
        <f t="shared" si="8"/>
        <v>8492</v>
      </c>
      <c r="J62" s="10">
        <f t="shared" si="6"/>
        <v>672323005.91920078</v>
      </c>
      <c r="K62" s="11">
        <f t="shared" si="7"/>
        <v>4.0000000000000036E-2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76126.286948712004</v>
      </c>
      <c r="D63" s="11">
        <v>0.04</v>
      </c>
      <c r="E63" s="10">
        <f t="shared" si="2"/>
        <v>2927.9341134120041</v>
      </c>
      <c r="F63" s="3"/>
      <c r="G63" s="28"/>
      <c r="H63" s="10"/>
      <c r="I63" s="10">
        <f t="shared" si="8"/>
        <v>8492</v>
      </c>
      <c r="J63" s="10">
        <f t="shared" si="6"/>
        <v>646464428.7684623</v>
      </c>
      <c r="K63" s="11">
        <f t="shared" si="7"/>
        <v>4.0000000000000036E-2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73198.3528353</v>
      </c>
      <c r="D64" s="11">
        <v>3.9E-2</v>
      </c>
      <c r="E64" s="10">
        <f t="shared" si="2"/>
        <v>2747.5801352999988</v>
      </c>
      <c r="F64" s="3"/>
      <c r="G64" s="28"/>
      <c r="H64" s="10"/>
      <c r="I64" s="10">
        <f t="shared" si="8"/>
        <v>8492</v>
      </c>
      <c r="J64" s="10">
        <f t="shared" si="6"/>
        <v>621600412.27736759</v>
      </c>
      <c r="K64" s="11">
        <f t="shared" si="7"/>
        <v>3.9000000000000146E-2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70450.772700000001</v>
      </c>
      <c r="D65" s="11">
        <v>3.7999999999999999E-2</v>
      </c>
      <c r="E65" s="10">
        <f t="shared" si="2"/>
        <v>2579.1227000000072</v>
      </c>
      <c r="F65" s="3"/>
      <c r="G65" s="28"/>
      <c r="H65" s="10"/>
      <c r="I65" s="10">
        <f t="shared" si="8"/>
        <v>8492</v>
      </c>
      <c r="J65" s="10">
        <f t="shared" si="6"/>
        <v>598267961.76839995</v>
      </c>
      <c r="K65" s="11">
        <f t="shared" si="7"/>
        <v>3.8000000000000034E-2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67871.649999999994</v>
      </c>
      <c r="D66" s="11">
        <v>3.6999999999999998E-2</v>
      </c>
      <c r="E66" s="10">
        <f t="shared" si="2"/>
        <v>2421.6499999999942</v>
      </c>
      <c r="F66" s="3"/>
      <c r="G66" s="28"/>
      <c r="H66" s="10"/>
      <c r="I66" s="10">
        <f t="shared" si="8"/>
        <v>8492</v>
      </c>
      <c r="J66" s="10">
        <f t="shared" ref="J66:J67" si="9">IF(I66="","",I66*C66)</f>
        <v>576366051.79999995</v>
      </c>
      <c r="K66" s="11">
        <f t="shared" ref="K66" si="10">IFERROR(J66/J67-1,"")</f>
        <v>3.6999999999999922E-2</v>
      </c>
    </row>
    <row r="67" spans="1:11" ht="22.5" customHeight="1">
      <c r="A67" s="3">
        <f t="shared" si="0"/>
        <v>1950</v>
      </c>
      <c r="B67" s="3">
        <v>1700</v>
      </c>
      <c r="C67" s="10">
        <v>65450</v>
      </c>
      <c r="D67" s="11">
        <v>3.5000000000000003E-2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8492</v>
      </c>
      <c r="J67" s="10">
        <f t="shared" si="9"/>
        <v>555801400</v>
      </c>
      <c r="K67" s="11"/>
    </row>
  </sheetData>
  <dataValidations count="1">
    <dataValidation type="custom" allowBlank="1" showDropDown="1" sqref="D2:D67" xr:uid="{00000000-0002-0000-1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13814433.413694233</v>
      </c>
      <c r="D2" s="11">
        <v>3.3999999999999998E-3</v>
      </c>
      <c r="E2" s="10">
        <f t="shared" ref="E2:E66" si="2">SUM(C2-C3)</f>
        <v>46809.919878972694</v>
      </c>
      <c r="F2" s="15">
        <v>13815053</v>
      </c>
      <c r="G2" s="28"/>
      <c r="H2" s="10"/>
      <c r="I2" s="10">
        <f>IF(H2&lt;&gt;"",H2,16270)</f>
        <v>16270</v>
      </c>
      <c r="J2" s="10">
        <f t="shared" ref="J2:J33" si="3">IF(I2="","",I2*C2)</f>
        <v>224760831640.80518</v>
      </c>
      <c r="K2" s="11">
        <f t="shared" ref="K2:K33" si="4">IFERROR(J2/J3-1,"")</f>
        <v>3.4000000000000696E-3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13767623.49381526</v>
      </c>
      <c r="D3" s="11">
        <v>3.7000000000000002E-3</v>
      </c>
      <c r="E3" s="10">
        <f t="shared" si="2"/>
        <v>50752.422962157056</v>
      </c>
      <c r="F3" s="3"/>
      <c r="G3" s="28"/>
      <c r="H3" s="10"/>
      <c r="I3" s="10">
        <f t="shared" ref="I3:I34" si="5">IF(H3&lt;&gt;"",H3,I2/(1+IF(G2="",0,G2)/100))</f>
        <v>16270</v>
      </c>
      <c r="J3" s="10">
        <f t="shared" si="3"/>
        <v>223999234244.37427</v>
      </c>
      <c r="K3" s="11">
        <f t="shared" si="4"/>
        <v>3.6999999999998145E-3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13716871.070853103</v>
      </c>
      <c r="D4" s="11">
        <v>4.0000000000000001E-3</v>
      </c>
      <c r="E4" s="10">
        <f t="shared" si="2"/>
        <v>54648.88872849755</v>
      </c>
      <c r="F4" s="3"/>
      <c r="G4" s="28"/>
      <c r="H4" s="10"/>
      <c r="I4" s="10">
        <f t="shared" si="5"/>
        <v>16270</v>
      </c>
      <c r="J4" s="10">
        <f t="shared" si="3"/>
        <v>223173492322.78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13662222.182124605</v>
      </c>
      <c r="D5" s="11">
        <v>4.3E-3</v>
      </c>
      <c r="E5" s="10">
        <f t="shared" si="2"/>
        <v>58496.022486444563</v>
      </c>
      <c r="F5" s="3"/>
      <c r="G5" s="28"/>
      <c r="H5" s="10"/>
      <c r="I5" s="10">
        <f t="shared" si="5"/>
        <v>16270</v>
      </c>
      <c r="J5" s="10">
        <f t="shared" si="3"/>
        <v>222284354903.16733</v>
      </c>
      <c r="K5" s="11">
        <f t="shared" si="4"/>
        <v>4.2999999999999705E-3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13603726.159638161</v>
      </c>
      <c r="D6" s="11">
        <v>4.4999999999999997E-3</v>
      </c>
      <c r="E6" s="10">
        <f t="shared" si="2"/>
        <v>60942.526349797845</v>
      </c>
      <c r="F6" s="3"/>
      <c r="G6" s="28"/>
      <c r="H6" s="10"/>
      <c r="I6" s="10">
        <f t="shared" si="5"/>
        <v>16270</v>
      </c>
      <c r="J6" s="10">
        <f t="shared" si="3"/>
        <v>221332624617.31287</v>
      </c>
      <c r="K6" s="11">
        <f t="shared" si="4"/>
        <v>4.4999999999999485E-3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13542783.633288363</v>
      </c>
      <c r="D7" s="11">
        <v>4.7000000000000002E-3</v>
      </c>
      <c r="E7" s="10">
        <f t="shared" si="2"/>
        <v>63353.322460887954</v>
      </c>
      <c r="F7" s="3"/>
      <c r="G7" s="28"/>
      <c r="H7" s="10"/>
      <c r="I7" s="10">
        <f t="shared" si="5"/>
        <v>16270</v>
      </c>
      <c r="J7" s="10">
        <f t="shared" si="3"/>
        <v>220341089713.60165</v>
      </c>
      <c r="K7" s="11">
        <f t="shared" si="4"/>
        <v>4.6999999999999265E-3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13479430.310827475</v>
      </c>
      <c r="D8" s="11">
        <v>4.7999999999999996E-3</v>
      </c>
      <c r="E8" s="10">
        <f t="shared" si="2"/>
        <v>64392.183013506234</v>
      </c>
      <c r="F8" s="3"/>
      <c r="G8" s="28"/>
      <c r="H8" s="10"/>
      <c r="I8" s="10">
        <f t="shared" si="5"/>
        <v>16270</v>
      </c>
      <c r="J8" s="10">
        <f t="shared" si="3"/>
        <v>219310331157.16302</v>
      </c>
      <c r="K8" s="11">
        <f t="shared" si="4"/>
        <v>4.7999999999999154E-3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13415038.127813969</v>
      </c>
      <c r="D9" s="11">
        <v>4.8999999999999998E-3</v>
      </c>
      <c r="E9" s="10">
        <f t="shared" si="2"/>
        <v>65413.16233086586</v>
      </c>
      <c r="F9" s="3"/>
      <c r="G9" s="28"/>
      <c r="H9" s="10"/>
      <c r="I9" s="10">
        <f t="shared" si="5"/>
        <v>16270</v>
      </c>
      <c r="J9" s="10">
        <f t="shared" si="3"/>
        <v>218262670339.53326</v>
      </c>
      <c r="K9" s="11">
        <f t="shared" si="4"/>
        <v>4.8999999999999044E-3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13349624.965483103</v>
      </c>
      <c r="D10" s="11">
        <v>5.0000000000000001E-3</v>
      </c>
      <c r="E10" s="10">
        <f t="shared" si="2"/>
        <v>66416.044604392722</v>
      </c>
      <c r="F10" s="3"/>
      <c r="G10" s="28"/>
      <c r="H10" s="10"/>
      <c r="I10" s="10">
        <f t="shared" si="5"/>
        <v>16270</v>
      </c>
      <c r="J10" s="10">
        <f t="shared" si="3"/>
        <v>217198398188.4101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13283208.92087871</v>
      </c>
      <c r="D11" s="11">
        <v>5.3E-3</v>
      </c>
      <c r="E11" s="10">
        <f t="shared" si="2"/>
        <v>70029.849080530927</v>
      </c>
      <c r="F11" s="3"/>
      <c r="G11" s="28"/>
      <c r="H11" s="10"/>
      <c r="I11" s="10">
        <f t="shared" si="5"/>
        <v>16270</v>
      </c>
      <c r="J11" s="10">
        <f t="shared" si="3"/>
        <v>216117809142.69662</v>
      </c>
      <c r="K11" s="11">
        <f t="shared" si="4"/>
        <v>5.3000000000000824E-3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13213179.071798179</v>
      </c>
      <c r="D12" s="11">
        <v>5.5999999999999999E-3</v>
      </c>
      <c r="E12" s="10">
        <f t="shared" si="2"/>
        <v>73581.745029902086</v>
      </c>
      <c r="F12" s="3"/>
      <c r="G12" s="28"/>
      <c r="H12" s="10"/>
      <c r="I12" s="10">
        <f t="shared" si="5"/>
        <v>16270</v>
      </c>
      <c r="J12" s="10">
        <f t="shared" si="3"/>
        <v>214978423498.15637</v>
      </c>
      <c r="K12" s="11">
        <f t="shared" si="4"/>
        <v>5.6000000000000494E-3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13139597.326768277</v>
      </c>
      <c r="D13" s="11">
        <v>6.1000000000000004E-3</v>
      </c>
      <c r="E13" s="10">
        <f t="shared" si="2"/>
        <v>79665.583633124828</v>
      </c>
      <c r="F13" s="3"/>
      <c r="G13" s="28"/>
      <c r="H13" s="10"/>
      <c r="I13" s="10">
        <f t="shared" si="5"/>
        <v>16270</v>
      </c>
      <c r="J13" s="10">
        <f t="shared" si="3"/>
        <v>213781248506.51987</v>
      </c>
      <c r="K13" s="11">
        <f t="shared" si="4"/>
        <v>6.0999999999999943E-3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13059931.743135152</v>
      </c>
      <c r="D14" s="11">
        <v>6.4999999999999997E-3</v>
      </c>
      <c r="E14" s="10">
        <f t="shared" si="2"/>
        <v>84341.337635746226</v>
      </c>
      <c r="F14" s="3"/>
      <c r="G14" s="28"/>
      <c r="H14" s="10"/>
      <c r="I14" s="10">
        <f t="shared" si="5"/>
        <v>16270</v>
      </c>
      <c r="J14" s="10">
        <f t="shared" si="3"/>
        <v>212485089460.80893</v>
      </c>
      <c r="K14" s="11">
        <f t="shared" si="4"/>
        <v>6.4999999999999503E-3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12975590.405499406</v>
      </c>
      <c r="D15" s="11">
        <v>6.8999999999999999E-3</v>
      </c>
      <c r="E15" s="10">
        <f t="shared" si="2"/>
        <v>88918.039326591417</v>
      </c>
      <c r="F15" s="3"/>
      <c r="G15" s="28"/>
      <c r="H15" s="10"/>
      <c r="I15" s="10">
        <f t="shared" si="5"/>
        <v>16270</v>
      </c>
      <c r="J15" s="10">
        <f t="shared" si="3"/>
        <v>211112855897.47534</v>
      </c>
      <c r="K15" s="11">
        <f t="shared" si="4"/>
        <v>6.8999999999999062E-3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12886672.366172815</v>
      </c>
      <c r="D16" s="11">
        <v>7.4999999999999997E-3</v>
      </c>
      <c r="E16" s="10">
        <f t="shared" si="2"/>
        <v>95930.563519896939</v>
      </c>
      <c r="F16" s="3"/>
      <c r="G16" s="28"/>
      <c r="H16" s="10"/>
      <c r="I16" s="10">
        <f t="shared" si="5"/>
        <v>16270</v>
      </c>
      <c r="J16" s="10">
        <f t="shared" si="3"/>
        <v>209666159397.63168</v>
      </c>
      <c r="K16" s="11">
        <f t="shared" si="4"/>
        <v>7.5000000000000622E-3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12790741.802652918</v>
      </c>
      <c r="D17" s="11">
        <v>8.3000000000000001E-3</v>
      </c>
      <c r="E17" s="10">
        <f t="shared" si="2"/>
        <v>105289.25613608956</v>
      </c>
      <c r="F17" s="3"/>
      <c r="G17" s="28"/>
      <c r="H17" s="10"/>
      <c r="I17" s="10">
        <f t="shared" si="5"/>
        <v>16270</v>
      </c>
      <c r="J17" s="10">
        <f t="shared" si="3"/>
        <v>208105369129.16296</v>
      </c>
      <c r="K17" s="11">
        <f t="shared" si="4"/>
        <v>8.2999999999999741E-3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12685452.546516828</v>
      </c>
      <c r="D18" s="11">
        <v>9.2999999999999992E-3</v>
      </c>
      <c r="E18" s="10">
        <f t="shared" si="2"/>
        <v>116887.65350501053</v>
      </c>
      <c r="F18" s="3"/>
      <c r="G18" s="28"/>
      <c r="H18" s="10"/>
      <c r="I18" s="10">
        <f t="shared" si="5"/>
        <v>16270</v>
      </c>
      <c r="J18" s="10">
        <f t="shared" si="3"/>
        <v>206392312931.8288</v>
      </c>
      <c r="K18" s="11">
        <f t="shared" si="4"/>
        <v>9.300000000000086E-3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12568564.893011818</v>
      </c>
      <c r="D19" s="11">
        <v>1.0500000000000001E-2</v>
      </c>
      <c r="E19" s="10">
        <f t="shared" si="2"/>
        <v>130598.64559784532</v>
      </c>
      <c r="F19" s="3"/>
      <c r="G19" s="28"/>
      <c r="H19" s="10"/>
      <c r="I19" s="10">
        <f t="shared" si="5"/>
        <v>16270</v>
      </c>
      <c r="J19" s="10">
        <f t="shared" si="3"/>
        <v>204490550809.30228</v>
      </c>
      <c r="K19" s="11">
        <f t="shared" si="4"/>
        <v>1.0499999999999954E-2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12437966.247413972</v>
      </c>
      <c r="D20" s="11">
        <v>1.1599999999999999E-2</v>
      </c>
      <c r="E20" s="10">
        <f t="shared" si="2"/>
        <v>142625.94747924432</v>
      </c>
      <c r="F20" s="3"/>
      <c r="G20" s="28"/>
      <c r="H20" s="10"/>
      <c r="I20" s="10">
        <f t="shared" si="5"/>
        <v>16270</v>
      </c>
      <c r="J20" s="10">
        <f t="shared" si="3"/>
        <v>202365710845.42532</v>
      </c>
      <c r="K20" s="11">
        <f t="shared" si="4"/>
        <v>1.1600000000000055E-2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12295340.299934728</v>
      </c>
      <c r="D21" s="11">
        <v>1.21E-2</v>
      </c>
      <c r="E21" s="10">
        <f t="shared" si="2"/>
        <v>146994.97839068249</v>
      </c>
      <c r="F21" s="3"/>
      <c r="G21" s="28"/>
      <c r="H21" s="10"/>
      <c r="I21" s="10">
        <f t="shared" si="5"/>
        <v>16270</v>
      </c>
      <c r="J21" s="10">
        <f t="shared" si="3"/>
        <v>200045186679.93802</v>
      </c>
      <c r="K21" s="11">
        <f t="shared" si="4"/>
        <v>1.21E-2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12148345.321544046</v>
      </c>
      <c r="D22" s="11">
        <v>1.1900000000000001E-2</v>
      </c>
      <c r="E22" s="10">
        <f t="shared" si="2"/>
        <v>142865.21328824386</v>
      </c>
      <c r="F22" s="3"/>
      <c r="G22" s="28"/>
      <c r="H22" s="10"/>
      <c r="I22" s="10">
        <f t="shared" si="5"/>
        <v>16270</v>
      </c>
      <c r="J22" s="10">
        <f t="shared" si="3"/>
        <v>197653578381.52161</v>
      </c>
      <c r="K22" s="11">
        <f t="shared" si="4"/>
        <v>1.18999999999998E-2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12005480.108255802</v>
      </c>
      <c r="D23" s="11">
        <v>1.11E-2</v>
      </c>
      <c r="E23" s="10">
        <f t="shared" si="2"/>
        <v>131797.87281341106</v>
      </c>
      <c r="F23" s="3"/>
      <c r="G23" s="28"/>
      <c r="H23" s="10"/>
      <c r="I23" s="10">
        <f t="shared" si="5"/>
        <v>16270</v>
      </c>
      <c r="J23" s="10">
        <f t="shared" si="3"/>
        <v>195329161361.3219</v>
      </c>
      <c r="K23" s="11">
        <f t="shared" si="4"/>
        <v>1.110000000000011E-2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11873682.235442391</v>
      </c>
      <c r="D24" s="11">
        <v>1.01E-2</v>
      </c>
      <c r="E24" s="10">
        <f t="shared" si="2"/>
        <v>118725.06739725545</v>
      </c>
      <c r="F24" s="3"/>
      <c r="G24" s="28"/>
      <c r="H24" s="10"/>
      <c r="I24" s="10">
        <f t="shared" si="5"/>
        <v>16270</v>
      </c>
      <c r="J24" s="10">
        <f t="shared" si="3"/>
        <v>193184809970.64771</v>
      </c>
      <c r="K24" s="11">
        <f t="shared" si="4"/>
        <v>1.0099999999999998E-2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11754957.168045135</v>
      </c>
      <c r="D25" s="11">
        <v>9.1999999999999998E-3</v>
      </c>
      <c r="E25" s="10">
        <f t="shared" si="2"/>
        <v>107159.73637139983</v>
      </c>
      <c r="F25" s="3"/>
      <c r="G25" s="28"/>
      <c r="H25" s="10"/>
      <c r="I25" s="10">
        <f t="shared" si="5"/>
        <v>16270</v>
      </c>
      <c r="J25" s="10">
        <f t="shared" si="3"/>
        <v>191253153124.09436</v>
      </c>
      <c r="K25" s="11">
        <f t="shared" si="4"/>
        <v>9.200000000000319E-3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11647797.431673735</v>
      </c>
      <c r="D26" s="11">
        <v>9.1000000000000004E-3</v>
      </c>
      <c r="E26" s="10">
        <f t="shared" si="2"/>
        <v>105039.10081085376</v>
      </c>
      <c r="F26" s="3"/>
      <c r="G26" s="28"/>
      <c r="H26" s="10"/>
      <c r="I26" s="10">
        <f t="shared" si="5"/>
        <v>16270</v>
      </c>
      <c r="J26" s="10">
        <f t="shared" si="3"/>
        <v>189509664213.33167</v>
      </c>
      <c r="K26" s="11">
        <f t="shared" si="4"/>
        <v>9.100000000000108E-3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11542758.330862882</v>
      </c>
      <c r="D27" s="11">
        <v>1.01E-2</v>
      </c>
      <c r="E27" s="10">
        <f t="shared" si="2"/>
        <v>115416.15596645325</v>
      </c>
      <c r="F27" s="3"/>
      <c r="G27" s="28"/>
      <c r="H27" s="10"/>
      <c r="I27" s="10">
        <f t="shared" si="5"/>
        <v>16270</v>
      </c>
      <c r="J27" s="10">
        <f t="shared" si="3"/>
        <v>187800678043.1391</v>
      </c>
      <c r="K27" s="11">
        <f t="shared" si="4"/>
        <v>1.0099999999999998E-2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11427342.174896428</v>
      </c>
      <c r="D28" s="11">
        <v>1.1900000000000001E-2</v>
      </c>
      <c r="E28" s="10">
        <f t="shared" si="2"/>
        <v>134386.17638231814</v>
      </c>
      <c r="F28" s="3"/>
      <c r="G28" s="28"/>
      <c r="H28" s="10"/>
      <c r="I28" s="10">
        <f t="shared" si="5"/>
        <v>16270</v>
      </c>
      <c r="J28" s="10">
        <f t="shared" si="3"/>
        <v>185922857185.56488</v>
      </c>
      <c r="K28" s="11">
        <f t="shared" si="4"/>
        <v>1.18999999999998E-2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11292955.99851411</v>
      </c>
      <c r="D29" s="11">
        <v>1.41E-2</v>
      </c>
      <c r="E29" s="10">
        <f t="shared" si="2"/>
        <v>157016.74349575862</v>
      </c>
      <c r="F29" s="3"/>
      <c r="G29" s="28"/>
      <c r="H29" s="10"/>
      <c r="I29" s="10">
        <f t="shared" si="5"/>
        <v>16270</v>
      </c>
      <c r="J29" s="10">
        <f t="shared" si="3"/>
        <v>183736394095.82458</v>
      </c>
      <c r="K29" s="11">
        <f t="shared" si="4"/>
        <v>1.4100000000000001E-2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11135939.255018352</v>
      </c>
      <c r="D30" s="12">
        <v>1.6E-2</v>
      </c>
      <c r="E30" s="10">
        <f t="shared" si="2"/>
        <v>175369.12212627381</v>
      </c>
      <c r="F30" s="3"/>
      <c r="G30" s="28"/>
      <c r="H30" s="10"/>
      <c r="I30" s="10">
        <f t="shared" si="5"/>
        <v>16270</v>
      </c>
      <c r="J30" s="10">
        <f t="shared" si="3"/>
        <v>181181731679.14859</v>
      </c>
      <c r="K30" s="11">
        <f t="shared" si="4"/>
        <v>1.6000000000000014E-2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10960570.132892078</v>
      </c>
      <c r="D31" s="13">
        <v>1.7500000000000002E-2</v>
      </c>
      <c r="E31" s="10">
        <f t="shared" si="2"/>
        <v>188511.03422664665</v>
      </c>
      <c r="F31" s="3"/>
      <c r="G31" s="28"/>
      <c r="H31" s="10"/>
      <c r="I31" s="10">
        <f t="shared" si="5"/>
        <v>16270</v>
      </c>
      <c r="J31" s="10">
        <f t="shared" si="3"/>
        <v>178328476062.15411</v>
      </c>
      <c r="K31" s="11">
        <f t="shared" si="4"/>
        <v>1.7500000000000293E-2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10772059.098665431</v>
      </c>
      <c r="D32" s="12">
        <v>1.8200000000000001E-2</v>
      </c>
      <c r="E32" s="10">
        <f t="shared" si="2"/>
        <v>192547.11804725043</v>
      </c>
      <c r="F32" s="3"/>
      <c r="G32" s="28"/>
      <c r="H32" s="10"/>
      <c r="I32" s="10">
        <f t="shared" si="5"/>
        <v>16270</v>
      </c>
      <c r="J32" s="10">
        <f t="shared" si="3"/>
        <v>175261401535.28656</v>
      </c>
      <c r="K32" s="11">
        <f t="shared" si="4"/>
        <v>1.8199999999999994E-2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10579511.980618181</v>
      </c>
      <c r="D33" s="13">
        <v>1.83E-2</v>
      </c>
      <c r="E33" s="10">
        <f t="shared" si="2"/>
        <v>190125.7676964663</v>
      </c>
      <c r="F33" s="3"/>
      <c r="G33" s="28"/>
      <c r="H33" s="10"/>
      <c r="I33" s="10">
        <f t="shared" si="5"/>
        <v>16270</v>
      </c>
      <c r="J33" s="10">
        <f t="shared" si="3"/>
        <v>172128659924.65781</v>
      </c>
      <c r="K33" s="11">
        <f t="shared" si="4"/>
        <v>1.8299999999999983E-2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10389386.212921714</v>
      </c>
      <c r="D34" s="12">
        <v>1.8200000000000001E-2</v>
      </c>
      <c r="E34" s="10">
        <f t="shared" si="2"/>
        <v>185706.96236022003</v>
      </c>
      <c r="F34" s="3"/>
      <c r="G34" s="28"/>
      <c r="H34" s="10"/>
      <c r="I34" s="10">
        <f t="shared" si="5"/>
        <v>16270</v>
      </c>
      <c r="J34" s="10">
        <f t="shared" ref="J34:J65" si="6">IF(I34="","",I34*C34)</f>
        <v>169035313684.2363</v>
      </c>
      <c r="K34" s="11">
        <f t="shared" ref="K34:K65" si="7">IFERROR(J34/J35-1,"")</f>
        <v>1.8199999999999994E-2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10203679.250561494</v>
      </c>
      <c r="D35" s="11">
        <v>1.84E-2</v>
      </c>
      <c r="E35" s="10">
        <f t="shared" si="2"/>
        <v>184355.55598029308</v>
      </c>
      <c r="F35" s="3"/>
      <c r="G35" s="28"/>
      <c r="H35" s="10"/>
      <c r="I35" s="10">
        <f t="shared" ref="I35:I66" si="8">IF(H35&lt;&gt;"",H35,I34/(1+IF(G34="",0,G34)/100))</f>
        <v>16270</v>
      </c>
      <c r="J35" s="10">
        <f t="shared" si="6"/>
        <v>166013861406.63553</v>
      </c>
      <c r="K35" s="11">
        <f t="shared" si="7"/>
        <v>1.8399999999999972E-2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10019323.694581201</v>
      </c>
      <c r="D36" s="11">
        <v>1.8599999999999998E-2</v>
      </c>
      <c r="E36" s="10">
        <f t="shared" si="2"/>
        <v>182956.43110073544</v>
      </c>
      <c r="F36" s="3"/>
      <c r="G36" s="28"/>
      <c r="H36" s="10"/>
      <c r="I36" s="10">
        <f t="shared" si="8"/>
        <v>16270</v>
      </c>
      <c r="J36" s="10">
        <f t="shared" si="6"/>
        <v>163014396510.83615</v>
      </c>
      <c r="K36" s="11">
        <f t="shared" si="7"/>
        <v>1.859999999999995E-2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9836367.2634804659</v>
      </c>
      <c r="D37" s="11">
        <v>1.9199999999999998E-2</v>
      </c>
      <c r="E37" s="10">
        <f t="shared" si="2"/>
        <v>185300.48220057413</v>
      </c>
      <c r="F37" s="3"/>
      <c r="G37" s="28"/>
      <c r="H37" s="10"/>
      <c r="I37" s="10">
        <f t="shared" si="8"/>
        <v>16270</v>
      </c>
      <c r="J37" s="10">
        <f t="shared" si="6"/>
        <v>160037695376.82718</v>
      </c>
      <c r="K37" s="11">
        <f t="shared" si="7"/>
        <v>1.9200000000000106E-2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9651066.7812798917</v>
      </c>
      <c r="D38" s="11">
        <v>2.01E-2</v>
      </c>
      <c r="E38" s="10">
        <f t="shared" si="2"/>
        <v>190164.14302884601</v>
      </c>
      <c r="F38" s="3"/>
      <c r="G38" s="28"/>
      <c r="H38" s="10"/>
      <c r="I38" s="10">
        <f t="shared" si="8"/>
        <v>16270</v>
      </c>
      <c r="J38" s="10">
        <f t="shared" si="6"/>
        <v>157022856531.42383</v>
      </c>
      <c r="K38" s="11">
        <f t="shared" si="7"/>
        <v>2.0100000000000007E-2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9460902.6382510457</v>
      </c>
      <c r="D39" s="11">
        <v>2.1000000000000001E-2</v>
      </c>
      <c r="E39" s="10">
        <f t="shared" si="2"/>
        <v>194592.51263787597</v>
      </c>
      <c r="F39" s="3"/>
      <c r="G39" s="28"/>
      <c r="H39" s="10"/>
      <c r="I39" s="10">
        <f t="shared" si="8"/>
        <v>16270</v>
      </c>
      <c r="J39" s="10">
        <f t="shared" si="6"/>
        <v>153928885924.34451</v>
      </c>
      <c r="K39" s="11">
        <f t="shared" si="7"/>
        <v>2.100000000000013E-2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9266310.1256131697</v>
      </c>
      <c r="D40" s="11">
        <v>2.18E-2</v>
      </c>
      <c r="E40" s="10">
        <f t="shared" si="2"/>
        <v>197695.79246268049</v>
      </c>
      <c r="F40" s="3"/>
      <c r="G40" s="28"/>
      <c r="H40" s="10"/>
      <c r="I40" s="10">
        <f t="shared" si="8"/>
        <v>16270</v>
      </c>
      <c r="J40" s="10">
        <f t="shared" si="6"/>
        <v>150762865743.72626</v>
      </c>
      <c r="K40" s="11">
        <f t="shared" si="7"/>
        <v>2.179999999999982E-2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9068614.3331504893</v>
      </c>
      <c r="D41" s="11">
        <v>2.2700000000000001E-2</v>
      </c>
      <c r="E41" s="10">
        <f t="shared" si="2"/>
        <v>201288.30093137361</v>
      </c>
      <c r="F41" s="3"/>
      <c r="G41" s="28"/>
      <c r="H41" s="10"/>
      <c r="I41" s="10">
        <f t="shared" si="8"/>
        <v>16270</v>
      </c>
      <c r="J41" s="10">
        <f t="shared" si="6"/>
        <v>147546355200.35846</v>
      </c>
      <c r="K41" s="11">
        <f t="shared" si="7"/>
        <v>2.2699999999999942E-2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8867326.0322191156</v>
      </c>
      <c r="D42" s="11">
        <v>2.3699999999999999E-2</v>
      </c>
      <c r="E42" s="10">
        <f t="shared" si="2"/>
        <v>205290.24808400311</v>
      </c>
      <c r="F42" s="3"/>
      <c r="G42" s="28"/>
      <c r="H42" s="10"/>
      <c r="I42" s="10">
        <f t="shared" si="8"/>
        <v>16270</v>
      </c>
      <c r="J42" s="10">
        <f t="shared" si="6"/>
        <v>144271394544.20502</v>
      </c>
      <c r="K42" s="11">
        <f t="shared" si="7"/>
        <v>2.3700000000000054E-2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8662035.7841351125</v>
      </c>
      <c r="D43" s="11">
        <v>2.4799999999999999E-2</v>
      </c>
      <c r="E43" s="10">
        <f t="shared" si="2"/>
        <v>209619.91358952969</v>
      </c>
      <c r="F43" s="3"/>
      <c r="G43" s="28"/>
      <c r="H43" s="10"/>
      <c r="I43" s="10">
        <f t="shared" si="8"/>
        <v>16270</v>
      </c>
      <c r="J43" s="10">
        <f t="shared" si="6"/>
        <v>140931322207.8783</v>
      </c>
      <c r="K43" s="11">
        <f t="shared" si="7"/>
        <v>2.4799999999999933E-2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8452415.8705455828</v>
      </c>
      <c r="D44" s="11">
        <v>2.5999999999999999E-2</v>
      </c>
      <c r="E44" s="10">
        <f t="shared" si="2"/>
        <v>214193.77449725755</v>
      </c>
      <c r="F44" s="3"/>
      <c r="G44" s="28"/>
      <c r="H44" s="10"/>
      <c r="I44" s="10">
        <f t="shared" si="8"/>
        <v>16270</v>
      </c>
      <c r="J44" s="10">
        <f t="shared" si="6"/>
        <v>137520806213.77664</v>
      </c>
      <c r="K44" s="11">
        <f t="shared" si="7"/>
        <v>2.6000000000000245E-2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8238222.0960483253</v>
      </c>
      <c r="D45" s="11">
        <v>2.7199999999999998E-2</v>
      </c>
      <c r="E45" s="10">
        <f t="shared" si="2"/>
        <v>218146.06796389539</v>
      </c>
      <c r="F45" s="3"/>
      <c r="G45" s="28"/>
      <c r="H45" s="10"/>
      <c r="I45" s="10">
        <f t="shared" si="8"/>
        <v>16270</v>
      </c>
      <c r="J45" s="10">
        <f t="shared" si="6"/>
        <v>134035873502.70625</v>
      </c>
      <c r="K45" s="11">
        <f t="shared" si="7"/>
        <v>2.7199999999999891E-2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8020076.0280844299</v>
      </c>
      <c r="D46" s="11">
        <v>2.8199999999999999E-2</v>
      </c>
      <c r="E46" s="10">
        <f t="shared" si="2"/>
        <v>219963.18225246109</v>
      </c>
      <c r="F46" s="3"/>
      <c r="G46" s="28"/>
      <c r="H46" s="10"/>
      <c r="I46" s="10">
        <f t="shared" si="8"/>
        <v>16270</v>
      </c>
      <c r="J46" s="10">
        <f t="shared" si="6"/>
        <v>130486636976.93367</v>
      </c>
      <c r="K46" s="11">
        <f t="shared" si="7"/>
        <v>2.8200000000000003E-2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7800112.8458319688</v>
      </c>
      <c r="D47" s="11">
        <v>2.8899999999999999E-2</v>
      </c>
      <c r="E47" s="10">
        <f t="shared" si="2"/>
        <v>219091.51642000489</v>
      </c>
      <c r="F47" s="3"/>
      <c r="G47" s="28"/>
      <c r="H47" s="10"/>
      <c r="I47" s="10">
        <f t="shared" si="8"/>
        <v>16270</v>
      </c>
      <c r="J47" s="10">
        <f t="shared" si="6"/>
        <v>126907836001.68613</v>
      </c>
      <c r="K47" s="11">
        <f t="shared" si="7"/>
        <v>2.8899999999999926E-2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7581021.3294119639</v>
      </c>
      <c r="D48" s="11">
        <v>2.92E-2</v>
      </c>
      <c r="E48" s="10">
        <f t="shared" si="2"/>
        <v>215085.33114926983</v>
      </c>
      <c r="F48" s="3"/>
      <c r="G48" s="28"/>
      <c r="H48" s="10"/>
      <c r="I48" s="10">
        <f t="shared" si="8"/>
        <v>16270</v>
      </c>
      <c r="J48" s="10">
        <f t="shared" si="6"/>
        <v>123343217029.53265</v>
      </c>
      <c r="K48" s="11">
        <f t="shared" si="7"/>
        <v>2.9199999999999893E-2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7365935.9982626941</v>
      </c>
      <c r="D49" s="11">
        <v>2.9499999999999998E-2</v>
      </c>
      <c r="E49" s="10">
        <f t="shared" si="2"/>
        <v>211068.58858547825</v>
      </c>
      <c r="F49" s="3"/>
      <c r="G49" s="28"/>
      <c r="H49" s="10"/>
      <c r="I49" s="10">
        <f t="shared" si="8"/>
        <v>16270</v>
      </c>
      <c r="J49" s="10">
        <f t="shared" si="6"/>
        <v>119843778691.73404</v>
      </c>
      <c r="K49" s="11">
        <f t="shared" si="7"/>
        <v>2.9500000000000082E-2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7154867.4096772159</v>
      </c>
      <c r="D50" s="11">
        <v>2.98E-2</v>
      </c>
      <c r="E50" s="10">
        <f t="shared" si="2"/>
        <v>207045.10468865931</v>
      </c>
      <c r="F50" s="3"/>
      <c r="G50" s="28"/>
      <c r="H50" s="10"/>
      <c r="I50" s="10">
        <f t="shared" si="8"/>
        <v>16270</v>
      </c>
      <c r="J50" s="10">
        <f t="shared" si="6"/>
        <v>116409692755.4483</v>
      </c>
      <c r="K50" s="11">
        <f t="shared" si="7"/>
        <v>2.9800000000000049E-2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6947822.3049885565</v>
      </c>
      <c r="D51" s="11">
        <v>0.03</v>
      </c>
      <c r="E51" s="10">
        <f t="shared" si="2"/>
        <v>202363.75645597745</v>
      </c>
      <c r="F51" s="3"/>
      <c r="G51" s="28"/>
      <c r="H51" s="10"/>
      <c r="I51" s="10">
        <f t="shared" si="8"/>
        <v>16270</v>
      </c>
      <c r="J51" s="10">
        <f t="shared" si="6"/>
        <v>113041068902.16382</v>
      </c>
      <c r="K51" s="11">
        <f t="shared" si="7"/>
        <v>3.0000000000000027E-2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6745458.5485325791</v>
      </c>
      <c r="D52" s="11">
        <v>3.0200000000000001E-2</v>
      </c>
      <c r="E52" s="10">
        <f t="shared" si="2"/>
        <v>197741.06791466102</v>
      </c>
      <c r="F52" s="3"/>
      <c r="G52" s="28"/>
      <c r="H52" s="10"/>
      <c r="I52" s="10">
        <f t="shared" si="8"/>
        <v>16270</v>
      </c>
      <c r="J52" s="10">
        <f t="shared" si="6"/>
        <v>109748610584.62506</v>
      </c>
      <c r="K52" s="11">
        <f t="shared" si="7"/>
        <v>3.0200000000000005E-2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6547717.4806179181</v>
      </c>
      <c r="D53" s="11">
        <v>3.04E-2</v>
      </c>
      <c r="E53" s="10">
        <f t="shared" si="2"/>
        <v>193178.00020456593</v>
      </c>
      <c r="F53" s="3"/>
      <c r="G53" s="28"/>
      <c r="H53" s="10"/>
      <c r="I53" s="10">
        <f t="shared" si="8"/>
        <v>16270</v>
      </c>
      <c r="J53" s="10">
        <f t="shared" si="6"/>
        <v>106531363409.65353</v>
      </c>
      <c r="K53" s="11">
        <f t="shared" si="7"/>
        <v>3.0399999999999983E-2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6354539.4804133521</v>
      </c>
      <c r="D54" s="11">
        <v>3.0499999999999999E-2</v>
      </c>
      <c r="E54" s="10">
        <f t="shared" si="2"/>
        <v>188077.10252557695</v>
      </c>
      <c r="F54" s="3"/>
      <c r="G54" s="28"/>
      <c r="H54" s="10"/>
      <c r="I54" s="10">
        <f t="shared" si="8"/>
        <v>16270</v>
      </c>
      <c r="J54" s="10">
        <f t="shared" si="6"/>
        <v>103388357346.32524</v>
      </c>
      <c r="K54" s="11">
        <f t="shared" si="7"/>
        <v>3.0499999999999972E-2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6166462.3778877752</v>
      </c>
      <c r="D55" s="11">
        <v>3.0499999999999999E-2</v>
      </c>
      <c r="E55" s="10">
        <f t="shared" si="2"/>
        <v>182510.5313203074</v>
      </c>
      <c r="F55" s="3"/>
      <c r="G55" s="28"/>
      <c r="H55" s="10"/>
      <c r="I55" s="10">
        <f t="shared" si="8"/>
        <v>16270</v>
      </c>
      <c r="J55" s="10">
        <f t="shared" si="6"/>
        <v>100328342888.2341</v>
      </c>
      <c r="K55" s="11">
        <f t="shared" si="7"/>
        <v>3.0499999999999972E-2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5983951.8465674678</v>
      </c>
      <c r="D56" s="11">
        <v>3.0499999999999999E-2</v>
      </c>
      <c r="E56" s="10">
        <f t="shared" si="2"/>
        <v>177108.71549762972</v>
      </c>
      <c r="F56" s="3"/>
      <c r="G56" s="28"/>
      <c r="H56" s="10"/>
      <c r="I56" s="10">
        <f t="shared" si="8"/>
        <v>16270</v>
      </c>
      <c r="J56" s="10">
        <f t="shared" si="6"/>
        <v>97358896543.652695</v>
      </c>
      <c r="K56" s="11">
        <f t="shared" si="7"/>
        <v>3.049999999999975E-2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5806843.1310698381</v>
      </c>
      <c r="D57" s="11">
        <v>3.0499999999999999E-2</v>
      </c>
      <c r="E57" s="10">
        <f t="shared" si="2"/>
        <v>171866.77874588035</v>
      </c>
      <c r="F57" s="3"/>
      <c r="G57" s="28"/>
      <c r="H57" s="10"/>
      <c r="I57" s="10">
        <f t="shared" si="8"/>
        <v>16270</v>
      </c>
      <c r="J57" s="10">
        <f t="shared" si="6"/>
        <v>94477337742.506271</v>
      </c>
      <c r="K57" s="11">
        <f t="shared" si="7"/>
        <v>3.0499999999999972E-2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5634976.3523239577</v>
      </c>
      <c r="D58" s="11">
        <v>0.03</v>
      </c>
      <c r="E58" s="10">
        <f t="shared" si="2"/>
        <v>164125.52482496947</v>
      </c>
      <c r="F58" s="3"/>
      <c r="G58" s="28"/>
      <c r="H58" s="10"/>
      <c r="I58" s="10">
        <f t="shared" si="8"/>
        <v>16270</v>
      </c>
      <c r="J58" s="10">
        <f t="shared" si="6"/>
        <v>91681065252.310791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5470850.8274989882</v>
      </c>
      <c r="D59" s="11">
        <v>0.03</v>
      </c>
      <c r="E59" s="10">
        <f t="shared" si="2"/>
        <v>159345.16973298043</v>
      </c>
      <c r="F59" s="3"/>
      <c r="G59" s="28"/>
      <c r="H59" s="10"/>
      <c r="I59" s="10">
        <f t="shared" si="8"/>
        <v>16270</v>
      </c>
      <c r="J59" s="10">
        <f t="shared" si="6"/>
        <v>89010742963.408539</v>
      </c>
      <c r="K59" s="11">
        <f t="shared" si="7"/>
        <v>3.0000000000000027E-2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5311505.6577660078</v>
      </c>
      <c r="D60" s="11">
        <v>0.03</v>
      </c>
      <c r="E60" s="10">
        <f t="shared" si="2"/>
        <v>154704.04828444682</v>
      </c>
      <c r="F60" s="3"/>
      <c r="G60" s="28"/>
      <c r="H60" s="10"/>
      <c r="I60" s="10">
        <f t="shared" si="8"/>
        <v>16270</v>
      </c>
      <c r="J60" s="10">
        <f t="shared" si="6"/>
        <v>86418197051.852951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5156801.609481561</v>
      </c>
      <c r="D61" s="11">
        <v>0.03</v>
      </c>
      <c r="E61" s="10">
        <f t="shared" si="2"/>
        <v>150198.10513053089</v>
      </c>
      <c r="F61" s="3"/>
      <c r="G61" s="28"/>
      <c r="H61" s="10"/>
      <c r="I61" s="10">
        <f t="shared" si="8"/>
        <v>16270</v>
      </c>
      <c r="J61" s="10">
        <f t="shared" si="6"/>
        <v>83901162186.264999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5006603.5043510301</v>
      </c>
      <c r="D62" s="11">
        <v>0.03</v>
      </c>
      <c r="E62" s="10">
        <f t="shared" si="2"/>
        <v>145823.40303935017</v>
      </c>
      <c r="F62" s="3"/>
      <c r="G62" s="28"/>
      <c r="H62" s="10"/>
      <c r="I62" s="10">
        <f t="shared" si="8"/>
        <v>16270</v>
      </c>
      <c r="J62" s="10">
        <f t="shared" si="6"/>
        <v>81457439015.79126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4860780.1013116799</v>
      </c>
      <c r="D63" s="11">
        <v>0.03</v>
      </c>
      <c r="E63" s="10">
        <f t="shared" si="2"/>
        <v>141576.11945568025</v>
      </c>
      <c r="F63" s="3"/>
      <c r="G63" s="28"/>
      <c r="H63" s="10"/>
      <c r="I63" s="10">
        <f t="shared" si="8"/>
        <v>16270</v>
      </c>
      <c r="J63" s="10">
        <f t="shared" si="6"/>
        <v>79084892248.341034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4719203.9818559997</v>
      </c>
      <c r="D64" s="11">
        <v>2.9000000000000001E-2</v>
      </c>
      <c r="E64" s="10">
        <f t="shared" si="2"/>
        <v>132999.91785599943</v>
      </c>
      <c r="F64" s="3"/>
      <c r="G64" s="28"/>
      <c r="H64" s="10"/>
      <c r="I64" s="10">
        <f t="shared" si="8"/>
        <v>16270</v>
      </c>
      <c r="J64" s="10">
        <f t="shared" si="6"/>
        <v>76781448784.797119</v>
      </c>
      <c r="K64" s="11">
        <f t="shared" si="7"/>
        <v>2.8999999999999915E-2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4586204.0640000002</v>
      </c>
      <c r="D65" s="11">
        <v>2.8000000000000001E-2</v>
      </c>
      <c r="E65" s="10">
        <f t="shared" si="2"/>
        <v>124916.06400000025</v>
      </c>
      <c r="F65" s="3"/>
      <c r="G65" s="28"/>
      <c r="H65" s="10"/>
      <c r="I65" s="10">
        <f t="shared" si="8"/>
        <v>16270</v>
      </c>
      <c r="J65" s="10">
        <f t="shared" si="6"/>
        <v>74617540121.279999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4461288</v>
      </c>
      <c r="D66" s="11">
        <v>2.7E-2</v>
      </c>
      <c r="E66" s="10">
        <f t="shared" si="2"/>
        <v>117288</v>
      </c>
      <c r="F66" s="3"/>
      <c r="G66" s="28"/>
      <c r="H66" s="10"/>
      <c r="I66" s="10">
        <f t="shared" si="8"/>
        <v>16270</v>
      </c>
      <c r="J66" s="10">
        <f t="shared" ref="J66:J67" si="9">IF(I66="","",I66*C66)</f>
        <v>72585155760</v>
      </c>
      <c r="K66" s="11">
        <f t="shared" ref="K66" si="10">IFERROR(J66/J67-1,"")</f>
        <v>2.6999999999999913E-2</v>
      </c>
    </row>
    <row r="67" spans="1:11" ht="22.5" customHeight="1">
      <c r="A67" s="3">
        <f t="shared" si="0"/>
        <v>1950</v>
      </c>
      <c r="B67" s="3">
        <v>1700</v>
      </c>
      <c r="C67" s="10">
        <v>4344000</v>
      </c>
      <c r="D67" s="11">
        <v>2.5000000000000001E-2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16270</v>
      </c>
      <c r="J67" s="10">
        <f t="shared" si="9"/>
        <v>70676880000</v>
      </c>
      <c r="K67" s="11"/>
    </row>
  </sheetData>
  <dataValidations count="1">
    <dataValidation type="custom" allowBlank="1" showDropDown="1" sqref="D2:D67" xr:uid="{00000000-0002-0000-1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47883.335440057759</v>
      </c>
      <c r="D2" s="11">
        <v>1.95E-2</v>
      </c>
      <c r="E2" s="10">
        <f t="shared" ref="E2:E66" si="2">SUM(C2-C3)</f>
        <v>915.86566069752735</v>
      </c>
      <c r="F2" s="15"/>
      <c r="G2" s="28"/>
      <c r="H2" s="10"/>
      <c r="I2" s="10">
        <f>IF(H2&lt;&gt;"",H2,11270)</f>
        <v>11270</v>
      </c>
      <c r="J2" s="10">
        <f t="shared" ref="J2:J33" si="3">IF(I2="","",I2*C2)</f>
        <v>539645190.40945089</v>
      </c>
      <c r="K2" s="11">
        <f t="shared" ref="K2:K33" si="4">IFERROR(J2/J3-1,"")</f>
        <v>1.9500000000000073E-2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46967.469779360232</v>
      </c>
      <c r="D3" s="11">
        <v>1.9800000000000002E-2</v>
      </c>
      <c r="E3" s="10">
        <f t="shared" si="2"/>
        <v>911.9002761633019</v>
      </c>
      <c r="F3" s="3"/>
      <c r="G3" s="28"/>
      <c r="H3" s="10"/>
      <c r="I3" s="10">
        <f t="shared" ref="I3:I34" si="5">IF(H3&lt;&gt;"",H3,I2/(1+IF(G2="",0,G2)/100))</f>
        <v>11270</v>
      </c>
      <c r="J3" s="10">
        <f t="shared" si="3"/>
        <v>529323384.4133898</v>
      </c>
      <c r="K3" s="11">
        <f t="shared" si="4"/>
        <v>1.980000000000004E-2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46055.56950319693</v>
      </c>
      <c r="D4" s="11">
        <v>2.0799999999999999E-2</v>
      </c>
      <c r="E4" s="10">
        <f t="shared" si="2"/>
        <v>938.43636918739503</v>
      </c>
      <c r="F4" s="3"/>
      <c r="G4" s="28"/>
      <c r="H4" s="10"/>
      <c r="I4" s="10">
        <f t="shared" si="5"/>
        <v>11270</v>
      </c>
      <c r="J4" s="10">
        <f t="shared" si="3"/>
        <v>519046268.30102938</v>
      </c>
      <c r="K4" s="11">
        <f t="shared" si="4"/>
        <v>2.079999999999993E-2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45117.133134009535</v>
      </c>
      <c r="D5" s="11">
        <v>2.1999999999999999E-2</v>
      </c>
      <c r="E5" s="10">
        <f t="shared" si="2"/>
        <v>971.21030229765893</v>
      </c>
      <c r="F5" s="3"/>
      <c r="G5" s="28"/>
      <c r="H5" s="10"/>
      <c r="I5" s="10">
        <f t="shared" si="5"/>
        <v>11270</v>
      </c>
      <c r="J5" s="10">
        <f t="shared" si="3"/>
        <v>508470090.42028743</v>
      </c>
      <c r="K5" s="11">
        <f t="shared" si="4"/>
        <v>2.200000000000002E-2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44145.922831711876</v>
      </c>
      <c r="D6" s="11">
        <v>2.3300000000000001E-2</v>
      </c>
      <c r="E6" s="10">
        <f t="shared" si="2"/>
        <v>1005.1793237358434</v>
      </c>
      <c r="F6" s="3"/>
      <c r="G6" s="28"/>
      <c r="H6" s="10"/>
      <c r="I6" s="10">
        <f t="shared" si="5"/>
        <v>11270</v>
      </c>
      <c r="J6" s="10">
        <f t="shared" si="3"/>
        <v>497524550.31339282</v>
      </c>
      <c r="K6" s="11">
        <f t="shared" si="4"/>
        <v>2.3300000000000098E-2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43140.743507976033</v>
      </c>
      <c r="D7" s="11">
        <v>2.4199999999999999E-2</v>
      </c>
      <c r="E7" s="10">
        <f t="shared" si="2"/>
        <v>1019.3380129789293</v>
      </c>
      <c r="F7" s="3"/>
      <c r="G7" s="28"/>
      <c r="H7" s="10"/>
      <c r="I7" s="10">
        <f t="shared" si="5"/>
        <v>11270</v>
      </c>
      <c r="J7" s="10">
        <f t="shared" si="3"/>
        <v>486196179.33488989</v>
      </c>
      <c r="K7" s="11">
        <f t="shared" si="4"/>
        <v>2.4199999999999999E-2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42121.405494997103</v>
      </c>
      <c r="D8" s="11">
        <v>2.52E-2</v>
      </c>
      <c r="E8" s="10">
        <f t="shared" si="2"/>
        <v>1035.3681413128361</v>
      </c>
      <c r="F8" s="3"/>
      <c r="G8" s="28"/>
      <c r="H8" s="10"/>
      <c r="I8" s="10">
        <f t="shared" si="5"/>
        <v>11270</v>
      </c>
      <c r="J8" s="10">
        <f t="shared" si="3"/>
        <v>474708239.92861736</v>
      </c>
      <c r="K8" s="11">
        <f t="shared" si="4"/>
        <v>2.5199999999999889E-2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41086.037353684267</v>
      </c>
      <c r="D9" s="11">
        <v>2.7E-2</v>
      </c>
      <c r="E9" s="10">
        <f t="shared" si="2"/>
        <v>1080.1587230277219</v>
      </c>
      <c r="F9" s="3"/>
      <c r="G9" s="28"/>
      <c r="H9" s="10"/>
      <c r="I9" s="10">
        <f t="shared" si="5"/>
        <v>11270</v>
      </c>
      <c r="J9" s="10">
        <f t="shared" si="3"/>
        <v>463039640.97602171</v>
      </c>
      <c r="K9" s="11">
        <f t="shared" si="4"/>
        <v>2.6999999999999913E-2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40005.878630656545</v>
      </c>
      <c r="D10" s="11">
        <v>2.86E-2</v>
      </c>
      <c r="E10" s="10">
        <f t="shared" si="2"/>
        <v>1112.3547820695821</v>
      </c>
      <c r="F10" s="3"/>
      <c r="G10" s="28"/>
      <c r="H10" s="10"/>
      <c r="I10" s="10">
        <f t="shared" si="5"/>
        <v>11270</v>
      </c>
      <c r="J10" s="10">
        <f t="shared" si="3"/>
        <v>450866252.16749924</v>
      </c>
      <c r="K10" s="11">
        <f t="shared" si="4"/>
        <v>2.8599999999999737E-2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38893.523848586963</v>
      </c>
      <c r="D11" s="11">
        <v>2.9399999999999999E-2</v>
      </c>
      <c r="E11" s="10">
        <f t="shared" si="2"/>
        <v>1110.8117361069162</v>
      </c>
      <c r="F11" s="3"/>
      <c r="G11" s="28"/>
      <c r="H11" s="10"/>
      <c r="I11" s="10">
        <f t="shared" si="5"/>
        <v>11270</v>
      </c>
      <c r="J11" s="10">
        <f t="shared" si="3"/>
        <v>438330013.77357507</v>
      </c>
      <c r="K11" s="11">
        <f t="shared" si="4"/>
        <v>2.9400000000000093E-2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37782.712112480047</v>
      </c>
      <c r="D12" s="11">
        <v>2.7300000000000001E-2</v>
      </c>
      <c r="E12" s="10">
        <f t="shared" si="2"/>
        <v>1004.0572770083818</v>
      </c>
      <c r="F12" s="3"/>
      <c r="G12" s="28"/>
      <c r="H12" s="10"/>
      <c r="I12" s="10">
        <f t="shared" si="5"/>
        <v>11270</v>
      </c>
      <c r="J12" s="10">
        <f t="shared" si="3"/>
        <v>425811165.50765014</v>
      </c>
      <c r="K12" s="11">
        <f t="shared" si="4"/>
        <v>2.7300000000000102E-2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36778.654835471665</v>
      </c>
      <c r="D13" s="11">
        <v>2.7300000000000001E-2</v>
      </c>
      <c r="E13" s="10">
        <f t="shared" si="2"/>
        <v>977.37494111591514</v>
      </c>
      <c r="F13" s="3"/>
      <c r="G13" s="28"/>
      <c r="H13" s="10"/>
      <c r="I13" s="10">
        <f t="shared" si="5"/>
        <v>11270</v>
      </c>
      <c r="J13" s="10">
        <f t="shared" si="3"/>
        <v>414495439.99576569</v>
      </c>
      <c r="K13" s="11">
        <f t="shared" si="4"/>
        <v>2.7300000000000102E-2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35801.27989435575</v>
      </c>
      <c r="D14" s="11">
        <v>2.7300000000000001E-2</v>
      </c>
      <c r="E14" s="10">
        <f t="shared" si="2"/>
        <v>951.40167537809612</v>
      </c>
      <c r="F14" s="3"/>
      <c r="G14" s="28"/>
      <c r="H14" s="10"/>
      <c r="I14" s="10">
        <f t="shared" si="5"/>
        <v>11270</v>
      </c>
      <c r="J14" s="10">
        <f t="shared" si="3"/>
        <v>403480424.40938932</v>
      </c>
      <c r="K14" s="11">
        <f t="shared" si="4"/>
        <v>2.7300000000000102E-2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34849.878218977654</v>
      </c>
      <c r="D15" s="11">
        <v>2.7300000000000001E-2</v>
      </c>
      <c r="E15" s="10">
        <f t="shared" si="2"/>
        <v>926.11863659894152</v>
      </c>
      <c r="F15" s="3"/>
      <c r="G15" s="28"/>
      <c r="H15" s="10"/>
      <c r="I15" s="10">
        <f t="shared" si="5"/>
        <v>11270</v>
      </c>
      <c r="J15" s="10">
        <f t="shared" si="3"/>
        <v>392758127.52787817</v>
      </c>
      <c r="K15" s="11">
        <f t="shared" si="4"/>
        <v>2.7300000000000102E-2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33923.759582378712</v>
      </c>
      <c r="D16" s="11">
        <v>2.7300000000000001E-2</v>
      </c>
      <c r="E16" s="10">
        <f t="shared" si="2"/>
        <v>901.50748233129707</v>
      </c>
      <c r="F16" s="3"/>
      <c r="G16" s="28"/>
      <c r="H16" s="10"/>
      <c r="I16" s="10">
        <f t="shared" si="5"/>
        <v>11270</v>
      </c>
      <c r="J16" s="10">
        <f t="shared" si="3"/>
        <v>382320770.49340808</v>
      </c>
      <c r="K16" s="11">
        <f t="shared" si="4"/>
        <v>2.7300000000000102E-2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33022.252100047415</v>
      </c>
      <c r="D17" s="11">
        <v>2.7300000000000001E-2</v>
      </c>
      <c r="E17" s="10">
        <f t="shared" si="2"/>
        <v>877.55035756964571</v>
      </c>
      <c r="F17" s="3"/>
      <c r="G17" s="28"/>
      <c r="H17" s="10"/>
      <c r="I17" s="10">
        <f t="shared" si="5"/>
        <v>11270</v>
      </c>
      <c r="J17" s="10">
        <f t="shared" si="3"/>
        <v>372160781.16753435</v>
      </c>
      <c r="K17" s="11">
        <f t="shared" si="4"/>
        <v>2.7300000000000102E-2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32144.70174247777</v>
      </c>
      <c r="D18" s="11">
        <v>2.7300000000000001E-2</v>
      </c>
      <c r="E18" s="10">
        <f t="shared" si="2"/>
        <v>854.22988179660024</v>
      </c>
      <c r="F18" s="3"/>
      <c r="G18" s="28"/>
      <c r="H18" s="10"/>
      <c r="I18" s="10">
        <f t="shared" si="5"/>
        <v>11270</v>
      </c>
      <c r="J18" s="10">
        <f t="shared" si="3"/>
        <v>362270788.63772446</v>
      </c>
      <c r="K18" s="11">
        <f t="shared" si="4"/>
        <v>2.7300000000000102E-2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31290.471860681169</v>
      </c>
      <c r="D19" s="11">
        <v>2.8299999999999999E-2</v>
      </c>
      <c r="E19" s="10">
        <f t="shared" si="2"/>
        <v>861.14981392324989</v>
      </c>
      <c r="F19" s="3"/>
      <c r="G19" s="28"/>
      <c r="H19" s="10"/>
      <c r="I19" s="10">
        <f t="shared" si="5"/>
        <v>11270</v>
      </c>
      <c r="J19" s="10">
        <f t="shared" si="3"/>
        <v>352643617.8698768</v>
      </c>
      <c r="K19" s="11">
        <f t="shared" si="4"/>
        <v>2.8300000000000214E-2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30429.322046757919</v>
      </c>
      <c r="D20" s="11">
        <v>2.9499999999999998E-2</v>
      </c>
      <c r="E20" s="10">
        <f t="shared" si="2"/>
        <v>871.94269099500889</v>
      </c>
      <c r="F20" s="3"/>
      <c r="G20" s="28"/>
      <c r="H20" s="10"/>
      <c r="I20" s="10">
        <f t="shared" si="5"/>
        <v>11270</v>
      </c>
      <c r="J20" s="10">
        <f t="shared" si="3"/>
        <v>342938459.46696174</v>
      </c>
      <c r="K20" s="11">
        <f t="shared" si="4"/>
        <v>2.9500000000000082E-2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29557.379355762911</v>
      </c>
      <c r="D21" s="11">
        <v>3.2399999999999998E-2</v>
      </c>
      <c r="E21" s="10">
        <f t="shared" si="2"/>
        <v>927.60469888291118</v>
      </c>
      <c r="F21" s="3"/>
      <c r="G21" s="28"/>
      <c r="H21" s="10"/>
      <c r="I21" s="10">
        <f t="shared" si="5"/>
        <v>11270</v>
      </c>
      <c r="J21" s="10">
        <f t="shared" si="3"/>
        <v>333111665.33944798</v>
      </c>
      <c r="K21" s="11">
        <f t="shared" si="4"/>
        <v>3.2399999999999984E-2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28629.774656879999</v>
      </c>
      <c r="D22" s="11">
        <v>3.9600000000000003E-2</v>
      </c>
      <c r="E22" s="10">
        <f t="shared" si="2"/>
        <v>1090.5531708469134</v>
      </c>
      <c r="F22" s="3"/>
      <c r="G22" s="28"/>
      <c r="H22" s="10"/>
      <c r="I22" s="10">
        <f t="shared" si="5"/>
        <v>11270</v>
      </c>
      <c r="J22" s="10">
        <f t="shared" si="3"/>
        <v>322657560.38303757</v>
      </c>
      <c r="K22" s="11">
        <f t="shared" si="4"/>
        <v>3.9599999999999858E-2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27539.221486033086</v>
      </c>
      <c r="D23" s="11">
        <v>7.7700000000000005E-2</v>
      </c>
      <c r="E23" s="10">
        <f t="shared" si="2"/>
        <v>1985.5224176160082</v>
      </c>
      <c r="F23" s="3"/>
      <c r="G23" s="28"/>
      <c r="H23" s="10"/>
      <c r="I23" s="10">
        <f t="shared" si="5"/>
        <v>11270</v>
      </c>
      <c r="J23" s="10">
        <f t="shared" si="3"/>
        <v>310367026.1475929</v>
      </c>
      <c r="K23" s="11">
        <f t="shared" si="4"/>
        <v>7.7700000000000102E-2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25553.699068417078</v>
      </c>
      <c r="D24" s="11">
        <v>3.73E-2</v>
      </c>
      <c r="E24" s="10">
        <f t="shared" si="2"/>
        <v>918.8787961553644</v>
      </c>
      <c r="F24" s="3"/>
      <c r="G24" s="28"/>
      <c r="H24" s="10"/>
      <c r="I24" s="10">
        <f t="shared" si="5"/>
        <v>11270</v>
      </c>
      <c r="J24" s="10">
        <f t="shared" si="3"/>
        <v>287990188.50106049</v>
      </c>
      <c r="K24" s="11">
        <f t="shared" si="4"/>
        <v>3.7300000000000111E-2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24634.820272261713</v>
      </c>
      <c r="D25" s="11">
        <v>2.6700000000000002E-2</v>
      </c>
      <c r="E25" s="10">
        <f t="shared" si="2"/>
        <v>640.64449329832132</v>
      </c>
      <c r="F25" s="3"/>
      <c r="G25" s="28"/>
      <c r="H25" s="10"/>
      <c r="I25" s="10">
        <f t="shared" si="5"/>
        <v>11270</v>
      </c>
      <c r="J25" s="10">
        <f t="shared" si="3"/>
        <v>277634424.46838951</v>
      </c>
      <c r="K25" s="11">
        <f t="shared" si="4"/>
        <v>2.6699999999999946E-2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23994.175778963392</v>
      </c>
      <c r="D26" s="11">
        <v>2.3300000000000001E-2</v>
      </c>
      <c r="E26" s="10">
        <f t="shared" si="2"/>
        <v>546.33469720497305</v>
      </c>
      <c r="F26" s="3"/>
      <c r="G26" s="28"/>
      <c r="H26" s="10"/>
      <c r="I26" s="10">
        <f t="shared" si="5"/>
        <v>11270</v>
      </c>
      <c r="J26" s="10">
        <f t="shared" si="3"/>
        <v>270414361.02891743</v>
      </c>
      <c r="K26" s="11">
        <f t="shared" si="4"/>
        <v>2.3300000000000098E-2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23447.841081758419</v>
      </c>
      <c r="D27" s="11">
        <v>2.06E-2</v>
      </c>
      <c r="E27" s="10">
        <f t="shared" si="2"/>
        <v>473.2760398630453</v>
      </c>
      <c r="F27" s="3"/>
      <c r="G27" s="28"/>
      <c r="H27" s="10"/>
      <c r="I27" s="10">
        <f t="shared" si="5"/>
        <v>11270</v>
      </c>
      <c r="J27" s="10">
        <f t="shared" si="3"/>
        <v>264257168.99141738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22974.565041895374</v>
      </c>
      <c r="D28" s="11">
        <v>1.9099999999999999E-2</v>
      </c>
      <c r="E28" s="10">
        <f t="shared" si="2"/>
        <v>430.58992473770923</v>
      </c>
      <c r="F28" s="3"/>
      <c r="G28" s="28"/>
      <c r="H28" s="10"/>
      <c r="I28" s="10">
        <f t="shared" si="5"/>
        <v>11270</v>
      </c>
      <c r="J28" s="10">
        <f t="shared" si="3"/>
        <v>258923348.02216086</v>
      </c>
      <c r="K28" s="11">
        <f t="shared" si="4"/>
        <v>1.9099999999999895E-2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22543.975117157664</v>
      </c>
      <c r="D29" s="11">
        <v>1.6899999999999998E-2</v>
      </c>
      <c r="E29" s="10">
        <f t="shared" si="2"/>
        <v>374.66140178971546</v>
      </c>
      <c r="F29" s="3"/>
      <c r="G29" s="28"/>
      <c r="H29" s="10"/>
      <c r="I29" s="10">
        <f t="shared" si="5"/>
        <v>11270</v>
      </c>
      <c r="J29" s="10">
        <f t="shared" si="3"/>
        <v>254070599.57036689</v>
      </c>
      <c r="K29" s="11">
        <f t="shared" si="4"/>
        <v>1.6899999999999915E-2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22169.313715367949</v>
      </c>
      <c r="D30" s="12">
        <v>1.5800000000000002E-2</v>
      </c>
      <c r="E30" s="10">
        <f t="shared" si="2"/>
        <v>344.82689181218302</v>
      </c>
      <c r="F30" s="3"/>
      <c r="G30" s="28"/>
      <c r="H30" s="10"/>
      <c r="I30" s="10">
        <f t="shared" si="5"/>
        <v>11270</v>
      </c>
      <c r="J30" s="10">
        <f t="shared" si="3"/>
        <v>249848165.57219678</v>
      </c>
      <c r="K30" s="11">
        <f t="shared" si="4"/>
        <v>1.5800000000000036E-2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21824.486823555766</v>
      </c>
      <c r="D31" s="13">
        <v>1.4999999999999999E-2</v>
      </c>
      <c r="E31" s="10">
        <f t="shared" si="2"/>
        <v>322.52936192446577</v>
      </c>
      <c r="F31" s="3"/>
      <c r="G31" s="28"/>
      <c r="H31" s="10"/>
      <c r="I31" s="10">
        <f t="shared" si="5"/>
        <v>11270</v>
      </c>
      <c r="J31" s="10">
        <f t="shared" si="3"/>
        <v>245961966.50147349</v>
      </c>
      <c r="K31" s="11">
        <f t="shared" si="4"/>
        <v>1.4999999999999902E-2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21501.9574616313</v>
      </c>
      <c r="D32" s="12">
        <v>1.43E-2</v>
      </c>
      <c r="E32" s="10">
        <f t="shared" si="2"/>
        <v>303.14304614150387</v>
      </c>
      <c r="F32" s="3"/>
      <c r="G32" s="28"/>
      <c r="H32" s="10"/>
      <c r="I32" s="10">
        <f t="shared" si="5"/>
        <v>11270</v>
      </c>
      <c r="J32" s="10">
        <f t="shared" si="3"/>
        <v>242327060.59258476</v>
      </c>
      <c r="K32" s="11">
        <f t="shared" si="4"/>
        <v>1.4299999999999979E-2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21198.814415489796</v>
      </c>
      <c r="D33" s="13">
        <v>1.3299999999999999E-2</v>
      </c>
      <c r="E33" s="10">
        <f t="shared" si="2"/>
        <v>278.24359195303987</v>
      </c>
      <c r="F33" s="3"/>
      <c r="G33" s="28"/>
      <c r="H33" s="10"/>
      <c r="I33" s="10">
        <f t="shared" si="5"/>
        <v>11270</v>
      </c>
      <c r="J33" s="10">
        <f t="shared" si="3"/>
        <v>238910638.46257001</v>
      </c>
      <c r="K33" s="11">
        <f t="shared" si="4"/>
        <v>1.330000000000009E-2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20920.570823536757</v>
      </c>
      <c r="D34" s="12">
        <v>1.2699999999999999E-2</v>
      </c>
      <c r="E34" s="10">
        <f t="shared" si="2"/>
        <v>262.35928652010989</v>
      </c>
      <c r="F34" s="3"/>
      <c r="G34" s="28"/>
      <c r="H34" s="10"/>
      <c r="I34" s="10">
        <f t="shared" si="5"/>
        <v>11270</v>
      </c>
      <c r="J34" s="10">
        <f t="shared" ref="J34:J65" si="6">IF(I34="","",I34*C34)</f>
        <v>235774833.18125924</v>
      </c>
      <c r="K34" s="11">
        <f t="shared" ref="K34:K65" si="7">IFERROR(J34/J35-1,"")</f>
        <v>1.2699999999999934E-2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20658.211537016647</v>
      </c>
      <c r="D35" s="11">
        <v>1.2999999999999999E-2</v>
      </c>
      <c r="E35" s="10">
        <f t="shared" si="2"/>
        <v>265.11031587484104</v>
      </c>
      <c r="F35" s="3"/>
      <c r="G35" s="28"/>
      <c r="H35" s="10"/>
      <c r="I35" s="10">
        <f t="shared" ref="I35:I66" si="8">IF(H35&lt;&gt;"",H35,I34/(1+IF(G34="",0,G34)/100))</f>
        <v>11270</v>
      </c>
      <c r="J35" s="10">
        <f t="shared" si="6"/>
        <v>232818044.02217761</v>
      </c>
      <c r="K35" s="11">
        <f t="shared" si="7"/>
        <v>1.2999999999999901E-2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20393.101221141806</v>
      </c>
      <c r="D36" s="11">
        <v>1.6199999999999999E-2</v>
      </c>
      <c r="E36" s="10">
        <f t="shared" si="2"/>
        <v>325.1015939603385</v>
      </c>
      <c r="F36" s="3"/>
      <c r="G36" s="28"/>
      <c r="H36" s="10"/>
      <c r="I36" s="10">
        <f t="shared" si="8"/>
        <v>11270</v>
      </c>
      <c r="J36" s="10">
        <f t="shared" si="6"/>
        <v>229830250.76226816</v>
      </c>
      <c r="K36" s="11">
        <f t="shared" si="7"/>
        <v>1.6199999999999992E-2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20067.999627181467</v>
      </c>
      <c r="D37" s="11">
        <v>1.7299999999999999E-2</v>
      </c>
      <c r="E37" s="10">
        <f t="shared" si="2"/>
        <v>341.27238135283551</v>
      </c>
      <c r="F37" s="3"/>
      <c r="G37" s="28"/>
      <c r="H37" s="10"/>
      <c r="I37" s="10">
        <f t="shared" si="8"/>
        <v>11270</v>
      </c>
      <c r="J37" s="10">
        <f t="shared" si="6"/>
        <v>226166355.79833513</v>
      </c>
      <c r="K37" s="11">
        <f t="shared" si="7"/>
        <v>1.7300000000000093E-2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19726.727245828632</v>
      </c>
      <c r="D38" s="11">
        <v>1.5699999999999999E-2</v>
      </c>
      <c r="E38" s="10">
        <f t="shared" si="2"/>
        <v>304.92233706754996</v>
      </c>
      <c r="F38" s="3"/>
      <c r="G38" s="28"/>
      <c r="H38" s="10"/>
      <c r="I38" s="10">
        <f t="shared" si="8"/>
        <v>11270</v>
      </c>
      <c r="J38" s="10">
        <f t="shared" si="6"/>
        <v>222320216.06048867</v>
      </c>
      <c r="K38" s="11">
        <f t="shared" si="7"/>
        <v>1.5700000000000047E-2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19421.804908761082</v>
      </c>
      <c r="D39" s="11">
        <v>1.6799999999999999E-2</v>
      </c>
      <c r="E39" s="10">
        <f t="shared" si="2"/>
        <v>320.89528173405415</v>
      </c>
      <c r="F39" s="3"/>
      <c r="G39" s="28"/>
      <c r="H39" s="10"/>
      <c r="I39" s="10">
        <f t="shared" si="8"/>
        <v>11270</v>
      </c>
      <c r="J39" s="10">
        <f t="shared" si="6"/>
        <v>218883741.32173738</v>
      </c>
      <c r="K39" s="11">
        <f t="shared" si="7"/>
        <v>1.6799999999999926E-2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19100.909627027027</v>
      </c>
      <c r="D40" s="11">
        <v>1.7399999999999999E-2</v>
      </c>
      <c r="E40" s="10">
        <f t="shared" si="2"/>
        <v>326.67173924736926</v>
      </c>
      <c r="F40" s="3"/>
      <c r="G40" s="28"/>
      <c r="H40" s="10"/>
      <c r="I40" s="10">
        <f t="shared" si="8"/>
        <v>11270</v>
      </c>
      <c r="J40" s="10">
        <f t="shared" si="6"/>
        <v>215267251.49659461</v>
      </c>
      <c r="K40" s="11">
        <f t="shared" si="7"/>
        <v>1.7400000000000304E-2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18774.237887779658</v>
      </c>
      <c r="D41" s="11">
        <v>1.5699999999999999E-2</v>
      </c>
      <c r="E41" s="10">
        <f t="shared" si="2"/>
        <v>290.1994041923208</v>
      </c>
      <c r="F41" s="3"/>
      <c r="G41" s="28"/>
      <c r="H41" s="10"/>
      <c r="I41" s="10">
        <f t="shared" si="8"/>
        <v>11270</v>
      </c>
      <c r="J41" s="10">
        <f t="shared" si="6"/>
        <v>211585660.99527675</v>
      </c>
      <c r="K41" s="11">
        <f t="shared" si="7"/>
        <v>1.5699999999999825E-2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18484.038483587337</v>
      </c>
      <c r="D42" s="11">
        <v>1.23E-2</v>
      </c>
      <c r="E42" s="10">
        <f t="shared" si="2"/>
        <v>224.59120156882636</v>
      </c>
      <c r="F42" s="3"/>
      <c r="G42" s="28"/>
      <c r="H42" s="10"/>
      <c r="I42" s="10">
        <f t="shared" si="8"/>
        <v>11270</v>
      </c>
      <c r="J42" s="10">
        <f t="shared" si="6"/>
        <v>208315113.7100293</v>
      </c>
      <c r="K42" s="11">
        <f t="shared" si="7"/>
        <v>1.2299999999999978E-2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18259.447282018511</v>
      </c>
      <c r="D43" s="11">
        <v>1.3599999999999999E-2</v>
      </c>
      <c r="E43" s="10">
        <f t="shared" si="2"/>
        <v>244.99653022440179</v>
      </c>
      <c r="F43" s="3"/>
      <c r="G43" s="28"/>
      <c r="H43" s="10"/>
      <c r="I43" s="10">
        <f t="shared" si="8"/>
        <v>11270</v>
      </c>
      <c r="J43" s="10">
        <f t="shared" si="6"/>
        <v>205783970.86834863</v>
      </c>
      <c r="K43" s="11">
        <f t="shared" si="7"/>
        <v>1.3600000000000056E-2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18014.450751794109</v>
      </c>
      <c r="D44" s="11">
        <v>1.7100000000000001E-2</v>
      </c>
      <c r="E44" s="10">
        <f t="shared" si="2"/>
        <v>302.86806396192696</v>
      </c>
      <c r="F44" s="3"/>
      <c r="G44" s="28"/>
      <c r="H44" s="10"/>
      <c r="I44" s="10">
        <f t="shared" si="8"/>
        <v>11270</v>
      </c>
      <c r="J44" s="10">
        <f t="shared" si="6"/>
        <v>203022859.97271961</v>
      </c>
      <c r="K44" s="11">
        <f t="shared" si="7"/>
        <v>1.7099999999999893E-2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17711.582687832182</v>
      </c>
      <c r="D45" s="11">
        <v>1.7600000000000001E-2</v>
      </c>
      <c r="E45" s="10">
        <f t="shared" si="2"/>
        <v>306.33240497823135</v>
      </c>
      <c r="F45" s="3"/>
      <c r="G45" s="28"/>
      <c r="H45" s="10"/>
      <c r="I45" s="10">
        <f t="shared" si="8"/>
        <v>11270</v>
      </c>
      <c r="J45" s="10">
        <f t="shared" si="6"/>
        <v>199609536.89186868</v>
      </c>
      <c r="K45" s="11">
        <f t="shared" si="7"/>
        <v>1.760000000000006E-2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17405.250282853951</v>
      </c>
      <c r="D46" s="11">
        <v>1.77E-2</v>
      </c>
      <c r="E46" s="10">
        <f t="shared" si="2"/>
        <v>302.71487668911868</v>
      </c>
      <c r="F46" s="3"/>
      <c r="G46" s="28"/>
      <c r="H46" s="10"/>
      <c r="I46" s="10">
        <f t="shared" si="8"/>
        <v>11270</v>
      </c>
      <c r="J46" s="10">
        <f t="shared" si="6"/>
        <v>196157170.68776402</v>
      </c>
      <c r="K46" s="11">
        <f t="shared" si="7"/>
        <v>1.7700000000000049E-2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17102.535406164832</v>
      </c>
      <c r="D47" s="13">
        <v>2.0500000000000001E-2</v>
      </c>
      <c r="E47" s="10">
        <f t="shared" si="2"/>
        <v>343.55901599840945</v>
      </c>
      <c r="F47" s="3"/>
      <c r="G47" s="28"/>
      <c r="H47" s="10"/>
      <c r="I47" s="10">
        <f t="shared" si="8"/>
        <v>11270</v>
      </c>
      <c r="J47" s="10">
        <f t="shared" si="6"/>
        <v>192745574.02747765</v>
      </c>
      <c r="K47" s="11">
        <f t="shared" si="7"/>
        <v>2.0499999999999741E-2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16758.976390166423</v>
      </c>
      <c r="D48" s="12">
        <v>3.32E-2</v>
      </c>
      <c r="E48" s="10">
        <f t="shared" si="2"/>
        <v>538.51917939752457</v>
      </c>
      <c r="F48" s="3"/>
      <c r="G48" s="28"/>
      <c r="H48" s="10"/>
      <c r="I48" s="10">
        <f t="shared" si="8"/>
        <v>11270</v>
      </c>
      <c r="J48" s="10">
        <f t="shared" si="6"/>
        <v>188873663.91717559</v>
      </c>
      <c r="K48" s="11">
        <f t="shared" si="7"/>
        <v>3.3199999999999896E-2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16220.457210768898</v>
      </c>
      <c r="D49" s="13">
        <v>4.2000000000000003E-2</v>
      </c>
      <c r="E49" s="10">
        <f t="shared" si="2"/>
        <v>653.79961886016645</v>
      </c>
      <c r="F49" s="3"/>
      <c r="G49" s="28"/>
      <c r="H49" s="10"/>
      <c r="I49" s="10">
        <f t="shared" si="8"/>
        <v>11270</v>
      </c>
      <c r="J49" s="10">
        <f t="shared" si="6"/>
        <v>182804552.76536548</v>
      </c>
      <c r="K49" s="11">
        <f t="shared" si="7"/>
        <v>4.2000000000000037E-2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15566.657591908732</v>
      </c>
      <c r="D50" s="12">
        <v>4.9200000000000001E-2</v>
      </c>
      <c r="E50" s="10">
        <f t="shared" si="2"/>
        <v>729.96526260189421</v>
      </c>
      <c r="F50" s="3"/>
      <c r="G50" s="28"/>
      <c r="H50" s="10"/>
      <c r="I50" s="10">
        <f t="shared" si="8"/>
        <v>11270</v>
      </c>
      <c r="J50" s="10">
        <f t="shared" si="6"/>
        <v>175436231.0608114</v>
      </c>
      <c r="K50" s="11">
        <f t="shared" si="7"/>
        <v>4.9199999999999688E-2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14836.692329306838</v>
      </c>
      <c r="D51" s="13">
        <v>-5.6300000000000003E-2</v>
      </c>
      <c r="E51" s="10">
        <f t="shared" si="2"/>
        <v>-885.13911003494286</v>
      </c>
      <c r="F51" s="3"/>
      <c r="G51" s="28"/>
      <c r="H51" s="10"/>
      <c r="I51" s="10">
        <f t="shared" si="8"/>
        <v>11270</v>
      </c>
      <c r="J51" s="10">
        <f t="shared" si="6"/>
        <v>167209522.55128807</v>
      </c>
      <c r="K51" s="11">
        <f t="shared" si="7"/>
        <v>-5.6300000000000017E-2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15721.83143934178</v>
      </c>
      <c r="D52" s="12">
        <v>-0.1736</v>
      </c>
      <c r="E52" s="10">
        <f t="shared" si="2"/>
        <v>-3302.6499732208777</v>
      </c>
      <c r="F52" s="3"/>
      <c r="G52" s="28"/>
      <c r="H52" s="10"/>
      <c r="I52" s="10">
        <f t="shared" si="8"/>
        <v>11270</v>
      </c>
      <c r="J52" s="10">
        <f t="shared" si="6"/>
        <v>177185040.32138187</v>
      </c>
      <c r="K52" s="11">
        <f t="shared" si="7"/>
        <v>-0.17360000000000009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19024.481412562658</v>
      </c>
      <c r="D53" s="13">
        <v>-0.1215</v>
      </c>
      <c r="E53" s="10">
        <f t="shared" si="2"/>
        <v>-2631.1604913219817</v>
      </c>
      <c r="F53" s="3"/>
      <c r="G53" s="28"/>
      <c r="H53" s="10"/>
      <c r="I53" s="10">
        <f t="shared" si="8"/>
        <v>11270</v>
      </c>
      <c r="J53" s="10">
        <f t="shared" si="6"/>
        <v>214405905.51958117</v>
      </c>
      <c r="K53" s="11">
        <f t="shared" si="7"/>
        <v>-0.12149999999999983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21655.64190388464</v>
      </c>
      <c r="D54" s="11">
        <v>1.4999999999999999E-2</v>
      </c>
      <c r="E54" s="10">
        <f t="shared" si="2"/>
        <v>320.03411680617501</v>
      </c>
      <c r="F54" s="3"/>
      <c r="G54" s="28"/>
      <c r="H54" s="10"/>
      <c r="I54" s="10">
        <f t="shared" si="8"/>
        <v>11270</v>
      </c>
      <c r="J54" s="10">
        <f t="shared" si="6"/>
        <v>244059084.25677988</v>
      </c>
      <c r="K54" s="11">
        <f t="shared" si="7"/>
        <v>1.4999999999999902E-2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21335.607787078465</v>
      </c>
      <c r="D55" s="11">
        <v>1.4999999999999999E-2</v>
      </c>
      <c r="E55" s="10">
        <f t="shared" si="2"/>
        <v>315.30454857751101</v>
      </c>
      <c r="F55" s="3"/>
      <c r="G55" s="28"/>
      <c r="H55" s="10"/>
      <c r="I55" s="10">
        <f t="shared" si="8"/>
        <v>11270</v>
      </c>
      <c r="J55" s="10">
        <f t="shared" si="6"/>
        <v>240452299.76037431</v>
      </c>
      <c r="K55" s="11">
        <f t="shared" si="7"/>
        <v>1.4999999999999902E-2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21020.303238500954</v>
      </c>
      <c r="D56" s="11">
        <v>1.4999999999999999E-2</v>
      </c>
      <c r="E56" s="10">
        <f t="shared" si="2"/>
        <v>310.64487544582516</v>
      </c>
      <c r="F56" s="3"/>
      <c r="G56" s="28"/>
      <c r="H56" s="10"/>
      <c r="I56" s="10">
        <f t="shared" si="8"/>
        <v>11270</v>
      </c>
      <c r="J56" s="10">
        <f t="shared" si="6"/>
        <v>236898817.49790576</v>
      </c>
      <c r="K56" s="11">
        <f t="shared" si="7"/>
        <v>1.4999999999999902E-2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20709.658363055129</v>
      </c>
      <c r="D57" s="11">
        <v>1.4999999999999999E-2</v>
      </c>
      <c r="E57" s="10">
        <f t="shared" si="2"/>
        <v>306.05406447864516</v>
      </c>
      <c r="F57" s="3"/>
      <c r="G57" s="28"/>
      <c r="H57" s="10"/>
      <c r="I57" s="10">
        <f t="shared" si="8"/>
        <v>11270</v>
      </c>
      <c r="J57" s="10">
        <f t="shared" si="6"/>
        <v>233397849.75163129</v>
      </c>
      <c r="K57" s="11">
        <f t="shared" si="7"/>
        <v>1.4999999999999902E-2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20403.604298576483</v>
      </c>
      <c r="D58" s="11">
        <v>1.4999999999999999E-2</v>
      </c>
      <c r="E58" s="10">
        <f t="shared" si="2"/>
        <v>301.53109800851598</v>
      </c>
      <c r="F58" s="3"/>
      <c r="G58" s="28"/>
      <c r="H58" s="10"/>
      <c r="I58" s="10">
        <f t="shared" si="8"/>
        <v>11270</v>
      </c>
      <c r="J58" s="10">
        <f t="shared" si="6"/>
        <v>229948620.44495696</v>
      </c>
      <c r="K58" s="11">
        <f t="shared" si="7"/>
        <v>1.4999999999999902E-2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20102.073200567967</v>
      </c>
      <c r="D59" s="11">
        <v>1.4999999999999999E-2</v>
      </c>
      <c r="E59" s="10">
        <f t="shared" si="2"/>
        <v>297.0749734074052</v>
      </c>
      <c r="F59" s="3"/>
      <c r="G59" s="28"/>
      <c r="H59" s="10"/>
      <c r="I59" s="10">
        <f t="shared" si="8"/>
        <v>11270</v>
      </c>
      <c r="J59" s="10">
        <f t="shared" si="6"/>
        <v>226550364.97040099</v>
      </c>
      <c r="K59" s="11">
        <f t="shared" si="7"/>
        <v>1.499999999999968E-2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19804.998227160562</v>
      </c>
      <c r="D60" s="11">
        <v>1.4999999999999999E-2</v>
      </c>
      <c r="E60" s="10">
        <f t="shared" si="2"/>
        <v>292.68470286444062</v>
      </c>
      <c r="F60" s="3"/>
      <c r="G60" s="28"/>
      <c r="H60" s="10"/>
      <c r="I60" s="10">
        <f t="shared" si="8"/>
        <v>11270</v>
      </c>
      <c r="J60" s="10">
        <f t="shared" si="6"/>
        <v>223202330.02009955</v>
      </c>
      <c r="K60" s="11">
        <f t="shared" si="7"/>
        <v>1.5000000000000124E-2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19512.313524296122</v>
      </c>
      <c r="D61" s="11">
        <v>1.4500000000000001E-2</v>
      </c>
      <c r="E61" s="10">
        <f t="shared" si="2"/>
        <v>278.88471769570606</v>
      </c>
      <c r="F61" s="3"/>
      <c r="G61" s="28"/>
      <c r="H61" s="10"/>
      <c r="I61" s="10">
        <f t="shared" si="8"/>
        <v>11270</v>
      </c>
      <c r="J61" s="10">
        <f t="shared" si="6"/>
        <v>219903773.41881728</v>
      </c>
      <c r="K61" s="11">
        <f t="shared" si="7"/>
        <v>1.4499999999999957E-2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19233.428806600416</v>
      </c>
      <c r="D62" s="11">
        <v>1.4500000000000001E-2</v>
      </c>
      <c r="E62" s="10">
        <f t="shared" si="2"/>
        <v>274.89868673800447</v>
      </c>
      <c r="F62" s="3"/>
      <c r="G62" s="28"/>
      <c r="H62" s="10"/>
      <c r="I62" s="10">
        <f t="shared" si="8"/>
        <v>11270</v>
      </c>
      <c r="J62" s="10">
        <f t="shared" si="6"/>
        <v>216760742.65038669</v>
      </c>
      <c r="K62" s="11">
        <f t="shared" si="7"/>
        <v>1.4499999999999957E-2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18958.530119862411</v>
      </c>
      <c r="D63" s="11">
        <v>1.4500000000000001E-2</v>
      </c>
      <c r="E63" s="10">
        <f t="shared" si="2"/>
        <v>270.96962714441179</v>
      </c>
      <c r="F63" s="3"/>
      <c r="G63" s="28"/>
      <c r="H63" s="10"/>
      <c r="I63" s="10">
        <f t="shared" si="8"/>
        <v>11270</v>
      </c>
      <c r="J63" s="10">
        <f t="shared" si="6"/>
        <v>213662634.45084938</v>
      </c>
      <c r="K63" s="11">
        <f t="shared" si="7"/>
        <v>1.4499999999999957E-2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18687.560492717999</v>
      </c>
      <c r="D64" s="11">
        <v>1.4E-2</v>
      </c>
      <c r="E64" s="10">
        <f t="shared" si="2"/>
        <v>258.01365571800125</v>
      </c>
      <c r="F64" s="3"/>
      <c r="G64" s="28"/>
      <c r="H64" s="10"/>
      <c r="I64" s="10">
        <f t="shared" si="8"/>
        <v>11270</v>
      </c>
      <c r="J64" s="10">
        <f t="shared" si="6"/>
        <v>210608806.75293186</v>
      </c>
      <c r="K64" s="11">
        <f t="shared" si="7"/>
        <v>1.4000000000000234E-2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18429.546836999998</v>
      </c>
      <c r="D65" s="11">
        <v>1.4E-2</v>
      </c>
      <c r="E65" s="10">
        <f t="shared" si="2"/>
        <v>254.4513369999986</v>
      </c>
      <c r="F65" s="3"/>
      <c r="G65" s="28"/>
      <c r="H65" s="10"/>
      <c r="I65" s="10">
        <f t="shared" si="8"/>
        <v>11270</v>
      </c>
      <c r="J65" s="10">
        <f t="shared" si="6"/>
        <v>207700992.85298997</v>
      </c>
      <c r="K65" s="11">
        <f t="shared" si="7"/>
        <v>1.399999999999979E-2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18175.095499999999</v>
      </c>
      <c r="D66" s="11">
        <v>1.35E-2</v>
      </c>
      <c r="E66" s="10">
        <f t="shared" si="2"/>
        <v>242.09549999999945</v>
      </c>
      <c r="F66" s="3"/>
      <c r="G66" s="28"/>
      <c r="H66" s="10"/>
      <c r="I66" s="10">
        <f t="shared" si="8"/>
        <v>11270</v>
      </c>
      <c r="J66" s="10">
        <f t="shared" ref="J66:J67" si="9">IF(I66="","",I66*C66)</f>
        <v>204833326.285</v>
      </c>
      <c r="K66" s="11">
        <f t="shared" ref="K66" si="10">IFERROR(J66/J67-1,"")</f>
        <v>1.3500000000000068E-2</v>
      </c>
    </row>
    <row r="67" spans="1:11" ht="22.5" customHeight="1">
      <c r="A67" s="3">
        <f t="shared" si="0"/>
        <v>1950</v>
      </c>
      <c r="B67" s="3">
        <v>1700</v>
      </c>
      <c r="C67" s="10">
        <v>17933</v>
      </c>
      <c r="D67" s="11">
        <v>1.2999999999999999E-2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11270</v>
      </c>
      <c r="J67" s="10">
        <f t="shared" si="9"/>
        <v>202104910</v>
      </c>
      <c r="K67" s="11"/>
    </row>
  </sheetData>
  <dataValidations count="1">
    <dataValidation type="custom" allowBlank="1" showDropDown="1" sqref="D2:D67" xr:uid="{00000000-0002-0000-1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945954.90446075809</v>
      </c>
      <c r="D2" s="11">
        <v>4.4600000000000001E-2</v>
      </c>
      <c r="E2" s="10">
        <f t="shared" ref="E2:E66" si="2">SUM(C2-C3)</f>
        <v>40388.271815958084</v>
      </c>
      <c r="F2" s="15">
        <v>945980</v>
      </c>
      <c r="G2" s="28"/>
      <c r="H2" s="10"/>
      <c r="I2" s="10">
        <f>IF(H2&lt;&gt;"",H2,11893)</f>
        <v>11893</v>
      </c>
      <c r="J2" s="10">
        <f t="shared" ref="J2:J33" si="3">IF(I2="","",I2*C2)</f>
        <v>11250241678.751797</v>
      </c>
      <c r="K2" s="11">
        <f t="shared" ref="K2:K33" si="4">IFERROR(J2/J3-1,"")</f>
        <v>4.4599999999999973E-2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905566.6326448</v>
      </c>
      <c r="D3" s="11">
        <v>4.2999999999999997E-2</v>
      </c>
      <c r="E3" s="10">
        <f t="shared" si="2"/>
        <v>37334.003071645624</v>
      </c>
      <c r="F3" s="3"/>
      <c r="G3" s="28"/>
      <c r="H3" s="10"/>
      <c r="I3" s="10">
        <f t="shared" ref="I3:I34" si="5">IF(H3&lt;&gt;"",H3,I2/(1+IF(G2="",0,G2)/100))</f>
        <v>11893</v>
      </c>
      <c r="J3" s="10">
        <f t="shared" si="3"/>
        <v>10769903962.044607</v>
      </c>
      <c r="K3" s="11">
        <f t="shared" si="4"/>
        <v>4.3000000000000149E-2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868232.62957315438</v>
      </c>
      <c r="D4" s="11">
        <v>7.7799999999999994E-2</v>
      </c>
      <c r="E4" s="10">
        <f t="shared" si="2"/>
        <v>62672.57244460145</v>
      </c>
      <c r="F4" s="3"/>
      <c r="G4" s="28"/>
      <c r="H4" s="10"/>
      <c r="I4" s="10">
        <f t="shared" si="5"/>
        <v>11893</v>
      </c>
      <c r="J4" s="10">
        <f t="shared" si="3"/>
        <v>10325890663.513525</v>
      </c>
      <c r="K4" s="11">
        <f t="shared" si="4"/>
        <v>7.7800000000000091E-2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805560.05712855293</v>
      </c>
      <c r="D5" s="11">
        <v>0.14230000000000001</v>
      </c>
      <c r="E5" s="10">
        <f t="shared" si="2"/>
        <v>100351.2178319121</v>
      </c>
      <c r="F5" s="3"/>
      <c r="G5" s="28"/>
      <c r="H5" s="10"/>
      <c r="I5" s="10">
        <f t="shared" si="5"/>
        <v>11893</v>
      </c>
      <c r="J5" s="10">
        <f t="shared" si="3"/>
        <v>9580525759.4298801</v>
      </c>
      <c r="K5" s="11">
        <f t="shared" si="4"/>
        <v>0.14230000000000009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705208.83929664083</v>
      </c>
      <c r="D6" s="11">
        <v>0.1096</v>
      </c>
      <c r="E6" s="10">
        <f t="shared" si="2"/>
        <v>69656.532792818849</v>
      </c>
      <c r="F6" s="3"/>
      <c r="G6" s="28"/>
      <c r="H6" s="10"/>
      <c r="I6" s="10">
        <f t="shared" si="5"/>
        <v>11893</v>
      </c>
      <c r="J6" s="10">
        <f t="shared" si="3"/>
        <v>8387048725.7549496</v>
      </c>
      <c r="K6" s="11">
        <f t="shared" si="4"/>
        <v>0.10959999999999992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635552.30650382198</v>
      </c>
      <c r="D7" s="11">
        <v>2.6800000000000001E-2</v>
      </c>
      <c r="E7" s="10">
        <f t="shared" si="2"/>
        <v>16588.237061065855</v>
      </c>
      <c r="F7" s="3"/>
      <c r="G7" s="28"/>
      <c r="H7" s="10"/>
      <c r="I7" s="10">
        <f t="shared" si="5"/>
        <v>11893</v>
      </c>
      <c r="J7" s="10">
        <f t="shared" si="3"/>
        <v>7558623581.2499552</v>
      </c>
      <c r="K7" s="11">
        <f t="shared" si="4"/>
        <v>2.6799999999999935E-2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618964.06944275612</v>
      </c>
      <c r="D8" s="11">
        <v>2.1899999999999999E-2</v>
      </c>
      <c r="E8" s="10">
        <f t="shared" si="2"/>
        <v>13264.813700750005</v>
      </c>
      <c r="F8" s="3"/>
      <c r="G8" s="28"/>
      <c r="H8" s="10"/>
      <c r="I8" s="10">
        <f t="shared" si="5"/>
        <v>11893</v>
      </c>
      <c r="J8" s="10">
        <f t="shared" si="3"/>
        <v>7361339677.882699</v>
      </c>
      <c r="K8" s="11">
        <f t="shared" si="4"/>
        <v>2.1900000000000253E-2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605699.25574200612</v>
      </c>
      <c r="D9" s="11">
        <v>2.1700000000000001E-2</v>
      </c>
      <c r="E9" s="10">
        <f t="shared" si="2"/>
        <v>12864.513898014673</v>
      </c>
      <c r="F9" s="3"/>
      <c r="G9" s="28"/>
      <c r="H9" s="10"/>
      <c r="I9" s="10">
        <f t="shared" si="5"/>
        <v>11893</v>
      </c>
      <c r="J9" s="10">
        <f t="shared" si="3"/>
        <v>7203581248.5396786</v>
      </c>
      <c r="K9" s="11">
        <f t="shared" si="4"/>
        <v>2.1700000000000053E-2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592834.74184399145</v>
      </c>
      <c r="D10" s="11">
        <v>2.18E-2</v>
      </c>
      <c r="E10" s="10">
        <f t="shared" si="2"/>
        <v>12648.069458014332</v>
      </c>
      <c r="F10" s="3"/>
      <c r="G10" s="28"/>
      <c r="H10" s="10"/>
      <c r="I10" s="10">
        <f t="shared" si="5"/>
        <v>11893</v>
      </c>
      <c r="J10" s="10">
        <f t="shared" si="3"/>
        <v>7050583584.7505903</v>
      </c>
      <c r="K10" s="11">
        <f t="shared" si="4"/>
        <v>2.1800000000000042E-2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580186.67238597712</v>
      </c>
      <c r="D11" s="11">
        <v>2.2100000000000002E-2</v>
      </c>
      <c r="E11" s="10">
        <f t="shared" si="2"/>
        <v>12544.88353363669</v>
      </c>
      <c r="F11" s="3"/>
      <c r="G11" s="28"/>
      <c r="H11" s="10"/>
      <c r="I11" s="10">
        <f t="shared" si="5"/>
        <v>11893</v>
      </c>
      <c r="J11" s="10">
        <f t="shared" si="3"/>
        <v>6900160094.6864262</v>
      </c>
      <c r="K11" s="11">
        <f t="shared" si="4"/>
        <v>2.2100000000000009E-2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567641.78885234043</v>
      </c>
      <c r="D12" s="11">
        <v>2.2599999999999999E-2</v>
      </c>
      <c r="E12" s="10">
        <f t="shared" si="2"/>
        <v>12545.183285803651</v>
      </c>
      <c r="F12" s="3"/>
      <c r="G12" s="28"/>
      <c r="H12" s="10"/>
      <c r="I12" s="10">
        <f t="shared" si="5"/>
        <v>11893</v>
      </c>
      <c r="J12" s="10">
        <f t="shared" si="3"/>
        <v>6750963794.8208847</v>
      </c>
      <c r="K12" s="11">
        <f t="shared" si="4"/>
        <v>2.2599999999999953E-2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555096.60556653677</v>
      </c>
      <c r="D13" s="11">
        <v>1.72E-2</v>
      </c>
      <c r="E13" s="10">
        <f t="shared" si="2"/>
        <v>9386.218654880533</v>
      </c>
      <c r="F13" s="3"/>
      <c r="G13" s="28"/>
      <c r="H13" s="10"/>
      <c r="I13" s="10">
        <f t="shared" si="5"/>
        <v>11893</v>
      </c>
      <c r="J13" s="10">
        <f t="shared" si="3"/>
        <v>6601763930.0028219</v>
      </c>
      <c r="K13" s="11">
        <f t="shared" si="4"/>
        <v>1.7200000000000104E-2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545710.38691165624</v>
      </c>
      <c r="D14" s="11">
        <v>1.1299999999999999E-2</v>
      </c>
      <c r="E14" s="10">
        <f t="shared" si="2"/>
        <v>6097.6242184335133</v>
      </c>
      <c r="F14" s="3"/>
      <c r="G14" s="28"/>
      <c r="H14" s="10"/>
      <c r="I14" s="10">
        <f t="shared" si="5"/>
        <v>11893</v>
      </c>
      <c r="J14" s="10">
        <f t="shared" si="3"/>
        <v>6490133631.540328</v>
      </c>
      <c r="K14" s="11">
        <f t="shared" si="4"/>
        <v>1.130000000000031E-2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539612.76269322273</v>
      </c>
      <c r="D15" s="11">
        <v>1.1599999999999999E-2</v>
      </c>
      <c r="E15" s="10">
        <f t="shared" si="2"/>
        <v>6187.7303748927079</v>
      </c>
      <c r="F15" s="3"/>
      <c r="G15" s="28"/>
      <c r="H15" s="10"/>
      <c r="I15" s="10">
        <f t="shared" si="5"/>
        <v>11893</v>
      </c>
      <c r="J15" s="10">
        <f t="shared" si="3"/>
        <v>6417614586.7104979</v>
      </c>
      <c r="K15" s="11">
        <f t="shared" si="4"/>
        <v>1.1600000000000055E-2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533425.03231833002</v>
      </c>
      <c r="D16" s="11">
        <v>1.2200000000000001E-2</v>
      </c>
      <c r="E16" s="10">
        <f t="shared" si="2"/>
        <v>6429.3473565338645</v>
      </c>
      <c r="F16" s="3"/>
      <c r="G16" s="28"/>
      <c r="H16" s="10"/>
      <c r="I16" s="10">
        <f t="shared" si="5"/>
        <v>11893</v>
      </c>
      <c r="J16" s="10">
        <f t="shared" si="3"/>
        <v>6344023909.3618994</v>
      </c>
      <c r="K16" s="11">
        <f t="shared" si="4"/>
        <v>1.2199999999999989E-2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526995.68496179616</v>
      </c>
      <c r="D17" s="11">
        <v>1.29E-2</v>
      </c>
      <c r="E17" s="10">
        <f t="shared" si="2"/>
        <v>6711.663872057572</v>
      </c>
      <c r="F17" s="3"/>
      <c r="G17" s="28"/>
      <c r="H17" s="10"/>
      <c r="I17" s="10">
        <f t="shared" si="5"/>
        <v>11893</v>
      </c>
      <c r="J17" s="10">
        <f t="shared" si="3"/>
        <v>6267559681.2506418</v>
      </c>
      <c r="K17" s="11">
        <f t="shared" si="4"/>
        <v>1.2899999999999912E-2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520284.02108973858</v>
      </c>
      <c r="D18" s="11">
        <v>1.3599999999999999E-2</v>
      </c>
      <c r="E18" s="10">
        <f t="shared" si="2"/>
        <v>6980.922145639779</v>
      </c>
      <c r="F18" s="3"/>
      <c r="G18" s="28"/>
      <c r="H18" s="10"/>
      <c r="I18" s="10">
        <f t="shared" si="5"/>
        <v>11893</v>
      </c>
      <c r="J18" s="10">
        <f t="shared" si="3"/>
        <v>6187737862.820261</v>
      </c>
      <c r="K18" s="11">
        <f t="shared" si="4"/>
        <v>1.3600000000000056E-2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513303.09894409881</v>
      </c>
      <c r="D19" s="11">
        <v>1.44E-2</v>
      </c>
      <c r="E19" s="10">
        <f t="shared" si="2"/>
        <v>7286.6370512568974</v>
      </c>
      <c r="F19" s="3"/>
      <c r="G19" s="28"/>
      <c r="H19" s="10"/>
      <c r="I19" s="10">
        <f t="shared" si="5"/>
        <v>11893</v>
      </c>
      <c r="J19" s="10">
        <f t="shared" si="3"/>
        <v>6104713755.7421675</v>
      </c>
      <c r="K19" s="11">
        <f t="shared" si="4"/>
        <v>1.4399999999999968E-2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506016.46189284191</v>
      </c>
      <c r="D20" s="11">
        <v>1.55E-2</v>
      </c>
      <c r="E20" s="10">
        <f t="shared" si="2"/>
        <v>7723.5402849227539</v>
      </c>
      <c r="F20" s="3"/>
      <c r="G20" s="28"/>
      <c r="H20" s="10"/>
      <c r="I20" s="10">
        <f t="shared" si="5"/>
        <v>11893</v>
      </c>
      <c r="J20" s="10">
        <f t="shared" si="3"/>
        <v>6018053781.2915688</v>
      </c>
      <c r="K20" s="11">
        <f t="shared" si="4"/>
        <v>1.5500000000000069E-2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498292.92160791915</v>
      </c>
      <c r="D21" s="11">
        <v>1.7000000000000001E-2</v>
      </c>
      <c r="E21" s="10">
        <f t="shared" si="2"/>
        <v>8329.3802038687863</v>
      </c>
      <c r="F21" s="3"/>
      <c r="G21" s="28"/>
      <c r="H21" s="10"/>
      <c r="I21" s="10">
        <f t="shared" si="5"/>
        <v>11893</v>
      </c>
      <c r="J21" s="10">
        <f t="shared" si="3"/>
        <v>5926197716.6829824</v>
      </c>
      <c r="K21" s="11">
        <f t="shared" si="4"/>
        <v>1.6999999999999904E-2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489963.54140405037</v>
      </c>
      <c r="D22" s="11">
        <v>1.84E-2</v>
      </c>
      <c r="E22" s="10">
        <f t="shared" si="2"/>
        <v>8852.444188761292</v>
      </c>
      <c r="F22" s="3"/>
      <c r="G22" s="28"/>
      <c r="H22" s="10"/>
      <c r="I22" s="10">
        <f t="shared" si="5"/>
        <v>11893</v>
      </c>
      <c r="J22" s="10">
        <f t="shared" si="3"/>
        <v>5827136397.9183712</v>
      </c>
      <c r="K22" s="11">
        <f t="shared" si="4"/>
        <v>1.8399999999999972E-2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481111.09721528908</v>
      </c>
      <c r="D23" s="11">
        <v>2.93E-2</v>
      </c>
      <c r="E23" s="10">
        <f t="shared" si="2"/>
        <v>13695.283346359676</v>
      </c>
      <c r="F23" s="3"/>
      <c r="G23" s="28"/>
      <c r="H23" s="10"/>
      <c r="I23" s="10">
        <f t="shared" si="5"/>
        <v>11893</v>
      </c>
      <c r="J23" s="10">
        <f t="shared" si="3"/>
        <v>5721854279.1814327</v>
      </c>
      <c r="K23" s="11">
        <f t="shared" si="4"/>
        <v>2.9299999999999882E-2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467415.8138689294</v>
      </c>
      <c r="D24" s="11">
        <v>4.2099999999999999E-2</v>
      </c>
      <c r="E24" s="10">
        <f t="shared" si="2"/>
        <v>18883.222112927702</v>
      </c>
      <c r="F24" s="3"/>
      <c r="G24" s="28"/>
      <c r="H24" s="10"/>
      <c r="I24" s="10">
        <f t="shared" si="5"/>
        <v>11893</v>
      </c>
      <c r="J24" s="10">
        <f t="shared" si="3"/>
        <v>5558976274.3431778</v>
      </c>
      <c r="K24" s="11">
        <f t="shared" si="4"/>
        <v>4.2100000000000026E-2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448532.5917560017</v>
      </c>
      <c r="D25" s="11">
        <v>4.58E-2</v>
      </c>
      <c r="E25" s="10">
        <f t="shared" si="2"/>
        <v>19643.13702660636</v>
      </c>
      <c r="F25" s="3"/>
      <c r="G25" s="28"/>
      <c r="H25" s="10"/>
      <c r="I25" s="10">
        <f t="shared" si="5"/>
        <v>11893</v>
      </c>
      <c r="J25" s="10">
        <f t="shared" si="3"/>
        <v>5334398113.7541285</v>
      </c>
      <c r="K25" s="11">
        <f t="shared" si="4"/>
        <v>4.5800000000000285E-2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428889.45472939534</v>
      </c>
      <c r="D26" s="11">
        <v>4.8399999999999999E-2</v>
      </c>
      <c r="E26" s="10">
        <f t="shared" si="2"/>
        <v>19799.932858548942</v>
      </c>
      <c r="F26" s="3"/>
      <c r="G26" s="28"/>
      <c r="H26" s="10"/>
      <c r="I26" s="10">
        <f t="shared" si="5"/>
        <v>11893</v>
      </c>
      <c r="J26" s="10">
        <f t="shared" si="3"/>
        <v>5100782285.0966988</v>
      </c>
      <c r="K26" s="11">
        <f t="shared" si="4"/>
        <v>4.8399999999999999E-2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409089.52187084639</v>
      </c>
      <c r="D27" s="11">
        <v>5.0999999999999997E-2</v>
      </c>
      <c r="E27" s="10">
        <f t="shared" si="2"/>
        <v>19851.156627414981</v>
      </c>
      <c r="F27" s="3"/>
      <c r="G27" s="28"/>
      <c r="H27" s="10"/>
      <c r="I27" s="10">
        <f t="shared" si="5"/>
        <v>11893</v>
      </c>
      <c r="J27" s="10">
        <f t="shared" si="3"/>
        <v>4865301683.6099758</v>
      </c>
      <c r="K27" s="11">
        <f t="shared" si="4"/>
        <v>5.0999999999999934E-2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389238.36524343141</v>
      </c>
      <c r="D28" s="11">
        <v>5.3699999999999998E-2</v>
      </c>
      <c r="E28" s="10">
        <f t="shared" si="2"/>
        <v>19836.860789192666</v>
      </c>
      <c r="F28" s="3"/>
      <c r="G28" s="28"/>
      <c r="H28" s="10"/>
      <c r="I28" s="10">
        <f t="shared" si="5"/>
        <v>11893</v>
      </c>
      <c r="J28" s="10">
        <f t="shared" si="3"/>
        <v>4629211877.8401299</v>
      </c>
      <c r="K28" s="11">
        <f t="shared" si="4"/>
        <v>5.3700000000000081E-2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369401.50445423875</v>
      </c>
      <c r="D29" s="11">
        <v>5.67E-2</v>
      </c>
      <c r="E29" s="10">
        <f t="shared" si="2"/>
        <v>19821.203087494418</v>
      </c>
      <c r="F29" s="3"/>
      <c r="G29" s="28"/>
      <c r="H29" s="10"/>
      <c r="I29" s="10">
        <f t="shared" si="5"/>
        <v>11893</v>
      </c>
      <c r="J29" s="10">
        <f t="shared" si="3"/>
        <v>4393292092.4742613</v>
      </c>
      <c r="K29" s="11">
        <f t="shared" si="4"/>
        <v>5.6699999999999973E-2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349580.30136674433</v>
      </c>
      <c r="D30" s="12">
        <v>6.0100000000000001E-2</v>
      </c>
      <c r="E30" s="10">
        <f t="shared" si="2"/>
        <v>19818.673815811111</v>
      </c>
      <c r="F30" s="3"/>
      <c r="G30" s="28"/>
      <c r="H30" s="10"/>
      <c r="I30" s="10">
        <f t="shared" si="5"/>
        <v>11893</v>
      </c>
      <c r="J30" s="10">
        <f t="shared" si="3"/>
        <v>4157558524.1546903</v>
      </c>
      <c r="K30" s="11">
        <f t="shared" si="4"/>
        <v>6.0100000000000042E-2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329761.62755093322</v>
      </c>
      <c r="D31" s="13">
        <v>6.4199999999999993E-2</v>
      </c>
      <c r="E31" s="10">
        <f t="shared" si="2"/>
        <v>19893.531750394613</v>
      </c>
      <c r="F31" s="3"/>
      <c r="G31" s="28"/>
      <c r="H31" s="10"/>
      <c r="I31" s="10">
        <f t="shared" si="5"/>
        <v>11893</v>
      </c>
      <c r="J31" s="10">
        <f t="shared" si="3"/>
        <v>3921855036.4632487</v>
      </c>
      <c r="K31" s="11">
        <f t="shared" si="4"/>
        <v>6.4200000000000035E-2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309868.09580053861</v>
      </c>
      <c r="D32" s="12">
        <v>6.0499999999999998E-2</v>
      </c>
      <c r="E32" s="10">
        <f t="shared" si="2"/>
        <v>17677.529274806788</v>
      </c>
      <c r="F32" s="3"/>
      <c r="G32" s="28"/>
      <c r="H32" s="10"/>
      <c r="I32" s="10">
        <f t="shared" si="5"/>
        <v>11893</v>
      </c>
      <c r="J32" s="10">
        <f t="shared" si="3"/>
        <v>3685261263.3558059</v>
      </c>
      <c r="K32" s="11">
        <f t="shared" si="4"/>
        <v>6.050000000000022E-2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292190.56652573182</v>
      </c>
      <c r="D33" s="13">
        <v>5.4600000000000003E-2</v>
      </c>
      <c r="E33" s="10">
        <f t="shared" si="2"/>
        <v>15127.636006357789</v>
      </c>
      <c r="F33" s="3"/>
      <c r="G33" s="28"/>
      <c r="H33" s="10"/>
      <c r="I33" s="10">
        <f t="shared" si="5"/>
        <v>11893</v>
      </c>
      <c r="J33" s="10">
        <f t="shared" si="3"/>
        <v>3475022407.6905284</v>
      </c>
      <c r="K33" s="11">
        <f t="shared" si="4"/>
        <v>5.459999999999976E-2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277062.93051937403</v>
      </c>
      <c r="D34" s="12">
        <v>5.5500000000000001E-2</v>
      </c>
      <c r="E34" s="10">
        <f t="shared" si="2"/>
        <v>14568.444001729309</v>
      </c>
      <c r="F34" s="3"/>
      <c r="G34" s="28"/>
      <c r="H34" s="10"/>
      <c r="I34" s="10">
        <f t="shared" si="5"/>
        <v>11893</v>
      </c>
      <c r="J34" s="10">
        <f t="shared" ref="J34:J65" si="6">IF(I34="","",I34*C34)</f>
        <v>3295109432.6669154</v>
      </c>
      <c r="K34" s="11">
        <f t="shared" ref="K34:K65" si="7">IFERROR(J34/J35-1,"")</f>
        <v>5.5500000000000105E-2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262494.48651764472</v>
      </c>
      <c r="D35" s="11">
        <v>5.5500000000000001E-2</v>
      </c>
      <c r="E35" s="10">
        <f t="shared" si="2"/>
        <v>13802.410233755858</v>
      </c>
      <c r="F35" s="3"/>
      <c r="G35" s="28"/>
      <c r="H35" s="10"/>
      <c r="I35" s="10">
        <f t="shared" ref="I35:I66" si="8">IF(H35&lt;&gt;"",H35,I34/(1+IF(G34="",0,G34)/100))</f>
        <v>11893</v>
      </c>
      <c r="J35" s="10">
        <f t="shared" si="6"/>
        <v>3121846928.1543489</v>
      </c>
      <c r="K35" s="11">
        <f t="shared" si="7"/>
        <v>5.5500000000000105E-2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248692.07628388886</v>
      </c>
      <c r="D36" s="11">
        <v>5.45E-2</v>
      </c>
      <c r="E36" s="10">
        <f t="shared" si="2"/>
        <v>12853.217788024602</v>
      </c>
      <c r="F36" s="3"/>
      <c r="G36" s="28"/>
      <c r="H36" s="10"/>
      <c r="I36" s="10">
        <f t="shared" si="8"/>
        <v>11893</v>
      </c>
      <c r="J36" s="10">
        <f t="shared" si="6"/>
        <v>2957694863.2442904</v>
      </c>
      <c r="K36" s="11">
        <f t="shared" si="7"/>
        <v>5.4499999999999993E-2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235838.85849586426</v>
      </c>
      <c r="D37" s="11">
        <v>5.3499999999999999E-2</v>
      </c>
      <c r="E37" s="10">
        <f t="shared" si="2"/>
        <v>11976.629263909592</v>
      </c>
      <c r="F37" s="3"/>
      <c r="G37" s="28"/>
      <c r="H37" s="10"/>
      <c r="I37" s="10">
        <f t="shared" si="8"/>
        <v>11893</v>
      </c>
      <c r="J37" s="10">
        <f t="shared" si="6"/>
        <v>2804831544.0913138</v>
      </c>
      <c r="K37" s="11">
        <f t="shared" si="7"/>
        <v>5.3500000000000325E-2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223862.22923195467</v>
      </c>
      <c r="D38" s="11">
        <v>5.28E-2</v>
      </c>
      <c r="E38" s="10">
        <f t="shared" si="2"/>
        <v>11227.133076982514</v>
      </c>
      <c r="F38" s="3"/>
      <c r="G38" s="28"/>
      <c r="H38" s="10"/>
      <c r="I38" s="10">
        <f t="shared" si="8"/>
        <v>11893</v>
      </c>
      <c r="J38" s="10">
        <f t="shared" si="6"/>
        <v>2662393492.2556367</v>
      </c>
      <c r="K38" s="11">
        <f t="shared" si="7"/>
        <v>5.2799999999999736E-2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212635.09615497215</v>
      </c>
      <c r="D39" s="11">
        <v>5.1299999999999998E-2</v>
      </c>
      <c r="E39" s="10">
        <f t="shared" si="2"/>
        <v>10375.896920717263</v>
      </c>
      <c r="F39" s="3"/>
      <c r="G39" s="28"/>
      <c r="H39" s="10"/>
      <c r="I39" s="10">
        <f t="shared" si="8"/>
        <v>11893</v>
      </c>
      <c r="J39" s="10">
        <f t="shared" si="6"/>
        <v>2528869198.571084</v>
      </c>
      <c r="K39" s="11">
        <f t="shared" si="7"/>
        <v>5.1300000000000123E-2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202259.19923425489</v>
      </c>
      <c r="D40" s="11">
        <v>4.8599999999999997E-2</v>
      </c>
      <c r="E40" s="10">
        <f t="shared" si="2"/>
        <v>9374.2104546869814</v>
      </c>
      <c r="F40" s="3"/>
      <c r="G40" s="28"/>
      <c r="H40" s="10"/>
      <c r="I40" s="10">
        <f t="shared" si="8"/>
        <v>11893</v>
      </c>
      <c r="J40" s="10">
        <f t="shared" si="6"/>
        <v>2405468656.4929934</v>
      </c>
      <c r="K40" s="11">
        <f t="shared" si="7"/>
        <v>4.8599999999999755E-2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192884.98877956791</v>
      </c>
      <c r="D41" s="11">
        <v>4.4999999999999998E-2</v>
      </c>
      <c r="E41" s="10">
        <f t="shared" si="2"/>
        <v>8306.0521484024357</v>
      </c>
      <c r="F41" s="3"/>
      <c r="G41" s="28"/>
      <c r="H41" s="10"/>
      <c r="I41" s="10">
        <f t="shared" si="8"/>
        <v>11893</v>
      </c>
      <c r="J41" s="10">
        <f t="shared" si="6"/>
        <v>2293981171.5554013</v>
      </c>
      <c r="K41" s="11">
        <f t="shared" si="7"/>
        <v>4.4999999999999929E-2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184578.93663116547</v>
      </c>
      <c r="D42" s="11">
        <v>4.1799999999999997E-2</v>
      </c>
      <c r="E42" s="10">
        <f t="shared" si="2"/>
        <v>7405.8356221757713</v>
      </c>
      <c r="F42" s="3"/>
      <c r="G42" s="28"/>
      <c r="H42" s="10"/>
      <c r="I42" s="10">
        <f t="shared" si="8"/>
        <v>11893</v>
      </c>
      <c r="J42" s="10">
        <f t="shared" si="6"/>
        <v>2195197293.3544512</v>
      </c>
      <c r="K42" s="11">
        <f t="shared" si="7"/>
        <v>4.1800000000000059E-2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177173.1010089897</v>
      </c>
      <c r="D43" s="11">
        <v>3.5200000000000002E-2</v>
      </c>
      <c r="E43" s="10">
        <f t="shared" si="2"/>
        <v>6024.4331100429117</v>
      </c>
      <c r="F43" s="3"/>
      <c r="G43" s="28"/>
      <c r="H43" s="10"/>
      <c r="I43" s="10">
        <f t="shared" si="8"/>
        <v>11893</v>
      </c>
      <c r="J43" s="10">
        <f t="shared" si="6"/>
        <v>2107119690.2999146</v>
      </c>
      <c r="K43" s="11">
        <f t="shared" si="7"/>
        <v>3.5199999999999898E-2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171148.66789894679</v>
      </c>
      <c r="D44" s="11">
        <v>2.9000000000000001E-2</v>
      </c>
      <c r="E44" s="10">
        <f t="shared" si="2"/>
        <v>4823.4318455485336</v>
      </c>
      <c r="F44" s="3"/>
      <c r="G44" s="28"/>
      <c r="H44" s="10"/>
      <c r="I44" s="10">
        <f t="shared" si="8"/>
        <v>11893</v>
      </c>
      <c r="J44" s="10">
        <f t="shared" si="6"/>
        <v>2035471107.3221741</v>
      </c>
      <c r="K44" s="11">
        <f t="shared" si="7"/>
        <v>2.8999999999999915E-2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166325.23605339826</v>
      </c>
      <c r="D45" s="11">
        <v>2.8199999999999999E-2</v>
      </c>
      <c r="E45" s="10">
        <f t="shared" si="2"/>
        <v>4561.7308468253468</v>
      </c>
      <c r="F45" s="3"/>
      <c r="G45" s="28"/>
      <c r="H45" s="10"/>
      <c r="I45" s="10">
        <f t="shared" si="8"/>
        <v>11893</v>
      </c>
      <c r="J45" s="10">
        <f t="shared" si="6"/>
        <v>1978106032.3830655</v>
      </c>
      <c r="K45" s="11">
        <f t="shared" si="7"/>
        <v>2.8200000000000003E-2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161763.50520657291</v>
      </c>
      <c r="D46" s="11">
        <v>2.7400000000000001E-2</v>
      </c>
      <c r="E46" s="10">
        <f t="shared" si="2"/>
        <v>4314.1133372202748</v>
      </c>
      <c r="F46" s="3"/>
      <c r="G46" s="28"/>
      <c r="H46" s="10"/>
      <c r="I46" s="10">
        <f t="shared" si="8"/>
        <v>11893</v>
      </c>
      <c r="J46" s="10">
        <f t="shared" si="6"/>
        <v>1923853367.4217715</v>
      </c>
      <c r="K46" s="11">
        <f t="shared" si="7"/>
        <v>2.7400000000000091E-2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157449.39186935264</v>
      </c>
      <c r="D47" s="11">
        <v>2.6599999999999999E-2</v>
      </c>
      <c r="E47" s="10">
        <f t="shared" si="2"/>
        <v>4079.6355189214519</v>
      </c>
      <c r="F47" s="3"/>
      <c r="G47" s="28"/>
      <c r="H47" s="10"/>
      <c r="I47" s="10">
        <f t="shared" si="8"/>
        <v>11893</v>
      </c>
      <c r="J47" s="10">
        <f t="shared" si="6"/>
        <v>1872545617.5022109</v>
      </c>
      <c r="K47" s="11">
        <f t="shared" si="7"/>
        <v>2.6599999999999735E-2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153369.75635043118</v>
      </c>
      <c r="D48" s="11">
        <v>2.58E-2</v>
      </c>
      <c r="E48" s="10">
        <f t="shared" si="2"/>
        <v>3857.4183211553318</v>
      </c>
      <c r="F48" s="3"/>
      <c r="G48" s="28"/>
      <c r="H48" s="10"/>
      <c r="I48" s="10">
        <f t="shared" si="8"/>
        <v>11893</v>
      </c>
      <c r="J48" s="10">
        <f t="shared" si="6"/>
        <v>1824026512.2756782</v>
      </c>
      <c r="K48" s="11">
        <f t="shared" si="7"/>
        <v>2.5800000000000045E-2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149512.33802927585</v>
      </c>
      <c r="D49" s="11">
        <v>2.4899999999999999E-2</v>
      </c>
      <c r="E49" s="10">
        <f t="shared" si="2"/>
        <v>3632.410202877305</v>
      </c>
      <c r="F49" s="3"/>
      <c r="G49" s="28"/>
      <c r="H49" s="10"/>
      <c r="I49" s="10">
        <f t="shared" si="8"/>
        <v>11893</v>
      </c>
      <c r="J49" s="10">
        <f t="shared" si="6"/>
        <v>1778150236.1821778</v>
      </c>
      <c r="K49" s="11">
        <f t="shared" si="7"/>
        <v>2.4899999999999922E-2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145879.92782639855</v>
      </c>
      <c r="D50" s="11">
        <v>2.3900000000000001E-2</v>
      </c>
      <c r="E50" s="10">
        <f t="shared" si="2"/>
        <v>3405.1472556411172</v>
      </c>
      <c r="F50" s="3"/>
      <c r="G50" s="28"/>
      <c r="H50" s="10"/>
      <c r="I50" s="10">
        <f t="shared" si="8"/>
        <v>11893</v>
      </c>
      <c r="J50" s="10">
        <f t="shared" si="6"/>
        <v>1734949981.6393578</v>
      </c>
      <c r="K50" s="11">
        <f t="shared" si="7"/>
        <v>2.3900000000000032E-2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142474.78057075743</v>
      </c>
      <c r="D51" s="11">
        <v>2.29E-2</v>
      </c>
      <c r="E51" s="10">
        <f t="shared" si="2"/>
        <v>3189.6299492329126</v>
      </c>
      <c r="F51" s="3"/>
      <c r="G51" s="28"/>
      <c r="H51" s="10"/>
      <c r="I51" s="10">
        <f t="shared" si="8"/>
        <v>11893</v>
      </c>
      <c r="J51" s="10">
        <f t="shared" si="6"/>
        <v>1694452565.3280182</v>
      </c>
      <c r="K51" s="11">
        <f t="shared" si="7"/>
        <v>2.289999999999992E-2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139285.15062152452</v>
      </c>
      <c r="D52" s="11">
        <v>2.1899999999999999E-2</v>
      </c>
      <c r="E52" s="10">
        <f t="shared" si="2"/>
        <v>2984.9738708399818</v>
      </c>
      <c r="F52" s="3"/>
      <c r="G52" s="28"/>
      <c r="H52" s="10"/>
      <c r="I52" s="10">
        <f t="shared" si="8"/>
        <v>11893</v>
      </c>
      <c r="J52" s="10">
        <f t="shared" si="6"/>
        <v>1656518296.3417912</v>
      </c>
      <c r="K52" s="11">
        <f t="shared" si="7"/>
        <v>2.1900000000000031E-2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136300.17675068454</v>
      </c>
      <c r="D53" s="11">
        <v>2.07E-2</v>
      </c>
      <c r="E53" s="10">
        <f t="shared" si="2"/>
        <v>2764.1948258441989</v>
      </c>
      <c r="F53" s="3"/>
      <c r="G53" s="28"/>
      <c r="H53" s="10"/>
      <c r="I53" s="10">
        <f t="shared" si="8"/>
        <v>11893</v>
      </c>
      <c r="J53" s="10">
        <f t="shared" si="6"/>
        <v>1621018002.0958912</v>
      </c>
      <c r="K53" s="11">
        <f t="shared" si="7"/>
        <v>2.0699999999999941E-2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133535.98192484034</v>
      </c>
      <c r="D54" s="11">
        <v>1.9599999999999999E-2</v>
      </c>
      <c r="E54" s="10">
        <f t="shared" si="2"/>
        <v>2566.9921986336703</v>
      </c>
      <c r="F54" s="3"/>
      <c r="G54" s="28"/>
      <c r="H54" s="10"/>
      <c r="I54" s="10">
        <f t="shared" si="8"/>
        <v>11893</v>
      </c>
      <c r="J54" s="10">
        <f t="shared" si="6"/>
        <v>1588143433.0321262</v>
      </c>
      <c r="K54" s="11">
        <f t="shared" si="7"/>
        <v>1.9600000000000284E-2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130968.98972620667</v>
      </c>
      <c r="D55" s="11">
        <v>1.8499999999999999E-2</v>
      </c>
      <c r="E55" s="10">
        <f t="shared" si="2"/>
        <v>2378.9163573243131</v>
      </c>
      <c r="F55" s="3"/>
      <c r="G55" s="28"/>
      <c r="H55" s="10"/>
      <c r="I55" s="10">
        <f t="shared" si="8"/>
        <v>11893</v>
      </c>
      <c r="J55" s="10">
        <f t="shared" si="6"/>
        <v>1557614194.8137758</v>
      </c>
      <c r="K55" s="11">
        <f t="shared" si="7"/>
        <v>1.8499999999999961E-2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128590.07336888235</v>
      </c>
      <c r="D56" s="11">
        <v>1.7500000000000002E-2</v>
      </c>
      <c r="E56" s="10">
        <f t="shared" si="2"/>
        <v>2211.6228834943031</v>
      </c>
      <c r="F56" s="3"/>
      <c r="G56" s="28"/>
      <c r="H56" s="10"/>
      <c r="I56" s="10">
        <f t="shared" si="8"/>
        <v>11893</v>
      </c>
      <c r="J56" s="10">
        <f t="shared" si="6"/>
        <v>1529321742.5761178</v>
      </c>
      <c r="K56" s="11">
        <f t="shared" si="7"/>
        <v>1.7500000000000071E-2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126378.45048538805</v>
      </c>
      <c r="D57" s="11">
        <v>1.7000000000000001E-2</v>
      </c>
      <c r="E57" s="10">
        <f t="shared" si="2"/>
        <v>2112.5208045738254</v>
      </c>
      <c r="F57" s="3"/>
      <c r="G57" s="28"/>
      <c r="H57" s="10"/>
      <c r="I57" s="10">
        <f t="shared" si="8"/>
        <v>11893</v>
      </c>
      <c r="J57" s="10">
        <f t="shared" si="6"/>
        <v>1503018911.62272</v>
      </c>
      <c r="K57" s="11">
        <f t="shared" si="7"/>
        <v>1.6999999999999904E-2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124265.92968081422</v>
      </c>
      <c r="D58" s="11">
        <v>1.7000000000000001E-2</v>
      </c>
      <c r="E58" s="10">
        <f t="shared" si="2"/>
        <v>2077.2082640844019</v>
      </c>
      <c r="F58" s="3"/>
      <c r="G58" s="28"/>
      <c r="H58" s="10"/>
      <c r="I58" s="10">
        <f t="shared" si="8"/>
        <v>11893</v>
      </c>
      <c r="J58" s="10">
        <f t="shared" si="6"/>
        <v>1477894701.6939235</v>
      </c>
      <c r="K58" s="11">
        <f t="shared" si="7"/>
        <v>1.6999999999999904E-2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122188.72141672982</v>
      </c>
      <c r="D59" s="11">
        <v>1.7000000000000001E-2</v>
      </c>
      <c r="E59" s="10">
        <f t="shared" si="2"/>
        <v>2042.4860020495544</v>
      </c>
      <c r="F59" s="3"/>
      <c r="G59" s="28"/>
      <c r="H59" s="10"/>
      <c r="I59" s="10">
        <f t="shared" si="8"/>
        <v>11893</v>
      </c>
      <c r="J59" s="10">
        <f t="shared" si="6"/>
        <v>1453190463.8091679</v>
      </c>
      <c r="K59" s="11">
        <f t="shared" si="7"/>
        <v>1.6999999999999904E-2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120146.23541468027</v>
      </c>
      <c r="D60" s="11">
        <v>1.7000000000000001E-2</v>
      </c>
      <c r="E60" s="10">
        <f t="shared" si="2"/>
        <v>2008.3441514744918</v>
      </c>
      <c r="F60" s="3"/>
      <c r="G60" s="28"/>
      <c r="H60" s="10"/>
      <c r="I60" s="10">
        <f t="shared" si="8"/>
        <v>11893</v>
      </c>
      <c r="J60" s="10">
        <f t="shared" si="6"/>
        <v>1428899177.7867925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118137.89126320578</v>
      </c>
      <c r="D61" s="11">
        <v>1.6500000000000001E-2</v>
      </c>
      <c r="E61" s="10">
        <f t="shared" si="2"/>
        <v>1917.6342408685596</v>
      </c>
      <c r="F61" s="3"/>
      <c r="G61" s="28"/>
      <c r="H61" s="10"/>
      <c r="I61" s="10">
        <f t="shared" si="8"/>
        <v>11893</v>
      </c>
      <c r="J61" s="10">
        <f t="shared" si="6"/>
        <v>1405013940.7933064</v>
      </c>
      <c r="K61" s="11">
        <f t="shared" si="7"/>
        <v>1.6499999999999959E-2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116220.25702233722</v>
      </c>
      <c r="D62" s="11">
        <v>1.6500000000000001E-2</v>
      </c>
      <c r="E62" s="10">
        <f t="shared" si="2"/>
        <v>1886.5068773915991</v>
      </c>
      <c r="F62" s="3"/>
      <c r="G62" s="28"/>
      <c r="H62" s="10"/>
      <c r="I62" s="10">
        <f t="shared" si="8"/>
        <v>11893</v>
      </c>
      <c r="J62" s="10">
        <f t="shared" si="6"/>
        <v>1382207516.7666566</v>
      </c>
      <c r="K62" s="11">
        <f t="shared" si="7"/>
        <v>1.6499999999999959E-2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114333.75014494562</v>
      </c>
      <c r="D63" s="11">
        <v>1.6500000000000001E-2</v>
      </c>
      <c r="E63" s="10">
        <f t="shared" si="2"/>
        <v>1855.8847785456019</v>
      </c>
      <c r="F63" s="3"/>
      <c r="G63" s="28"/>
      <c r="H63" s="10"/>
      <c r="I63" s="10">
        <f t="shared" si="8"/>
        <v>11893</v>
      </c>
      <c r="J63" s="10">
        <f t="shared" si="6"/>
        <v>1359771290.4738383</v>
      </c>
      <c r="K63" s="11">
        <f t="shared" si="7"/>
        <v>1.6500000000000181E-2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112477.86536640002</v>
      </c>
      <c r="D64" s="11">
        <v>1.6E-2</v>
      </c>
      <c r="E64" s="10">
        <f t="shared" si="2"/>
        <v>1771.3049663999991</v>
      </c>
      <c r="F64" s="3"/>
      <c r="G64" s="28"/>
      <c r="H64" s="10"/>
      <c r="I64" s="10">
        <f t="shared" si="8"/>
        <v>11893</v>
      </c>
      <c r="J64" s="10">
        <f t="shared" si="6"/>
        <v>1337699252.8025954</v>
      </c>
      <c r="K64" s="11">
        <f t="shared" si="7"/>
        <v>1.6000000000000014E-2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110706.56040000002</v>
      </c>
      <c r="D65" s="11">
        <v>1.6E-2</v>
      </c>
      <c r="E65" s="10">
        <f t="shared" si="2"/>
        <v>1743.4104000000079</v>
      </c>
      <c r="F65" s="3"/>
      <c r="G65" s="28"/>
      <c r="H65" s="10"/>
      <c r="I65" s="10">
        <f t="shared" si="8"/>
        <v>11893</v>
      </c>
      <c r="J65" s="10">
        <f t="shared" si="6"/>
        <v>1316633122.8372002</v>
      </c>
      <c r="K65" s="11">
        <f t="shared" si="7"/>
        <v>1.6000000000000014E-2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108963.15000000001</v>
      </c>
      <c r="D66" s="11">
        <v>1.55E-2</v>
      </c>
      <c r="E66" s="10">
        <f t="shared" si="2"/>
        <v>1663.1500000000087</v>
      </c>
      <c r="F66" s="3"/>
      <c r="G66" s="28"/>
      <c r="H66" s="10"/>
      <c r="I66" s="10">
        <f t="shared" si="8"/>
        <v>11893</v>
      </c>
      <c r="J66" s="10">
        <f t="shared" ref="J66:J67" si="9">IF(I66="","",I66*C66)</f>
        <v>1295898742.95</v>
      </c>
      <c r="K66" s="11">
        <f t="shared" ref="K66" si="10">IFERROR(J66/J67-1,"")</f>
        <v>1.5500000000000069E-2</v>
      </c>
    </row>
    <row r="67" spans="1:11" ht="22.5" customHeight="1">
      <c r="A67" s="3">
        <f t="shared" si="0"/>
        <v>1950</v>
      </c>
      <c r="B67" s="3">
        <v>1700</v>
      </c>
      <c r="C67" s="10">
        <v>107300</v>
      </c>
      <c r="D67" s="11">
        <v>1.4999999999999999E-2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11893</v>
      </c>
      <c r="J67" s="10">
        <f t="shared" si="9"/>
        <v>1276118900</v>
      </c>
      <c r="K67" s="11"/>
    </row>
  </sheetData>
  <dataValidations count="1">
    <dataValidation type="custom" allowBlank="1" showDropDown="1" sqref="D2:D67" xr:uid="{00000000-0002-0000-1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3984.1109115687832</v>
      </c>
      <c r="D2" s="11">
        <v>0</v>
      </c>
      <c r="E2" s="10">
        <f t="shared" ref="E2:E66" si="2">SUM(C2-C3)</f>
        <v>0</v>
      </c>
      <c r="F2" s="15">
        <v>3984</v>
      </c>
      <c r="G2" s="28"/>
      <c r="H2" s="10"/>
      <c r="I2" s="10">
        <f>IF(H2&lt;&gt;"",H2,1889)</f>
        <v>1889</v>
      </c>
      <c r="J2" s="10">
        <f t="shared" ref="J2:J33" si="3">IF(I2="","",I2*C2)</f>
        <v>7525985.5119534312</v>
      </c>
      <c r="K2" s="11">
        <f t="shared" ref="K2:K33" si="4">IFERROR(J2/J3-1,"")</f>
        <v>0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3984.1109115687832</v>
      </c>
      <c r="D3" s="11">
        <v>4.0000000000000002E-4</v>
      </c>
      <c r="E3" s="10">
        <f t="shared" si="2"/>
        <v>1.5930071617626709</v>
      </c>
      <c r="F3" s="3"/>
      <c r="G3" s="28"/>
      <c r="H3" s="10"/>
      <c r="I3" s="10">
        <f t="shared" ref="I3:I34" si="5">IF(H3&lt;&gt;"",H3,I2/(1+IF(G2="",0,G2)/100))</f>
        <v>1889</v>
      </c>
      <c r="J3" s="10">
        <f t="shared" si="3"/>
        <v>7525985.5119534312</v>
      </c>
      <c r="K3" s="11">
        <f t="shared" si="4"/>
        <v>3.9999999999995595E-4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3982.5179044070205</v>
      </c>
      <c r="D4" s="11">
        <v>8.0000000000000004E-4</v>
      </c>
      <c r="E4" s="10">
        <f t="shared" si="2"/>
        <v>3.1834675494856128</v>
      </c>
      <c r="F4" s="3"/>
      <c r="G4" s="28"/>
      <c r="H4" s="10"/>
      <c r="I4" s="10">
        <f t="shared" si="5"/>
        <v>1889</v>
      </c>
      <c r="J4" s="10">
        <f t="shared" si="3"/>
        <v>7522976.3214248614</v>
      </c>
      <c r="K4" s="11">
        <f t="shared" si="4"/>
        <v>7.9999999999991189E-4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3979.3344368575349</v>
      </c>
      <c r="D5" s="11">
        <v>3.0999999999999999E-3</v>
      </c>
      <c r="E5" s="10">
        <f t="shared" si="2"/>
        <v>12.297813532308737</v>
      </c>
      <c r="F5" s="3"/>
      <c r="G5" s="28"/>
      <c r="H5" s="10"/>
      <c r="I5" s="10">
        <f t="shared" si="5"/>
        <v>1889</v>
      </c>
      <c r="J5" s="10">
        <f t="shared" si="3"/>
        <v>7516962.7512238836</v>
      </c>
      <c r="K5" s="11">
        <f t="shared" si="4"/>
        <v>3.1000000000001027E-3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3967.0366233252262</v>
      </c>
      <c r="D6" s="11">
        <v>8.9999999999999998E-4</v>
      </c>
      <c r="E6" s="10">
        <f t="shared" si="2"/>
        <v>3.5671225506966948</v>
      </c>
      <c r="F6" s="3"/>
      <c r="G6" s="28"/>
      <c r="H6" s="10"/>
      <c r="I6" s="10">
        <f t="shared" si="5"/>
        <v>1889</v>
      </c>
      <c r="J6" s="10">
        <f t="shared" si="3"/>
        <v>7493732.1814613519</v>
      </c>
      <c r="K6" s="11">
        <f t="shared" si="4"/>
        <v>8.9999999999990088E-4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3963.4695007745295</v>
      </c>
      <c r="D7" s="11">
        <v>-1.5E-3</v>
      </c>
      <c r="E7" s="10">
        <f t="shared" si="2"/>
        <v>-5.9541354543430316</v>
      </c>
      <c r="F7" s="3"/>
      <c r="G7" s="28"/>
      <c r="H7" s="10"/>
      <c r="I7" s="10">
        <f t="shared" si="5"/>
        <v>1889</v>
      </c>
      <c r="J7" s="10">
        <f t="shared" si="3"/>
        <v>7486993.8869630862</v>
      </c>
      <c r="K7" s="11">
        <f t="shared" si="4"/>
        <v>-1.4999999999999458E-3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3969.4236362288725</v>
      </c>
      <c r="D8" s="11">
        <v>1.6999999999999999E-3</v>
      </c>
      <c r="E8" s="10">
        <f t="shared" si="2"/>
        <v>6.7365680159618933</v>
      </c>
      <c r="F8" s="3"/>
      <c r="G8" s="28"/>
      <c r="H8" s="10"/>
      <c r="I8" s="10">
        <f t="shared" si="5"/>
        <v>1889</v>
      </c>
      <c r="J8" s="10">
        <f t="shared" si="3"/>
        <v>7498241.2488363404</v>
      </c>
      <c r="K8" s="11">
        <f t="shared" si="4"/>
        <v>1.7000000000000348E-3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3962.6870682129106</v>
      </c>
      <c r="D9" s="11">
        <v>2.8E-3</v>
      </c>
      <c r="E9" s="10">
        <f t="shared" si="2"/>
        <v>11.064543070398486</v>
      </c>
      <c r="F9" s="3"/>
      <c r="G9" s="28"/>
      <c r="H9" s="10"/>
      <c r="I9" s="10">
        <f t="shared" si="5"/>
        <v>1889</v>
      </c>
      <c r="J9" s="10">
        <f t="shared" si="3"/>
        <v>7485515.8718541879</v>
      </c>
      <c r="K9" s="11">
        <f t="shared" si="4"/>
        <v>2.7999999999999137E-3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3951.6225251425121</v>
      </c>
      <c r="D10" s="11">
        <v>2.8999999999999998E-3</v>
      </c>
      <c r="E10" s="10">
        <f t="shared" si="2"/>
        <v>11.426568274915553</v>
      </c>
      <c r="F10" s="3"/>
      <c r="G10" s="28"/>
      <c r="H10" s="10"/>
      <c r="I10" s="10">
        <f t="shared" si="5"/>
        <v>1889</v>
      </c>
      <c r="J10" s="10">
        <f t="shared" si="3"/>
        <v>7464614.9499942055</v>
      </c>
      <c r="K10" s="11">
        <f t="shared" si="4"/>
        <v>2.8999999999999027E-3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3940.1959568675966</v>
      </c>
      <c r="D11" s="11">
        <v>2.8E-3</v>
      </c>
      <c r="E11" s="10">
        <f t="shared" si="2"/>
        <v>11.001743796598475</v>
      </c>
      <c r="F11" s="3"/>
      <c r="G11" s="28"/>
      <c r="H11" s="10"/>
      <c r="I11" s="10">
        <f t="shared" si="5"/>
        <v>1889</v>
      </c>
      <c r="J11" s="10">
        <f t="shared" si="3"/>
        <v>7443030.1625228897</v>
      </c>
      <c r="K11" s="11">
        <f t="shared" si="4"/>
        <v>2.7999999999999137E-3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3929.1942130709981</v>
      </c>
      <c r="D12" s="11">
        <v>2.5999999999999999E-3</v>
      </c>
      <c r="E12" s="10">
        <f t="shared" si="2"/>
        <v>10.189412481532145</v>
      </c>
      <c r="F12" s="3"/>
      <c r="G12" s="28"/>
      <c r="H12" s="10"/>
      <c r="I12" s="10">
        <f t="shared" si="5"/>
        <v>1889</v>
      </c>
      <c r="J12" s="10">
        <f t="shared" si="3"/>
        <v>7422247.868491115</v>
      </c>
      <c r="K12" s="11">
        <f t="shared" si="4"/>
        <v>2.5999999999999357E-3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3919.004800589466</v>
      </c>
      <c r="D13" s="11">
        <v>3.0000000000000001E-3</v>
      </c>
      <c r="E13" s="10">
        <f t="shared" si="2"/>
        <v>11.721848855202552</v>
      </c>
      <c r="F13" s="3"/>
      <c r="G13" s="28"/>
      <c r="H13" s="10"/>
      <c r="I13" s="10">
        <f t="shared" si="5"/>
        <v>1889</v>
      </c>
      <c r="J13" s="10">
        <f t="shared" si="3"/>
        <v>7403000.0683135008</v>
      </c>
      <c r="K13" s="11">
        <f t="shared" si="4"/>
        <v>2.9999999999998916E-3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3907.2829517342634</v>
      </c>
      <c r="D14" s="11">
        <v>3.3999999999999998E-3</v>
      </c>
      <c r="E14" s="10">
        <f t="shared" si="2"/>
        <v>13.239746896448651</v>
      </c>
      <c r="F14" s="3"/>
      <c r="G14" s="28"/>
      <c r="H14" s="10"/>
      <c r="I14" s="10">
        <f t="shared" si="5"/>
        <v>1889</v>
      </c>
      <c r="J14" s="10">
        <f t="shared" si="3"/>
        <v>7380857.4958260236</v>
      </c>
      <c r="K14" s="11">
        <f t="shared" si="4"/>
        <v>3.4000000000000696E-3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3894.0432048378148</v>
      </c>
      <c r="D15" s="11">
        <v>5.5999999999999999E-3</v>
      </c>
      <c r="E15" s="10">
        <f t="shared" si="2"/>
        <v>21.685204800210613</v>
      </c>
      <c r="F15" s="3"/>
      <c r="G15" s="28"/>
      <c r="H15" s="10"/>
      <c r="I15" s="10">
        <f t="shared" si="5"/>
        <v>1889</v>
      </c>
      <c r="J15" s="10">
        <f t="shared" si="3"/>
        <v>7355847.6139386324</v>
      </c>
      <c r="K15" s="11">
        <f t="shared" si="4"/>
        <v>5.6000000000000494E-3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3872.3580000376041</v>
      </c>
      <c r="D16" s="11">
        <v>1.1299999999999999E-2</v>
      </c>
      <c r="E16" s="10">
        <f t="shared" si="2"/>
        <v>43.268708988851358</v>
      </c>
      <c r="F16" s="3"/>
      <c r="G16" s="28"/>
      <c r="H16" s="10"/>
      <c r="I16" s="10">
        <f t="shared" si="5"/>
        <v>1889</v>
      </c>
      <c r="J16" s="10">
        <f t="shared" si="3"/>
        <v>7314884.2620710339</v>
      </c>
      <c r="K16" s="11">
        <f t="shared" si="4"/>
        <v>1.1300000000000088E-2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3829.0892910487528</v>
      </c>
      <c r="D17" s="11">
        <v>1.44E-2</v>
      </c>
      <c r="E17" s="10">
        <f t="shared" si="2"/>
        <v>54.356157128452196</v>
      </c>
      <c r="F17" s="3"/>
      <c r="G17" s="28"/>
      <c r="H17" s="10"/>
      <c r="I17" s="10">
        <f t="shared" si="5"/>
        <v>1889</v>
      </c>
      <c r="J17" s="10">
        <f t="shared" si="3"/>
        <v>7233149.6707910942</v>
      </c>
      <c r="K17" s="11">
        <f t="shared" si="4"/>
        <v>1.4399999999999968E-2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3774.7331339203006</v>
      </c>
      <c r="D18" s="11">
        <v>1.3599999999999999E-2</v>
      </c>
      <c r="E18" s="10">
        <f t="shared" si="2"/>
        <v>50.647563754258499</v>
      </c>
      <c r="F18" s="3"/>
      <c r="G18" s="28"/>
      <c r="H18" s="10"/>
      <c r="I18" s="10">
        <f t="shared" si="5"/>
        <v>1889</v>
      </c>
      <c r="J18" s="10">
        <f t="shared" si="3"/>
        <v>7130470.8899754481</v>
      </c>
      <c r="K18" s="11">
        <f t="shared" si="4"/>
        <v>1.3600000000000056E-2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3724.0855701660421</v>
      </c>
      <c r="D19" s="11">
        <v>1.2999999999999999E-2</v>
      </c>
      <c r="E19" s="10">
        <f t="shared" si="2"/>
        <v>47.791818768172107</v>
      </c>
      <c r="F19" s="3"/>
      <c r="G19" s="28"/>
      <c r="H19" s="10"/>
      <c r="I19" s="10">
        <f t="shared" si="5"/>
        <v>1889</v>
      </c>
      <c r="J19" s="10">
        <f t="shared" si="3"/>
        <v>7034797.6420436539</v>
      </c>
      <c r="K19" s="11">
        <f t="shared" si="4"/>
        <v>1.2999999999999901E-2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3676.29375139787</v>
      </c>
      <c r="D20" s="11">
        <v>1.2800000000000001E-2</v>
      </c>
      <c r="E20" s="10">
        <f t="shared" si="2"/>
        <v>46.461848358898351</v>
      </c>
      <c r="F20" s="3"/>
      <c r="G20" s="28"/>
      <c r="H20" s="10"/>
      <c r="I20" s="10">
        <f t="shared" si="5"/>
        <v>1889</v>
      </c>
      <c r="J20" s="10">
        <f t="shared" si="3"/>
        <v>6944518.8963905768</v>
      </c>
      <c r="K20" s="11">
        <f t="shared" si="4"/>
        <v>1.2799999999999923E-2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3629.8319030389716</v>
      </c>
      <c r="D21" s="11">
        <v>1.29E-2</v>
      </c>
      <c r="E21" s="10">
        <f t="shared" si="2"/>
        <v>46.228484104257404</v>
      </c>
      <c r="F21" s="3"/>
      <c r="G21" s="28"/>
      <c r="H21" s="10"/>
      <c r="I21" s="10">
        <f t="shared" si="5"/>
        <v>1889</v>
      </c>
      <c r="J21" s="10">
        <f t="shared" si="3"/>
        <v>6856752.464840617</v>
      </c>
      <c r="K21" s="11">
        <f t="shared" si="4"/>
        <v>1.2899999999999912E-2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3583.6034189347142</v>
      </c>
      <c r="D22" s="11">
        <v>1.3100000000000001E-2</v>
      </c>
      <c r="E22" s="10">
        <f t="shared" si="2"/>
        <v>46.338174699481897</v>
      </c>
      <c r="F22" s="3"/>
      <c r="G22" s="28"/>
      <c r="H22" s="10"/>
      <c r="I22" s="10">
        <f t="shared" si="5"/>
        <v>1889</v>
      </c>
      <c r="J22" s="10">
        <f t="shared" si="3"/>
        <v>6769426.858367675</v>
      </c>
      <c r="K22" s="11">
        <f t="shared" si="4"/>
        <v>1.3100000000000112E-2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3537.2652442352323</v>
      </c>
      <c r="D23" s="11">
        <v>1.29E-2</v>
      </c>
      <c r="E23" s="10">
        <f t="shared" si="2"/>
        <v>45.049582042288876</v>
      </c>
      <c r="F23" s="3"/>
      <c r="G23" s="28"/>
      <c r="H23" s="10"/>
      <c r="I23" s="10">
        <f t="shared" si="5"/>
        <v>1889</v>
      </c>
      <c r="J23" s="10">
        <f t="shared" si="3"/>
        <v>6681894.0463603539</v>
      </c>
      <c r="K23" s="11">
        <f t="shared" si="4"/>
        <v>1.2900000000000134E-2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3492.2156621929435</v>
      </c>
      <c r="D24" s="11">
        <v>1.29E-2</v>
      </c>
      <c r="E24" s="10">
        <f t="shared" si="2"/>
        <v>44.475843659086422</v>
      </c>
      <c r="F24" s="3"/>
      <c r="G24" s="28"/>
      <c r="H24" s="10"/>
      <c r="I24" s="10">
        <f t="shared" si="5"/>
        <v>1889</v>
      </c>
      <c r="J24" s="10">
        <f t="shared" si="3"/>
        <v>6596795.3858824698</v>
      </c>
      <c r="K24" s="11">
        <f t="shared" si="4"/>
        <v>1.2899999999999912E-2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3447.739818533857</v>
      </c>
      <c r="D25" s="11">
        <v>8.8000000000000005E-3</v>
      </c>
      <c r="E25" s="10">
        <f t="shared" si="2"/>
        <v>30.075446474125329</v>
      </c>
      <c r="F25" s="3"/>
      <c r="G25" s="28"/>
      <c r="H25" s="10"/>
      <c r="I25" s="10">
        <f t="shared" si="5"/>
        <v>1889</v>
      </c>
      <c r="J25" s="10">
        <f t="shared" si="3"/>
        <v>6512780.5172104556</v>
      </c>
      <c r="K25" s="11">
        <f t="shared" si="4"/>
        <v>8.799999999999919E-3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3417.6643720597317</v>
      </c>
      <c r="D26" s="11">
        <v>-1.8E-3</v>
      </c>
      <c r="E26" s="10">
        <f t="shared" si="2"/>
        <v>-6.1628890700335432</v>
      </c>
      <c r="F26" s="3"/>
      <c r="G26" s="28"/>
      <c r="H26" s="10"/>
      <c r="I26" s="10">
        <f t="shared" si="5"/>
        <v>1889</v>
      </c>
      <c r="J26" s="10">
        <f t="shared" si="3"/>
        <v>6455967.9988208329</v>
      </c>
      <c r="K26" s="11">
        <f t="shared" si="4"/>
        <v>-1.8000000000001348E-3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3423.8272611297652</v>
      </c>
      <c r="D27" s="11">
        <v>-8.0000000000000002E-3</v>
      </c>
      <c r="E27" s="10">
        <f t="shared" si="2"/>
        <v>-27.611510170401289</v>
      </c>
      <c r="F27" s="3"/>
      <c r="G27" s="28"/>
      <c r="H27" s="10"/>
      <c r="I27" s="10">
        <f t="shared" si="5"/>
        <v>1889</v>
      </c>
      <c r="J27" s="10">
        <f t="shared" si="3"/>
        <v>6467609.6962741269</v>
      </c>
      <c r="K27" s="11">
        <f t="shared" si="4"/>
        <v>-8.0000000000000071E-3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3451.4387713001665</v>
      </c>
      <c r="D28" s="11">
        <v>-7.4000000000000003E-3</v>
      </c>
      <c r="E28" s="10">
        <f t="shared" si="2"/>
        <v>-25.731056727403939</v>
      </c>
      <c r="F28" s="3"/>
      <c r="G28" s="28"/>
      <c r="H28" s="10"/>
      <c r="I28" s="10">
        <f t="shared" si="5"/>
        <v>1889</v>
      </c>
      <c r="J28" s="10">
        <f t="shared" si="3"/>
        <v>6519767.8389860149</v>
      </c>
      <c r="K28" s="11">
        <f t="shared" si="4"/>
        <v>-7.3999999999999622E-3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3477.1698280275705</v>
      </c>
      <c r="D29" s="11">
        <v>-6.8999999999999999E-3</v>
      </c>
      <c r="E29" s="10">
        <f t="shared" si="2"/>
        <v>-24.159170086990343</v>
      </c>
      <c r="F29" s="3"/>
      <c r="G29" s="28"/>
      <c r="H29" s="10"/>
      <c r="I29" s="10">
        <f t="shared" si="5"/>
        <v>1889</v>
      </c>
      <c r="J29" s="10">
        <f t="shared" si="3"/>
        <v>6568373.8051440809</v>
      </c>
      <c r="K29" s="11">
        <f t="shared" si="4"/>
        <v>-6.8999999999999062E-3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3501.3289981145608</v>
      </c>
      <c r="D30" s="12">
        <v>-6.4999999999999997E-3</v>
      </c>
      <c r="E30" s="10">
        <f t="shared" si="2"/>
        <v>-22.907537481373311</v>
      </c>
      <c r="F30" s="3"/>
      <c r="G30" s="28"/>
      <c r="H30" s="10"/>
      <c r="I30" s="10">
        <f t="shared" si="5"/>
        <v>1889</v>
      </c>
      <c r="J30" s="10">
        <f t="shared" si="3"/>
        <v>6614010.4774384052</v>
      </c>
      <c r="K30" s="11">
        <f t="shared" si="4"/>
        <v>-6.4999999999999503E-3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3524.2365355959341</v>
      </c>
      <c r="D31" s="13">
        <v>-6.1000000000000004E-3</v>
      </c>
      <c r="E31" s="10">
        <f t="shared" si="2"/>
        <v>-21.62978455290795</v>
      </c>
      <c r="F31" s="3"/>
      <c r="G31" s="28"/>
      <c r="H31" s="10"/>
      <c r="I31" s="10">
        <f t="shared" si="5"/>
        <v>1889</v>
      </c>
      <c r="J31" s="10">
        <f t="shared" si="3"/>
        <v>6657282.8157407194</v>
      </c>
      <c r="K31" s="11">
        <f t="shared" si="4"/>
        <v>-6.0999999999999943E-3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3545.8663201488421</v>
      </c>
      <c r="D32" s="12">
        <v>-5.7000000000000002E-3</v>
      </c>
      <c r="E32" s="10">
        <f t="shared" si="2"/>
        <v>-20.327303655686137</v>
      </c>
      <c r="F32" s="3"/>
      <c r="G32" s="28"/>
      <c r="H32" s="10"/>
      <c r="I32" s="10">
        <f t="shared" si="5"/>
        <v>1889</v>
      </c>
      <c r="J32" s="10">
        <f t="shared" si="3"/>
        <v>6698141.4787611626</v>
      </c>
      <c r="K32" s="11">
        <f t="shared" si="4"/>
        <v>-5.7000000000001494E-3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3566.1936238045282</v>
      </c>
      <c r="D33" s="13">
        <v>-5.1999999999999998E-3</v>
      </c>
      <c r="E33" s="10">
        <f t="shared" si="2"/>
        <v>-18.641140775817803</v>
      </c>
      <c r="F33" s="3"/>
      <c r="G33" s="28"/>
      <c r="H33" s="10"/>
      <c r="I33" s="10">
        <f t="shared" si="5"/>
        <v>1889</v>
      </c>
      <c r="J33" s="10">
        <f t="shared" si="3"/>
        <v>6736539.7553667538</v>
      </c>
      <c r="K33" s="11">
        <f t="shared" si="4"/>
        <v>-5.1999999999999824E-3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3584.834764580346</v>
      </c>
      <c r="D34" s="12">
        <v>-4.7000000000000002E-3</v>
      </c>
      <c r="E34" s="10">
        <f t="shared" si="2"/>
        <v>-16.928286339322767</v>
      </c>
      <c r="F34" s="3"/>
      <c r="G34" s="28"/>
      <c r="H34" s="10"/>
      <c r="I34" s="10">
        <f t="shared" si="5"/>
        <v>1889</v>
      </c>
      <c r="J34" s="10">
        <f t="shared" ref="J34:J65" si="6">IF(I34="","",I34*C34)</f>
        <v>6771752.8702922734</v>
      </c>
      <c r="K34" s="11">
        <f t="shared" ref="K34:K65" si="7">IFERROR(J34/J35-1,"")</f>
        <v>-4.7000000000001485E-3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3601.7630509196688</v>
      </c>
      <c r="D35" s="11">
        <v>-3.8999999999999998E-3</v>
      </c>
      <c r="E35" s="10">
        <f t="shared" si="2"/>
        <v>-14.101873204082494</v>
      </c>
      <c r="F35" s="3"/>
      <c r="G35" s="28"/>
      <c r="H35" s="10"/>
      <c r="I35" s="10">
        <f t="shared" ref="I35:I66" si="8">IF(H35&lt;&gt;"",H35,I34/(1+IF(G34="",0,G34)/100))</f>
        <v>1889</v>
      </c>
      <c r="J35" s="10">
        <f t="shared" si="6"/>
        <v>6803730.4031872544</v>
      </c>
      <c r="K35" s="11">
        <f t="shared" si="7"/>
        <v>-3.8999999999999035E-3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3615.8649241237513</v>
      </c>
      <c r="D36" s="11">
        <v>-3.5999999999999999E-3</v>
      </c>
      <c r="E36" s="10">
        <f t="shared" si="2"/>
        <v>-13.064144647576995</v>
      </c>
      <c r="F36" s="3"/>
      <c r="G36" s="28"/>
      <c r="H36" s="10"/>
      <c r="I36" s="10">
        <f t="shared" si="8"/>
        <v>1889</v>
      </c>
      <c r="J36" s="10">
        <f t="shared" si="6"/>
        <v>6830368.8416697662</v>
      </c>
      <c r="K36" s="11">
        <f t="shared" si="7"/>
        <v>-3.6000000000001586E-3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3628.9290687713283</v>
      </c>
      <c r="D37" s="11">
        <v>-4.3E-3</v>
      </c>
      <c r="E37" s="10">
        <f t="shared" si="2"/>
        <v>-15.67178366547796</v>
      </c>
      <c r="F37" s="3"/>
      <c r="G37" s="28"/>
      <c r="H37" s="10"/>
      <c r="I37" s="10">
        <f t="shared" si="8"/>
        <v>1889</v>
      </c>
      <c r="J37" s="10">
        <f t="shared" si="6"/>
        <v>6855047.0109090395</v>
      </c>
      <c r="K37" s="11">
        <f t="shared" si="7"/>
        <v>-4.2999999999998595E-3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3644.6008524368062</v>
      </c>
      <c r="D38" s="11">
        <v>-4.3E-3</v>
      </c>
      <c r="E38" s="10">
        <f t="shared" si="2"/>
        <v>-15.73946335791743</v>
      </c>
      <c r="F38" s="3"/>
      <c r="G38" s="28"/>
      <c r="H38" s="10"/>
      <c r="I38" s="10">
        <f t="shared" si="8"/>
        <v>1889</v>
      </c>
      <c r="J38" s="10">
        <f t="shared" si="6"/>
        <v>6884651.0102531267</v>
      </c>
      <c r="K38" s="11">
        <f t="shared" si="7"/>
        <v>-4.3000000000000815E-3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3660.3403157947237</v>
      </c>
      <c r="D39" s="11">
        <v>-3.3E-3</v>
      </c>
      <c r="E39" s="10">
        <f t="shared" si="2"/>
        <v>-12.11911612533595</v>
      </c>
      <c r="F39" s="3"/>
      <c r="G39" s="28"/>
      <c r="H39" s="10"/>
      <c r="I39" s="10">
        <f t="shared" si="8"/>
        <v>1889</v>
      </c>
      <c r="J39" s="10">
        <f t="shared" si="6"/>
        <v>6914382.8565362329</v>
      </c>
      <c r="K39" s="11">
        <f t="shared" si="7"/>
        <v>-3.2999999999999696E-3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3672.4594319200596</v>
      </c>
      <c r="D40" s="11">
        <v>-2.8999999999999998E-3</v>
      </c>
      <c r="E40" s="10">
        <f t="shared" si="2"/>
        <v>-10.68110756450551</v>
      </c>
      <c r="F40" s="3"/>
      <c r="G40" s="28"/>
      <c r="H40" s="10"/>
      <c r="I40" s="10">
        <f t="shared" si="8"/>
        <v>1889</v>
      </c>
      <c r="J40" s="10">
        <f t="shared" si="6"/>
        <v>6937275.8668969925</v>
      </c>
      <c r="K40" s="11">
        <f t="shared" si="7"/>
        <v>-2.9000000000000137E-3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3683.1405394845651</v>
      </c>
      <c r="D41" s="11">
        <v>-2.8E-3</v>
      </c>
      <c r="E41" s="10">
        <f t="shared" si="2"/>
        <v>-10.341750411709654</v>
      </c>
      <c r="F41" s="3"/>
      <c r="G41" s="28"/>
      <c r="H41" s="10"/>
      <c r="I41" s="10">
        <f t="shared" si="8"/>
        <v>1889</v>
      </c>
      <c r="J41" s="10">
        <f t="shared" si="6"/>
        <v>6957452.4790863432</v>
      </c>
      <c r="K41" s="11">
        <f t="shared" si="7"/>
        <v>-2.8000000000000247E-3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3693.4822898962748</v>
      </c>
      <c r="D42" s="11">
        <v>-3.0000000000000001E-3</v>
      </c>
      <c r="E42" s="10">
        <f t="shared" si="2"/>
        <v>-11.113788234391905</v>
      </c>
      <c r="F42" s="3"/>
      <c r="G42" s="28"/>
      <c r="H42" s="10"/>
      <c r="I42" s="10">
        <f t="shared" si="8"/>
        <v>1889</v>
      </c>
      <c r="J42" s="10">
        <f t="shared" si="6"/>
        <v>6976988.0456140628</v>
      </c>
      <c r="K42" s="11">
        <f t="shared" si="7"/>
        <v>-3.0000000000000027E-3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3704.5960781306667</v>
      </c>
      <c r="D43" s="11">
        <v>-3.2000000000000002E-3</v>
      </c>
      <c r="E43" s="10">
        <f t="shared" si="2"/>
        <v>-11.892764295764664</v>
      </c>
      <c r="F43" s="3"/>
      <c r="G43" s="28"/>
      <c r="H43" s="10"/>
      <c r="I43" s="10">
        <f t="shared" si="8"/>
        <v>1889</v>
      </c>
      <c r="J43" s="10">
        <f t="shared" si="6"/>
        <v>6997981.9915888291</v>
      </c>
      <c r="K43" s="11">
        <f t="shared" si="7"/>
        <v>-3.2000000000000917E-3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3716.4888424264313</v>
      </c>
      <c r="D44" s="11">
        <v>-3.5000000000000001E-3</v>
      </c>
      <c r="E44" s="10">
        <f t="shared" si="2"/>
        <v>-13.053397840935759</v>
      </c>
      <c r="F44" s="3"/>
      <c r="G44" s="28"/>
      <c r="H44" s="10"/>
      <c r="I44" s="10">
        <f t="shared" si="8"/>
        <v>1889</v>
      </c>
      <c r="J44" s="10">
        <f t="shared" si="6"/>
        <v>7020447.423343529</v>
      </c>
      <c r="K44" s="11">
        <f t="shared" si="7"/>
        <v>-3.4999999999999476E-3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3729.5422402673671</v>
      </c>
      <c r="D45" s="11">
        <v>-3.8999999999999998E-3</v>
      </c>
      <c r="E45" s="10">
        <f t="shared" si="2"/>
        <v>-14.602163173419285</v>
      </c>
      <c r="F45" s="3"/>
      <c r="G45" s="28"/>
      <c r="H45" s="10"/>
      <c r="I45" s="10">
        <f t="shared" si="8"/>
        <v>1889</v>
      </c>
      <c r="J45" s="10">
        <f t="shared" si="6"/>
        <v>7045105.2918650564</v>
      </c>
      <c r="K45" s="11">
        <f t="shared" si="7"/>
        <v>-3.9000000000001256E-3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3744.1444034407864</v>
      </c>
      <c r="D46" s="11">
        <v>-8.9999999999999993E-3</v>
      </c>
      <c r="E46" s="10">
        <f t="shared" si="2"/>
        <v>-34.003329597343054</v>
      </c>
      <c r="F46" s="3"/>
      <c r="G46" s="28"/>
      <c r="H46" s="10"/>
      <c r="I46" s="10">
        <f t="shared" si="8"/>
        <v>1889</v>
      </c>
      <c r="J46" s="10">
        <f t="shared" si="6"/>
        <v>7072688.7780996459</v>
      </c>
      <c r="K46" s="11">
        <f t="shared" si="7"/>
        <v>-9.000000000000008E-3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3778.1477330381294</v>
      </c>
      <c r="D47" s="11">
        <v>-2.4899999999999999E-2</v>
      </c>
      <c r="E47" s="10">
        <f t="shared" si="2"/>
        <v>-96.478185368320737</v>
      </c>
      <c r="F47" s="3"/>
      <c r="G47" s="28"/>
      <c r="H47" s="10"/>
      <c r="I47" s="10">
        <f t="shared" si="8"/>
        <v>1889</v>
      </c>
      <c r="J47" s="10">
        <f t="shared" si="6"/>
        <v>7136921.0677090269</v>
      </c>
      <c r="K47" s="11">
        <f t="shared" si="7"/>
        <v>-2.4900000000000033E-2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3874.6259184064502</v>
      </c>
      <c r="D48" s="11">
        <v>-3.2599999999999997E-2</v>
      </c>
      <c r="E48" s="10">
        <f t="shared" si="2"/>
        <v>-130.56936628080439</v>
      </c>
      <c r="F48" s="3"/>
      <c r="G48" s="28"/>
      <c r="H48" s="10"/>
      <c r="I48" s="10">
        <f t="shared" si="8"/>
        <v>1889</v>
      </c>
      <c r="J48" s="10">
        <f t="shared" si="6"/>
        <v>7319168.3598697847</v>
      </c>
      <c r="K48" s="11">
        <f t="shared" si="7"/>
        <v>-3.2599999999999962E-2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4005.1952846872546</v>
      </c>
      <c r="D49" s="11">
        <v>-2.8400000000000002E-2</v>
      </c>
      <c r="E49" s="10">
        <f t="shared" si="2"/>
        <v>-117.0724023107432</v>
      </c>
      <c r="F49" s="3"/>
      <c r="G49" s="28"/>
      <c r="H49" s="10"/>
      <c r="I49" s="10">
        <f t="shared" si="8"/>
        <v>1889</v>
      </c>
      <c r="J49" s="10">
        <f t="shared" si="6"/>
        <v>7565813.8927742243</v>
      </c>
      <c r="K49" s="11">
        <f t="shared" si="7"/>
        <v>-2.8399999999999981E-2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4122.2676869979978</v>
      </c>
      <c r="D50" s="11">
        <v>-2.63E-2</v>
      </c>
      <c r="E50" s="10">
        <f t="shared" si="2"/>
        <v>-111.34398702685394</v>
      </c>
      <c r="F50" s="3"/>
      <c r="G50" s="28"/>
      <c r="H50" s="10"/>
      <c r="I50" s="10">
        <f t="shared" si="8"/>
        <v>1889</v>
      </c>
      <c r="J50" s="10">
        <f t="shared" si="6"/>
        <v>7786963.6607392179</v>
      </c>
      <c r="K50" s="11">
        <f t="shared" si="7"/>
        <v>-2.6300000000000101E-2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4233.6116740248517</v>
      </c>
      <c r="D51" s="11">
        <v>-2.46E-2</v>
      </c>
      <c r="E51" s="10">
        <f t="shared" si="2"/>
        <v>-106.77347465758794</v>
      </c>
      <c r="F51" s="3"/>
      <c r="G51" s="28"/>
      <c r="H51" s="10"/>
      <c r="I51" s="10">
        <f t="shared" si="8"/>
        <v>1889</v>
      </c>
      <c r="J51" s="10">
        <f t="shared" si="6"/>
        <v>7997292.4522329448</v>
      </c>
      <c r="K51" s="11">
        <f t="shared" si="7"/>
        <v>-2.4600000000000066E-2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4340.3851486824396</v>
      </c>
      <c r="D52" s="11">
        <v>-2.29E-2</v>
      </c>
      <c r="E52" s="10">
        <f t="shared" si="2"/>
        <v>-101.72430652423282</v>
      </c>
      <c r="F52" s="3"/>
      <c r="G52" s="28"/>
      <c r="H52" s="10"/>
      <c r="I52" s="10">
        <f t="shared" si="8"/>
        <v>1889</v>
      </c>
      <c r="J52" s="10">
        <f t="shared" si="6"/>
        <v>8198987.5458611287</v>
      </c>
      <c r="K52" s="11">
        <f t="shared" si="7"/>
        <v>-2.2900000000000031E-2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4442.1094552066725</v>
      </c>
      <c r="D53" s="11">
        <v>-2.1100000000000001E-2</v>
      </c>
      <c r="E53" s="10">
        <f t="shared" si="2"/>
        <v>-95.748809382838772</v>
      </c>
      <c r="F53" s="3"/>
      <c r="G53" s="28"/>
      <c r="H53" s="10"/>
      <c r="I53" s="10">
        <f t="shared" si="8"/>
        <v>1889</v>
      </c>
      <c r="J53" s="10">
        <f t="shared" si="6"/>
        <v>8391144.7608854044</v>
      </c>
      <c r="K53" s="11">
        <f t="shared" si="7"/>
        <v>-2.1100000000000119E-2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4537.8582645895112</v>
      </c>
      <c r="D54" s="11">
        <v>-1.89E-2</v>
      </c>
      <c r="E54" s="10">
        <f t="shared" si="2"/>
        <v>-87.41771603378038</v>
      </c>
      <c r="F54" s="3"/>
      <c r="G54" s="28"/>
      <c r="H54" s="10"/>
      <c r="I54" s="10">
        <f t="shared" si="8"/>
        <v>1889</v>
      </c>
      <c r="J54" s="10">
        <f t="shared" si="6"/>
        <v>8572014.2618095875</v>
      </c>
      <c r="K54" s="11">
        <f t="shared" si="7"/>
        <v>-1.8900000000000028E-2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4625.2759806232916</v>
      </c>
      <c r="D55" s="11">
        <v>-1.5900000000000001E-2</v>
      </c>
      <c r="E55" s="10">
        <f t="shared" si="2"/>
        <v>-74.730096628300089</v>
      </c>
      <c r="F55" s="3"/>
      <c r="G55" s="28"/>
      <c r="H55" s="10"/>
      <c r="I55" s="10">
        <f t="shared" si="8"/>
        <v>1889</v>
      </c>
      <c r="J55" s="10">
        <f t="shared" si="6"/>
        <v>8737146.3273973987</v>
      </c>
      <c r="K55" s="11">
        <f t="shared" si="7"/>
        <v>-1.5899999999999914E-2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4700.0060772515917</v>
      </c>
      <c r="D56" s="11">
        <v>-8.6E-3</v>
      </c>
      <c r="E56" s="10">
        <f t="shared" si="2"/>
        <v>-40.77068011333904</v>
      </c>
      <c r="F56" s="3"/>
      <c r="G56" s="28"/>
      <c r="H56" s="10"/>
      <c r="I56" s="10">
        <f t="shared" si="8"/>
        <v>1889</v>
      </c>
      <c r="J56" s="10">
        <f t="shared" si="6"/>
        <v>8878311.4799282569</v>
      </c>
      <c r="K56" s="11">
        <f t="shared" si="7"/>
        <v>-8.6000000000001631E-3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4740.7767573649307</v>
      </c>
      <c r="D57" s="11">
        <v>-7.0000000000000001E-3</v>
      </c>
      <c r="E57" s="10">
        <f t="shared" si="2"/>
        <v>-33.419372911937899</v>
      </c>
      <c r="F57" s="3"/>
      <c r="G57" s="28"/>
      <c r="H57" s="10"/>
      <c r="I57" s="10">
        <f t="shared" si="8"/>
        <v>1889</v>
      </c>
      <c r="J57" s="10">
        <f t="shared" si="6"/>
        <v>8955327.2946623545</v>
      </c>
      <c r="K57" s="11">
        <f t="shared" si="7"/>
        <v>-6.9999999999997842E-3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4774.1961302768686</v>
      </c>
      <c r="D58" s="11">
        <v>-4.0000000000000001E-3</v>
      </c>
      <c r="E58" s="10">
        <f t="shared" si="2"/>
        <v>-19.173478434847311</v>
      </c>
      <c r="F58" s="3"/>
      <c r="G58" s="28"/>
      <c r="H58" s="10"/>
      <c r="I58" s="10">
        <f t="shared" si="8"/>
        <v>1889</v>
      </c>
      <c r="J58" s="10">
        <f t="shared" si="6"/>
        <v>9018456.490093004</v>
      </c>
      <c r="K58" s="11">
        <f t="shared" si="7"/>
        <v>-4.0000000000001146E-3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4793.369608711716</v>
      </c>
      <c r="D59" s="11">
        <v>0</v>
      </c>
      <c r="E59" s="10">
        <f t="shared" si="2"/>
        <v>0</v>
      </c>
      <c r="F59" s="3"/>
      <c r="G59" s="28"/>
      <c r="H59" s="10"/>
      <c r="I59" s="10">
        <f t="shared" si="8"/>
        <v>1889</v>
      </c>
      <c r="J59" s="10">
        <f t="shared" si="6"/>
        <v>9054675.1908564307</v>
      </c>
      <c r="K59" s="11">
        <f t="shared" si="7"/>
        <v>0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4793.369608711716</v>
      </c>
      <c r="D60" s="11">
        <v>4.0000000000000001E-3</v>
      </c>
      <c r="E60" s="10">
        <f t="shared" si="2"/>
        <v>19.09709007454876</v>
      </c>
      <c r="F60" s="3"/>
      <c r="G60" s="28"/>
      <c r="H60" s="10"/>
      <c r="I60" s="10">
        <f t="shared" si="8"/>
        <v>1889</v>
      </c>
      <c r="J60" s="10">
        <f t="shared" si="6"/>
        <v>9054675.1908564307</v>
      </c>
      <c r="K60" s="11">
        <f t="shared" si="7"/>
        <v>3.9999999999997815E-3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4774.2725186371672</v>
      </c>
      <c r="D61" s="11">
        <v>7.0000000000000001E-3</v>
      </c>
      <c r="E61" s="10">
        <f t="shared" si="2"/>
        <v>33.187594469175565</v>
      </c>
      <c r="F61" s="3"/>
      <c r="G61" s="28"/>
      <c r="H61" s="10"/>
      <c r="I61" s="10">
        <f t="shared" si="8"/>
        <v>1889</v>
      </c>
      <c r="J61" s="10">
        <f t="shared" si="6"/>
        <v>9018600.7877056096</v>
      </c>
      <c r="K61" s="11">
        <f t="shared" si="7"/>
        <v>7.0000000000001172E-3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4741.0849241679916</v>
      </c>
      <c r="D62" s="11">
        <v>0.01</v>
      </c>
      <c r="E62" s="10">
        <f t="shared" si="2"/>
        <v>46.941434892752113</v>
      </c>
      <c r="F62" s="3"/>
      <c r="G62" s="28"/>
      <c r="H62" s="10"/>
      <c r="I62" s="10">
        <f t="shared" si="8"/>
        <v>1889</v>
      </c>
      <c r="J62" s="10">
        <f t="shared" si="6"/>
        <v>8955909.4217533357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4694.1434892752395</v>
      </c>
      <c r="D63" s="11">
        <v>1.2E-2</v>
      </c>
      <c r="E63" s="10">
        <f t="shared" si="2"/>
        <v>55.661780505240131</v>
      </c>
      <c r="F63" s="3"/>
      <c r="G63" s="28"/>
      <c r="H63" s="10"/>
      <c r="I63" s="10">
        <f t="shared" si="8"/>
        <v>1889</v>
      </c>
      <c r="J63" s="10">
        <f t="shared" si="6"/>
        <v>8867237.0512409266</v>
      </c>
      <c r="K63" s="11">
        <f t="shared" si="7"/>
        <v>1.1999999999999789E-2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4638.4817087699994</v>
      </c>
      <c r="D64" s="11">
        <v>1.2999999999999999E-2</v>
      </c>
      <c r="E64" s="10">
        <f t="shared" si="2"/>
        <v>59.526418769999509</v>
      </c>
      <c r="F64" s="3"/>
      <c r="G64" s="28"/>
      <c r="H64" s="10"/>
      <c r="I64" s="10">
        <f t="shared" si="8"/>
        <v>1889</v>
      </c>
      <c r="J64" s="10">
        <f t="shared" si="6"/>
        <v>8762091.9478665292</v>
      </c>
      <c r="K64" s="11">
        <f t="shared" si="7"/>
        <v>1.2999999999999901E-2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4578.9552899999999</v>
      </c>
      <c r="D65" s="11">
        <v>1.4E-2</v>
      </c>
      <c r="E65" s="10">
        <f t="shared" si="2"/>
        <v>63.220290000000205</v>
      </c>
      <c r="F65" s="3"/>
      <c r="G65" s="28"/>
      <c r="H65" s="10"/>
      <c r="I65" s="10">
        <f t="shared" si="8"/>
        <v>1889</v>
      </c>
      <c r="J65" s="10">
        <f t="shared" si="6"/>
        <v>8649646.5428100005</v>
      </c>
      <c r="K65" s="11">
        <f t="shared" si="7"/>
        <v>1.4000000000000234E-2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4515.7349999999997</v>
      </c>
      <c r="D66" s="11">
        <v>1.4999999999999999E-2</v>
      </c>
      <c r="E66" s="10">
        <f t="shared" si="2"/>
        <v>66.734999999999673</v>
      </c>
      <c r="F66" s="3"/>
      <c r="G66" s="28"/>
      <c r="H66" s="10"/>
      <c r="I66" s="10">
        <f t="shared" si="8"/>
        <v>1889</v>
      </c>
      <c r="J66" s="10">
        <f t="shared" ref="J66:J67" si="9">IF(I66="","",I66*C66)</f>
        <v>8530223.4149999991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4449</v>
      </c>
      <c r="D67" s="11">
        <v>1.4999999999999999E-2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1889</v>
      </c>
      <c r="J67" s="10">
        <f t="shared" si="9"/>
        <v>8404161</v>
      </c>
      <c r="K67" s="11"/>
    </row>
  </sheetData>
  <dataValidations count="1">
    <dataValidation type="custom" allowBlank="1" showDropDown="1" sqref="D2:D67" xr:uid="{00000000-0002-0000-1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7"/>
  <sheetViews>
    <sheetView workbookViewId="0">
      <selection activeCell="A2" sqref="A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4523641.0223744391</v>
      </c>
      <c r="D2" s="11">
        <v>1.3599999999999999E-2</v>
      </c>
      <c r="E2" s="10">
        <f t="shared" ref="E2:E66" si="2">SUM(C2-C3)</f>
        <v>60696.051602498628</v>
      </c>
      <c r="F2" s="15">
        <v>4523613</v>
      </c>
      <c r="G2" s="28"/>
      <c r="H2" s="10"/>
      <c r="I2" s="10">
        <f>IF(H2&lt;&gt;"",H2,11230)</f>
        <v>11230</v>
      </c>
      <c r="J2" s="10">
        <f t="shared" ref="J2:J33" si="3">IF(I2="","",I2*C2)</f>
        <v>50800488681.264954</v>
      </c>
      <c r="K2" s="11">
        <f t="shared" ref="K2:K33" si="4">IFERROR(J2/J3-1,"")</f>
        <v>1.3600000000000056E-2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4462944.9707719404</v>
      </c>
      <c r="D3" s="11">
        <v>1.37E-2</v>
      </c>
      <c r="E3" s="10">
        <f t="shared" si="2"/>
        <v>60316.016671180725</v>
      </c>
      <c r="F3" s="3"/>
      <c r="G3" s="28"/>
      <c r="H3" s="10"/>
      <c r="I3" s="10">
        <f t="shared" ref="I3:I34" si="5">IF(H3&lt;&gt;"",H3,I2/(1+IF(G2="",0,G2)/100))</f>
        <v>11230</v>
      </c>
      <c r="J3" s="10">
        <f t="shared" si="3"/>
        <v>50118872021.76889</v>
      </c>
      <c r="K3" s="11">
        <f t="shared" si="4"/>
        <v>1.3700000000000045E-2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4402628.9541007597</v>
      </c>
      <c r="D4" s="11">
        <v>1.3899999999999999E-2</v>
      </c>
      <c r="E4" s="10">
        <f t="shared" si="2"/>
        <v>60357.57220830489</v>
      </c>
      <c r="F4" s="3"/>
      <c r="G4" s="28"/>
      <c r="H4" s="10"/>
      <c r="I4" s="10">
        <f t="shared" si="5"/>
        <v>11230</v>
      </c>
      <c r="J4" s="10">
        <f t="shared" si="3"/>
        <v>49441523154.551529</v>
      </c>
      <c r="K4" s="11">
        <f t="shared" si="4"/>
        <v>1.3899999999999801E-2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4342271.3818924548</v>
      </c>
      <c r="D5" s="11">
        <v>1.4E-2</v>
      </c>
      <c r="E5" s="10">
        <f t="shared" si="2"/>
        <v>59952.464838751592</v>
      </c>
      <c r="F5" s="3"/>
      <c r="G5" s="28"/>
      <c r="H5" s="10"/>
      <c r="I5" s="10">
        <f t="shared" si="5"/>
        <v>11230</v>
      </c>
      <c r="J5" s="10">
        <f t="shared" si="3"/>
        <v>48763707618.652267</v>
      </c>
      <c r="K5" s="11">
        <f t="shared" si="4"/>
        <v>1.4000000000000012E-2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4282318.9170537032</v>
      </c>
      <c r="D6" s="11">
        <v>1.41E-2</v>
      </c>
      <c r="E6" s="10">
        <f t="shared" si="2"/>
        <v>59541.166285826825</v>
      </c>
      <c r="F6" s="3"/>
      <c r="G6" s="28"/>
      <c r="H6" s="10"/>
      <c r="I6" s="10">
        <f t="shared" si="5"/>
        <v>11230</v>
      </c>
      <c r="J6" s="10">
        <f t="shared" si="3"/>
        <v>48090441438.513084</v>
      </c>
      <c r="K6" s="11">
        <f t="shared" si="4"/>
        <v>1.4099999999999779E-2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4222777.7507678764</v>
      </c>
      <c r="D7" s="11">
        <v>1.4200000000000001E-2</v>
      </c>
      <c r="E7" s="10">
        <f t="shared" si="2"/>
        <v>59123.884895389434</v>
      </c>
      <c r="F7" s="3"/>
      <c r="G7" s="28"/>
      <c r="H7" s="10"/>
      <c r="I7" s="10">
        <f t="shared" si="5"/>
        <v>11230</v>
      </c>
      <c r="J7" s="10">
        <f t="shared" si="3"/>
        <v>47421794141.123253</v>
      </c>
      <c r="K7" s="11">
        <f t="shared" si="4"/>
        <v>1.419999999999999E-2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4163653.865872487</v>
      </c>
      <c r="D8" s="11">
        <v>1.4200000000000001E-2</v>
      </c>
      <c r="E8" s="10">
        <f t="shared" si="2"/>
        <v>58296.080551557243</v>
      </c>
      <c r="F8" s="3"/>
      <c r="G8" s="28"/>
      <c r="H8" s="10"/>
      <c r="I8" s="10">
        <f t="shared" si="5"/>
        <v>11230</v>
      </c>
      <c r="J8" s="10">
        <f t="shared" si="3"/>
        <v>46757832913.748032</v>
      </c>
      <c r="K8" s="11">
        <f t="shared" si="4"/>
        <v>1.4200000000000212E-2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4105357.7853209297</v>
      </c>
      <c r="D9" s="11">
        <v>1.43E-2</v>
      </c>
      <c r="E9" s="10">
        <f t="shared" si="2"/>
        <v>57878.947382519022</v>
      </c>
      <c r="F9" s="3"/>
      <c r="G9" s="28"/>
      <c r="H9" s="10"/>
      <c r="I9" s="10">
        <f t="shared" si="5"/>
        <v>11230</v>
      </c>
      <c r="J9" s="10">
        <f t="shared" si="3"/>
        <v>46103167929.154037</v>
      </c>
      <c r="K9" s="11">
        <f t="shared" si="4"/>
        <v>1.4299999999999757E-2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4047478.8379384107</v>
      </c>
      <c r="D10" s="11">
        <v>1.44E-2</v>
      </c>
      <c r="E10" s="10">
        <f t="shared" si="2"/>
        <v>57456.324197863694</v>
      </c>
      <c r="F10" s="3"/>
      <c r="G10" s="28"/>
      <c r="H10" s="10"/>
      <c r="I10" s="10">
        <f t="shared" si="5"/>
        <v>11230</v>
      </c>
      <c r="J10" s="10">
        <f t="shared" si="3"/>
        <v>45453187350.048355</v>
      </c>
      <c r="K10" s="11">
        <f t="shared" si="4"/>
        <v>1.4399999999999968E-2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3990022.513740547</v>
      </c>
      <c r="D11" s="11">
        <v>1.43E-2</v>
      </c>
      <c r="E11" s="10">
        <f t="shared" si="2"/>
        <v>56252.905399280135</v>
      </c>
      <c r="F11" s="3"/>
      <c r="G11" s="28"/>
      <c r="H11" s="10"/>
      <c r="I11" s="10">
        <f t="shared" si="5"/>
        <v>11230</v>
      </c>
      <c r="J11" s="10">
        <f t="shared" si="3"/>
        <v>44807952829.306343</v>
      </c>
      <c r="K11" s="11">
        <f t="shared" si="4"/>
        <v>1.4299999999999979E-2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3933769.6083412669</v>
      </c>
      <c r="D12" s="11">
        <v>1.2999999999999999E-2</v>
      </c>
      <c r="E12" s="10">
        <f t="shared" si="2"/>
        <v>50482.729425899219</v>
      </c>
      <c r="F12" s="3"/>
      <c r="G12" s="28"/>
      <c r="H12" s="10"/>
      <c r="I12" s="10">
        <f t="shared" si="5"/>
        <v>11230</v>
      </c>
      <c r="J12" s="10">
        <f t="shared" si="3"/>
        <v>44176232701.672424</v>
      </c>
      <c r="K12" s="11">
        <f t="shared" si="4"/>
        <v>1.2999999999999678E-2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3883286.8789153676</v>
      </c>
      <c r="D13" s="11">
        <v>1.18E-2</v>
      </c>
      <c r="E13" s="10">
        <f t="shared" si="2"/>
        <v>45288.382260527462</v>
      </c>
      <c r="F13" s="3"/>
      <c r="G13" s="28"/>
      <c r="H13" s="10"/>
      <c r="I13" s="10">
        <f t="shared" si="5"/>
        <v>11230</v>
      </c>
      <c r="J13" s="10">
        <f t="shared" si="3"/>
        <v>43609311650.219582</v>
      </c>
      <c r="K13" s="11">
        <f t="shared" si="4"/>
        <v>1.1800000000000255E-2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3837998.4966548402</v>
      </c>
      <c r="D14" s="11">
        <v>1.18E-2</v>
      </c>
      <c r="E14" s="10">
        <f t="shared" si="2"/>
        <v>44760.211761738639</v>
      </c>
      <c r="F14" s="3"/>
      <c r="G14" s="28"/>
      <c r="H14" s="10"/>
      <c r="I14" s="10">
        <f t="shared" si="5"/>
        <v>11230</v>
      </c>
      <c r="J14" s="10">
        <f t="shared" si="3"/>
        <v>43100723117.433853</v>
      </c>
      <c r="K14" s="11">
        <f t="shared" si="4"/>
        <v>1.1799999999999811E-2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3793238.2848931015</v>
      </c>
      <c r="D15" s="11">
        <v>1.21E-2</v>
      </c>
      <c r="E15" s="10">
        <f t="shared" si="2"/>
        <v>45349.454843598884</v>
      </c>
      <c r="F15" s="3"/>
      <c r="G15" s="28"/>
      <c r="H15" s="10"/>
      <c r="I15" s="10">
        <f t="shared" si="5"/>
        <v>11230</v>
      </c>
      <c r="J15" s="10">
        <f t="shared" si="3"/>
        <v>42598065939.349533</v>
      </c>
      <c r="K15" s="11">
        <f t="shared" si="4"/>
        <v>1.21E-2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3747888.8300495027</v>
      </c>
      <c r="D16" s="11">
        <v>1.29E-2</v>
      </c>
      <c r="E16" s="10">
        <f t="shared" si="2"/>
        <v>47732.022813346237</v>
      </c>
      <c r="F16" s="3"/>
      <c r="G16" s="28"/>
      <c r="H16" s="10"/>
      <c r="I16" s="10">
        <f t="shared" si="5"/>
        <v>11230</v>
      </c>
      <c r="J16" s="10">
        <f t="shared" si="3"/>
        <v>42088791561.455917</v>
      </c>
      <c r="K16" s="11">
        <f t="shared" si="4"/>
        <v>1.2899999999999912E-2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3700156.8072361564</v>
      </c>
      <c r="D17" s="11">
        <v>1.38E-2</v>
      </c>
      <c r="E17" s="10">
        <f t="shared" si="2"/>
        <v>50367.097987629939</v>
      </c>
      <c r="F17" s="3"/>
      <c r="G17" s="28"/>
      <c r="H17" s="10"/>
      <c r="I17" s="10">
        <f t="shared" si="5"/>
        <v>11230</v>
      </c>
      <c r="J17" s="10">
        <f t="shared" si="3"/>
        <v>41552760945.262039</v>
      </c>
      <c r="K17" s="11">
        <f t="shared" si="4"/>
        <v>1.3800000000000034E-2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3649789.7092485265</v>
      </c>
      <c r="D18" s="11">
        <v>1.43E-2</v>
      </c>
      <c r="E18" s="10">
        <f t="shared" si="2"/>
        <v>51456.169616734609</v>
      </c>
      <c r="F18" s="3"/>
      <c r="G18" s="28"/>
      <c r="H18" s="10"/>
      <c r="I18" s="10">
        <f t="shared" si="5"/>
        <v>11230</v>
      </c>
      <c r="J18" s="10">
        <f t="shared" si="3"/>
        <v>40987138434.860954</v>
      </c>
      <c r="K18" s="11">
        <f t="shared" si="4"/>
        <v>1.4299999999999979E-2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3598333.5396317919</v>
      </c>
      <c r="D19" s="11">
        <v>1.5299999999999999E-2</v>
      </c>
      <c r="E19" s="10">
        <f t="shared" si="2"/>
        <v>54224.862756196875</v>
      </c>
      <c r="F19" s="3"/>
      <c r="G19" s="28"/>
      <c r="H19" s="10"/>
      <c r="I19" s="10">
        <f t="shared" si="5"/>
        <v>11230</v>
      </c>
      <c r="J19" s="10">
        <f t="shared" si="3"/>
        <v>40409285650.065025</v>
      </c>
      <c r="K19" s="11">
        <f t="shared" si="4"/>
        <v>1.5300000000000091E-2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3544108.676875595</v>
      </c>
      <c r="D20" s="11">
        <v>1.67E-2</v>
      </c>
      <c r="E20" s="10">
        <f t="shared" si="2"/>
        <v>58214.433858387172</v>
      </c>
      <c r="F20" s="3"/>
      <c r="G20" s="28"/>
      <c r="H20" s="10"/>
      <c r="I20" s="10">
        <f t="shared" si="5"/>
        <v>11230</v>
      </c>
      <c r="J20" s="10">
        <f t="shared" si="3"/>
        <v>39800340441.312935</v>
      </c>
      <c r="K20" s="11">
        <f t="shared" si="4"/>
        <v>1.6699999999999937E-2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3485894.2430172078</v>
      </c>
      <c r="D21" s="11">
        <v>1.8599999999999998E-2</v>
      </c>
      <c r="E21" s="10">
        <f t="shared" si="2"/>
        <v>63653.674573061056</v>
      </c>
      <c r="F21" s="3"/>
      <c r="G21" s="28"/>
      <c r="H21" s="10"/>
      <c r="I21" s="10">
        <f t="shared" si="5"/>
        <v>11230</v>
      </c>
      <c r="J21" s="10">
        <f t="shared" si="3"/>
        <v>39146592349.083244</v>
      </c>
      <c r="K21" s="11">
        <f t="shared" si="4"/>
        <v>1.859999999999995E-2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3422240.5684441468</v>
      </c>
      <c r="D22" s="11">
        <v>2.0400000000000001E-2</v>
      </c>
      <c r="E22" s="10">
        <f t="shared" si="2"/>
        <v>68417.980788181536</v>
      </c>
      <c r="F22" s="3"/>
      <c r="G22" s="28"/>
      <c r="H22" s="10"/>
      <c r="I22" s="10">
        <f t="shared" si="5"/>
        <v>11230</v>
      </c>
      <c r="J22" s="10">
        <f t="shared" si="3"/>
        <v>38431761583.627769</v>
      </c>
      <c r="K22" s="11">
        <f t="shared" si="4"/>
        <v>2.0399999999999974E-2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3353822.5876559652</v>
      </c>
      <c r="D23" s="11">
        <v>2.12E-2</v>
      </c>
      <c r="E23" s="10">
        <f t="shared" si="2"/>
        <v>69624.989089607261</v>
      </c>
      <c r="F23" s="3"/>
      <c r="G23" s="28"/>
      <c r="H23" s="10"/>
      <c r="I23" s="10">
        <f t="shared" si="5"/>
        <v>11230</v>
      </c>
      <c r="J23" s="10">
        <f t="shared" si="3"/>
        <v>37663427659.376488</v>
      </c>
      <c r="K23" s="11">
        <f t="shared" si="4"/>
        <v>2.1200000000000108E-2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3284197.598566358</v>
      </c>
      <c r="D24" s="11">
        <v>2.1999999999999999E-2</v>
      </c>
      <c r="E24" s="10">
        <f t="shared" si="2"/>
        <v>70697.012884990312</v>
      </c>
      <c r="F24" s="3"/>
      <c r="G24" s="28"/>
      <c r="H24" s="10"/>
      <c r="I24" s="10">
        <f t="shared" si="5"/>
        <v>11230</v>
      </c>
      <c r="J24" s="10">
        <f t="shared" si="3"/>
        <v>36881539031.9002</v>
      </c>
      <c r="K24" s="11">
        <f t="shared" si="4"/>
        <v>2.200000000000002E-2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3213500.5856813677</v>
      </c>
      <c r="D25" s="11">
        <v>2.2599999999999999E-2</v>
      </c>
      <c r="E25" s="10">
        <f t="shared" si="2"/>
        <v>71020.059883042239</v>
      </c>
      <c r="F25" s="3"/>
      <c r="G25" s="28"/>
      <c r="H25" s="10"/>
      <c r="I25" s="10">
        <f t="shared" si="5"/>
        <v>11230</v>
      </c>
      <c r="J25" s="10">
        <f t="shared" si="3"/>
        <v>36087611577.201759</v>
      </c>
      <c r="K25" s="11">
        <f t="shared" si="4"/>
        <v>2.2599999999999953E-2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3142480.5257983254</v>
      </c>
      <c r="D26" s="11">
        <v>2.3099999999999999E-2</v>
      </c>
      <c r="E26" s="10">
        <f t="shared" si="2"/>
        <v>70952.301970424131</v>
      </c>
      <c r="F26" s="3"/>
      <c r="G26" s="28"/>
      <c r="H26" s="10"/>
      <c r="I26" s="10">
        <f t="shared" si="5"/>
        <v>11230</v>
      </c>
      <c r="J26" s="10">
        <f t="shared" si="3"/>
        <v>35290056304.715195</v>
      </c>
      <c r="K26" s="11">
        <f t="shared" si="4"/>
        <v>2.3099999999999898E-2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3071528.2238279013</v>
      </c>
      <c r="D27" s="11">
        <v>2.3400000000000001E-2</v>
      </c>
      <c r="E27" s="10">
        <f t="shared" si="2"/>
        <v>70230.36978461314</v>
      </c>
      <c r="F27" s="3"/>
      <c r="G27" s="28"/>
      <c r="H27" s="10"/>
      <c r="I27" s="10">
        <f t="shared" si="5"/>
        <v>11230</v>
      </c>
      <c r="J27" s="10">
        <f t="shared" si="3"/>
        <v>34493261953.587334</v>
      </c>
      <c r="K27" s="11">
        <f t="shared" si="4"/>
        <v>2.3400000000000087E-2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3001297.8540432882</v>
      </c>
      <c r="D28" s="11">
        <v>2.3400000000000001E-2</v>
      </c>
      <c r="E28" s="10">
        <f t="shared" si="2"/>
        <v>68624.555193095002</v>
      </c>
      <c r="F28" s="3"/>
      <c r="G28" s="28"/>
      <c r="H28" s="10"/>
      <c r="I28" s="10">
        <f t="shared" si="5"/>
        <v>11230</v>
      </c>
      <c r="J28" s="10">
        <f t="shared" si="3"/>
        <v>33704574900.906124</v>
      </c>
      <c r="K28" s="11">
        <f t="shared" si="4"/>
        <v>2.3400000000000087E-2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2932673.2988501932</v>
      </c>
      <c r="D29" s="11">
        <v>2.29E-2</v>
      </c>
      <c r="E29" s="10">
        <f t="shared" si="2"/>
        <v>65654.725333531387</v>
      </c>
      <c r="F29" s="3"/>
      <c r="G29" s="28"/>
      <c r="H29" s="10"/>
      <c r="I29" s="10">
        <f t="shared" si="5"/>
        <v>11230</v>
      </c>
      <c r="J29" s="10">
        <f t="shared" si="3"/>
        <v>32933921146.087669</v>
      </c>
      <c r="K29" s="11">
        <f t="shared" si="4"/>
        <v>2.289999999999992E-2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2867018.5735166618</v>
      </c>
      <c r="D30" s="12">
        <v>2.3400000000000001E-2</v>
      </c>
      <c r="E30" s="10">
        <f t="shared" si="2"/>
        <v>65554.264823421836</v>
      </c>
      <c r="F30" s="3"/>
      <c r="G30" s="28"/>
      <c r="H30" s="10"/>
      <c r="I30" s="10">
        <f t="shared" si="5"/>
        <v>11230</v>
      </c>
      <c r="J30" s="10">
        <f t="shared" si="3"/>
        <v>32196618580.592113</v>
      </c>
      <c r="K30" s="11">
        <f t="shared" si="4"/>
        <v>2.3400000000000087E-2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2801464.3086932399</v>
      </c>
      <c r="D31" s="13">
        <v>2.3900000000000001E-2</v>
      </c>
      <c r="E31" s="10">
        <f t="shared" si="2"/>
        <v>65392.125185827259</v>
      </c>
      <c r="F31" s="3"/>
      <c r="G31" s="28"/>
      <c r="H31" s="10"/>
      <c r="I31" s="10">
        <f t="shared" si="5"/>
        <v>11230</v>
      </c>
      <c r="J31" s="10">
        <f t="shared" si="3"/>
        <v>31460444186.625084</v>
      </c>
      <c r="K31" s="11">
        <f t="shared" si="4"/>
        <v>2.3900000000000032E-2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2736072.1835074127</v>
      </c>
      <c r="D32" s="12">
        <v>2.4799999999999999E-2</v>
      </c>
      <c r="E32" s="10">
        <f t="shared" si="2"/>
        <v>66212.519663332961</v>
      </c>
      <c r="F32" s="3"/>
      <c r="G32" s="28"/>
      <c r="H32" s="10"/>
      <c r="I32" s="10">
        <f t="shared" si="5"/>
        <v>11230</v>
      </c>
      <c r="J32" s="10">
        <f t="shared" si="3"/>
        <v>30726090620.788246</v>
      </c>
      <c r="K32" s="11">
        <f t="shared" si="4"/>
        <v>2.4799999999999933E-2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2669859.6638440797</v>
      </c>
      <c r="D33" s="13">
        <v>2.63E-2</v>
      </c>
      <c r="E33" s="10">
        <f t="shared" si="2"/>
        <v>68417.917917859741</v>
      </c>
      <c r="F33" s="3"/>
      <c r="G33" s="28"/>
      <c r="H33" s="10"/>
      <c r="I33" s="10">
        <f t="shared" si="5"/>
        <v>11230</v>
      </c>
      <c r="J33" s="10">
        <f t="shared" si="3"/>
        <v>29982524024.969017</v>
      </c>
      <c r="K33" s="11">
        <f t="shared" si="4"/>
        <v>2.6300000000000212E-2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2601441.74592622</v>
      </c>
      <c r="D34" s="12">
        <v>2.7400000000000001E-2</v>
      </c>
      <c r="E34" s="10">
        <f t="shared" si="2"/>
        <v>69378.532059936319</v>
      </c>
      <c r="F34" s="3"/>
      <c r="G34" s="28"/>
      <c r="H34" s="10"/>
      <c r="I34" s="10">
        <f t="shared" si="5"/>
        <v>11230</v>
      </c>
      <c r="J34" s="10">
        <f t="shared" ref="J34:J65" si="6">IF(I34="","",I34*C34)</f>
        <v>29214190806.75145</v>
      </c>
      <c r="K34" s="11">
        <f t="shared" ref="K34:K65" si="7">IFERROR(J34/J35-1,"")</f>
        <v>2.7400000000000091E-2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2532063.2138662837</v>
      </c>
      <c r="D35" s="11">
        <v>2.8299999999999999E-2</v>
      </c>
      <c r="E35" s="10">
        <f t="shared" si="2"/>
        <v>69685.295101055875</v>
      </c>
      <c r="F35" s="3"/>
      <c r="G35" s="28"/>
      <c r="H35" s="10"/>
      <c r="I35" s="10">
        <f t="shared" ref="I35:I66" si="8">IF(H35&lt;&gt;"",H35,I34/(1+IF(G34="",0,G34)/100))</f>
        <v>11230</v>
      </c>
      <c r="J35" s="10">
        <f t="shared" si="6"/>
        <v>28435069891.718365</v>
      </c>
      <c r="K35" s="11">
        <f t="shared" si="7"/>
        <v>2.8299999999999992E-2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2462377.9187652278</v>
      </c>
      <c r="D36" s="11">
        <v>2.7400000000000001E-2</v>
      </c>
      <c r="E36" s="10">
        <f t="shared" si="2"/>
        <v>65669.802388716489</v>
      </c>
      <c r="F36" s="3"/>
      <c r="G36" s="28"/>
      <c r="H36" s="10"/>
      <c r="I36" s="10">
        <f t="shared" si="8"/>
        <v>11230</v>
      </c>
      <c r="J36" s="10">
        <f t="shared" si="6"/>
        <v>27652504027.733509</v>
      </c>
      <c r="K36" s="11">
        <f t="shared" si="7"/>
        <v>2.7400000000000091E-2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2396708.1163765113</v>
      </c>
      <c r="D37" s="11">
        <v>2.7E-2</v>
      </c>
      <c r="E37" s="10">
        <f t="shared" si="2"/>
        <v>63009.853108243085</v>
      </c>
      <c r="F37" s="3"/>
      <c r="G37" s="28"/>
      <c r="H37" s="10"/>
      <c r="I37" s="10">
        <f t="shared" si="8"/>
        <v>11230</v>
      </c>
      <c r="J37" s="10">
        <f t="shared" si="6"/>
        <v>26915032146.908222</v>
      </c>
      <c r="K37" s="11">
        <f t="shared" si="7"/>
        <v>2.6999999999999913E-2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2333698.2632682682</v>
      </c>
      <c r="D38" s="11">
        <v>2.8899999999999999E-2</v>
      </c>
      <c r="E38" s="10">
        <f t="shared" si="2"/>
        <v>65549.49927928159</v>
      </c>
      <c r="F38" s="3"/>
      <c r="G38" s="28"/>
      <c r="H38" s="10"/>
      <c r="I38" s="10">
        <f t="shared" si="8"/>
        <v>11230</v>
      </c>
      <c r="J38" s="10">
        <f t="shared" si="6"/>
        <v>26207431496.502651</v>
      </c>
      <c r="K38" s="11">
        <f t="shared" si="7"/>
        <v>2.8899999999999926E-2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2268148.7639889866</v>
      </c>
      <c r="D39" s="11">
        <v>3.0099999999999998E-2</v>
      </c>
      <c r="E39" s="10">
        <f t="shared" si="2"/>
        <v>66276.359378767665</v>
      </c>
      <c r="F39" s="3"/>
      <c r="G39" s="28"/>
      <c r="H39" s="10"/>
      <c r="I39" s="10">
        <f t="shared" si="8"/>
        <v>11230</v>
      </c>
      <c r="J39" s="10">
        <f t="shared" si="6"/>
        <v>25471310619.596321</v>
      </c>
      <c r="K39" s="11">
        <f t="shared" si="7"/>
        <v>3.0100000000000016E-2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2201872.4046102189</v>
      </c>
      <c r="D40" s="11">
        <v>3.04E-2</v>
      </c>
      <c r="E40" s="10">
        <f t="shared" si="2"/>
        <v>64962.074049059302</v>
      </c>
      <c r="F40" s="3"/>
      <c r="G40" s="28"/>
      <c r="H40" s="10"/>
      <c r="I40" s="10">
        <f t="shared" si="8"/>
        <v>11230</v>
      </c>
      <c r="J40" s="10">
        <f t="shared" si="6"/>
        <v>24727027103.772758</v>
      </c>
      <c r="K40" s="11">
        <f t="shared" si="7"/>
        <v>3.0399999999999983E-2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2136910.3305611596</v>
      </c>
      <c r="D41" s="11">
        <v>3.0599999999999999E-2</v>
      </c>
      <c r="E41" s="10">
        <f t="shared" si="2"/>
        <v>63447.948879459873</v>
      </c>
      <c r="F41" s="3"/>
      <c r="G41" s="28"/>
      <c r="H41" s="10"/>
      <c r="I41" s="10">
        <f t="shared" si="8"/>
        <v>11230</v>
      </c>
      <c r="J41" s="10">
        <f t="shared" si="6"/>
        <v>23997503012.201824</v>
      </c>
      <c r="K41" s="11">
        <f t="shared" si="7"/>
        <v>3.0599999999999961E-2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2073462.3816816998</v>
      </c>
      <c r="D42" s="11">
        <v>3.0800000000000001E-2</v>
      </c>
      <c r="E42" s="10">
        <f t="shared" si="2"/>
        <v>61954.444466236047</v>
      </c>
      <c r="F42" s="3"/>
      <c r="G42" s="28"/>
      <c r="H42" s="10"/>
      <c r="I42" s="10">
        <f t="shared" si="8"/>
        <v>11230</v>
      </c>
      <c r="J42" s="10">
        <f t="shared" si="6"/>
        <v>23284982546.285488</v>
      </c>
      <c r="K42" s="11">
        <f t="shared" si="7"/>
        <v>3.0799999999999939E-2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2011507.9372154637</v>
      </c>
      <c r="D43" s="11">
        <v>2.9000000000000001E-2</v>
      </c>
      <c r="E43" s="10">
        <f t="shared" si="2"/>
        <v>56689.72806535312</v>
      </c>
      <c r="F43" s="3"/>
      <c r="G43" s="28"/>
      <c r="H43" s="10"/>
      <c r="I43" s="10">
        <f t="shared" si="8"/>
        <v>11230</v>
      </c>
      <c r="J43" s="10">
        <f t="shared" si="6"/>
        <v>22589234134.929657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1954818.2091501106</v>
      </c>
      <c r="D44" s="11">
        <v>2.9100000000000001E-2</v>
      </c>
      <c r="E44" s="10">
        <f t="shared" si="2"/>
        <v>55276.659106275532</v>
      </c>
      <c r="F44" s="3"/>
      <c r="G44" s="28"/>
      <c r="H44" s="10"/>
      <c r="I44" s="10">
        <f t="shared" si="8"/>
        <v>11230</v>
      </c>
      <c r="J44" s="10">
        <f t="shared" si="6"/>
        <v>21952608488.755741</v>
      </c>
      <c r="K44" s="11">
        <f t="shared" si="7"/>
        <v>2.9099999999999904E-2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1899541.5500438351</v>
      </c>
      <c r="D45" s="11">
        <v>3.1199999999999999E-2</v>
      </c>
      <c r="E45" s="10">
        <f t="shared" si="2"/>
        <v>57472.552716609323</v>
      </c>
      <c r="F45" s="3"/>
      <c r="G45" s="28"/>
      <c r="H45" s="10"/>
      <c r="I45" s="10">
        <f t="shared" si="8"/>
        <v>11230</v>
      </c>
      <c r="J45" s="10">
        <f t="shared" si="6"/>
        <v>21331851606.992268</v>
      </c>
      <c r="K45" s="11">
        <f t="shared" si="7"/>
        <v>3.1199999999999894E-2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1842068.9973272257</v>
      </c>
      <c r="D46" s="11">
        <v>3.1300000000000001E-2</v>
      </c>
      <c r="E46" s="10">
        <f t="shared" si="2"/>
        <v>55906.874446176924</v>
      </c>
      <c r="F46" s="3"/>
      <c r="G46" s="28"/>
      <c r="H46" s="10"/>
      <c r="I46" s="10">
        <f t="shared" si="8"/>
        <v>11230</v>
      </c>
      <c r="J46" s="10">
        <f t="shared" si="6"/>
        <v>20686434839.984745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1786162.1228810488</v>
      </c>
      <c r="D47" s="11">
        <v>3.1399999999999997E-2</v>
      </c>
      <c r="E47" s="10">
        <f t="shared" si="2"/>
        <v>54378.020805182401</v>
      </c>
      <c r="F47" s="3"/>
      <c r="G47" s="28"/>
      <c r="H47" s="10"/>
      <c r="I47" s="10">
        <f t="shared" si="8"/>
        <v>11230</v>
      </c>
      <c r="J47" s="10">
        <f t="shared" si="6"/>
        <v>20058600639.954178</v>
      </c>
      <c r="K47" s="11">
        <f t="shared" si="7"/>
        <v>3.1400000000000095E-2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1731784.1020758664</v>
      </c>
      <c r="D48" s="11">
        <v>3.1399999999999997E-2</v>
      </c>
      <c r="E48" s="10">
        <f t="shared" si="2"/>
        <v>52722.533260793425</v>
      </c>
      <c r="F48" s="3"/>
      <c r="G48" s="28"/>
      <c r="H48" s="10"/>
      <c r="I48" s="10">
        <f t="shared" si="8"/>
        <v>11230</v>
      </c>
      <c r="J48" s="10">
        <f t="shared" si="6"/>
        <v>19447935466.311981</v>
      </c>
      <c r="K48" s="11">
        <f t="shared" si="7"/>
        <v>3.1400000000000095E-2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1679061.568815073</v>
      </c>
      <c r="D49" s="11">
        <v>3.1199999999999999E-2</v>
      </c>
      <c r="E49" s="10">
        <f t="shared" si="2"/>
        <v>50801.70766779501</v>
      </c>
      <c r="F49" s="3"/>
      <c r="G49" s="28"/>
      <c r="H49" s="10"/>
      <c r="I49" s="10">
        <f t="shared" si="8"/>
        <v>11230</v>
      </c>
      <c r="J49" s="10">
        <f t="shared" si="6"/>
        <v>18855861417.79327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1628259.861147278</v>
      </c>
      <c r="D50" s="11">
        <v>3.09E-2</v>
      </c>
      <c r="E50" s="10">
        <f t="shared" si="2"/>
        <v>48805.150557232322</v>
      </c>
      <c r="F50" s="3"/>
      <c r="G50" s="28"/>
      <c r="H50" s="10"/>
      <c r="I50" s="10">
        <f t="shared" si="8"/>
        <v>11230</v>
      </c>
      <c r="J50" s="10">
        <f t="shared" si="6"/>
        <v>18285358240.683933</v>
      </c>
      <c r="K50" s="11">
        <f t="shared" si="7"/>
        <v>3.090000000000015E-2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1579454.7105900457</v>
      </c>
      <c r="D51" s="11">
        <v>3.0599999999999999E-2</v>
      </c>
      <c r="E51" s="10">
        <f t="shared" si="2"/>
        <v>46896.287739234744</v>
      </c>
      <c r="F51" s="3"/>
      <c r="G51" s="28"/>
      <c r="H51" s="10"/>
      <c r="I51" s="10">
        <f t="shared" si="8"/>
        <v>11230</v>
      </c>
      <c r="J51" s="10">
        <f t="shared" si="6"/>
        <v>17737276399.926212</v>
      </c>
      <c r="K51" s="11">
        <f t="shared" si="7"/>
        <v>3.0599999999999961E-2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1532558.4228508109</v>
      </c>
      <c r="D52" s="11">
        <v>3.0300000000000001E-2</v>
      </c>
      <c r="E52" s="10">
        <f t="shared" si="2"/>
        <v>45070.87276752363</v>
      </c>
      <c r="F52" s="3"/>
      <c r="G52" s="28"/>
      <c r="H52" s="10"/>
      <c r="I52" s="10">
        <f t="shared" si="8"/>
        <v>11230</v>
      </c>
      <c r="J52" s="10">
        <f t="shared" si="6"/>
        <v>17210631088.614605</v>
      </c>
      <c r="K52" s="11">
        <f t="shared" si="7"/>
        <v>3.0299999999999994E-2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1487487.5500832873</v>
      </c>
      <c r="D53" s="11">
        <v>3.0099999999999998E-2</v>
      </c>
      <c r="E53" s="10">
        <f t="shared" si="2"/>
        <v>43465.076456176117</v>
      </c>
      <c r="F53" s="3"/>
      <c r="G53" s="28"/>
      <c r="H53" s="10"/>
      <c r="I53" s="10">
        <f t="shared" si="8"/>
        <v>11230</v>
      </c>
      <c r="J53" s="10">
        <f t="shared" si="6"/>
        <v>16704485187.435316</v>
      </c>
      <c r="K53" s="11">
        <f t="shared" si="7"/>
        <v>3.0100000000000016E-2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1444022.4736271112</v>
      </c>
      <c r="D54" s="11">
        <v>0.03</v>
      </c>
      <c r="E54" s="10">
        <f t="shared" si="2"/>
        <v>42058.906998847844</v>
      </c>
      <c r="F54" s="3"/>
      <c r="G54" s="28"/>
      <c r="H54" s="10"/>
      <c r="I54" s="10">
        <f t="shared" si="8"/>
        <v>11230</v>
      </c>
      <c r="J54" s="10">
        <f t="shared" si="6"/>
        <v>16216372378.832458</v>
      </c>
      <c r="K54" s="11">
        <f t="shared" si="7"/>
        <v>3.0000000000000027E-2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1401963.5666282633</v>
      </c>
      <c r="D55" s="11">
        <v>2.9899999999999999E-2</v>
      </c>
      <c r="E55" s="10">
        <f t="shared" si="2"/>
        <v>40701.728946679505</v>
      </c>
      <c r="F55" s="3"/>
      <c r="G55" s="28"/>
      <c r="H55" s="10"/>
      <c r="I55" s="10">
        <f t="shared" si="8"/>
        <v>11230</v>
      </c>
      <c r="J55" s="10">
        <f t="shared" si="6"/>
        <v>15744050853.235397</v>
      </c>
      <c r="K55" s="11">
        <f t="shared" si="7"/>
        <v>2.9900000000000038E-2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1361261.8376815838</v>
      </c>
      <c r="D56" s="11">
        <v>2.9899999999999999E-2</v>
      </c>
      <c r="E56" s="10">
        <f t="shared" si="2"/>
        <v>39520.078596639913</v>
      </c>
      <c r="F56" s="3"/>
      <c r="G56" s="28"/>
      <c r="H56" s="10"/>
      <c r="I56" s="10">
        <f t="shared" si="8"/>
        <v>11230</v>
      </c>
      <c r="J56" s="10">
        <f t="shared" si="6"/>
        <v>15286970437.164186</v>
      </c>
      <c r="K56" s="11">
        <f t="shared" si="7"/>
        <v>2.9900000000000038E-2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1321741.7590849439</v>
      </c>
      <c r="D57" s="11">
        <v>0.03</v>
      </c>
      <c r="E57" s="10">
        <f t="shared" si="2"/>
        <v>38497.332788881846</v>
      </c>
      <c r="F57" s="3"/>
      <c r="G57" s="28"/>
      <c r="H57" s="10"/>
      <c r="I57" s="10">
        <f t="shared" si="8"/>
        <v>11230</v>
      </c>
      <c r="J57" s="10">
        <f t="shared" si="6"/>
        <v>14843159954.52392</v>
      </c>
      <c r="K57" s="11">
        <f t="shared" si="7"/>
        <v>3.0000000000000027E-2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1283244.4262960621</v>
      </c>
      <c r="D58" s="11">
        <v>0.03</v>
      </c>
      <c r="E58" s="10">
        <f t="shared" si="2"/>
        <v>37376.051251341589</v>
      </c>
      <c r="F58" s="3"/>
      <c r="G58" s="28"/>
      <c r="H58" s="10"/>
      <c r="I58" s="10">
        <f t="shared" si="8"/>
        <v>11230</v>
      </c>
      <c r="J58" s="10">
        <f t="shared" si="6"/>
        <v>14410834907.304777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1245868.3750447205</v>
      </c>
      <c r="D59" s="11">
        <v>0.03</v>
      </c>
      <c r="E59" s="10">
        <f t="shared" si="2"/>
        <v>36287.428399360739</v>
      </c>
      <c r="F59" s="3"/>
      <c r="G59" s="28"/>
      <c r="H59" s="10"/>
      <c r="I59" s="10">
        <f t="shared" si="8"/>
        <v>11230</v>
      </c>
      <c r="J59" s="10">
        <f t="shared" si="6"/>
        <v>13991101851.752211</v>
      </c>
      <c r="K59" s="11">
        <f t="shared" si="7"/>
        <v>2.9999999999999805E-2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1209580.9466453597</v>
      </c>
      <c r="D60" s="11">
        <v>0.03</v>
      </c>
      <c r="E60" s="10">
        <f t="shared" si="2"/>
        <v>35230.513009088114</v>
      </c>
      <c r="F60" s="3"/>
      <c r="G60" s="28"/>
      <c r="H60" s="10"/>
      <c r="I60" s="10">
        <f t="shared" si="8"/>
        <v>11230</v>
      </c>
      <c r="J60" s="10">
        <f t="shared" si="6"/>
        <v>13583594030.827391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1174350.4336362716</v>
      </c>
      <c r="D61" s="11">
        <v>0.03</v>
      </c>
      <c r="E61" s="10">
        <f t="shared" si="2"/>
        <v>34204.381562221562</v>
      </c>
      <c r="F61" s="3"/>
      <c r="G61" s="28"/>
      <c r="H61" s="10"/>
      <c r="I61" s="10">
        <f t="shared" si="8"/>
        <v>11230</v>
      </c>
      <c r="J61" s="10">
        <f t="shared" si="6"/>
        <v>13187955369.735331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1140146.0520740501</v>
      </c>
      <c r="D62" s="11">
        <v>0.03</v>
      </c>
      <c r="E62" s="10">
        <f t="shared" si="2"/>
        <v>33208.137439050013</v>
      </c>
      <c r="F62" s="3"/>
      <c r="G62" s="28"/>
      <c r="H62" s="10"/>
      <c r="I62" s="10">
        <f t="shared" si="8"/>
        <v>11230</v>
      </c>
      <c r="J62" s="10">
        <f t="shared" si="6"/>
        <v>12803840164.791582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1106937.9146350001</v>
      </c>
      <c r="D63" s="11">
        <v>0.03</v>
      </c>
      <c r="E63" s="10">
        <f t="shared" si="2"/>
        <v>32240.910135000013</v>
      </c>
      <c r="F63" s="3"/>
      <c r="G63" s="28"/>
      <c r="H63" s="10"/>
      <c r="I63" s="10">
        <f t="shared" si="8"/>
        <v>11230</v>
      </c>
      <c r="J63" s="10">
        <f t="shared" si="6"/>
        <v>12430912781.351051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1074697.0045</v>
      </c>
      <c r="D64" s="11">
        <v>0.03</v>
      </c>
      <c r="E64" s="10">
        <f t="shared" si="2"/>
        <v>31301.854500000016</v>
      </c>
      <c r="F64" s="3"/>
      <c r="G64" s="28"/>
      <c r="H64" s="10"/>
      <c r="I64" s="10">
        <f t="shared" si="8"/>
        <v>11230</v>
      </c>
      <c r="J64" s="10">
        <f t="shared" si="6"/>
        <v>12068847360.535</v>
      </c>
      <c r="K64" s="11">
        <f t="shared" si="7"/>
        <v>3.0000000000000027E-2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1043395.15</v>
      </c>
      <c r="D65" s="11">
        <v>0.03</v>
      </c>
      <c r="E65" s="10">
        <f t="shared" si="2"/>
        <v>30390.150000000023</v>
      </c>
      <c r="F65" s="3"/>
      <c r="G65" s="28"/>
      <c r="H65" s="10"/>
      <c r="I65" s="10">
        <f t="shared" si="8"/>
        <v>11230</v>
      </c>
      <c r="J65" s="10">
        <f t="shared" si="6"/>
        <v>11717327534.5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1013005</v>
      </c>
      <c r="D66" s="11">
        <v>0.03</v>
      </c>
      <c r="E66" s="10">
        <f t="shared" si="2"/>
        <v>29505</v>
      </c>
      <c r="F66" s="3"/>
      <c r="G66" s="28"/>
      <c r="H66" s="10"/>
      <c r="I66" s="10">
        <f t="shared" si="8"/>
        <v>11230</v>
      </c>
      <c r="J66" s="10">
        <f t="shared" ref="J66:J67" si="9">IF(I66="","",I66*C66)</f>
        <v>11376046150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983500</v>
      </c>
      <c r="D67" s="11">
        <v>0.03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11230</v>
      </c>
      <c r="J67" s="10">
        <f t="shared" si="9"/>
        <v>11044705000</v>
      </c>
      <c r="K67" s="11"/>
    </row>
  </sheetData>
  <dataValidations count="1">
    <dataValidation type="custom" allowBlank="1" showDropDown="1" sqref="D2:D67" xr:uid="{00000000-0002-0000-1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67"/>
  <sheetViews>
    <sheetView topLeftCell="A58" workbookViewId="0">
      <selection activeCell="J107" sqref="J10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7" t="s">
        <v>66</v>
      </c>
      <c r="B1" s="18" t="s">
        <v>67</v>
      </c>
      <c r="C1" s="18" t="s">
        <v>68</v>
      </c>
      <c r="D1" s="18" t="s">
        <v>69</v>
      </c>
      <c r="E1" s="18" t="s">
        <v>70</v>
      </c>
      <c r="F1" s="18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19">
        <f t="shared" ref="A2:A66" si="0">SUM(B2+250)</f>
        <v>2015</v>
      </c>
      <c r="B2" s="19">
        <v>1765</v>
      </c>
      <c r="C2" s="20">
        <f t="shared" ref="C2:C66" si="1">SUM(C3*(1+D2))</f>
        <v>890028339.57375264</v>
      </c>
      <c r="D2" s="21">
        <v>1.1999999999999999E-3</v>
      </c>
      <c r="E2" s="20">
        <f t="shared" ref="E2:E66" si="2">SUM(C2-C3)</f>
        <v>1066753.9028052092</v>
      </c>
      <c r="F2" s="19"/>
      <c r="G2" s="28">
        <v>2.71</v>
      </c>
      <c r="H2" s="10"/>
      <c r="I2" s="10">
        <f>IF(H2&lt;&gt;"",H2,10755)</f>
        <v>10755</v>
      </c>
      <c r="J2" s="10">
        <f t="shared" ref="J2:J33" si="3">IF(I2="","",I2*C2)</f>
        <v>9572254792115.709</v>
      </c>
      <c r="K2" s="11">
        <f t="shared" ref="K2:K33" si="4">IFERROR(J2/J3-1,"")</f>
        <v>2.8332519999999972E-2</v>
      </c>
    </row>
    <row r="3" spans="1:13" ht="22.5" customHeight="1">
      <c r="A3" s="19">
        <f t="shared" si="0"/>
        <v>2014</v>
      </c>
      <c r="B3" s="19">
        <v>1764</v>
      </c>
      <c r="C3" s="20">
        <f t="shared" si="1"/>
        <v>888961585.67094743</v>
      </c>
      <c r="D3" s="21">
        <v>1.1999999999999999E-3</v>
      </c>
      <c r="E3" s="20">
        <f t="shared" si="2"/>
        <v>1065475.3324062824</v>
      </c>
      <c r="F3" s="19"/>
      <c r="G3" s="28">
        <v>2.19</v>
      </c>
      <c r="H3" s="10"/>
      <c r="I3" s="10">
        <f t="shared" ref="I3:I34" si="5">IF(H3&lt;&gt;"",H3,I2/(1+IF(G2="",0,G2)/100))</f>
        <v>10471.229675786195</v>
      </c>
      <c r="J3" s="10">
        <f t="shared" si="3"/>
        <v>9308520936511.5762</v>
      </c>
      <c r="K3" s="11">
        <f t="shared" si="4"/>
        <v>2.3126280000000055E-2</v>
      </c>
    </row>
    <row r="4" spans="1:13" ht="22.5" customHeight="1">
      <c r="A4" s="19">
        <f t="shared" si="0"/>
        <v>2013</v>
      </c>
      <c r="B4" s="19">
        <v>1763</v>
      </c>
      <c r="C4" s="20">
        <f t="shared" si="1"/>
        <v>887896110.33854115</v>
      </c>
      <c r="D4" s="21">
        <v>1.2999999999999999E-3</v>
      </c>
      <c r="E4" s="20">
        <f t="shared" si="2"/>
        <v>1152766.3471888304</v>
      </c>
      <c r="F4" s="19"/>
      <c r="G4" s="28">
        <v>2.5099999999999998</v>
      </c>
      <c r="H4" s="10"/>
      <c r="I4" s="10">
        <f t="shared" si="5"/>
        <v>10246.824225253151</v>
      </c>
      <c r="J4" s="10">
        <f t="shared" si="3"/>
        <v>9098115372925.0078</v>
      </c>
      <c r="K4" s="11">
        <f t="shared" si="4"/>
        <v>2.6432629999999957E-2</v>
      </c>
    </row>
    <row r="5" spans="1:13" ht="22.5" customHeight="1">
      <c r="A5" s="19">
        <f t="shared" si="0"/>
        <v>2012</v>
      </c>
      <c r="B5" s="19">
        <v>1762</v>
      </c>
      <c r="C5" s="20">
        <f t="shared" si="1"/>
        <v>886743343.99135232</v>
      </c>
      <c r="D5" s="21">
        <v>1.4E-3</v>
      </c>
      <c r="E5" s="20">
        <f t="shared" si="2"/>
        <v>1239705.094455719</v>
      </c>
      <c r="F5" s="19"/>
      <c r="G5" s="28">
        <v>1.05</v>
      </c>
      <c r="H5" s="10"/>
      <c r="I5" s="10">
        <f t="shared" si="5"/>
        <v>9995.9264708351893</v>
      </c>
      <c r="J5" s="10">
        <f t="shared" si="3"/>
        <v>8863821265040.0723</v>
      </c>
      <c r="K5" s="11">
        <f t="shared" si="4"/>
        <v>1.1914700000000167E-2</v>
      </c>
    </row>
    <row r="6" spans="1:13" ht="22.5" customHeight="1">
      <c r="A6" s="19">
        <f t="shared" si="0"/>
        <v>2011</v>
      </c>
      <c r="B6" s="19">
        <v>1761</v>
      </c>
      <c r="C6" s="20">
        <f t="shared" si="1"/>
        <v>885503638.8968966</v>
      </c>
      <c r="D6" s="21">
        <v>1.6000000000000001E-3</v>
      </c>
      <c r="E6" s="20">
        <f t="shared" si="2"/>
        <v>1414542.5541484356</v>
      </c>
      <c r="F6" s="19"/>
      <c r="G6" s="28">
        <v>1.04</v>
      </c>
      <c r="H6" s="10"/>
      <c r="I6" s="10">
        <f t="shared" si="5"/>
        <v>9892.0598424890541</v>
      </c>
      <c r="J6" s="10">
        <f t="shared" si="3"/>
        <v>8759454986709.9189</v>
      </c>
      <c r="K6" s="11">
        <f t="shared" si="4"/>
        <v>1.2016639999999912E-2</v>
      </c>
    </row>
    <row r="7" spans="1:13" ht="22.5" customHeight="1">
      <c r="A7" s="19">
        <f t="shared" si="0"/>
        <v>2010</v>
      </c>
      <c r="B7" s="19">
        <v>1760</v>
      </c>
      <c r="C7" s="20">
        <f t="shared" si="1"/>
        <v>884089096.34274817</v>
      </c>
      <c r="D7" s="21">
        <v>1.6999999999999999E-3</v>
      </c>
      <c r="E7" s="20">
        <f t="shared" si="2"/>
        <v>1500400.7824525833</v>
      </c>
      <c r="F7" s="19"/>
      <c r="G7" s="28">
        <v>2.2799999999999998</v>
      </c>
      <c r="H7" s="10"/>
      <c r="I7" s="10">
        <f t="shared" si="5"/>
        <v>9790.2413326297046</v>
      </c>
      <c r="J7" s="10">
        <f t="shared" si="3"/>
        <v>8655445612742.0186</v>
      </c>
      <c r="K7" s="11">
        <f t="shared" si="4"/>
        <v>2.4538759999999993E-2</v>
      </c>
    </row>
    <row r="8" spans="1:13" ht="22.5" customHeight="1">
      <c r="A8" s="19">
        <f t="shared" si="0"/>
        <v>2009</v>
      </c>
      <c r="B8" s="19">
        <v>1759</v>
      </c>
      <c r="C8" s="20">
        <f t="shared" si="1"/>
        <v>882588695.56029558</v>
      </c>
      <c r="D8" s="21">
        <v>1.9E-3</v>
      </c>
      <c r="E8" s="20">
        <f t="shared" si="2"/>
        <v>1673738.4185693264</v>
      </c>
      <c r="F8" s="19"/>
      <c r="G8" s="28">
        <v>-0.28999999999999998</v>
      </c>
      <c r="H8" s="10"/>
      <c r="I8" s="10">
        <f t="shared" si="5"/>
        <v>9571.9997385898569</v>
      </c>
      <c r="J8" s="10">
        <f t="shared" si="3"/>
        <v>8448138763185.5117</v>
      </c>
      <c r="K8" s="11">
        <f t="shared" si="4"/>
        <v>-1.0055099999999317E-3</v>
      </c>
    </row>
    <row r="9" spans="1:13" ht="22.5" customHeight="1">
      <c r="A9" s="19">
        <f t="shared" si="0"/>
        <v>2008</v>
      </c>
      <c r="B9" s="19">
        <v>1758</v>
      </c>
      <c r="C9" s="20">
        <f t="shared" si="1"/>
        <v>880914957.14172626</v>
      </c>
      <c r="D9" s="21">
        <v>2.0999999999999999E-3</v>
      </c>
      <c r="E9" s="20">
        <f t="shared" si="2"/>
        <v>1846044.7160937786</v>
      </c>
      <c r="F9" s="19"/>
      <c r="G9" s="28">
        <v>2.04</v>
      </c>
      <c r="H9" s="10"/>
      <c r="I9" s="10">
        <f t="shared" si="5"/>
        <v>9599.8392724800487</v>
      </c>
      <c r="J9" s="10">
        <f t="shared" si="3"/>
        <v>8456642001284.2227</v>
      </c>
      <c r="K9" s="11">
        <f t="shared" si="4"/>
        <v>2.2542839999999842E-2</v>
      </c>
    </row>
    <row r="10" spans="1:13" ht="22.5" customHeight="1">
      <c r="A10" s="19">
        <f t="shared" si="0"/>
        <v>2007</v>
      </c>
      <c r="B10" s="19">
        <v>1757</v>
      </c>
      <c r="C10" s="20">
        <f t="shared" si="1"/>
        <v>879068912.42563248</v>
      </c>
      <c r="D10" s="21">
        <v>2.5000000000000001E-3</v>
      </c>
      <c r="E10" s="20">
        <f t="shared" si="2"/>
        <v>2192191.8015601635</v>
      </c>
      <c r="F10" s="19"/>
      <c r="G10" s="28">
        <v>1.63</v>
      </c>
      <c r="H10" s="10"/>
      <c r="I10" s="10">
        <f t="shared" si="5"/>
        <v>9407.9177503724513</v>
      </c>
      <c r="J10" s="10">
        <f t="shared" si="3"/>
        <v>8270208025009.7139</v>
      </c>
      <c r="K10" s="11">
        <f t="shared" si="4"/>
        <v>1.8840750000000073E-2</v>
      </c>
    </row>
    <row r="11" spans="1:13" ht="22.5" customHeight="1">
      <c r="A11" s="19">
        <f t="shared" si="0"/>
        <v>2006</v>
      </c>
      <c r="B11" s="19">
        <v>1756</v>
      </c>
      <c r="C11" s="20">
        <f t="shared" si="1"/>
        <v>876876720.62407231</v>
      </c>
      <c r="D11" s="21">
        <v>2.5999999999999999E-3</v>
      </c>
      <c r="E11" s="20">
        <f t="shared" si="2"/>
        <v>2273967.159009099</v>
      </c>
      <c r="F11" s="19"/>
      <c r="G11" s="28">
        <v>2.13</v>
      </c>
      <c r="H11" s="10"/>
      <c r="I11" s="10">
        <f t="shared" si="5"/>
        <v>9257.0281908614106</v>
      </c>
      <c r="J11" s="10">
        <f t="shared" si="3"/>
        <v>8117272522727.1426</v>
      </c>
      <c r="K11" s="11">
        <f t="shared" si="4"/>
        <v>2.3955380000000082E-2</v>
      </c>
    </row>
    <row r="12" spans="1:13" ht="22.5" customHeight="1">
      <c r="A12" s="19">
        <f t="shared" si="0"/>
        <v>2005</v>
      </c>
      <c r="B12" s="19">
        <v>1755</v>
      </c>
      <c r="C12" s="20">
        <f t="shared" si="1"/>
        <v>874602753.46506321</v>
      </c>
      <c r="D12" s="21">
        <v>2.8E-3</v>
      </c>
      <c r="E12" s="20">
        <f t="shared" si="2"/>
        <v>2442049.969786644</v>
      </c>
      <c r="F12" s="19"/>
      <c r="G12" s="28">
        <v>2.4700000000000002</v>
      </c>
      <c r="H12" s="10"/>
      <c r="I12" s="10">
        <f t="shared" si="5"/>
        <v>9063.9657210040241</v>
      </c>
      <c r="J12" s="10">
        <f t="shared" si="3"/>
        <v>7927369376903.0664</v>
      </c>
      <c r="K12" s="11">
        <f t="shared" si="4"/>
        <v>2.756915999999987E-2</v>
      </c>
    </row>
    <row r="13" spans="1:13" ht="22.5" customHeight="1">
      <c r="A13" s="19">
        <f t="shared" si="0"/>
        <v>2004</v>
      </c>
      <c r="B13" s="19">
        <v>1754</v>
      </c>
      <c r="C13" s="20">
        <f t="shared" si="1"/>
        <v>872160703.49527657</v>
      </c>
      <c r="D13" s="21">
        <v>3.0999999999999999E-3</v>
      </c>
      <c r="E13" s="20">
        <f t="shared" si="2"/>
        <v>2695342.618717432</v>
      </c>
      <c r="F13" s="19"/>
      <c r="G13" s="28">
        <v>2.85</v>
      </c>
      <c r="H13" s="10"/>
      <c r="I13" s="10">
        <f t="shared" si="5"/>
        <v>8845.4823079965099</v>
      </c>
      <c r="J13" s="10">
        <f t="shared" si="3"/>
        <v>7714682072497.2588</v>
      </c>
      <c r="K13" s="11">
        <f t="shared" si="4"/>
        <v>3.1688350000000032E-2</v>
      </c>
    </row>
    <row r="14" spans="1:13" ht="22.5" customHeight="1">
      <c r="A14" s="19">
        <f t="shared" si="0"/>
        <v>2003</v>
      </c>
      <c r="B14" s="19">
        <v>1753</v>
      </c>
      <c r="C14" s="20">
        <f t="shared" si="1"/>
        <v>869465360.87655914</v>
      </c>
      <c r="D14" s="21">
        <v>3.3E-3</v>
      </c>
      <c r="E14" s="20">
        <f t="shared" si="2"/>
        <v>2859798.3563169241</v>
      </c>
      <c r="F14" s="19"/>
      <c r="G14" s="28">
        <v>0.67</v>
      </c>
      <c r="H14" s="10"/>
      <c r="I14" s="10">
        <f t="shared" si="5"/>
        <v>8600.3717141434227</v>
      </c>
      <c r="J14" s="10">
        <f t="shared" si="3"/>
        <v>7477725296110.2627</v>
      </c>
      <c r="K14" s="11">
        <f t="shared" si="4"/>
        <v>1.0022110000000195E-2</v>
      </c>
    </row>
    <row r="15" spans="1:13" ht="22.5" customHeight="1">
      <c r="A15" s="19">
        <f t="shared" si="0"/>
        <v>2002</v>
      </c>
      <c r="B15" s="19">
        <v>1752</v>
      </c>
      <c r="C15" s="20">
        <f t="shared" si="1"/>
        <v>866605562.52024221</v>
      </c>
      <c r="D15" s="21">
        <v>3.5999999999999999E-3</v>
      </c>
      <c r="E15" s="20">
        <f t="shared" si="2"/>
        <v>3108589.1042973995</v>
      </c>
      <c r="F15" s="19"/>
      <c r="G15" s="28">
        <v>3.8</v>
      </c>
      <c r="H15" s="10"/>
      <c r="I15" s="10">
        <f t="shared" si="5"/>
        <v>8543.1327248866819</v>
      </c>
      <c r="J15" s="10">
        <f t="shared" si="3"/>
        <v>7403526340735.5127</v>
      </c>
      <c r="K15" s="11">
        <f t="shared" si="4"/>
        <v>4.1736800000000018E-2</v>
      </c>
      <c r="L15" t="s">
        <v>86</v>
      </c>
      <c r="M15" t="s">
        <v>87</v>
      </c>
    </row>
    <row r="16" spans="1:13" ht="22.5" customHeight="1">
      <c r="A16" s="19">
        <f t="shared" si="0"/>
        <v>2001</v>
      </c>
      <c r="B16" s="19">
        <v>1751</v>
      </c>
      <c r="C16" s="20">
        <f t="shared" si="1"/>
        <v>863496973.41594481</v>
      </c>
      <c r="D16" s="21">
        <v>3.8E-3</v>
      </c>
      <c r="E16" s="20">
        <f t="shared" si="2"/>
        <v>3268866.8051211834</v>
      </c>
      <c r="F16" s="19"/>
      <c r="G16" s="28">
        <v>-0.33</v>
      </c>
      <c r="H16" s="10"/>
      <c r="I16" s="10">
        <f t="shared" si="5"/>
        <v>8230.3783476750305</v>
      </c>
      <c r="J16" s="10">
        <f t="shared" si="3"/>
        <v>7106906793285.5137</v>
      </c>
      <c r="K16" s="11">
        <f t="shared" si="4"/>
        <v>4.8745999999999512E-4</v>
      </c>
    </row>
    <row r="17" spans="1:13" ht="22.5" customHeight="1">
      <c r="A17" s="19">
        <f t="shared" si="0"/>
        <v>2000</v>
      </c>
      <c r="B17" s="19">
        <v>1750</v>
      </c>
      <c r="C17" s="20">
        <f t="shared" si="1"/>
        <v>860228106.61082363</v>
      </c>
      <c r="D17" s="21">
        <v>4.0000000000000001E-3</v>
      </c>
      <c r="E17" s="20">
        <f t="shared" si="2"/>
        <v>3427203.6119953394</v>
      </c>
      <c r="F17" s="19"/>
      <c r="G17" s="28">
        <v>2.41</v>
      </c>
      <c r="H17" s="10"/>
      <c r="I17" s="10">
        <f t="shared" si="5"/>
        <v>8257.6285217969598</v>
      </c>
      <c r="J17" s="10">
        <f t="shared" si="3"/>
        <v>7103444148400.9336</v>
      </c>
      <c r="K17" s="11">
        <f t="shared" si="4"/>
        <v>2.8196400000000121E-2</v>
      </c>
    </row>
    <row r="18" spans="1:13" ht="22.5" customHeight="1">
      <c r="A18" s="19">
        <f t="shared" si="0"/>
        <v>1999</v>
      </c>
      <c r="B18" s="19">
        <v>1749</v>
      </c>
      <c r="C18" s="20">
        <f t="shared" si="1"/>
        <v>856800902.99882829</v>
      </c>
      <c r="D18" s="21">
        <v>4.1999999999999997E-3</v>
      </c>
      <c r="E18" s="20">
        <f t="shared" si="2"/>
        <v>3583513.037836194</v>
      </c>
      <c r="F18" s="19"/>
      <c r="G18" s="28">
        <v>4.32</v>
      </c>
      <c r="H18" s="10"/>
      <c r="I18" s="10">
        <f t="shared" si="5"/>
        <v>8063.302921391426</v>
      </c>
      <c r="J18" s="10">
        <f t="shared" si="3"/>
        <v>6908645224201.2637</v>
      </c>
      <c r="K18" s="11">
        <f t="shared" si="4"/>
        <v>4.7581439999999864E-2</v>
      </c>
    </row>
    <row r="19" spans="1:13" ht="22.5" customHeight="1">
      <c r="A19" s="19">
        <f t="shared" si="0"/>
        <v>1998</v>
      </c>
      <c r="B19" s="19">
        <v>1748</v>
      </c>
      <c r="C19" s="20">
        <f t="shared" si="1"/>
        <v>853217389.9609921</v>
      </c>
      <c r="D19" s="21">
        <v>4.4999999999999997E-3</v>
      </c>
      <c r="E19" s="20">
        <f t="shared" si="2"/>
        <v>3822278.0038073063</v>
      </c>
      <c r="F19" s="19"/>
      <c r="G19" s="28">
        <v>4.38</v>
      </c>
      <c r="H19" s="10"/>
      <c r="I19" s="10">
        <f t="shared" si="5"/>
        <v>7729.3931378368734</v>
      </c>
      <c r="J19" s="10">
        <f t="shared" si="3"/>
        <v>6594852639047.5801</v>
      </c>
      <c r="K19" s="11">
        <f t="shared" si="4"/>
        <v>4.8497100000000071E-2</v>
      </c>
    </row>
    <row r="20" spans="1:13" ht="22.5" customHeight="1">
      <c r="A20" s="19">
        <f t="shared" si="0"/>
        <v>1997</v>
      </c>
      <c r="B20" s="19">
        <v>1747</v>
      </c>
      <c r="C20" s="20">
        <f t="shared" si="1"/>
        <v>849395111.95718479</v>
      </c>
      <c r="D20" s="21">
        <v>4.7999999999999996E-3</v>
      </c>
      <c r="E20" s="20">
        <f t="shared" si="2"/>
        <v>4057619.961578846</v>
      </c>
      <c r="F20" s="19"/>
      <c r="G20" s="28">
        <v>3.98</v>
      </c>
      <c r="H20" s="10"/>
      <c r="I20" s="10">
        <f t="shared" si="5"/>
        <v>7405.0518661016222</v>
      </c>
      <c r="J20" s="10">
        <f t="shared" si="3"/>
        <v>6289814858856.1475</v>
      </c>
      <c r="K20" s="11">
        <f t="shared" si="4"/>
        <v>4.4791040000000004E-2</v>
      </c>
    </row>
    <row r="21" spans="1:13" ht="22.5" customHeight="1">
      <c r="A21" s="19">
        <f t="shared" si="0"/>
        <v>1996</v>
      </c>
      <c r="B21" s="19">
        <v>1746</v>
      </c>
      <c r="C21" s="20">
        <f t="shared" si="1"/>
        <v>845337491.99560595</v>
      </c>
      <c r="D21" s="21">
        <v>5.1999999999999998E-3</v>
      </c>
      <c r="E21" s="20">
        <f t="shared" si="2"/>
        <v>4373015.2789268494</v>
      </c>
      <c r="F21" s="19"/>
      <c r="G21" s="28">
        <v>3.92</v>
      </c>
      <c r="H21" s="10"/>
      <c r="I21" s="10">
        <f t="shared" si="5"/>
        <v>7121.6117196591858</v>
      </c>
      <c r="J21" s="10">
        <f t="shared" si="3"/>
        <v>6020165390063.2109</v>
      </c>
      <c r="K21" s="11">
        <f t="shared" si="4"/>
        <v>4.4603840000000172E-2</v>
      </c>
    </row>
    <row r="22" spans="1:13" ht="22.5" customHeight="1">
      <c r="A22" s="19">
        <f t="shared" si="0"/>
        <v>1995</v>
      </c>
      <c r="B22" s="19">
        <v>1745</v>
      </c>
      <c r="C22" s="20">
        <f t="shared" si="1"/>
        <v>840964476.7166791</v>
      </c>
      <c r="D22" s="21">
        <v>5.5999999999999999E-3</v>
      </c>
      <c r="E22" s="20">
        <f t="shared" si="2"/>
        <v>4683175.2880005836</v>
      </c>
      <c r="F22" s="19"/>
      <c r="G22" s="28">
        <v>1.7</v>
      </c>
      <c r="H22" s="10"/>
      <c r="I22" s="10">
        <f t="shared" si="5"/>
        <v>6852.9750958999102</v>
      </c>
      <c r="J22" s="10">
        <f t="shared" si="3"/>
        <v>5763108615475.9014</v>
      </c>
      <c r="K22" s="11">
        <f t="shared" si="4"/>
        <v>2.2695200000000026E-2</v>
      </c>
    </row>
    <row r="23" spans="1:13" ht="22.5" customHeight="1">
      <c r="A23" s="19">
        <f t="shared" si="0"/>
        <v>1994</v>
      </c>
      <c r="B23" s="19">
        <v>1744</v>
      </c>
      <c r="C23" s="20">
        <f t="shared" si="1"/>
        <v>836281301.42867851</v>
      </c>
      <c r="D23" s="21">
        <v>6.0000000000000001E-3</v>
      </c>
      <c r="E23" s="20">
        <f t="shared" si="2"/>
        <v>4987761.2411253452</v>
      </c>
      <c r="F23" s="19"/>
      <c r="G23" s="28">
        <v>3.62</v>
      </c>
      <c r="H23" s="10"/>
      <c r="I23" s="10">
        <f t="shared" si="5"/>
        <v>6738.4219232054184</v>
      </c>
      <c r="J23" s="10">
        <f t="shared" si="3"/>
        <v>5635216255513.7656</v>
      </c>
      <c r="K23" s="11">
        <f t="shared" si="4"/>
        <v>4.2417200000000044E-2</v>
      </c>
    </row>
    <row r="24" spans="1:13" ht="22.5" customHeight="1">
      <c r="A24" s="19">
        <f t="shared" si="0"/>
        <v>1993</v>
      </c>
      <c r="B24" s="19">
        <v>1743</v>
      </c>
      <c r="C24" s="20">
        <f t="shared" si="1"/>
        <v>831293540.18755317</v>
      </c>
      <c r="D24" s="21">
        <v>6.3E-3</v>
      </c>
      <c r="E24" s="20">
        <f t="shared" si="2"/>
        <v>5204361.8236923218</v>
      </c>
      <c r="F24" s="19"/>
      <c r="G24" s="28">
        <v>2.11</v>
      </c>
      <c r="H24" s="10"/>
      <c r="I24" s="10">
        <f t="shared" si="5"/>
        <v>6503.0128577546984</v>
      </c>
      <c r="J24" s="10">
        <f t="shared" si="3"/>
        <v>5405912580408.0801</v>
      </c>
      <c r="K24" s="11">
        <f t="shared" si="4"/>
        <v>2.7532929999999789E-2</v>
      </c>
    </row>
    <row r="25" spans="1:13" ht="22.5" customHeight="1">
      <c r="A25" s="19">
        <f t="shared" si="0"/>
        <v>1992</v>
      </c>
      <c r="B25" s="19">
        <v>1742</v>
      </c>
      <c r="C25" s="20">
        <f t="shared" si="1"/>
        <v>826089178.36386085</v>
      </c>
      <c r="D25" s="21">
        <v>6.6E-3</v>
      </c>
      <c r="E25" s="20">
        <f t="shared" si="2"/>
        <v>5416440.0727214813</v>
      </c>
      <c r="F25" s="19"/>
      <c r="G25" s="28">
        <v>3.88</v>
      </c>
      <c r="H25" s="10"/>
      <c r="I25" s="10">
        <f t="shared" si="5"/>
        <v>6368.6346662958567</v>
      </c>
      <c r="J25" s="10">
        <f t="shared" si="3"/>
        <v>5261060178779.9453</v>
      </c>
      <c r="K25" s="11">
        <f t="shared" si="4"/>
        <v>4.5656079999999877E-2</v>
      </c>
    </row>
    <row r="26" spans="1:13" ht="22.5" customHeight="1">
      <c r="A26" s="19">
        <f t="shared" si="0"/>
        <v>1991</v>
      </c>
      <c r="B26" s="19">
        <v>1741</v>
      </c>
      <c r="C26" s="20">
        <f t="shared" si="1"/>
        <v>820672738.29113936</v>
      </c>
      <c r="D26" s="21">
        <v>6.7999999999999996E-3</v>
      </c>
      <c r="E26" s="20">
        <f t="shared" si="2"/>
        <v>5542883.0158717632</v>
      </c>
      <c r="F26" s="19"/>
      <c r="G26" s="28">
        <v>1.17</v>
      </c>
      <c r="H26" s="10"/>
      <c r="I26" s="10">
        <f t="shared" si="5"/>
        <v>6130.7611342855771</v>
      </c>
      <c r="J26" s="10">
        <f t="shared" si="3"/>
        <v>5031348527883.0361</v>
      </c>
      <c r="K26" s="11">
        <f t="shared" si="4"/>
        <v>1.8579559999999828E-2</v>
      </c>
    </row>
    <row r="27" spans="1:13" ht="22.5" customHeight="1">
      <c r="A27" s="19">
        <f t="shared" si="0"/>
        <v>1990</v>
      </c>
      <c r="B27" s="19">
        <v>1740</v>
      </c>
      <c r="C27" s="20">
        <f t="shared" si="1"/>
        <v>815129855.2752676</v>
      </c>
      <c r="D27" s="21">
        <v>7.0000000000000001E-3</v>
      </c>
      <c r="E27" s="20">
        <f t="shared" si="2"/>
        <v>5666245.2700365782</v>
      </c>
      <c r="F27" s="19"/>
      <c r="G27" s="28">
        <v>-1.86</v>
      </c>
      <c r="H27" s="10"/>
      <c r="I27" s="10">
        <f t="shared" si="5"/>
        <v>6059.8607633543315</v>
      </c>
      <c r="J27" s="10">
        <f t="shared" si="3"/>
        <v>4939573427021.2891</v>
      </c>
      <c r="K27" s="11">
        <f t="shared" si="4"/>
        <v>-1.1730200000000024E-2</v>
      </c>
      <c r="L27" t="s">
        <v>88</v>
      </c>
      <c r="M27" t="s">
        <v>89</v>
      </c>
    </row>
    <row r="28" spans="1:13" ht="22.5" customHeight="1">
      <c r="A28" s="19">
        <f t="shared" si="0"/>
        <v>1989</v>
      </c>
      <c r="B28" s="19">
        <v>1739</v>
      </c>
      <c r="C28" s="20">
        <f t="shared" si="1"/>
        <v>809463610.00523102</v>
      </c>
      <c r="D28" s="21">
        <v>7.3000000000000001E-3</v>
      </c>
      <c r="E28" s="20">
        <f t="shared" si="2"/>
        <v>5866260.6502910852</v>
      </c>
      <c r="F28" s="19"/>
      <c r="G28" s="28">
        <v>2.74</v>
      </c>
      <c r="H28" s="10"/>
      <c r="I28" s="10">
        <f t="shared" si="5"/>
        <v>6174.7103763545256</v>
      </c>
      <c r="J28" s="10">
        <f t="shared" si="3"/>
        <v>4998203351980.6934</v>
      </c>
      <c r="K28" s="11">
        <f t="shared" si="4"/>
        <v>3.4900020000000254E-2</v>
      </c>
    </row>
    <row r="29" spans="1:13" ht="22.5" customHeight="1">
      <c r="A29" s="19">
        <f t="shared" si="0"/>
        <v>1988</v>
      </c>
      <c r="B29" s="19">
        <v>1738</v>
      </c>
      <c r="C29" s="20">
        <f t="shared" si="1"/>
        <v>803597349.35493994</v>
      </c>
      <c r="D29" s="21">
        <v>7.7000000000000002E-3</v>
      </c>
      <c r="E29" s="20">
        <f t="shared" si="2"/>
        <v>6140418.3685948849</v>
      </c>
      <c r="F29" s="19"/>
      <c r="G29" s="28">
        <v>3.8</v>
      </c>
      <c r="H29" s="10"/>
      <c r="I29" s="10">
        <f t="shared" si="5"/>
        <v>6010.0354062239876</v>
      </c>
      <c r="J29" s="10">
        <f t="shared" si="3"/>
        <v>4829648521970.9365</v>
      </c>
      <c r="K29" s="11">
        <f t="shared" si="4"/>
        <v>4.5992600000000161E-2</v>
      </c>
    </row>
    <row r="30" spans="1:13" ht="22.5" customHeight="1">
      <c r="A30" s="19">
        <f t="shared" si="0"/>
        <v>1987</v>
      </c>
      <c r="B30" s="19">
        <v>1737</v>
      </c>
      <c r="C30" s="20">
        <f t="shared" si="1"/>
        <v>797456930.98634505</v>
      </c>
      <c r="D30" s="22">
        <v>8.2000000000000007E-3</v>
      </c>
      <c r="E30" s="20">
        <f t="shared" si="2"/>
        <v>6485961.9461297989</v>
      </c>
      <c r="F30" s="19"/>
      <c r="G30" s="28">
        <v>4.47</v>
      </c>
      <c r="H30" s="10"/>
      <c r="I30" s="10">
        <f t="shared" si="5"/>
        <v>5790.0148422196407</v>
      </c>
      <c r="J30" s="10">
        <f t="shared" si="3"/>
        <v>4617287466441.8613</v>
      </c>
      <c r="K30" s="11">
        <f t="shared" si="4"/>
        <v>5.3266539999999862E-2</v>
      </c>
    </row>
    <row r="31" spans="1:13" ht="22.5" customHeight="1">
      <c r="A31" s="19">
        <f t="shared" si="0"/>
        <v>1986</v>
      </c>
      <c r="B31" s="19">
        <v>1736</v>
      </c>
      <c r="C31" s="20">
        <f t="shared" si="1"/>
        <v>790970969.04021525</v>
      </c>
      <c r="D31" s="23">
        <v>8.8000000000000005E-3</v>
      </c>
      <c r="E31" s="20">
        <f t="shared" si="2"/>
        <v>6899826.0582412481</v>
      </c>
      <c r="F31" s="19"/>
      <c r="G31" s="28">
        <v>2.91</v>
      </c>
      <c r="H31" s="10"/>
      <c r="I31" s="10">
        <f t="shared" si="5"/>
        <v>5542.2751433135263</v>
      </c>
      <c r="J31" s="10">
        <f t="shared" si="3"/>
        <v>4383778740794.1978</v>
      </c>
      <c r="K31" s="11">
        <f t="shared" si="4"/>
        <v>3.8156079999999815E-2</v>
      </c>
    </row>
    <row r="32" spans="1:13" ht="22.5" customHeight="1">
      <c r="A32" s="19">
        <f t="shared" si="0"/>
        <v>1985</v>
      </c>
      <c r="B32" s="19">
        <v>1735</v>
      </c>
      <c r="C32" s="20">
        <f t="shared" si="1"/>
        <v>784071142.98197401</v>
      </c>
      <c r="D32" s="22">
        <v>9.4000000000000004E-3</v>
      </c>
      <c r="E32" s="20">
        <f t="shared" si="2"/>
        <v>7301633.390163064</v>
      </c>
      <c r="F32" s="19"/>
      <c r="G32" s="28">
        <v>4.18</v>
      </c>
      <c r="H32" s="10"/>
      <c r="I32" s="10">
        <f t="shared" si="5"/>
        <v>5385.5554788781719</v>
      </c>
      <c r="J32" s="10">
        <f t="shared" si="3"/>
        <v>4222658639916.8408</v>
      </c>
      <c r="K32" s="11">
        <f t="shared" si="4"/>
        <v>5.1592920000000264E-2</v>
      </c>
    </row>
    <row r="33" spans="1:13" ht="22.5" customHeight="1">
      <c r="A33" s="19">
        <f t="shared" si="0"/>
        <v>1984</v>
      </c>
      <c r="B33" s="19">
        <v>1734</v>
      </c>
      <c r="C33" s="20">
        <f t="shared" si="1"/>
        <v>776769509.59181094</v>
      </c>
      <c r="D33" s="23">
        <v>9.9000000000000008E-3</v>
      </c>
      <c r="E33" s="20">
        <f t="shared" si="2"/>
        <v>7614633.2755311728</v>
      </c>
      <c r="F33" s="19"/>
      <c r="G33" s="28">
        <v>2.58</v>
      </c>
      <c r="H33" s="10"/>
      <c r="I33" s="10">
        <f t="shared" si="5"/>
        <v>5169.4715673624223</v>
      </c>
      <c r="J33" s="10">
        <f t="shared" si="3"/>
        <v>4015487894228.9189</v>
      </c>
      <c r="K33" s="11">
        <f t="shared" si="4"/>
        <v>3.5955419999999849E-2</v>
      </c>
    </row>
    <row r="34" spans="1:13" ht="22.5" customHeight="1">
      <c r="A34" s="19">
        <f t="shared" si="0"/>
        <v>1983</v>
      </c>
      <c r="B34" s="19">
        <v>1733</v>
      </c>
      <c r="C34" s="20">
        <f t="shared" si="1"/>
        <v>769154876.31627977</v>
      </c>
      <c r="D34" s="22">
        <v>1.03E-2</v>
      </c>
      <c r="E34" s="20">
        <f t="shared" si="2"/>
        <v>7841527.4928809404</v>
      </c>
      <c r="F34" s="19"/>
      <c r="G34" s="28">
        <v>2.2999999999999998</v>
      </c>
      <c r="H34" s="10"/>
      <c r="I34" s="10">
        <f t="shared" si="5"/>
        <v>5039.4536628606184</v>
      </c>
      <c r="J34" s="10">
        <f t="shared" ref="J34:J65" si="6">IF(I34="","",I34*C34)</f>
        <v>3876120358759.1821</v>
      </c>
      <c r="K34" s="11">
        <f t="shared" ref="K34:K65" si="7">IFERROR(J34/J35-1,"")</f>
        <v>3.353689999999987E-2</v>
      </c>
    </row>
    <row r="35" spans="1:13" ht="22.5" customHeight="1">
      <c r="A35" s="19">
        <f t="shared" si="0"/>
        <v>1982</v>
      </c>
      <c r="B35" s="19">
        <v>1732</v>
      </c>
      <c r="C35" s="20">
        <f t="shared" si="1"/>
        <v>761313348.82339883</v>
      </c>
      <c r="D35" s="21">
        <v>1.06E-2</v>
      </c>
      <c r="E35" s="20">
        <f t="shared" si="2"/>
        <v>7985277.5554403067</v>
      </c>
      <c r="F35" s="19"/>
      <c r="G35" s="28">
        <v>-1.44</v>
      </c>
      <c r="H35" s="10"/>
      <c r="I35" s="10">
        <f t="shared" ref="I35:I66" si="8">IF(H35&lt;&gt;"",H35,I34/(1+IF(G34="",0,G34)/100))</f>
        <v>4926.1521631091091</v>
      </c>
      <c r="J35" s="10">
        <f t="shared" si="6"/>
        <v>3750345400110.2261</v>
      </c>
      <c r="K35" s="11">
        <f t="shared" si="7"/>
        <v>-3.9526399999998407E-3</v>
      </c>
    </row>
    <row r="36" spans="1:13" ht="22.5" customHeight="1">
      <c r="A36" s="19">
        <f t="shared" si="0"/>
        <v>1981</v>
      </c>
      <c r="B36" s="19">
        <v>1731</v>
      </c>
      <c r="C36" s="20">
        <f t="shared" si="1"/>
        <v>753328071.26795852</v>
      </c>
      <c r="D36" s="21">
        <v>1.09E-2</v>
      </c>
      <c r="E36" s="20">
        <f t="shared" si="2"/>
        <v>8122738.1311906576</v>
      </c>
      <c r="F36" s="19"/>
      <c r="G36" s="28">
        <v>1.3</v>
      </c>
      <c r="H36" s="10"/>
      <c r="I36" s="10">
        <f t="shared" si="8"/>
        <v>4998.1251654921962</v>
      </c>
      <c r="J36" s="10">
        <f t="shared" si="6"/>
        <v>3765227990876.082</v>
      </c>
      <c r="K36" s="11">
        <f t="shared" si="7"/>
        <v>2.4041699999999722E-2</v>
      </c>
      <c r="L36" t="s">
        <v>90</v>
      </c>
      <c r="M36" t="s">
        <v>91</v>
      </c>
    </row>
    <row r="37" spans="1:13" ht="22.5" customHeight="1">
      <c r="A37" s="19">
        <f t="shared" si="0"/>
        <v>1980</v>
      </c>
      <c r="B37" s="19">
        <v>1730</v>
      </c>
      <c r="C37" s="20">
        <f t="shared" si="1"/>
        <v>745205333.13676786</v>
      </c>
      <c r="D37" s="21">
        <v>1.12E-2</v>
      </c>
      <c r="E37" s="20">
        <f t="shared" si="2"/>
        <v>8253856.537907362</v>
      </c>
      <c r="F37" s="19"/>
      <c r="G37" s="28">
        <v>-4.3</v>
      </c>
      <c r="H37" s="10"/>
      <c r="I37" s="10">
        <f t="shared" si="8"/>
        <v>4933.9833815322772</v>
      </c>
      <c r="J37" s="10">
        <f t="shared" si="6"/>
        <v>3676830729526.0371</v>
      </c>
      <c r="K37" s="11">
        <f t="shared" si="7"/>
        <v>-3.228159999999991E-2</v>
      </c>
      <c r="L37" t="s">
        <v>92</v>
      </c>
      <c r="M37" t="s">
        <v>93</v>
      </c>
    </row>
    <row r="38" spans="1:13" ht="22.5" customHeight="1">
      <c r="A38" s="19">
        <f t="shared" si="0"/>
        <v>1979</v>
      </c>
      <c r="B38" s="19">
        <v>1729</v>
      </c>
      <c r="C38" s="20">
        <f t="shared" si="1"/>
        <v>736951476.5988605</v>
      </c>
      <c r="D38" s="21">
        <v>1.1299999999999999E-2</v>
      </c>
      <c r="E38" s="20">
        <f t="shared" si="2"/>
        <v>8234501.8150570393</v>
      </c>
      <c r="F38" s="19"/>
      <c r="G38" s="28">
        <v>-5.32</v>
      </c>
      <c r="H38" s="10"/>
      <c r="I38" s="10">
        <f t="shared" si="8"/>
        <v>5155.677514662777</v>
      </c>
      <c r="J38" s="10">
        <f t="shared" si="6"/>
        <v>3799484157298.2769</v>
      </c>
      <c r="K38" s="11">
        <f t="shared" si="7"/>
        <v>-4.2501159999999816E-2</v>
      </c>
      <c r="L38" t="s">
        <v>94</v>
      </c>
      <c r="M38" t="s">
        <v>95</v>
      </c>
    </row>
    <row r="39" spans="1:13" ht="22.5" customHeight="1">
      <c r="A39" s="19">
        <f t="shared" si="0"/>
        <v>1978</v>
      </c>
      <c r="B39" s="19">
        <v>1728</v>
      </c>
      <c r="C39" s="20">
        <f t="shared" si="1"/>
        <v>728716974.78380346</v>
      </c>
      <c r="D39" s="21">
        <v>1.14E-2</v>
      </c>
      <c r="E39" s="20">
        <f t="shared" si="2"/>
        <v>8213736.9117416143</v>
      </c>
      <c r="F39" s="19"/>
      <c r="G39" s="28">
        <v>2.1</v>
      </c>
      <c r="H39" s="10"/>
      <c r="I39" s="10">
        <f t="shared" si="8"/>
        <v>5445.3712660147621</v>
      </c>
      <c r="J39" s="10">
        <f t="shared" si="6"/>
        <v>3968134475544.9272</v>
      </c>
      <c r="K39" s="11">
        <f t="shared" si="7"/>
        <v>3.2639400000000096E-2</v>
      </c>
    </row>
    <row r="40" spans="1:13" ht="22.5" customHeight="1">
      <c r="A40" s="19">
        <f t="shared" si="0"/>
        <v>1977</v>
      </c>
      <c r="B40" s="19">
        <v>1727</v>
      </c>
      <c r="C40" s="20">
        <f t="shared" si="1"/>
        <v>720503237.87206185</v>
      </c>
      <c r="D40" s="21">
        <v>1.1299999999999999E-2</v>
      </c>
      <c r="E40" s="20">
        <f t="shared" si="2"/>
        <v>8050713.5251204967</v>
      </c>
      <c r="F40" s="19"/>
      <c r="G40" s="28">
        <v>3.2</v>
      </c>
      <c r="H40" s="10"/>
      <c r="I40" s="10">
        <f t="shared" si="8"/>
        <v>5333.3704858126957</v>
      </c>
      <c r="J40" s="10">
        <f t="shared" si="6"/>
        <v>3842710703799.3389</v>
      </c>
      <c r="K40" s="11">
        <f t="shared" si="7"/>
        <v>4.36616000000003E-2</v>
      </c>
    </row>
    <row r="41" spans="1:13" ht="22.5" customHeight="1">
      <c r="A41" s="19">
        <f t="shared" si="0"/>
        <v>1976</v>
      </c>
      <c r="B41" s="19">
        <v>1726</v>
      </c>
      <c r="C41" s="20">
        <f t="shared" si="1"/>
        <v>712452524.34694135</v>
      </c>
      <c r="D41" s="21">
        <v>1.12E-2</v>
      </c>
      <c r="E41" s="20">
        <f t="shared" si="2"/>
        <v>7891088.0861212015</v>
      </c>
      <c r="F41" s="19"/>
      <c r="G41" s="28">
        <v>0.3</v>
      </c>
      <c r="H41" s="10"/>
      <c r="I41" s="10">
        <f t="shared" si="8"/>
        <v>5167.9946567952475</v>
      </c>
      <c r="J41" s="10">
        <f t="shared" si="6"/>
        <v>3681950839045.2788</v>
      </c>
      <c r="K41" s="11">
        <f t="shared" si="7"/>
        <v>1.4233599999999846E-2</v>
      </c>
    </row>
    <row r="42" spans="1:13" ht="22.5" customHeight="1">
      <c r="A42" s="19">
        <f t="shared" si="0"/>
        <v>1975</v>
      </c>
      <c r="B42" s="19">
        <v>1725</v>
      </c>
      <c r="C42" s="20">
        <f t="shared" si="1"/>
        <v>704561436.26082015</v>
      </c>
      <c r="D42" s="21">
        <v>1.11E-2</v>
      </c>
      <c r="E42" s="20">
        <f t="shared" si="2"/>
        <v>7734775.9296758175</v>
      </c>
      <c r="F42" s="19"/>
      <c r="G42" s="28">
        <v>-4.32</v>
      </c>
      <c r="H42" s="10"/>
      <c r="I42" s="10">
        <f t="shared" si="8"/>
        <v>5152.5370456582732</v>
      </c>
      <c r="J42" s="10">
        <f t="shared" si="6"/>
        <v>3630278901276.0762</v>
      </c>
      <c r="K42" s="11">
        <f t="shared" si="7"/>
        <v>-3.2579519999999973E-2</v>
      </c>
      <c r="L42" t="s">
        <v>96</v>
      </c>
      <c r="M42" t="s">
        <v>97</v>
      </c>
    </row>
    <row r="43" spans="1:13" ht="22.5" customHeight="1">
      <c r="A43" s="19">
        <f t="shared" si="0"/>
        <v>1974</v>
      </c>
      <c r="B43" s="19">
        <v>1724</v>
      </c>
      <c r="C43" s="20">
        <f t="shared" si="1"/>
        <v>696826660.33114433</v>
      </c>
      <c r="D43" s="21">
        <v>1.0999999999999999E-2</v>
      </c>
      <c r="E43" s="20">
        <f t="shared" si="2"/>
        <v>7581694.6227917671</v>
      </c>
      <c r="F43" s="19"/>
      <c r="G43" s="28">
        <v>-1.95</v>
      </c>
      <c r="H43" s="10"/>
      <c r="I43" s="10">
        <f t="shared" si="8"/>
        <v>5385.1766781545502</v>
      </c>
      <c r="J43" s="10">
        <f t="shared" si="6"/>
        <v>3752534679931.6011</v>
      </c>
      <c r="K43" s="11">
        <f t="shared" si="7"/>
        <v>-8.7145000000000694E-3</v>
      </c>
    </row>
    <row r="44" spans="1:13" ht="22.5" customHeight="1">
      <c r="A44" s="19">
        <f t="shared" si="0"/>
        <v>1973</v>
      </c>
      <c r="B44" s="19">
        <v>1723</v>
      </c>
      <c r="C44" s="20">
        <f t="shared" si="1"/>
        <v>689244965.70835257</v>
      </c>
      <c r="D44" s="21">
        <v>1.0999999999999999E-2</v>
      </c>
      <c r="E44" s="20">
        <f t="shared" si="2"/>
        <v>7499203.3855507374</v>
      </c>
      <c r="F44" s="19"/>
      <c r="G44" s="28">
        <v>5.0999999999999996</v>
      </c>
      <c r="H44" s="10"/>
      <c r="I44" s="10">
        <f t="shared" si="8"/>
        <v>5492.2760613508926</v>
      </c>
      <c r="J44" s="10">
        <f t="shared" si="6"/>
        <v>3785523625566.6016</v>
      </c>
      <c r="K44" s="11">
        <f t="shared" si="7"/>
        <v>6.2560999999999867E-2</v>
      </c>
    </row>
    <row r="45" spans="1:13" ht="22.5" customHeight="1">
      <c r="A45" s="19">
        <f t="shared" si="0"/>
        <v>1972</v>
      </c>
      <c r="B45" s="19">
        <v>1722</v>
      </c>
      <c r="C45" s="20">
        <f t="shared" si="1"/>
        <v>681745762.32280183</v>
      </c>
      <c r="D45" s="21">
        <v>1.0999999999999999E-2</v>
      </c>
      <c r="E45" s="20">
        <f t="shared" si="2"/>
        <v>7417609.6790808439</v>
      </c>
      <c r="F45" s="19"/>
      <c r="G45" s="28">
        <v>6.2</v>
      </c>
      <c r="H45" s="10"/>
      <c r="I45" s="10">
        <f t="shared" si="8"/>
        <v>5225.762189677348</v>
      </c>
      <c r="J45" s="10">
        <f t="shared" si="6"/>
        <v>3562641227719.2578</v>
      </c>
      <c r="K45" s="11">
        <f t="shared" si="7"/>
        <v>7.3682000000000025E-2</v>
      </c>
    </row>
    <row r="46" spans="1:13" ht="22.5" customHeight="1">
      <c r="A46" s="19">
        <f t="shared" si="0"/>
        <v>1971</v>
      </c>
      <c r="B46" s="19">
        <v>1721</v>
      </c>
      <c r="C46" s="20">
        <f t="shared" si="1"/>
        <v>674328152.64372098</v>
      </c>
      <c r="D46" s="21">
        <v>1.0999999999999999E-2</v>
      </c>
      <c r="E46" s="20">
        <f t="shared" si="2"/>
        <v>7336903.7379633188</v>
      </c>
      <c r="F46" s="19"/>
      <c r="G46" s="28">
        <v>3.3</v>
      </c>
      <c r="H46" s="10"/>
      <c r="I46" s="10">
        <f t="shared" si="8"/>
        <v>4920.6800279447716</v>
      </c>
      <c r="J46" s="10">
        <f t="shared" si="6"/>
        <v>3318153072994.8511</v>
      </c>
      <c r="K46" s="11">
        <f t="shared" si="7"/>
        <v>4.436299999999993E-2</v>
      </c>
    </row>
    <row r="47" spans="1:13" ht="22.5" customHeight="1">
      <c r="A47" s="19">
        <f t="shared" si="0"/>
        <v>1970</v>
      </c>
      <c r="B47" s="19">
        <v>1720</v>
      </c>
      <c r="C47" s="20">
        <f t="shared" si="1"/>
        <v>666991248.90575767</v>
      </c>
      <c r="D47" s="21">
        <v>1.0999999999999999E-2</v>
      </c>
      <c r="E47" s="20">
        <f t="shared" si="2"/>
        <v>7257075.9030299187</v>
      </c>
      <c r="F47" s="19"/>
      <c r="G47" s="28">
        <v>-1.32</v>
      </c>
      <c r="H47" s="10"/>
      <c r="I47" s="10">
        <f t="shared" si="8"/>
        <v>4763.485022211783</v>
      </c>
      <c r="J47" s="10">
        <f t="shared" si="6"/>
        <v>3177202824108.9077</v>
      </c>
      <c r="K47" s="11">
        <f t="shared" si="7"/>
        <v>-2.3452000000001583E-3</v>
      </c>
    </row>
    <row r="48" spans="1:13" ht="22.5" customHeight="1">
      <c r="A48" s="19">
        <f t="shared" si="0"/>
        <v>1969</v>
      </c>
      <c r="B48" s="19">
        <v>1719</v>
      </c>
      <c r="C48" s="20">
        <f t="shared" si="1"/>
        <v>659734173.00272775</v>
      </c>
      <c r="D48" s="21">
        <v>1.0999999999999999E-2</v>
      </c>
      <c r="E48" s="20">
        <f t="shared" si="2"/>
        <v>7178116.6202076674</v>
      </c>
      <c r="F48" s="19"/>
      <c r="G48" s="28">
        <v>1.05</v>
      </c>
      <c r="H48" s="10"/>
      <c r="I48" s="10">
        <f t="shared" si="8"/>
        <v>4827.204116550246</v>
      </c>
      <c r="J48" s="10">
        <f t="shared" si="6"/>
        <v>3184671515747.6396</v>
      </c>
      <c r="K48" s="11">
        <f t="shared" si="7"/>
        <v>2.161550000000001E-2</v>
      </c>
    </row>
    <row r="49" spans="1:11" ht="22.5" customHeight="1">
      <c r="A49" s="19">
        <f t="shared" si="0"/>
        <v>1968</v>
      </c>
      <c r="B49" s="19">
        <v>1718</v>
      </c>
      <c r="C49" s="20">
        <f t="shared" si="1"/>
        <v>652556056.38252008</v>
      </c>
      <c r="D49" s="21">
        <v>1.11E-2</v>
      </c>
      <c r="E49" s="20">
        <f t="shared" si="2"/>
        <v>7163853.4525229931</v>
      </c>
      <c r="F49" s="19"/>
      <c r="G49" s="28">
        <v>7.02</v>
      </c>
      <c r="H49" s="10"/>
      <c r="I49" s="10">
        <f t="shared" si="8"/>
        <v>4777.0451425534347</v>
      </c>
      <c r="J49" s="10">
        <f t="shared" si="6"/>
        <v>3117289739385.9429</v>
      </c>
      <c r="K49" s="11">
        <f t="shared" si="7"/>
        <v>8.2079220000000008E-2</v>
      </c>
    </row>
    <row r="50" spans="1:11" ht="22.5" customHeight="1">
      <c r="A50" s="19">
        <f t="shared" si="0"/>
        <v>1967</v>
      </c>
      <c r="B50" s="19">
        <v>1717</v>
      </c>
      <c r="C50" s="20">
        <f t="shared" si="1"/>
        <v>645392202.92999709</v>
      </c>
      <c r="D50" s="21">
        <v>1.12E-2</v>
      </c>
      <c r="E50" s="20">
        <f t="shared" si="2"/>
        <v>7148331.3615665436</v>
      </c>
      <c r="F50" s="19"/>
      <c r="G50" s="28">
        <v>9.89</v>
      </c>
      <c r="H50" s="10"/>
      <c r="I50" s="10">
        <f t="shared" si="8"/>
        <v>4463.693835314366</v>
      </c>
      <c r="J50" s="10">
        <f t="shared" si="6"/>
        <v>2880833197578.5864</v>
      </c>
      <c r="K50" s="11">
        <f t="shared" si="7"/>
        <v>0.11120768000000014</v>
      </c>
    </row>
    <row r="51" spans="1:11" ht="22.5" customHeight="1">
      <c r="A51" s="19">
        <f t="shared" si="0"/>
        <v>1966</v>
      </c>
      <c r="B51" s="19">
        <v>1716</v>
      </c>
      <c r="C51" s="20">
        <f t="shared" si="1"/>
        <v>638243871.56843054</v>
      </c>
      <c r="D51" s="21">
        <v>1.14E-2</v>
      </c>
      <c r="E51" s="20">
        <f t="shared" si="2"/>
        <v>7193968.8905280828</v>
      </c>
      <c r="F51" s="19"/>
      <c r="G51" s="28">
        <v>7.37</v>
      </c>
      <c r="H51" s="10"/>
      <c r="I51" s="10">
        <f t="shared" si="8"/>
        <v>4061.965452101525</v>
      </c>
      <c r="J51" s="10">
        <f t="shared" si="6"/>
        <v>2592524556326.4878</v>
      </c>
      <c r="K51" s="11">
        <f t="shared" si="7"/>
        <v>8.5940180000000144E-2</v>
      </c>
    </row>
    <row r="52" spans="1:11" ht="22.5" customHeight="1">
      <c r="A52" s="19">
        <f t="shared" si="0"/>
        <v>1965</v>
      </c>
      <c r="B52" s="19">
        <v>1715</v>
      </c>
      <c r="C52" s="20">
        <f t="shared" si="1"/>
        <v>631049902.67790246</v>
      </c>
      <c r="D52" s="21">
        <v>1.17E-2</v>
      </c>
      <c r="E52" s="20">
        <f t="shared" si="2"/>
        <v>7297898.4494726658</v>
      </c>
      <c r="F52" s="19"/>
      <c r="G52" s="28">
        <v>2.83</v>
      </c>
      <c r="H52" s="10"/>
      <c r="I52" s="10">
        <f t="shared" si="8"/>
        <v>3783.1474826315775</v>
      </c>
      <c r="J52" s="10">
        <f t="shared" si="6"/>
        <v>2387354850730.8086</v>
      </c>
      <c r="K52" s="11">
        <f t="shared" si="7"/>
        <v>4.0331110000000114E-2</v>
      </c>
    </row>
    <row r="53" spans="1:11" ht="22.5" customHeight="1">
      <c r="A53" s="19">
        <f t="shared" si="0"/>
        <v>1964</v>
      </c>
      <c r="B53" s="19">
        <v>1714</v>
      </c>
      <c r="C53" s="20">
        <f t="shared" si="1"/>
        <v>623752004.22842979</v>
      </c>
      <c r="D53" s="21">
        <v>1.2E-2</v>
      </c>
      <c r="E53" s="20">
        <f t="shared" si="2"/>
        <v>7396268.824843049</v>
      </c>
      <c r="F53" s="19"/>
      <c r="G53" s="28">
        <v>5.04</v>
      </c>
      <c r="H53" s="10"/>
      <c r="I53" s="10">
        <f t="shared" si="8"/>
        <v>3679.0309079369617</v>
      </c>
      <c r="J53" s="10">
        <f t="shared" si="6"/>
        <v>2294802902444.0195</v>
      </c>
      <c r="K53" s="11">
        <f t="shared" si="7"/>
        <v>6.3004800000000083E-2</v>
      </c>
    </row>
    <row r="54" spans="1:11" ht="22.5" customHeight="1">
      <c r="A54" s="19">
        <f t="shared" si="0"/>
        <v>1963</v>
      </c>
      <c r="B54" s="19">
        <v>1713</v>
      </c>
      <c r="C54" s="20">
        <f t="shared" si="1"/>
        <v>616355735.40358675</v>
      </c>
      <c r="D54" s="21">
        <v>1.23E-2</v>
      </c>
      <c r="E54" s="20">
        <f t="shared" si="2"/>
        <v>7489060.1061583757</v>
      </c>
      <c r="F54" s="19"/>
      <c r="G54" s="28">
        <v>7.96</v>
      </c>
      <c r="H54" s="10"/>
      <c r="I54" s="10">
        <f t="shared" si="8"/>
        <v>3502.5046724456984</v>
      </c>
      <c r="J54" s="10">
        <f t="shared" si="6"/>
        <v>2158788843139.7671</v>
      </c>
      <c r="K54" s="11">
        <f t="shared" si="7"/>
        <v>9.2879080000000114E-2</v>
      </c>
    </row>
    <row r="55" spans="1:11" ht="22.5" customHeight="1">
      <c r="A55" s="19">
        <f t="shared" si="0"/>
        <v>1962</v>
      </c>
      <c r="B55" s="19">
        <v>1712</v>
      </c>
      <c r="C55" s="20">
        <f t="shared" si="1"/>
        <v>608866675.29742837</v>
      </c>
      <c r="D55" s="21">
        <v>1.26E-2</v>
      </c>
      <c r="E55" s="20">
        <f t="shared" si="2"/>
        <v>7576259.2422946692</v>
      </c>
      <c r="F55" s="19"/>
      <c r="G55" s="28">
        <v>5.67</v>
      </c>
      <c r="H55" s="10"/>
      <c r="I55" s="10">
        <f t="shared" si="8"/>
        <v>3244.2614602127619</v>
      </c>
      <c r="J55" s="10">
        <f t="shared" si="6"/>
        <v>1975322689075.3245</v>
      </c>
      <c r="K55" s="11">
        <f t="shared" si="7"/>
        <v>7.0014419999999911E-2</v>
      </c>
    </row>
    <row r="56" spans="1:11" ht="22.5" customHeight="1">
      <c r="A56" s="19">
        <f t="shared" si="0"/>
        <v>1961</v>
      </c>
      <c r="B56" s="19">
        <v>1711</v>
      </c>
      <c r="C56" s="20">
        <f t="shared" si="1"/>
        <v>601290416.0551337</v>
      </c>
      <c r="D56" s="21">
        <v>1.2800000000000001E-2</v>
      </c>
      <c r="E56" s="20">
        <f t="shared" si="2"/>
        <v>7599246.9643617868</v>
      </c>
      <c r="F56" s="19"/>
      <c r="G56" s="28">
        <v>7.5</v>
      </c>
      <c r="H56" s="10"/>
      <c r="I56" s="10">
        <f t="shared" si="8"/>
        <v>3070.1821332570853</v>
      </c>
      <c r="J56" s="10">
        <f t="shared" si="6"/>
        <v>1846071092271.1907</v>
      </c>
      <c r="K56" s="11">
        <f t="shared" si="7"/>
        <v>8.8759999999999728E-2</v>
      </c>
    </row>
    <row r="57" spans="1:11" ht="22.5" customHeight="1">
      <c r="A57" s="19">
        <f t="shared" si="0"/>
        <v>1960</v>
      </c>
      <c r="B57" s="19">
        <v>1710</v>
      </c>
      <c r="C57" s="20">
        <f t="shared" si="1"/>
        <v>593691169.09077191</v>
      </c>
      <c r="D57" s="21">
        <v>1.2999999999999999E-2</v>
      </c>
      <c r="E57" s="20">
        <f t="shared" si="2"/>
        <v>7618938.9912931919</v>
      </c>
      <c r="F57" s="19"/>
      <c r="G57" s="28">
        <v>11.46</v>
      </c>
      <c r="H57" s="10"/>
      <c r="I57" s="10">
        <f t="shared" si="8"/>
        <v>2855.983379774033</v>
      </c>
      <c r="J57" s="10">
        <f t="shared" si="6"/>
        <v>1695572111641.8596</v>
      </c>
      <c r="K57" s="11">
        <f t="shared" si="7"/>
        <v>0.12908980000000003</v>
      </c>
    </row>
    <row r="58" spans="1:11" ht="22.5" customHeight="1">
      <c r="A58" s="19">
        <f t="shared" si="0"/>
        <v>1959</v>
      </c>
      <c r="B58" s="19">
        <v>1709</v>
      </c>
      <c r="C58" s="20">
        <f t="shared" si="1"/>
        <v>586072230.09947872</v>
      </c>
      <c r="D58" s="21">
        <v>1.32E-2</v>
      </c>
      <c r="E58" s="20">
        <f t="shared" si="2"/>
        <v>7635366.5982167721</v>
      </c>
      <c r="F58" s="19"/>
      <c r="G58" s="28">
        <v>8.16</v>
      </c>
      <c r="H58" s="10"/>
      <c r="I58" s="10">
        <f t="shared" si="8"/>
        <v>2562.3392964059149</v>
      </c>
      <c r="J58" s="10">
        <f t="shared" si="6"/>
        <v>1501715905716.1438</v>
      </c>
      <c r="K58" s="11">
        <f t="shared" si="7"/>
        <v>9.5877120000000149E-2</v>
      </c>
    </row>
    <row r="59" spans="1:11" ht="22.5" customHeight="1">
      <c r="A59" s="19">
        <f t="shared" si="0"/>
        <v>1958</v>
      </c>
      <c r="B59" s="19">
        <v>1708</v>
      </c>
      <c r="C59" s="20">
        <f t="shared" si="1"/>
        <v>578436863.50126195</v>
      </c>
      <c r="D59" s="21">
        <v>1.34E-2</v>
      </c>
      <c r="E59" s="20">
        <f t="shared" si="2"/>
        <v>7648563.22371912</v>
      </c>
      <c r="F59" s="19"/>
      <c r="G59" s="28">
        <v>8.16</v>
      </c>
      <c r="H59" s="10"/>
      <c r="I59" s="10">
        <f t="shared" si="8"/>
        <v>2369.0267163516228</v>
      </c>
      <c r="J59" s="10">
        <f t="shared" si="6"/>
        <v>1370332383357.1265</v>
      </c>
      <c r="K59" s="11">
        <f t="shared" si="7"/>
        <v>9.6093439999999974E-2</v>
      </c>
    </row>
    <row r="60" spans="1:11" ht="22.5" customHeight="1">
      <c r="A60" s="19">
        <f t="shared" si="0"/>
        <v>1957</v>
      </c>
      <c r="B60" s="19">
        <v>1707</v>
      </c>
      <c r="C60" s="20">
        <f t="shared" si="1"/>
        <v>570788300.27754283</v>
      </c>
      <c r="D60" s="21">
        <v>1.37E-2</v>
      </c>
      <c r="E60" s="20">
        <f t="shared" si="2"/>
        <v>7714116.3202154636</v>
      </c>
      <c r="F60" s="19"/>
      <c r="G60" s="28">
        <v>7.31</v>
      </c>
      <c r="H60" s="10"/>
      <c r="I60" s="10">
        <f t="shared" si="8"/>
        <v>2190.2983694079353</v>
      </c>
      <c r="J60" s="10">
        <f t="shared" si="6"/>
        <v>1250196683375.0291</v>
      </c>
      <c r="K60" s="11">
        <f t="shared" si="7"/>
        <v>8.7801470000000048E-2</v>
      </c>
    </row>
    <row r="61" spans="1:11" ht="22.5" customHeight="1">
      <c r="A61" s="19">
        <f t="shared" si="0"/>
        <v>1956</v>
      </c>
      <c r="B61" s="19">
        <v>1706</v>
      </c>
      <c r="C61" s="20">
        <f t="shared" si="1"/>
        <v>563074183.95732737</v>
      </c>
      <c r="D61" s="21">
        <v>1.4E-2</v>
      </c>
      <c r="E61" s="20">
        <f t="shared" si="2"/>
        <v>7774199.7785035372</v>
      </c>
      <c r="F61" s="19"/>
      <c r="G61" s="28">
        <v>9.4</v>
      </c>
      <c r="H61" s="10"/>
      <c r="I61" s="10">
        <f t="shared" si="8"/>
        <v>2041.094370895476</v>
      </c>
      <c r="J61" s="10">
        <f t="shared" si="6"/>
        <v>1149287547271.8647</v>
      </c>
      <c r="K61" s="11">
        <f t="shared" si="7"/>
        <v>0.10931600000000019</v>
      </c>
    </row>
    <row r="62" spans="1:11" ht="22.5" customHeight="1">
      <c r="A62" s="19">
        <f t="shared" si="0"/>
        <v>1955</v>
      </c>
      <c r="B62" s="19">
        <v>1705</v>
      </c>
      <c r="C62" s="20">
        <f t="shared" si="1"/>
        <v>555299984.17882383</v>
      </c>
      <c r="D62" s="21">
        <v>1.43E-2</v>
      </c>
      <c r="E62" s="20">
        <f t="shared" si="2"/>
        <v>7828837.3989521265</v>
      </c>
      <c r="F62" s="19"/>
      <c r="G62" s="28">
        <v>6.37</v>
      </c>
      <c r="H62" s="10"/>
      <c r="I62" s="10">
        <f t="shared" si="8"/>
        <v>1865.7169752243838</v>
      </c>
      <c r="J62" s="10">
        <f t="shared" si="6"/>
        <v>1036032606824.2633</v>
      </c>
      <c r="K62" s="11">
        <f t="shared" si="7"/>
        <v>7.8910910000000056E-2</v>
      </c>
    </row>
    <row r="63" spans="1:11" ht="22.5" customHeight="1">
      <c r="A63" s="19">
        <f t="shared" si="0"/>
        <v>1954</v>
      </c>
      <c r="B63" s="19">
        <v>1704</v>
      </c>
      <c r="C63" s="20">
        <f t="shared" si="1"/>
        <v>547471146.7798717</v>
      </c>
      <c r="D63" s="21">
        <v>1.4500000000000001E-2</v>
      </c>
      <c r="E63" s="20">
        <f t="shared" si="2"/>
        <v>7824870.9988251925</v>
      </c>
      <c r="F63" s="19"/>
      <c r="G63" s="28">
        <v>7.58</v>
      </c>
      <c r="H63" s="10"/>
      <c r="I63" s="10">
        <f t="shared" si="8"/>
        <v>1753.987943239996</v>
      </c>
      <c r="J63" s="10">
        <f t="shared" si="6"/>
        <v>960257790723.66907</v>
      </c>
      <c r="K63" s="11">
        <f t="shared" si="7"/>
        <v>9.1399100000000066E-2</v>
      </c>
    </row>
    <row r="64" spans="1:11" ht="22.5" customHeight="1">
      <c r="A64" s="19">
        <f t="shared" si="0"/>
        <v>1953</v>
      </c>
      <c r="B64" s="19">
        <v>1703</v>
      </c>
      <c r="C64" s="20">
        <f t="shared" si="1"/>
        <v>539646275.78104651</v>
      </c>
      <c r="D64" s="21">
        <v>1.47E-2</v>
      </c>
      <c r="E64" s="20">
        <f t="shared" si="2"/>
        <v>7817877.4553871155</v>
      </c>
      <c r="F64" s="19"/>
      <c r="G64" s="28">
        <v>5.66</v>
      </c>
      <c r="H64" s="10"/>
      <c r="I64" s="10">
        <f t="shared" si="8"/>
        <v>1630.4033679494291</v>
      </c>
      <c r="J64" s="10">
        <f t="shared" si="6"/>
        <v>879841105534.78467</v>
      </c>
      <c r="K64" s="11">
        <f t="shared" si="7"/>
        <v>7.2132019999999963E-2</v>
      </c>
    </row>
    <row r="65" spans="1:11" ht="22.5" customHeight="1">
      <c r="A65" s="19">
        <f t="shared" si="0"/>
        <v>1952</v>
      </c>
      <c r="B65" s="19">
        <v>1702</v>
      </c>
      <c r="C65" s="20">
        <f t="shared" si="1"/>
        <v>531828398.32565939</v>
      </c>
      <c r="D65" s="21">
        <v>1.49E-2</v>
      </c>
      <c r="E65" s="20">
        <f t="shared" si="2"/>
        <v>7807905.3454057574</v>
      </c>
      <c r="F65" s="19"/>
      <c r="G65" s="28">
        <v>3.35</v>
      </c>
      <c r="H65" s="10"/>
      <c r="I65" s="10">
        <f t="shared" si="8"/>
        <v>1543.065841330143</v>
      </c>
      <c r="J65" s="10">
        <f t="shared" si="6"/>
        <v>820646234905.646</v>
      </c>
      <c r="K65" s="11">
        <f t="shared" si="7"/>
        <v>4.8899150000000002E-2</v>
      </c>
    </row>
    <row r="66" spans="1:11" ht="22.5" customHeight="1">
      <c r="A66" s="19">
        <f t="shared" si="0"/>
        <v>1951</v>
      </c>
      <c r="B66" s="19">
        <v>1701</v>
      </c>
      <c r="C66" s="20">
        <f t="shared" si="1"/>
        <v>524020492.98025364</v>
      </c>
      <c r="D66" s="21">
        <v>1.5100000000000001E-2</v>
      </c>
      <c r="E66" s="20">
        <f t="shared" si="2"/>
        <v>7795004.8704578876</v>
      </c>
      <c r="F66" s="19"/>
      <c r="G66" s="28">
        <v>5</v>
      </c>
      <c r="H66" s="10"/>
      <c r="I66" s="10">
        <f t="shared" si="8"/>
        <v>1493.0487095598867</v>
      </c>
      <c r="J66" s="10">
        <f t="shared" ref="J66" si="9">IF(I66="","",I66*C66)</f>
        <v>782388120827.10339</v>
      </c>
      <c r="K66" s="11">
        <f t="shared" ref="K66" si="10">IFERROR(J66/J67-1,"")</f>
        <v>1.8344968791383476E-2</v>
      </c>
    </row>
    <row r="67" spans="1:11" ht="22.5" customHeight="1">
      <c r="A67" s="19">
        <v>1950</v>
      </c>
      <c r="B67" s="19">
        <v>1700</v>
      </c>
      <c r="C67" s="20">
        <v>516225488.10979575</v>
      </c>
      <c r="D67" s="21">
        <v>1.55E-2</v>
      </c>
      <c r="E67" s="20">
        <v>7879364.9096029997</v>
      </c>
      <c r="F67" s="19"/>
      <c r="G67" s="28">
        <v>9.58</v>
      </c>
      <c r="H67" s="10"/>
      <c r="I67" s="10">
        <v>1488.2910914491131</v>
      </c>
      <c r="J67" s="10">
        <v>768293795132.77905</v>
      </c>
      <c r="K67" s="11">
        <v>0.15127235000000017</v>
      </c>
    </row>
  </sheetData>
  <dataValidations count="1">
    <dataValidation type="custom" allowBlank="1" showDropDown="1" sqref="D2:D67" xr:uid="{00000000-0002-0000-1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2020946.7840944673</v>
      </c>
      <c r="D2" s="11">
        <v>-2.8E-3</v>
      </c>
      <c r="E2" s="10">
        <f t="shared" ref="E2:E66" si="2">SUM(C2-C3)</f>
        <v>-5674.5397066432051</v>
      </c>
      <c r="F2" s="15">
        <v>2020940</v>
      </c>
      <c r="G2" s="28"/>
      <c r="H2" s="10"/>
      <c r="I2" s="10">
        <f>IF(H2&lt;&gt;"",H2,2698)</f>
        <v>2698</v>
      </c>
      <c r="J2" s="10">
        <f t="shared" ref="J2:J33" si="3">IF(I2="","",I2*C2)</f>
        <v>5452514423.4868727</v>
      </c>
      <c r="K2" s="11">
        <f t="shared" ref="K2:K33" si="4">IFERROR(J2/J3-1,"")</f>
        <v>-2.8000000000001357E-3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2026621.3238011105</v>
      </c>
      <c r="D3" s="11">
        <v>-3.0999999999999999E-3</v>
      </c>
      <c r="E3" s="10">
        <f t="shared" si="2"/>
        <v>-6302.0624975257087</v>
      </c>
      <c r="F3" s="3"/>
      <c r="G3" s="28"/>
      <c r="H3" s="10"/>
      <c r="I3" s="10">
        <f t="shared" ref="I3:I34" si="5">IF(H3&lt;&gt;"",H3,I2/(1+IF(G2="",0,G2)/100))</f>
        <v>2698</v>
      </c>
      <c r="J3" s="10">
        <f t="shared" si="3"/>
        <v>5467824331.6153965</v>
      </c>
      <c r="K3" s="11">
        <f t="shared" si="4"/>
        <v>-3.0999999999999917E-3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2032923.3862986362</v>
      </c>
      <c r="D4" s="11">
        <v>-3.0000000000000001E-3</v>
      </c>
      <c r="E4" s="10">
        <f t="shared" si="2"/>
        <v>-6117.1215234664269</v>
      </c>
      <c r="F4" s="3"/>
      <c r="G4" s="28"/>
      <c r="H4" s="10"/>
      <c r="I4" s="10">
        <f t="shared" si="5"/>
        <v>2698</v>
      </c>
      <c r="J4" s="10">
        <f t="shared" si="3"/>
        <v>5484827296.2337208</v>
      </c>
      <c r="K4" s="11">
        <f t="shared" si="4"/>
        <v>-2.9999999999998916E-3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2039040.5078221026</v>
      </c>
      <c r="D5" s="11">
        <v>5.9999999999999995E-4</v>
      </c>
      <c r="E5" s="10">
        <f t="shared" si="2"/>
        <v>1222.690690279007</v>
      </c>
      <c r="F5" s="3"/>
      <c r="G5" s="28"/>
      <c r="H5" s="10"/>
      <c r="I5" s="10">
        <f t="shared" si="5"/>
        <v>2698</v>
      </c>
      <c r="J5" s="10">
        <f t="shared" si="3"/>
        <v>5501331290.1040325</v>
      </c>
      <c r="K5" s="11">
        <f t="shared" si="4"/>
        <v>5.9999999999993392E-4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2037817.8171318236</v>
      </c>
      <c r="D6" s="11">
        <v>3.5999999999999999E-3</v>
      </c>
      <c r="E6" s="10">
        <f t="shared" si="2"/>
        <v>7309.8287581454497</v>
      </c>
      <c r="F6" s="3"/>
      <c r="G6" s="28"/>
      <c r="H6" s="10"/>
      <c r="I6" s="10">
        <f t="shared" si="5"/>
        <v>2698</v>
      </c>
      <c r="J6" s="10">
        <f t="shared" si="3"/>
        <v>5498032470.6216602</v>
      </c>
      <c r="K6" s="11">
        <f t="shared" si="4"/>
        <v>3.6000000000000476E-3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2030507.9883736782</v>
      </c>
      <c r="D7" s="11">
        <v>4.5999999999999999E-3</v>
      </c>
      <c r="E7" s="10">
        <f t="shared" si="2"/>
        <v>9297.567934022285</v>
      </c>
      <c r="F7" s="3"/>
      <c r="G7" s="28"/>
      <c r="H7" s="10"/>
      <c r="I7" s="10">
        <f t="shared" si="5"/>
        <v>2698</v>
      </c>
      <c r="J7" s="10">
        <f t="shared" si="3"/>
        <v>5478310552.632184</v>
      </c>
      <c r="K7" s="11">
        <f t="shared" si="4"/>
        <v>4.5999999999999375E-3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2021210.4204396559</v>
      </c>
      <c r="D8" s="11">
        <v>8.8999999999999999E-3</v>
      </c>
      <c r="E8" s="10">
        <f t="shared" si="2"/>
        <v>17830.084985541413</v>
      </c>
      <c r="F8" s="3"/>
      <c r="G8" s="28"/>
      <c r="H8" s="10"/>
      <c r="I8" s="10">
        <f t="shared" si="5"/>
        <v>2698</v>
      </c>
      <c r="J8" s="10">
        <f t="shared" si="3"/>
        <v>5453225714.3461914</v>
      </c>
      <c r="K8" s="11">
        <f t="shared" si="4"/>
        <v>8.899999999999908E-3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2003380.3354541145</v>
      </c>
      <c r="D9" s="11">
        <v>1.6E-2</v>
      </c>
      <c r="E9" s="10">
        <f t="shared" si="2"/>
        <v>31549.296621324727</v>
      </c>
      <c r="F9" s="3"/>
      <c r="G9" s="28"/>
      <c r="H9" s="10"/>
      <c r="I9" s="10">
        <f t="shared" si="5"/>
        <v>2698</v>
      </c>
      <c r="J9" s="10">
        <f t="shared" si="3"/>
        <v>5405120145.0552006</v>
      </c>
      <c r="K9" s="11">
        <f t="shared" si="4"/>
        <v>1.6000000000000014E-2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1971831.0388327898</v>
      </c>
      <c r="D10" s="11">
        <v>1.8499999999999999E-2</v>
      </c>
      <c r="E10" s="10">
        <f t="shared" si="2"/>
        <v>35816.273164856713</v>
      </c>
      <c r="F10" s="3"/>
      <c r="G10" s="28"/>
      <c r="H10" s="10"/>
      <c r="I10" s="10">
        <f t="shared" si="5"/>
        <v>2698</v>
      </c>
      <c r="J10" s="10">
        <f t="shared" si="3"/>
        <v>5320000142.7708664</v>
      </c>
      <c r="K10" s="11">
        <f t="shared" si="4"/>
        <v>1.8499999999999961E-2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1936014.765667933</v>
      </c>
      <c r="D11" s="11">
        <v>1.6899999999999998E-2</v>
      </c>
      <c r="E11" s="10">
        <f t="shared" si="2"/>
        <v>32174.893833993468</v>
      </c>
      <c r="F11" s="3"/>
      <c r="G11" s="28"/>
      <c r="H11" s="10"/>
      <c r="I11" s="10">
        <f t="shared" si="5"/>
        <v>2698</v>
      </c>
      <c r="J11" s="10">
        <f t="shared" si="3"/>
        <v>5223367837.7720833</v>
      </c>
      <c r="K11" s="11">
        <f t="shared" si="4"/>
        <v>1.6899999999999915E-2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1903839.8718339396</v>
      </c>
      <c r="D12" s="11">
        <v>1.6899999999999998E-2</v>
      </c>
      <c r="E12" s="10">
        <f t="shared" si="2"/>
        <v>31640.174878546037</v>
      </c>
      <c r="F12" s="3"/>
      <c r="G12" s="28"/>
      <c r="H12" s="10"/>
      <c r="I12" s="10">
        <f t="shared" si="5"/>
        <v>2698</v>
      </c>
      <c r="J12" s="10">
        <f t="shared" si="3"/>
        <v>5136559974.2079687</v>
      </c>
      <c r="K12" s="11">
        <f t="shared" si="4"/>
        <v>1.6899999999999915E-2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1872199.6969553935</v>
      </c>
      <c r="D13" s="11">
        <v>1.7299999999999999E-2</v>
      </c>
      <c r="E13" s="10">
        <f t="shared" si="2"/>
        <v>31838.25298076123</v>
      </c>
      <c r="F13" s="3"/>
      <c r="G13" s="28"/>
      <c r="H13" s="10"/>
      <c r="I13" s="10">
        <f t="shared" si="5"/>
        <v>2698</v>
      </c>
      <c r="J13" s="10">
        <f t="shared" si="3"/>
        <v>5051194782.3856516</v>
      </c>
      <c r="K13" s="11">
        <f t="shared" si="4"/>
        <v>1.7299999999999871E-2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1840361.4439746323</v>
      </c>
      <c r="D14" s="11">
        <v>1.8100000000000002E-2</v>
      </c>
      <c r="E14" s="10">
        <f t="shared" si="2"/>
        <v>32718.340178706218</v>
      </c>
      <c r="F14" s="3"/>
      <c r="G14" s="28"/>
      <c r="H14" s="10"/>
      <c r="I14" s="10">
        <f t="shared" si="5"/>
        <v>2698</v>
      </c>
      <c r="J14" s="10">
        <f t="shared" si="3"/>
        <v>4965295175.8435583</v>
      </c>
      <c r="K14" s="11">
        <f t="shared" si="4"/>
        <v>1.8100000000000005E-2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1807643.1037959261</v>
      </c>
      <c r="D15" s="11">
        <v>1.41E-2</v>
      </c>
      <c r="E15" s="10">
        <f t="shared" si="2"/>
        <v>25133.387006727746</v>
      </c>
      <c r="F15" s="3"/>
      <c r="G15" s="28"/>
      <c r="H15" s="10"/>
      <c r="I15" s="10">
        <f t="shared" si="5"/>
        <v>2698</v>
      </c>
      <c r="J15" s="10">
        <f t="shared" si="3"/>
        <v>4877021094.0414085</v>
      </c>
      <c r="K15" s="11">
        <f t="shared" si="4"/>
        <v>1.4100000000000001E-2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1782509.7167891983</v>
      </c>
      <c r="D16" s="11">
        <v>6.8999999999999999E-3</v>
      </c>
      <c r="E16" s="10">
        <f t="shared" si="2"/>
        <v>12215.033315965207</v>
      </c>
      <c r="F16" s="3"/>
      <c r="G16" s="28"/>
      <c r="H16" s="10"/>
      <c r="I16" s="10">
        <f t="shared" si="5"/>
        <v>2698</v>
      </c>
      <c r="J16" s="10">
        <f t="shared" si="3"/>
        <v>4809211215.8972569</v>
      </c>
      <c r="K16" s="11">
        <f t="shared" si="4"/>
        <v>6.8999999999999062E-3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1770294.6834732331</v>
      </c>
      <c r="D17" s="11">
        <v>4.4999999999999997E-3</v>
      </c>
      <c r="E17" s="10">
        <f t="shared" si="2"/>
        <v>7930.6382037126459</v>
      </c>
      <c r="F17" s="3"/>
      <c r="G17" s="28"/>
      <c r="H17" s="10"/>
      <c r="I17" s="10">
        <f t="shared" si="5"/>
        <v>2698</v>
      </c>
      <c r="J17" s="10">
        <f t="shared" si="3"/>
        <v>4776255056.0107832</v>
      </c>
      <c r="K17" s="11">
        <f t="shared" si="4"/>
        <v>4.4999999999999485E-3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1762364.0452695205</v>
      </c>
      <c r="D18" s="11">
        <v>4.1000000000000003E-3</v>
      </c>
      <c r="E18" s="10">
        <f t="shared" si="2"/>
        <v>7196.1882139279041</v>
      </c>
      <c r="F18" s="3"/>
      <c r="G18" s="28"/>
      <c r="H18" s="10"/>
      <c r="I18" s="10">
        <f t="shared" si="5"/>
        <v>2698</v>
      </c>
      <c r="J18" s="10">
        <f t="shared" si="3"/>
        <v>4754858194.137166</v>
      </c>
      <c r="K18" s="11">
        <f t="shared" si="4"/>
        <v>4.0999999999999925E-3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1755167.8570555926</v>
      </c>
      <c r="D19" s="11">
        <v>4.1000000000000003E-3</v>
      </c>
      <c r="E19" s="10">
        <f t="shared" si="2"/>
        <v>7166.8043162312824</v>
      </c>
      <c r="F19" s="3"/>
      <c r="G19" s="28"/>
      <c r="H19" s="10"/>
      <c r="I19" s="10">
        <f t="shared" si="5"/>
        <v>2698</v>
      </c>
      <c r="J19" s="10">
        <f t="shared" si="3"/>
        <v>4735442878.335989</v>
      </c>
      <c r="K19" s="11">
        <f t="shared" si="4"/>
        <v>4.0999999999999925E-3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1748001.0527393613</v>
      </c>
      <c r="D20" s="11">
        <v>4.1999999999999997E-3</v>
      </c>
      <c r="E20" s="10">
        <f t="shared" si="2"/>
        <v>7310.8986471870448</v>
      </c>
      <c r="F20" s="3"/>
      <c r="G20" s="28"/>
      <c r="H20" s="10"/>
      <c r="I20" s="10">
        <f t="shared" si="5"/>
        <v>2698</v>
      </c>
      <c r="J20" s="10">
        <f t="shared" si="3"/>
        <v>4716106840.2907972</v>
      </c>
      <c r="K20" s="11">
        <f t="shared" si="4"/>
        <v>4.1999999999999815E-3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1740690.1540921743</v>
      </c>
      <c r="D21" s="11">
        <v>4.1999999999999997E-3</v>
      </c>
      <c r="E21" s="10">
        <f t="shared" si="2"/>
        <v>7280.3212977366056</v>
      </c>
      <c r="F21" s="3"/>
      <c r="G21" s="28"/>
      <c r="H21" s="10"/>
      <c r="I21" s="10">
        <f t="shared" si="5"/>
        <v>2698</v>
      </c>
      <c r="J21" s="10">
        <f t="shared" si="3"/>
        <v>4696382035.7406864</v>
      </c>
      <c r="K21" s="11">
        <f t="shared" si="4"/>
        <v>4.1999999999999815E-3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1733409.8327944377</v>
      </c>
      <c r="D22" s="11">
        <v>4.4000000000000003E-3</v>
      </c>
      <c r="E22" s="10">
        <f t="shared" si="2"/>
        <v>7593.5914618633687</v>
      </c>
      <c r="F22" s="3"/>
      <c r="G22" s="28"/>
      <c r="H22" s="10"/>
      <c r="I22" s="10">
        <f t="shared" si="5"/>
        <v>2698</v>
      </c>
      <c r="J22" s="10">
        <f t="shared" si="3"/>
        <v>4676739728.8793926</v>
      </c>
      <c r="K22" s="11">
        <f t="shared" si="4"/>
        <v>4.3999999999999595E-3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1725816.2413325743</v>
      </c>
      <c r="D23" s="11">
        <v>4.7999999999999996E-3</v>
      </c>
      <c r="E23" s="10">
        <f t="shared" si="2"/>
        <v>8244.3451019071508</v>
      </c>
      <c r="F23" s="3"/>
      <c r="G23" s="28"/>
      <c r="H23" s="10"/>
      <c r="I23" s="10">
        <f t="shared" si="5"/>
        <v>2698</v>
      </c>
      <c r="J23" s="10">
        <f t="shared" si="3"/>
        <v>4656252219.1152859</v>
      </c>
      <c r="K23" s="11">
        <f t="shared" si="4"/>
        <v>4.7999999999999154E-3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1717571.8962306671</v>
      </c>
      <c r="D24" s="11">
        <v>5.1999999999999998E-3</v>
      </c>
      <c r="E24" s="10">
        <f t="shared" si="2"/>
        <v>8885.1709713486489</v>
      </c>
      <c r="F24" s="3"/>
      <c r="G24" s="28"/>
      <c r="H24" s="10"/>
      <c r="I24" s="10">
        <f t="shared" si="5"/>
        <v>2698</v>
      </c>
      <c r="J24" s="10">
        <f t="shared" si="3"/>
        <v>4634008976.0303402</v>
      </c>
      <c r="K24" s="11">
        <f t="shared" si="4"/>
        <v>5.2000000000000934E-3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1708686.7252593185</v>
      </c>
      <c r="D25" s="11">
        <v>4.8999999999999998E-3</v>
      </c>
      <c r="E25" s="10">
        <f t="shared" si="2"/>
        <v>8331.7394305607304</v>
      </c>
      <c r="F25" s="3"/>
      <c r="G25" s="28"/>
      <c r="H25" s="10"/>
      <c r="I25" s="10">
        <f t="shared" si="5"/>
        <v>2698</v>
      </c>
      <c r="J25" s="10">
        <f t="shared" si="3"/>
        <v>4610036784.7496414</v>
      </c>
      <c r="K25" s="11">
        <f t="shared" si="4"/>
        <v>4.8999999999999044E-3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1700354.9858287578</v>
      </c>
      <c r="D26" s="11">
        <v>2.5000000000000001E-3</v>
      </c>
      <c r="E26" s="10">
        <f t="shared" si="2"/>
        <v>4240.2867477026302</v>
      </c>
      <c r="F26" s="3"/>
      <c r="G26" s="28"/>
      <c r="H26" s="10"/>
      <c r="I26" s="10">
        <f t="shared" si="5"/>
        <v>2698</v>
      </c>
      <c r="J26" s="10">
        <f t="shared" si="3"/>
        <v>4587557751.7659883</v>
      </c>
      <c r="K26" s="11">
        <f t="shared" si="4"/>
        <v>2.4999999999999467E-3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1696114.6990810551</v>
      </c>
      <c r="D27" s="11">
        <v>1E-3</v>
      </c>
      <c r="E27" s="10">
        <f t="shared" si="2"/>
        <v>1694.4202788020484</v>
      </c>
      <c r="F27" s="3"/>
      <c r="G27" s="28"/>
      <c r="H27" s="10"/>
      <c r="I27" s="10">
        <f t="shared" si="5"/>
        <v>2698</v>
      </c>
      <c r="J27" s="10">
        <f t="shared" si="3"/>
        <v>4576117458.1206865</v>
      </c>
      <c r="K27" s="11">
        <f t="shared" si="4"/>
        <v>9.9999999999988987E-4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1694420.2788022531</v>
      </c>
      <c r="D28" s="11">
        <v>1.6000000000000001E-3</v>
      </c>
      <c r="E28" s="10">
        <f t="shared" si="2"/>
        <v>2706.7416594286915</v>
      </c>
      <c r="F28" s="3"/>
      <c r="G28" s="28"/>
      <c r="H28" s="10"/>
      <c r="I28" s="10">
        <f t="shared" si="5"/>
        <v>2698</v>
      </c>
      <c r="J28" s="10">
        <f t="shared" si="3"/>
        <v>4571545912.2084789</v>
      </c>
      <c r="K28" s="11">
        <f t="shared" si="4"/>
        <v>1.6000000000002679E-3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1691713.5371428244</v>
      </c>
      <c r="D29" s="11">
        <v>2.0999999999999999E-3</v>
      </c>
      <c r="E29" s="10">
        <f t="shared" si="2"/>
        <v>3545.1536054285243</v>
      </c>
      <c r="F29" s="3"/>
      <c r="G29" s="28"/>
      <c r="H29" s="10"/>
      <c r="I29" s="10">
        <f t="shared" si="5"/>
        <v>2698</v>
      </c>
      <c r="J29" s="10">
        <f t="shared" si="3"/>
        <v>4564243123.21134</v>
      </c>
      <c r="K29" s="11">
        <f t="shared" si="4"/>
        <v>2.0999999999999908E-3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1688168.3835373959</v>
      </c>
      <c r="D30" s="12">
        <v>2.5999999999999999E-3</v>
      </c>
      <c r="E30" s="10">
        <f t="shared" si="2"/>
        <v>4377.8553732268047</v>
      </c>
      <c r="F30" s="3"/>
      <c r="G30" s="28"/>
      <c r="H30" s="10"/>
      <c r="I30" s="10">
        <f t="shared" si="5"/>
        <v>2698</v>
      </c>
      <c r="J30" s="10">
        <f t="shared" si="3"/>
        <v>4554678298.7838936</v>
      </c>
      <c r="K30" s="11">
        <f t="shared" si="4"/>
        <v>2.5999999999999357E-3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1683790.5281641691</v>
      </c>
      <c r="D31" s="13">
        <v>3.0000000000000001E-3</v>
      </c>
      <c r="E31" s="10">
        <f t="shared" si="2"/>
        <v>5036.2627961039543</v>
      </c>
      <c r="F31" s="3"/>
      <c r="G31" s="28"/>
      <c r="H31" s="10"/>
      <c r="I31" s="10">
        <f t="shared" si="5"/>
        <v>2698</v>
      </c>
      <c r="J31" s="10">
        <f t="shared" si="3"/>
        <v>4542866844.986928</v>
      </c>
      <c r="K31" s="11">
        <f t="shared" si="4"/>
        <v>2.9999999999998916E-3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1678754.2653680651</v>
      </c>
      <c r="D32" s="12">
        <v>3.5999999999999999E-3</v>
      </c>
      <c r="E32" s="10">
        <f t="shared" si="2"/>
        <v>6021.8367430500221</v>
      </c>
      <c r="F32" s="3"/>
      <c r="G32" s="28"/>
      <c r="H32" s="10"/>
      <c r="I32" s="10">
        <f t="shared" si="5"/>
        <v>2698</v>
      </c>
      <c r="J32" s="10">
        <f t="shared" si="3"/>
        <v>4529279007.9630394</v>
      </c>
      <c r="K32" s="11">
        <f t="shared" si="4"/>
        <v>3.6000000000000476E-3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1672732.4286250151</v>
      </c>
      <c r="D33" s="13">
        <v>4.1999999999999997E-3</v>
      </c>
      <c r="E33" s="10">
        <f t="shared" si="2"/>
        <v>6996.0926112576853</v>
      </c>
      <c r="F33" s="3"/>
      <c r="G33" s="28"/>
      <c r="H33" s="10"/>
      <c r="I33" s="10">
        <f t="shared" si="5"/>
        <v>2698</v>
      </c>
      <c r="J33" s="10">
        <f t="shared" si="3"/>
        <v>4513032092.4302902</v>
      </c>
      <c r="K33" s="11">
        <f t="shared" si="4"/>
        <v>4.1999999999997595E-3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1665736.3360137574</v>
      </c>
      <c r="D34" s="12">
        <v>4.8999999999999998E-3</v>
      </c>
      <c r="E34" s="10">
        <f t="shared" si="2"/>
        <v>8122.3087336723693</v>
      </c>
      <c r="F34" s="3"/>
      <c r="G34" s="28"/>
      <c r="H34" s="10"/>
      <c r="I34" s="10">
        <f t="shared" si="5"/>
        <v>2698</v>
      </c>
      <c r="J34" s="10">
        <f t="shared" ref="J34:J65" si="6">IF(I34="","",I34*C34)</f>
        <v>4494156634.5651178</v>
      </c>
      <c r="K34" s="11">
        <f t="shared" ref="K34:K65" si="7">IFERROR(J34/J35-1,"")</f>
        <v>4.9000000000001265E-3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1657614.027280085</v>
      </c>
      <c r="D35" s="11">
        <v>6.0000000000000001E-3</v>
      </c>
      <c r="E35" s="10">
        <f t="shared" si="2"/>
        <v>9886.3659678732511</v>
      </c>
      <c r="F35" s="3"/>
      <c r="G35" s="28"/>
      <c r="H35" s="10"/>
      <c r="I35" s="10">
        <f t="shared" ref="I35:I66" si="8">IF(H35&lt;&gt;"",H35,I34/(1+IF(G34="",0,G34)/100))</f>
        <v>2698</v>
      </c>
      <c r="J35" s="10">
        <f t="shared" si="6"/>
        <v>4472242645.6016693</v>
      </c>
      <c r="K35" s="11">
        <f t="shared" si="7"/>
        <v>6.0000000000000053E-3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1647727.6613122118</v>
      </c>
      <c r="D36" s="11">
        <v>7.1000000000000004E-3</v>
      </c>
      <c r="E36" s="10">
        <f t="shared" si="2"/>
        <v>11616.390026131412</v>
      </c>
      <c r="F36" s="3"/>
      <c r="G36" s="28"/>
      <c r="H36" s="10"/>
      <c r="I36" s="10">
        <f t="shared" si="8"/>
        <v>2698</v>
      </c>
      <c r="J36" s="10">
        <f t="shared" si="6"/>
        <v>4445569230.2203474</v>
      </c>
      <c r="K36" s="11">
        <f t="shared" si="7"/>
        <v>7.1000000000001062E-3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1636111.2712860804</v>
      </c>
      <c r="D37" s="11">
        <v>8.0000000000000002E-3</v>
      </c>
      <c r="E37" s="10">
        <f t="shared" si="2"/>
        <v>12985.010089572053</v>
      </c>
      <c r="F37" s="3"/>
      <c r="G37" s="28"/>
      <c r="H37" s="10"/>
      <c r="I37" s="10">
        <f t="shared" si="8"/>
        <v>2698</v>
      </c>
      <c r="J37" s="10">
        <f t="shared" si="6"/>
        <v>4414228209.9298449</v>
      </c>
      <c r="K37" s="11">
        <f t="shared" si="7"/>
        <v>8.0000000000000071E-3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1623126.2611965083</v>
      </c>
      <c r="D38" s="11">
        <v>8.8000000000000005E-3</v>
      </c>
      <c r="E38" s="10">
        <f t="shared" si="2"/>
        <v>14158.912667059107</v>
      </c>
      <c r="F38" s="3"/>
      <c r="G38" s="28"/>
      <c r="H38" s="10"/>
      <c r="I38" s="10">
        <f t="shared" si="8"/>
        <v>2698</v>
      </c>
      <c r="J38" s="10">
        <f t="shared" si="6"/>
        <v>4379194652.7081795</v>
      </c>
      <c r="K38" s="11">
        <f t="shared" si="7"/>
        <v>8.800000000000141E-3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1608967.3485294492</v>
      </c>
      <c r="D39" s="11">
        <v>9.5999999999999992E-3</v>
      </c>
      <c r="E39" s="10">
        <f t="shared" si="2"/>
        <v>15299.21409061295</v>
      </c>
      <c r="F39" s="3"/>
      <c r="G39" s="28"/>
      <c r="H39" s="10"/>
      <c r="I39" s="10">
        <f t="shared" si="8"/>
        <v>2698</v>
      </c>
      <c r="J39" s="10">
        <f t="shared" si="6"/>
        <v>4340993906.3324537</v>
      </c>
      <c r="K39" s="11">
        <f t="shared" si="7"/>
        <v>9.6000000000000529E-3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1593668.1344388362</v>
      </c>
      <c r="D40" s="11">
        <v>1.03E-2</v>
      </c>
      <c r="E40" s="10">
        <f t="shared" si="2"/>
        <v>16247.433222527849</v>
      </c>
      <c r="F40" s="3"/>
      <c r="G40" s="28"/>
      <c r="H40" s="10"/>
      <c r="I40" s="10">
        <f t="shared" si="8"/>
        <v>2698</v>
      </c>
      <c r="J40" s="10">
        <f t="shared" si="6"/>
        <v>4299716626.7159805</v>
      </c>
      <c r="K40" s="11">
        <f t="shared" si="7"/>
        <v>1.0299999999999976E-2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1577420.7012163084</v>
      </c>
      <c r="D41" s="11">
        <v>1.06E-2</v>
      </c>
      <c r="E41" s="10">
        <f t="shared" si="2"/>
        <v>16545.279470505426</v>
      </c>
      <c r="F41" s="3"/>
      <c r="G41" s="28"/>
      <c r="H41" s="10"/>
      <c r="I41" s="10">
        <f t="shared" si="8"/>
        <v>2698</v>
      </c>
      <c r="J41" s="10">
        <f t="shared" si="6"/>
        <v>4255881051.8815999</v>
      </c>
      <c r="K41" s="11">
        <f t="shared" si="7"/>
        <v>1.0599999999999943E-2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1560875.421745803</v>
      </c>
      <c r="D42" s="11">
        <v>1.0800000000000001E-2</v>
      </c>
      <c r="E42" s="10">
        <f t="shared" si="2"/>
        <v>16677.339290516917</v>
      </c>
      <c r="F42" s="3"/>
      <c r="G42" s="28"/>
      <c r="H42" s="10"/>
      <c r="I42" s="10">
        <f t="shared" si="8"/>
        <v>2698</v>
      </c>
      <c r="J42" s="10">
        <f t="shared" si="6"/>
        <v>4211241887.8701763</v>
      </c>
      <c r="K42" s="11">
        <f t="shared" si="7"/>
        <v>1.0799999999999921E-2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1544198.0824552861</v>
      </c>
      <c r="D43" s="11">
        <v>1.09E-2</v>
      </c>
      <c r="E43" s="10">
        <f t="shared" si="2"/>
        <v>16650.271143300459</v>
      </c>
      <c r="F43" s="3"/>
      <c r="G43" s="28"/>
      <c r="H43" s="10"/>
      <c r="I43" s="10">
        <f t="shared" si="8"/>
        <v>2698</v>
      </c>
      <c r="J43" s="10">
        <f t="shared" si="6"/>
        <v>4166246426.4643617</v>
      </c>
      <c r="K43" s="11">
        <f t="shared" si="7"/>
        <v>1.089999999999991E-2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1527547.8113119856</v>
      </c>
      <c r="D44" s="11">
        <v>1.0999999999999999E-2</v>
      </c>
      <c r="E44" s="10">
        <f t="shared" si="2"/>
        <v>16620.203683908796</v>
      </c>
      <c r="F44" s="3"/>
      <c r="G44" s="28"/>
      <c r="H44" s="10"/>
      <c r="I44" s="10">
        <f t="shared" si="8"/>
        <v>2698</v>
      </c>
      <c r="J44" s="10">
        <f t="shared" si="6"/>
        <v>4121323994.9197373</v>
      </c>
      <c r="K44" s="11">
        <f t="shared" si="7"/>
        <v>1.0999999999999899E-2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1510927.6076280768</v>
      </c>
      <c r="D45" s="11">
        <v>1.0999999999999999E-2</v>
      </c>
      <c r="E45" s="10">
        <f t="shared" si="2"/>
        <v>16439.370607229182</v>
      </c>
      <c r="F45" s="3"/>
      <c r="G45" s="28"/>
      <c r="H45" s="10"/>
      <c r="I45" s="10">
        <f t="shared" si="8"/>
        <v>2698</v>
      </c>
      <c r="J45" s="10">
        <f t="shared" si="6"/>
        <v>4076482685.3805513</v>
      </c>
      <c r="K45" s="11">
        <f t="shared" si="7"/>
        <v>1.0999999999999899E-2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1494488.2370208476</v>
      </c>
      <c r="D46" s="11">
        <v>1.21E-2</v>
      </c>
      <c r="E46" s="10">
        <f t="shared" si="2"/>
        <v>17867.115569560556</v>
      </c>
      <c r="F46" s="3"/>
      <c r="G46" s="28"/>
      <c r="H46" s="10"/>
      <c r="I46" s="10">
        <f t="shared" si="8"/>
        <v>2698</v>
      </c>
      <c r="J46" s="10">
        <f t="shared" si="6"/>
        <v>4032129263.4822469</v>
      </c>
      <c r="K46" s="11">
        <f t="shared" si="7"/>
        <v>1.21E-2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1476621.1214512871</v>
      </c>
      <c r="D47" s="11">
        <v>1.11E-2</v>
      </c>
      <c r="E47" s="10">
        <f t="shared" si="2"/>
        <v>16210.557262495859</v>
      </c>
      <c r="F47" s="3"/>
      <c r="G47" s="28"/>
      <c r="H47" s="10"/>
      <c r="I47" s="10">
        <f t="shared" si="8"/>
        <v>2698</v>
      </c>
      <c r="J47" s="10">
        <f t="shared" si="6"/>
        <v>3983923785.6755724</v>
      </c>
      <c r="K47" s="11">
        <f t="shared" si="7"/>
        <v>1.110000000000011E-2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1460410.5641887912</v>
      </c>
      <c r="D48" s="11">
        <v>9.9000000000000008E-3</v>
      </c>
      <c r="E48" s="10">
        <f t="shared" si="2"/>
        <v>14316.332889859565</v>
      </c>
      <c r="F48" s="3"/>
      <c r="G48" s="28"/>
      <c r="H48" s="10"/>
      <c r="I48" s="10">
        <f t="shared" si="8"/>
        <v>2698</v>
      </c>
      <c r="J48" s="10">
        <f t="shared" si="6"/>
        <v>3940187702.1813588</v>
      </c>
      <c r="K48" s="11">
        <f t="shared" si="7"/>
        <v>9.9000000000002419E-3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1446094.2312989316</v>
      </c>
      <c r="D49" s="11">
        <v>1.3100000000000001E-2</v>
      </c>
      <c r="E49" s="10">
        <f t="shared" si="2"/>
        <v>18698.879113627598</v>
      </c>
      <c r="F49" s="3"/>
      <c r="G49" s="28"/>
      <c r="H49" s="10"/>
      <c r="I49" s="10">
        <f t="shared" si="8"/>
        <v>2698</v>
      </c>
      <c r="J49" s="10">
        <f t="shared" si="6"/>
        <v>3901562236.0445175</v>
      </c>
      <c r="K49" s="11">
        <f t="shared" si="7"/>
        <v>1.3100000000000112E-2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1427395.352185304</v>
      </c>
      <c r="D50" s="11">
        <v>1.23E-2</v>
      </c>
      <c r="E50" s="10">
        <f t="shared" si="2"/>
        <v>17343.636107753729</v>
      </c>
      <c r="F50" s="3"/>
      <c r="G50" s="28"/>
      <c r="H50" s="10"/>
      <c r="I50" s="10">
        <f t="shared" si="8"/>
        <v>2698</v>
      </c>
      <c r="J50" s="10">
        <f t="shared" si="6"/>
        <v>3851112660.1959505</v>
      </c>
      <c r="K50" s="11">
        <f t="shared" si="7"/>
        <v>1.2299999999999978E-2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1410051.7160775503</v>
      </c>
      <c r="D51" s="11">
        <v>1.0200000000000001E-2</v>
      </c>
      <c r="E51" s="10">
        <f t="shared" si="2"/>
        <v>14237.306972867809</v>
      </c>
      <c r="F51" s="3"/>
      <c r="G51" s="28"/>
      <c r="H51" s="10"/>
      <c r="I51" s="10">
        <f t="shared" si="8"/>
        <v>2698</v>
      </c>
      <c r="J51" s="10">
        <f t="shared" si="6"/>
        <v>3804319529.9772305</v>
      </c>
      <c r="K51" s="11">
        <f t="shared" si="7"/>
        <v>1.0199999999999987E-2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1395814.4091046825</v>
      </c>
      <c r="D52" s="11">
        <v>1.09E-2</v>
      </c>
      <c r="E52" s="10">
        <f t="shared" si="2"/>
        <v>15050.328478821786</v>
      </c>
      <c r="F52" s="3"/>
      <c r="G52" s="28"/>
      <c r="H52" s="10"/>
      <c r="I52" s="10">
        <f t="shared" si="8"/>
        <v>2698</v>
      </c>
      <c r="J52" s="10">
        <f t="shared" si="6"/>
        <v>3765907275.7644334</v>
      </c>
      <c r="K52" s="11">
        <f t="shared" si="7"/>
        <v>1.089999999999991E-2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1380764.0806258607</v>
      </c>
      <c r="D53" s="11">
        <v>9.9000000000000008E-3</v>
      </c>
      <c r="E53" s="10">
        <f t="shared" si="2"/>
        <v>13535.562331117922</v>
      </c>
      <c r="F53" s="3"/>
      <c r="G53" s="28"/>
      <c r="H53" s="10"/>
      <c r="I53" s="10">
        <f t="shared" si="8"/>
        <v>2698</v>
      </c>
      <c r="J53" s="10">
        <f t="shared" si="6"/>
        <v>3725301489.5285721</v>
      </c>
      <c r="K53" s="11">
        <f t="shared" si="7"/>
        <v>9.8999999999997979E-3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1367228.5182947428</v>
      </c>
      <c r="D54" s="11">
        <v>8.8000000000000005E-3</v>
      </c>
      <c r="E54" s="10">
        <f t="shared" si="2"/>
        <v>11926.656384807313</v>
      </c>
      <c r="F54" s="3"/>
      <c r="G54" s="28"/>
      <c r="H54" s="10"/>
      <c r="I54" s="10">
        <f t="shared" si="8"/>
        <v>2698</v>
      </c>
      <c r="J54" s="10">
        <f t="shared" si="6"/>
        <v>3688782542.3592162</v>
      </c>
      <c r="K54" s="11">
        <f t="shared" si="7"/>
        <v>8.799999999999919E-3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1355301.8619099355</v>
      </c>
      <c r="D55" s="11">
        <v>9.1999999999999998E-3</v>
      </c>
      <c r="E55" s="10">
        <f t="shared" si="2"/>
        <v>12355.110116499709</v>
      </c>
      <c r="F55" s="3"/>
      <c r="G55" s="28"/>
      <c r="H55" s="10"/>
      <c r="I55" s="10">
        <f t="shared" si="8"/>
        <v>2698</v>
      </c>
      <c r="J55" s="10">
        <f t="shared" si="6"/>
        <v>3656604423.4330058</v>
      </c>
      <c r="K55" s="11">
        <f t="shared" si="7"/>
        <v>9.200000000000097E-3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1342946.7517934358</v>
      </c>
      <c r="D56" s="11">
        <v>9.2999999999999992E-3</v>
      </c>
      <c r="E56" s="10">
        <f t="shared" si="2"/>
        <v>12374.323582363082</v>
      </c>
      <c r="F56" s="3"/>
      <c r="G56" s="28"/>
      <c r="H56" s="10"/>
      <c r="I56" s="10">
        <f t="shared" si="8"/>
        <v>2698</v>
      </c>
      <c r="J56" s="10">
        <f t="shared" si="6"/>
        <v>3623270336.3386898</v>
      </c>
      <c r="K56" s="11">
        <f t="shared" si="7"/>
        <v>9.300000000000086E-3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1330572.4282110727</v>
      </c>
      <c r="D57" s="11">
        <v>8.9999999999999993E-3</v>
      </c>
      <c r="E57" s="10">
        <f t="shared" si="2"/>
        <v>11868.33682249696</v>
      </c>
      <c r="F57" s="3"/>
      <c r="G57" s="28"/>
      <c r="H57" s="10"/>
      <c r="I57" s="10">
        <f t="shared" si="8"/>
        <v>2698</v>
      </c>
      <c r="J57" s="10">
        <f t="shared" si="6"/>
        <v>3589884411.3134742</v>
      </c>
      <c r="K57" s="11">
        <f t="shared" si="7"/>
        <v>8.999999999999897E-3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1318704.0913885757</v>
      </c>
      <c r="D58" s="11">
        <v>8.5000000000000006E-3</v>
      </c>
      <c r="E58" s="10">
        <f t="shared" si="2"/>
        <v>11114.511429650709</v>
      </c>
      <c r="F58" s="3"/>
      <c r="G58" s="28"/>
      <c r="H58" s="10"/>
      <c r="I58" s="10">
        <f t="shared" si="8"/>
        <v>2698</v>
      </c>
      <c r="J58" s="10">
        <f t="shared" si="6"/>
        <v>3557863638.5663772</v>
      </c>
      <c r="K58" s="11">
        <f t="shared" si="7"/>
        <v>8.49999999999973E-3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1307589.579958925</v>
      </c>
      <c r="D59" s="11">
        <v>8.5000000000000006E-3</v>
      </c>
      <c r="E59" s="10">
        <f t="shared" si="2"/>
        <v>11020.834337779786</v>
      </c>
      <c r="F59" s="3"/>
      <c r="G59" s="28"/>
      <c r="H59" s="10"/>
      <c r="I59" s="10">
        <f t="shared" si="8"/>
        <v>2698</v>
      </c>
      <c r="J59" s="10">
        <f t="shared" si="6"/>
        <v>3527876686.7291799</v>
      </c>
      <c r="K59" s="11">
        <f t="shared" si="7"/>
        <v>8.5000000000001741E-3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1296568.7456211452</v>
      </c>
      <c r="D60" s="11">
        <v>8.5000000000000006E-3</v>
      </c>
      <c r="E60" s="10">
        <f t="shared" si="2"/>
        <v>10927.946790064219</v>
      </c>
      <c r="F60" s="3"/>
      <c r="G60" s="28"/>
      <c r="H60" s="10"/>
      <c r="I60" s="10">
        <f t="shared" si="8"/>
        <v>2698</v>
      </c>
      <c r="J60" s="10">
        <f t="shared" si="6"/>
        <v>3498142475.6858497</v>
      </c>
      <c r="K60" s="11">
        <f t="shared" si="7"/>
        <v>8.499999999999952E-3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1285640.798831081</v>
      </c>
      <c r="D61" s="11">
        <v>8.5000000000000006E-3</v>
      </c>
      <c r="E61" s="10">
        <f t="shared" si="2"/>
        <v>10835.842131942511</v>
      </c>
      <c r="F61" s="3"/>
      <c r="G61" s="28"/>
      <c r="H61" s="10"/>
      <c r="I61" s="10">
        <f t="shared" si="8"/>
        <v>2698</v>
      </c>
      <c r="J61" s="10">
        <f t="shared" si="6"/>
        <v>3468658875.2462564</v>
      </c>
      <c r="K61" s="11">
        <f t="shared" si="7"/>
        <v>8.49999999999973E-3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1274804.9566991385</v>
      </c>
      <c r="D62" s="11">
        <v>8.5000000000000006E-3</v>
      </c>
      <c r="E62" s="10">
        <f t="shared" si="2"/>
        <v>10744.513764940668</v>
      </c>
      <c r="F62" s="3"/>
      <c r="G62" s="28"/>
      <c r="H62" s="10"/>
      <c r="I62" s="10">
        <f t="shared" si="8"/>
        <v>2698</v>
      </c>
      <c r="J62" s="10">
        <f t="shared" si="6"/>
        <v>3439423773.1742759</v>
      </c>
      <c r="K62" s="11">
        <f t="shared" si="7"/>
        <v>8.5000000000001741E-3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1264060.4429341978</v>
      </c>
      <c r="D63" s="11">
        <v>8.5000000000000006E-3</v>
      </c>
      <c r="E63" s="10">
        <f t="shared" si="2"/>
        <v>10653.955146197928</v>
      </c>
      <c r="F63" s="3"/>
      <c r="G63" s="28"/>
      <c r="H63" s="10"/>
      <c r="I63" s="10">
        <f t="shared" si="8"/>
        <v>2698</v>
      </c>
      <c r="J63" s="10">
        <f t="shared" si="6"/>
        <v>3410435075.0364656</v>
      </c>
      <c r="K63" s="11">
        <f t="shared" si="7"/>
        <v>8.499999999999952E-3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1253406.4877879999</v>
      </c>
      <c r="D64" s="11">
        <v>8.5000000000000006E-3</v>
      </c>
      <c r="E64" s="10">
        <f t="shared" si="2"/>
        <v>10564.159787999932</v>
      </c>
      <c r="F64" s="3"/>
      <c r="G64" s="28"/>
      <c r="H64" s="10"/>
      <c r="I64" s="10">
        <f t="shared" si="8"/>
        <v>2698</v>
      </c>
      <c r="J64" s="10">
        <f t="shared" si="6"/>
        <v>3381690704.0520239</v>
      </c>
      <c r="K64" s="11">
        <f t="shared" si="7"/>
        <v>8.499999999999952E-3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1242842.328</v>
      </c>
      <c r="D65" s="11">
        <v>8.0000000000000002E-3</v>
      </c>
      <c r="E65" s="10">
        <f t="shared" si="2"/>
        <v>9863.8279999999795</v>
      </c>
      <c r="F65" s="3"/>
      <c r="G65" s="28"/>
      <c r="H65" s="10"/>
      <c r="I65" s="10">
        <f t="shared" si="8"/>
        <v>2698</v>
      </c>
      <c r="J65" s="10">
        <f t="shared" si="6"/>
        <v>3353188600.9439998</v>
      </c>
      <c r="K65" s="11">
        <f t="shared" si="7"/>
        <v>8.0000000000000071E-3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1232978.5</v>
      </c>
      <c r="D66" s="11">
        <v>7.4999999999999997E-3</v>
      </c>
      <c r="E66" s="10">
        <f t="shared" si="2"/>
        <v>9178.5</v>
      </c>
      <c r="F66" s="3"/>
      <c r="G66" s="28"/>
      <c r="H66" s="10"/>
      <c r="I66" s="10">
        <f t="shared" si="8"/>
        <v>2698</v>
      </c>
      <c r="J66" s="10">
        <f t="shared" ref="J66:J67" si="9">IF(I66="","",I66*C66)</f>
        <v>3326575993</v>
      </c>
      <c r="K66" s="11">
        <f t="shared" ref="K66" si="10">IFERROR(J66/J67-1,"")</f>
        <v>7.5000000000000622E-3</v>
      </c>
    </row>
    <row r="67" spans="1:11" ht="22.5" customHeight="1">
      <c r="A67" s="3">
        <f t="shared" si="0"/>
        <v>1950</v>
      </c>
      <c r="B67" s="3">
        <v>1700</v>
      </c>
      <c r="C67" s="10">
        <v>1223800</v>
      </c>
      <c r="D67" s="11">
        <v>7.0000000000000001E-3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2698</v>
      </c>
      <c r="J67" s="10">
        <f t="shared" si="9"/>
        <v>3301812400</v>
      </c>
      <c r="K67" s="11"/>
    </row>
  </sheetData>
  <dataValidations count="1">
    <dataValidation type="custom" allowBlank="1" showDropDown="1" sqref="D2:D67" xr:uid="{00000000-0002-0000-1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19679133.337576129</v>
      </c>
      <c r="D2" s="11">
        <v>-3.5999999999999999E-3</v>
      </c>
      <c r="E2" s="10">
        <f t="shared" ref="E2:E66" si="2">SUM(C2-C3)</f>
        <v>-71100.843050256371</v>
      </c>
      <c r="F2" s="15">
        <v>19678480</v>
      </c>
      <c r="G2" s="28"/>
      <c r="H2" s="10"/>
      <c r="I2" s="10">
        <f>IF(H2&lt;&gt;"",H2,11230)</f>
        <v>11230</v>
      </c>
      <c r="J2" s="10">
        <f t="shared" ref="J2:J33" si="3">IF(I2="","",I2*C2)</f>
        <v>220996667380.97992</v>
      </c>
      <c r="K2" s="11">
        <f t="shared" ref="K2:K33" si="4">IFERROR(J2/J3-1,"")</f>
        <v>-3.6000000000000476E-3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19750234.180626385</v>
      </c>
      <c r="D3" s="11">
        <v>-4.0000000000000001E-3</v>
      </c>
      <c r="E3" s="10">
        <f t="shared" si="2"/>
        <v>-79318.20956074819</v>
      </c>
      <c r="F3" s="3"/>
      <c r="G3" s="28"/>
      <c r="H3" s="10"/>
      <c r="I3" s="10">
        <f t="shared" ref="I3:I34" si="5">IF(H3&lt;&gt;"",H3,I2/(1+IF(G2="",0,G2)/100))</f>
        <v>11230</v>
      </c>
      <c r="J3" s="10">
        <f t="shared" si="3"/>
        <v>221795129848.4343</v>
      </c>
      <c r="K3" s="11">
        <f t="shared" si="4"/>
        <v>-4.0000000000000036E-3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19829552.390187133</v>
      </c>
      <c r="D4" s="11">
        <v>-4.7999999999999996E-3</v>
      </c>
      <c r="E4" s="10">
        <f t="shared" si="2"/>
        <v>-95640.927926946431</v>
      </c>
      <c r="F4" s="3"/>
      <c r="G4" s="28"/>
      <c r="H4" s="10"/>
      <c r="I4" s="10">
        <f t="shared" si="5"/>
        <v>11230</v>
      </c>
      <c r="J4" s="10">
        <f t="shared" si="3"/>
        <v>222685873341.80151</v>
      </c>
      <c r="K4" s="11">
        <f t="shared" si="4"/>
        <v>-4.7999999999999154E-3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19925193.31811408</v>
      </c>
      <c r="D5" s="11">
        <v>-5.1999999999999998E-3</v>
      </c>
      <c r="E5" s="10">
        <f t="shared" si="2"/>
        <v>-104152.59876778722</v>
      </c>
      <c r="F5" s="3"/>
      <c r="G5" s="28"/>
      <c r="H5" s="10"/>
      <c r="I5" s="10">
        <f t="shared" si="5"/>
        <v>11230</v>
      </c>
      <c r="J5" s="10">
        <f t="shared" si="3"/>
        <v>223759920962.42111</v>
      </c>
      <c r="K5" s="11">
        <f t="shared" si="4"/>
        <v>-5.2000000000000934E-3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20029345.916881867</v>
      </c>
      <c r="D6" s="11">
        <v>-2.8E-3</v>
      </c>
      <c r="E6" s="10">
        <f t="shared" si="2"/>
        <v>-56239.639558032155</v>
      </c>
      <c r="F6" s="3"/>
      <c r="G6" s="28"/>
      <c r="H6" s="10"/>
      <c r="I6" s="10">
        <f t="shared" si="5"/>
        <v>11230</v>
      </c>
      <c r="J6" s="10">
        <f t="shared" si="3"/>
        <v>224929554646.58337</v>
      </c>
      <c r="K6" s="11">
        <f t="shared" si="4"/>
        <v>-2.8000000000000247E-3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20085585.556439899</v>
      </c>
      <c r="D7" s="11">
        <v>-2.3E-3</v>
      </c>
      <c r="E7" s="10">
        <f t="shared" si="2"/>
        <v>-46303.34447209537</v>
      </c>
      <c r="F7" s="3"/>
      <c r="G7" s="28"/>
      <c r="H7" s="10"/>
      <c r="I7" s="10">
        <f t="shared" si="5"/>
        <v>11230</v>
      </c>
      <c r="J7" s="10">
        <f t="shared" si="3"/>
        <v>225561125798.82007</v>
      </c>
      <c r="K7" s="11">
        <f t="shared" si="4"/>
        <v>-2.2999999999998577E-3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20131888.900911994</v>
      </c>
      <c r="D8" s="11">
        <v>-1.5E-3</v>
      </c>
      <c r="E8" s="10">
        <f t="shared" si="2"/>
        <v>-30243.198148589581</v>
      </c>
      <c r="F8" s="3"/>
      <c r="G8" s="28"/>
      <c r="H8" s="10"/>
      <c r="I8" s="10">
        <f t="shared" si="5"/>
        <v>11230</v>
      </c>
      <c r="J8" s="10">
        <f t="shared" si="3"/>
        <v>226081112357.2417</v>
      </c>
      <c r="K8" s="11">
        <f t="shared" si="4"/>
        <v>-1.4999999999998348E-3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20162132.099060584</v>
      </c>
      <c r="D9" s="11">
        <v>-1.8E-3</v>
      </c>
      <c r="E9" s="10">
        <f t="shared" si="2"/>
        <v>-36357.280883900821</v>
      </c>
      <c r="F9" s="3"/>
      <c r="G9" s="28"/>
      <c r="H9" s="10"/>
      <c r="I9" s="10">
        <f t="shared" si="5"/>
        <v>11230</v>
      </c>
      <c r="J9" s="10">
        <f t="shared" si="3"/>
        <v>226420743472.45035</v>
      </c>
      <c r="K9" s="11">
        <f t="shared" si="4"/>
        <v>-1.8000000000000238E-3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20198489.379944485</v>
      </c>
      <c r="D10" s="11">
        <v>-1.5E-3</v>
      </c>
      <c r="E10" s="10">
        <f t="shared" si="2"/>
        <v>-30343.248943328857</v>
      </c>
      <c r="F10" s="3"/>
      <c r="G10" s="28"/>
      <c r="H10" s="10"/>
      <c r="I10" s="10">
        <f t="shared" si="5"/>
        <v>11230</v>
      </c>
      <c r="J10" s="10">
        <f t="shared" si="3"/>
        <v>226829035736.77655</v>
      </c>
      <c r="K10" s="11">
        <f t="shared" si="4"/>
        <v>-1.4999999999999458E-3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20228832.628887814</v>
      </c>
      <c r="D11" s="11">
        <v>-1.6000000000000001E-3</v>
      </c>
      <c r="E11" s="10">
        <f t="shared" si="2"/>
        <v>-32418.001007832587</v>
      </c>
      <c r="F11" s="3"/>
      <c r="G11" s="28"/>
      <c r="H11" s="10"/>
      <c r="I11" s="10">
        <f t="shared" si="5"/>
        <v>11230</v>
      </c>
      <c r="J11" s="10">
        <f t="shared" si="3"/>
        <v>227169790422.41016</v>
      </c>
      <c r="K11" s="11">
        <f t="shared" si="4"/>
        <v>-1.5999999999999348E-3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20261250.629895646</v>
      </c>
      <c r="D12" s="11">
        <v>-2E-3</v>
      </c>
      <c r="E12" s="10">
        <f t="shared" si="2"/>
        <v>-40603.708677146584</v>
      </c>
      <c r="F12" s="3"/>
      <c r="G12" s="28"/>
      <c r="H12" s="10"/>
      <c r="I12" s="10">
        <f t="shared" si="5"/>
        <v>11230</v>
      </c>
      <c r="J12" s="10">
        <f t="shared" si="3"/>
        <v>227533844573.72812</v>
      </c>
      <c r="K12" s="11">
        <f t="shared" si="4"/>
        <v>-2.0000000000000018E-3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20301854.338572793</v>
      </c>
      <c r="D13" s="11">
        <v>-2.2000000000000001E-3</v>
      </c>
      <c r="E13" s="10">
        <f t="shared" si="2"/>
        <v>-44762.557170636952</v>
      </c>
      <c r="F13" s="3"/>
      <c r="G13" s="28"/>
      <c r="H13" s="10"/>
      <c r="I13" s="10">
        <f t="shared" si="5"/>
        <v>11230</v>
      </c>
      <c r="J13" s="10">
        <f t="shared" si="3"/>
        <v>227989824222.17245</v>
      </c>
      <c r="K13" s="11">
        <f t="shared" si="4"/>
        <v>-2.1999999999999797E-3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20346616.89574343</v>
      </c>
      <c r="D14" s="11">
        <v>-2.8999999999999998E-3</v>
      </c>
      <c r="E14" s="10">
        <f t="shared" si="2"/>
        <v>-59176.80172265321</v>
      </c>
      <c r="F14" s="3"/>
      <c r="G14" s="28"/>
      <c r="H14" s="10"/>
      <c r="I14" s="10">
        <f t="shared" si="5"/>
        <v>11230</v>
      </c>
      <c r="J14" s="10">
        <f t="shared" si="3"/>
        <v>228492507739.1987</v>
      </c>
      <c r="K14" s="11">
        <f t="shared" si="4"/>
        <v>-2.9000000000001247E-3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20405793.697466083</v>
      </c>
      <c r="D15" s="11">
        <v>-2.8E-3</v>
      </c>
      <c r="E15" s="10">
        <f t="shared" si="2"/>
        <v>-57296.652981251478</v>
      </c>
      <c r="F15" s="3"/>
      <c r="G15" s="28"/>
      <c r="H15" s="10"/>
      <c r="I15" s="10">
        <f t="shared" si="5"/>
        <v>11230</v>
      </c>
      <c r="J15" s="10">
        <f t="shared" si="3"/>
        <v>229157063222.5441</v>
      </c>
      <c r="K15" s="11">
        <f t="shared" si="4"/>
        <v>-2.8000000000000247E-3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20463090.350447334</v>
      </c>
      <c r="D16" s="11">
        <v>-2.3E-3</v>
      </c>
      <c r="E16" s="10">
        <f t="shared" si="2"/>
        <v>-47173.607102364302</v>
      </c>
      <c r="F16" s="3"/>
      <c r="G16" s="28"/>
      <c r="H16" s="10"/>
      <c r="I16" s="10">
        <f t="shared" si="5"/>
        <v>11230</v>
      </c>
      <c r="J16" s="10">
        <f t="shared" si="3"/>
        <v>229800504635.52356</v>
      </c>
      <c r="K16" s="11">
        <f t="shared" si="4"/>
        <v>-2.2999999999999687E-3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20510263.957549699</v>
      </c>
      <c r="D17" s="11">
        <v>-2.5999999999999999E-3</v>
      </c>
      <c r="E17" s="10">
        <f t="shared" si="2"/>
        <v>-53465.697102095932</v>
      </c>
      <c r="F17" s="3"/>
      <c r="G17" s="28"/>
      <c r="H17" s="10"/>
      <c r="I17" s="10">
        <f t="shared" si="5"/>
        <v>11230</v>
      </c>
      <c r="J17" s="10">
        <f t="shared" si="3"/>
        <v>230330264243.28311</v>
      </c>
      <c r="K17" s="11">
        <f t="shared" si="4"/>
        <v>-2.6000000000000467E-3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20563729.654651795</v>
      </c>
      <c r="D18" s="11">
        <v>-2.8E-3</v>
      </c>
      <c r="E18" s="10">
        <f t="shared" si="2"/>
        <v>-57740.115356020629</v>
      </c>
      <c r="F18" s="3"/>
      <c r="G18" s="28"/>
      <c r="H18" s="10"/>
      <c r="I18" s="10">
        <f t="shared" si="5"/>
        <v>11230</v>
      </c>
      <c r="J18" s="10">
        <f t="shared" si="3"/>
        <v>230930684021.73965</v>
      </c>
      <c r="K18" s="11">
        <f t="shared" si="4"/>
        <v>-2.8000000000000247E-3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20621469.770007815</v>
      </c>
      <c r="D19" s="11">
        <v>-2.3E-3</v>
      </c>
      <c r="E19" s="10">
        <f t="shared" si="2"/>
        <v>-47538.719525925815</v>
      </c>
      <c r="F19" s="3"/>
      <c r="G19" s="28"/>
      <c r="H19" s="10"/>
      <c r="I19" s="10">
        <f t="shared" si="5"/>
        <v>11230</v>
      </c>
      <c r="J19" s="10">
        <f t="shared" si="3"/>
        <v>231579105517.18777</v>
      </c>
      <c r="K19" s="11">
        <f t="shared" si="4"/>
        <v>-2.2999999999998577E-3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20669008.489533741</v>
      </c>
      <c r="D20" s="11">
        <v>-2E-3</v>
      </c>
      <c r="E20" s="10">
        <f t="shared" si="2"/>
        <v>-41420.858696460724</v>
      </c>
      <c r="F20" s="3"/>
      <c r="G20" s="28"/>
      <c r="H20" s="10"/>
      <c r="I20" s="10">
        <f t="shared" si="5"/>
        <v>11230</v>
      </c>
      <c r="J20" s="10">
        <f t="shared" si="3"/>
        <v>232112965337.4639</v>
      </c>
      <c r="K20" s="11">
        <f t="shared" si="4"/>
        <v>-2.0000000000000018E-3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20710429.348230202</v>
      </c>
      <c r="D21" s="11">
        <v>-1.6999999999999999E-3</v>
      </c>
      <c r="E21" s="10">
        <f t="shared" si="2"/>
        <v>-35267.684956416488</v>
      </c>
      <c r="F21" s="3"/>
      <c r="G21" s="28"/>
      <c r="H21" s="10"/>
      <c r="I21" s="10">
        <f t="shared" si="5"/>
        <v>11230</v>
      </c>
      <c r="J21" s="10">
        <f t="shared" si="3"/>
        <v>232578121580.62515</v>
      </c>
      <c r="K21" s="11">
        <f t="shared" si="4"/>
        <v>-1.7000000000000348E-3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20745697.033186618</v>
      </c>
      <c r="D22" s="11">
        <v>-1.4E-3</v>
      </c>
      <c r="E22" s="10">
        <f t="shared" si="2"/>
        <v>-29084.694418646395</v>
      </c>
      <c r="F22" s="3"/>
      <c r="G22" s="28"/>
      <c r="H22" s="10"/>
      <c r="I22" s="10">
        <f t="shared" si="5"/>
        <v>11230</v>
      </c>
      <c r="J22" s="10">
        <f t="shared" si="3"/>
        <v>232974177682.68573</v>
      </c>
      <c r="K22" s="11">
        <f t="shared" si="4"/>
        <v>-1.3999999999998458E-3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20774781.727605265</v>
      </c>
      <c r="D23" s="11">
        <v>-1.4E-3</v>
      </c>
      <c r="E23" s="10">
        <f t="shared" si="2"/>
        <v>-29125.470076754689</v>
      </c>
      <c r="F23" s="3"/>
      <c r="G23" s="28"/>
      <c r="H23" s="10"/>
      <c r="I23" s="10">
        <f t="shared" si="5"/>
        <v>11230</v>
      </c>
      <c r="J23" s="10">
        <f t="shared" si="3"/>
        <v>233300798801.00711</v>
      </c>
      <c r="K23" s="11">
        <f t="shared" si="4"/>
        <v>-1.4000000000000679E-3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20803907.197682019</v>
      </c>
      <c r="D24" s="11">
        <v>-1.1000000000000001E-3</v>
      </c>
      <c r="E24" s="10">
        <f t="shared" si="2"/>
        <v>-22909.498365651816</v>
      </c>
      <c r="F24" s="3"/>
      <c r="G24" s="28"/>
      <c r="H24" s="10"/>
      <c r="I24" s="10">
        <f t="shared" si="5"/>
        <v>11230</v>
      </c>
      <c r="J24" s="10">
        <f t="shared" si="3"/>
        <v>233627877829.96909</v>
      </c>
      <c r="K24" s="11">
        <f t="shared" si="4"/>
        <v>-1.0999999999999899E-3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20826816.696047671</v>
      </c>
      <c r="D25" s="11">
        <v>-4.0000000000000002E-4</v>
      </c>
      <c r="E25" s="10">
        <f t="shared" si="2"/>
        <v>-8334.0603025406599</v>
      </c>
      <c r="F25" s="3"/>
      <c r="G25" s="28"/>
      <c r="H25" s="10"/>
      <c r="I25" s="10">
        <f t="shared" si="5"/>
        <v>11230</v>
      </c>
      <c r="J25" s="10">
        <f t="shared" si="3"/>
        <v>233885151496.61536</v>
      </c>
      <c r="K25" s="11">
        <f t="shared" si="4"/>
        <v>-3.9999999999995595E-4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20835150.756350212</v>
      </c>
      <c r="D26" s="11">
        <v>-1E-4</v>
      </c>
      <c r="E26" s="10">
        <f t="shared" si="2"/>
        <v>-2083.7234479784966</v>
      </c>
      <c r="F26" s="3"/>
      <c r="G26" s="28"/>
      <c r="H26" s="10"/>
      <c r="I26" s="10">
        <f t="shared" si="5"/>
        <v>11230</v>
      </c>
      <c r="J26" s="10">
        <f t="shared" si="3"/>
        <v>233978742993.81287</v>
      </c>
      <c r="K26" s="11">
        <f t="shared" si="4"/>
        <v>-9.9999999999988987E-5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20837234.47979819</v>
      </c>
      <c r="D27" s="11">
        <v>-1.03E-2</v>
      </c>
      <c r="E27" s="10">
        <f t="shared" si="2"/>
        <v>-216857.14372225851</v>
      </c>
      <c r="F27" s="3"/>
      <c r="G27" s="28"/>
      <c r="H27" s="10"/>
      <c r="I27" s="10">
        <f t="shared" si="5"/>
        <v>11230</v>
      </c>
      <c r="J27" s="10">
        <f t="shared" si="3"/>
        <v>234002143208.13367</v>
      </c>
      <c r="K27" s="11">
        <f t="shared" si="4"/>
        <v>-1.0299999999999976E-2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21054091.623520449</v>
      </c>
      <c r="D28" s="11">
        <v>-1.09E-2</v>
      </c>
      <c r="E28" s="10">
        <f t="shared" si="2"/>
        <v>-232018.6014522016</v>
      </c>
      <c r="F28" s="3"/>
      <c r="G28" s="28"/>
      <c r="H28" s="10"/>
      <c r="I28" s="10">
        <f t="shared" si="5"/>
        <v>11230</v>
      </c>
      <c r="J28" s="10">
        <f t="shared" si="3"/>
        <v>236437448932.13464</v>
      </c>
      <c r="K28" s="11">
        <f t="shared" si="4"/>
        <v>-1.0900000000000021E-2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21286110.22497265</v>
      </c>
      <c r="D29" s="11">
        <v>-1.5E-3</v>
      </c>
      <c r="E29" s="10">
        <f t="shared" si="2"/>
        <v>-31977.131034009159</v>
      </c>
      <c r="F29" s="3"/>
      <c r="G29" s="28"/>
      <c r="H29" s="10"/>
      <c r="I29" s="10">
        <f t="shared" si="5"/>
        <v>11230</v>
      </c>
      <c r="J29" s="10">
        <f t="shared" si="3"/>
        <v>239043017826.44287</v>
      </c>
      <c r="K29" s="11">
        <f t="shared" si="4"/>
        <v>-1.4999999999998348E-3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21318087.35600666</v>
      </c>
      <c r="D30" s="12">
        <v>-1.6999999999999999E-3</v>
      </c>
      <c r="E30" s="10">
        <f t="shared" si="2"/>
        <v>-36302.46269178763</v>
      </c>
      <c r="F30" s="3"/>
      <c r="G30" s="28"/>
      <c r="H30" s="10"/>
      <c r="I30" s="10">
        <f t="shared" si="5"/>
        <v>11230</v>
      </c>
      <c r="J30" s="10">
        <f t="shared" si="3"/>
        <v>239402121007.95477</v>
      </c>
      <c r="K30" s="11">
        <f t="shared" si="4"/>
        <v>-1.7000000000000348E-3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21354389.818698447</v>
      </c>
      <c r="D31" s="13">
        <v>-1.6999999999999999E-3</v>
      </c>
      <c r="E31" s="10">
        <f t="shared" si="2"/>
        <v>-36364.281971137971</v>
      </c>
      <c r="F31" s="3"/>
      <c r="G31" s="28"/>
      <c r="H31" s="10"/>
      <c r="I31" s="10">
        <f t="shared" si="5"/>
        <v>11230</v>
      </c>
      <c r="J31" s="10">
        <f t="shared" si="3"/>
        <v>239809797663.98355</v>
      </c>
      <c r="K31" s="11">
        <f t="shared" si="4"/>
        <v>-1.7000000000000348E-3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21390754.100669585</v>
      </c>
      <c r="D32" s="12">
        <v>-1.8E-3</v>
      </c>
      <c r="E32" s="10">
        <f t="shared" si="2"/>
        <v>-38572.788400325924</v>
      </c>
      <c r="F32" s="3"/>
      <c r="G32" s="28"/>
      <c r="H32" s="10"/>
      <c r="I32" s="10">
        <f t="shared" si="5"/>
        <v>11230</v>
      </c>
      <c r="J32" s="10">
        <f t="shared" si="3"/>
        <v>240218168550.51944</v>
      </c>
      <c r="K32" s="11">
        <f t="shared" si="4"/>
        <v>-1.8000000000000238E-3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21429326.889069911</v>
      </c>
      <c r="D33" s="13">
        <v>-2E-3</v>
      </c>
      <c r="E33" s="10">
        <f t="shared" si="2"/>
        <v>-42944.542863868177</v>
      </c>
      <c r="F33" s="3"/>
      <c r="G33" s="28"/>
      <c r="H33" s="10"/>
      <c r="I33" s="10">
        <f t="shared" si="5"/>
        <v>11230</v>
      </c>
      <c r="J33" s="10">
        <f t="shared" si="3"/>
        <v>240651340964.2551</v>
      </c>
      <c r="K33" s="11">
        <f t="shared" si="4"/>
        <v>-2.0000000000000018E-3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21472271.431933779</v>
      </c>
      <c r="D34" s="12">
        <v>-1.5E-3</v>
      </c>
      <c r="E34" s="10">
        <f t="shared" si="2"/>
        <v>-32256.792336404324</v>
      </c>
      <c r="F34" s="3"/>
      <c r="G34" s="28"/>
      <c r="H34" s="10"/>
      <c r="I34" s="10">
        <f t="shared" si="5"/>
        <v>11230</v>
      </c>
      <c r="J34" s="10">
        <f t="shared" ref="J34:J65" si="6">IF(I34="","",I34*C34)</f>
        <v>241133608180.61633</v>
      </c>
      <c r="K34" s="11">
        <f t="shared" ref="K34:K65" si="7">IFERROR(J34/J35-1,"")</f>
        <v>-1.5000000000000568E-3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21504528.224270184</v>
      </c>
      <c r="D35" s="11">
        <v>-5.9999999999999995E-4</v>
      </c>
      <c r="E35" s="10">
        <f t="shared" si="2"/>
        <v>-12910.463212490082</v>
      </c>
      <c r="F35" s="3"/>
      <c r="G35" s="28"/>
      <c r="H35" s="10"/>
      <c r="I35" s="10">
        <f t="shared" ref="I35:I66" si="8">IF(H35&lt;&gt;"",H35,I34/(1+IF(G34="",0,G34)/100))</f>
        <v>11230</v>
      </c>
      <c r="J35" s="10">
        <f t="shared" si="6"/>
        <v>241495851958.55417</v>
      </c>
      <c r="K35" s="11">
        <f t="shared" si="7"/>
        <v>-5.9999999999993392E-4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21517438.687482674</v>
      </c>
      <c r="D36" s="11">
        <v>1E-4</v>
      </c>
      <c r="E36" s="10">
        <f t="shared" si="2"/>
        <v>2151.5287158749998</v>
      </c>
      <c r="F36" s="3"/>
      <c r="G36" s="28"/>
      <c r="H36" s="10"/>
      <c r="I36" s="10">
        <f t="shared" si="8"/>
        <v>11230</v>
      </c>
      <c r="J36" s="10">
        <f t="shared" si="6"/>
        <v>241640836460.43042</v>
      </c>
      <c r="K36" s="11">
        <f t="shared" si="7"/>
        <v>9.9999999999988987E-5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21515287.158766799</v>
      </c>
      <c r="D37" s="11">
        <v>6.9999999999999999E-4</v>
      </c>
      <c r="E37" s="10">
        <f t="shared" si="2"/>
        <v>15050.165895007551</v>
      </c>
      <c r="F37" s="3"/>
      <c r="G37" s="28"/>
      <c r="H37" s="10"/>
      <c r="I37" s="10">
        <f t="shared" si="8"/>
        <v>11230</v>
      </c>
      <c r="J37" s="10">
        <f t="shared" si="6"/>
        <v>241616674792.95114</v>
      </c>
      <c r="K37" s="11">
        <f t="shared" si="7"/>
        <v>6.9999999999970086E-4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21500236.992871791</v>
      </c>
      <c r="D38" s="11">
        <v>1.8E-3</v>
      </c>
      <c r="E38" s="10">
        <f t="shared" si="2"/>
        <v>38630.890983399004</v>
      </c>
      <c r="F38" s="3"/>
      <c r="G38" s="28"/>
      <c r="H38" s="10"/>
      <c r="I38" s="10">
        <f t="shared" si="8"/>
        <v>11230</v>
      </c>
      <c r="J38" s="10">
        <f t="shared" si="6"/>
        <v>241447661429.95023</v>
      </c>
      <c r="K38" s="11">
        <f t="shared" si="7"/>
        <v>1.8000000000000238E-3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21461606.101888392</v>
      </c>
      <c r="D39" s="11">
        <v>3.3999999999999998E-3</v>
      </c>
      <c r="E39" s="10">
        <f t="shared" si="2"/>
        <v>72722.205248575658</v>
      </c>
      <c r="F39" s="3"/>
      <c r="G39" s="28"/>
      <c r="H39" s="10"/>
      <c r="I39" s="10">
        <f t="shared" si="8"/>
        <v>11230</v>
      </c>
      <c r="J39" s="10">
        <f t="shared" si="6"/>
        <v>241013836524.20663</v>
      </c>
      <c r="K39" s="11">
        <f t="shared" si="7"/>
        <v>3.4000000000000696E-3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21388883.896639816</v>
      </c>
      <c r="D40" s="11">
        <v>4.5999999999999999E-3</v>
      </c>
      <c r="E40" s="10">
        <f t="shared" si="2"/>
        <v>97938.349516764283</v>
      </c>
      <c r="F40" s="3"/>
      <c r="G40" s="28"/>
      <c r="H40" s="10"/>
      <c r="I40" s="10">
        <f t="shared" si="8"/>
        <v>11230</v>
      </c>
      <c r="J40" s="10">
        <f t="shared" si="6"/>
        <v>240197166159.26514</v>
      </c>
      <c r="K40" s="11">
        <f t="shared" si="7"/>
        <v>4.5999999999999375E-3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21290945.547123052</v>
      </c>
      <c r="D41" s="11">
        <v>5.4999999999999997E-3</v>
      </c>
      <c r="E41" s="10">
        <f t="shared" si="2"/>
        <v>116459.67231146619</v>
      </c>
      <c r="F41" s="3"/>
      <c r="G41" s="28"/>
      <c r="H41" s="10"/>
      <c r="I41" s="10">
        <f t="shared" si="8"/>
        <v>11230</v>
      </c>
      <c r="J41" s="10">
        <f t="shared" si="6"/>
        <v>239097318494.19186</v>
      </c>
      <c r="K41" s="11">
        <f t="shared" si="7"/>
        <v>5.5000000000000604E-3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21174485.874811586</v>
      </c>
      <c r="D42" s="11">
        <v>5.8999999999999999E-3</v>
      </c>
      <c r="E42" s="10">
        <f t="shared" si="2"/>
        <v>124196.70609542727</v>
      </c>
      <c r="F42" s="3"/>
      <c r="G42" s="28"/>
      <c r="H42" s="10"/>
      <c r="I42" s="10">
        <f t="shared" si="8"/>
        <v>11230</v>
      </c>
      <c r="J42" s="10">
        <f t="shared" si="6"/>
        <v>237789476374.13412</v>
      </c>
      <c r="K42" s="11">
        <f t="shared" si="7"/>
        <v>5.9000000000002384E-3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21050289.168716159</v>
      </c>
      <c r="D43" s="11">
        <v>4.4999999999999997E-3</v>
      </c>
      <c r="E43" s="10">
        <f t="shared" si="2"/>
        <v>94301.942517891526</v>
      </c>
      <c r="F43" s="3"/>
      <c r="G43" s="28"/>
      <c r="H43" s="10"/>
      <c r="I43" s="10">
        <f t="shared" si="8"/>
        <v>11230</v>
      </c>
      <c r="J43" s="10">
        <f t="shared" si="6"/>
        <v>236394747364.68246</v>
      </c>
      <c r="K43" s="11">
        <f t="shared" si="7"/>
        <v>4.4999999999999485E-3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20955987.226198267</v>
      </c>
      <c r="D44" s="11">
        <v>3.2000000000000002E-3</v>
      </c>
      <c r="E44" s="10">
        <f t="shared" si="2"/>
        <v>66845.254310045391</v>
      </c>
      <c r="F44" s="3"/>
      <c r="G44" s="28"/>
      <c r="H44" s="10"/>
      <c r="I44" s="10">
        <f t="shared" si="8"/>
        <v>11230</v>
      </c>
      <c r="J44" s="10">
        <f t="shared" si="6"/>
        <v>235335736550.20654</v>
      </c>
      <c r="K44" s="11">
        <f t="shared" si="7"/>
        <v>3.2000000000003137E-3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20889141.971888222</v>
      </c>
      <c r="D45" s="11">
        <v>3.0000000000000001E-3</v>
      </c>
      <c r="E45" s="10">
        <f t="shared" si="2"/>
        <v>62479.985957790166</v>
      </c>
      <c r="F45" s="3"/>
      <c r="G45" s="28"/>
      <c r="H45" s="10"/>
      <c r="I45" s="10">
        <f t="shared" si="8"/>
        <v>11230</v>
      </c>
      <c r="J45" s="10">
        <f t="shared" si="6"/>
        <v>234585064344.30472</v>
      </c>
      <c r="K45" s="11">
        <f t="shared" si="7"/>
        <v>2.9999999999998916E-3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20826661.985930432</v>
      </c>
      <c r="D46" s="11">
        <v>2.8999999999999998E-3</v>
      </c>
      <c r="E46" s="10">
        <f t="shared" si="2"/>
        <v>60222.674004584551</v>
      </c>
      <c r="F46" s="3"/>
      <c r="G46" s="28"/>
      <c r="H46" s="10"/>
      <c r="I46" s="10">
        <f t="shared" si="8"/>
        <v>11230</v>
      </c>
      <c r="J46" s="10">
        <f t="shared" si="6"/>
        <v>233883414101.99875</v>
      </c>
      <c r="K46" s="11">
        <f t="shared" si="7"/>
        <v>2.8999999999999027E-3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20766439.311925847</v>
      </c>
      <c r="D47" s="11">
        <v>3.8E-3</v>
      </c>
      <c r="E47" s="10">
        <f t="shared" si="2"/>
        <v>78613.737184017897</v>
      </c>
      <c r="F47" s="3"/>
      <c r="G47" s="28"/>
      <c r="H47" s="10"/>
      <c r="I47" s="10">
        <f t="shared" si="8"/>
        <v>11230</v>
      </c>
      <c r="J47" s="10">
        <f t="shared" si="6"/>
        <v>233207113472.92728</v>
      </c>
      <c r="K47" s="11">
        <f t="shared" si="7"/>
        <v>3.8000000000000256E-3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20687825.574741829</v>
      </c>
      <c r="D48" s="11">
        <v>4.1999999999999997E-3</v>
      </c>
      <c r="E48" s="10">
        <f t="shared" si="2"/>
        <v>86525.460479900241</v>
      </c>
      <c r="F48" s="3"/>
      <c r="G48" s="28"/>
      <c r="H48" s="10"/>
      <c r="I48" s="10">
        <f t="shared" si="8"/>
        <v>11230</v>
      </c>
      <c r="J48" s="10">
        <f t="shared" si="6"/>
        <v>232324281204.35074</v>
      </c>
      <c r="K48" s="11">
        <f t="shared" si="7"/>
        <v>4.1999999999999815E-3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20601300.114261929</v>
      </c>
      <c r="D49" s="11">
        <v>3.8E-3</v>
      </c>
      <c r="E49" s="10">
        <f t="shared" si="2"/>
        <v>77988.583815697581</v>
      </c>
      <c r="F49" s="3"/>
      <c r="G49" s="28"/>
      <c r="H49" s="10"/>
      <c r="I49" s="10">
        <f t="shared" si="8"/>
        <v>11230</v>
      </c>
      <c r="J49" s="10">
        <f t="shared" si="6"/>
        <v>231352600283.16147</v>
      </c>
      <c r="K49" s="11">
        <f t="shared" si="7"/>
        <v>3.8000000000002476E-3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20523311.530446231</v>
      </c>
      <c r="D50" s="11">
        <v>3.7000000000000002E-3</v>
      </c>
      <c r="E50" s="10">
        <f t="shared" si="2"/>
        <v>75656.324262879789</v>
      </c>
      <c r="F50" s="3"/>
      <c r="G50" s="28"/>
      <c r="H50" s="10"/>
      <c r="I50" s="10">
        <f t="shared" si="8"/>
        <v>11230</v>
      </c>
      <c r="J50" s="10">
        <f t="shared" si="6"/>
        <v>230476788486.91116</v>
      </c>
      <c r="K50" s="11">
        <f t="shared" si="7"/>
        <v>3.7000000000000366E-3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20447655.206183352</v>
      </c>
      <c r="D51" s="11">
        <v>3.0000000000000001E-3</v>
      </c>
      <c r="E51" s="10">
        <f t="shared" si="2"/>
        <v>61159.487157076597</v>
      </c>
      <c r="F51" s="3"/>
      <c r="G51" s="28"/>
      <c r="H51" s="10"/>
      <c r="I51" s="10">
        <f t="shared" si="8"/>
        <v>11230</v>
      </c>
      <c r="J51" s="10">
        <f t="shared" si="6"/>
        <v>229627167965.43903</v>
      </c>
      <c r="K51" s="11">
        <f t="shared" si="7"/>
        <v>2.9999999999998916E-3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20386495.719026275</v>
      </c>
      <c r="D52" s="11">
        <v>2.8E-3</v>
      </c>
      <c r="E52" s="10">
        <f t="shared" si="2"/>
        <v>56922.804161619395</v>
      </c>
      <c r="F52" s="3"/>
      <c r="G52" s="28"/>
      <c r="H52" s="10"/>
      <c r="I52" s="10">
        <f t="shared" si="8"/>
        <v>11230</v>
      </c>
      <c r="J52" s="10">
        <f t="shared" si="6"/>
        <v>228940346924.66507</v>
      </c>
      <c r="K52" s="11">
        <f t="shared" si="7"/>
        <v>2.7999999999999137E-3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20329572.914864656</v>
      </c>
      <c r="D53" s="11">
        <v>3.2000000000000002E-3</v>
      </c>
      <c r="E53" s="10">
        <f t="shared" si="2"/>
        <v>64847.122535455972</v>
      </c>
      <c r="F53" s="3"/>
      <c r="G53" s="28"/>
      <c r="H53" s="10"/>
      <c r="I53" s="10">
        <f t="shared" si="8"/>
        <v>11230</v>
      </c>
      <c r="J53" s="10">
        <f t="shared" si="6"/>
        <v>228301103833.93008</v>
      </c>
      <c r="K53" s="11">
        <f t="shared" si="7"/>
        <v>3.2000000000000917E-3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20264725.7923292</v>
      </c>
      <c r="D54" s="11">
        <v>2.7000000000000001E-3</v>
      </c>
      <c r="E54" s="10">
        <f t="shared" si="2"/>
        <v>54567.42758480832</v>
      </c>
      <c r="F54" s="3"/>
      <c r="G54" s="28"/>
      <c r="H54" s="10"/>
      <c r="I54" s="10">
        <f t="shared" si="8"/>
        <v>11230</v>
      </c>
      <c r="J54" s="10">
        <f t="shared" si="6"/>
        <v>227572870647.8569</v>
      </c>
      <c r="K54" s="11">
        <f t="shared" si="7"/>
        <v>2.6999999999999247E-3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20210158.364744391</v>
      </c>
      <c r="D55" s="11">
        <v>3.3E-3</v>
      </c>
      <c r="E55" s="10">
        <f t="shared" si="2"/>
        <v>66474.157882645726</v>
      </c>
      <c r="F55" s="3"/>
      <c r="G55" s="28"/>
      <c r="H55" s="10"/>
      <c r="I55" s="10">
        <f t="shared" si="8"/>
        <v>11230</v>
      </c>
      <c r="J55" s="10">
        <f t="shared" si="6"/>
        <v>226960078436.07953</v>
      </c>
      <c r="K55" s="11">
        <f t="shared" si="7"/>
        <v>3.3000000000000806E-3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20143684.206861746</v>
      </c>
      <c r="D56" s="11">
        <v>4.4000000000000003E-3</v>
      </c>
      <c r="E56" s="10">
        <f t="shared" si="2"/>
        <v>88243.937186568975</v>
      </c>
      <c r="F56" s="3"/>
      <c r="G56" s="28"/>
      <c r="H56" s="10"/>
      <c r="I56" s="10">
        <f t="shared" si="8"/>
        <v>11230</v>
      </c>
      <c r="J56" s="10">
        <f t="shared" si="6"/>
        <v>226213573643.0574</v>
      </c>
      <c r="K56" s="11">
        <f t="shared" si="7"/>
        <v>4.3999999999999595E-3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20055440.269675177</v>
      </c>
      <c r="D57" s="11">
        <v>4.4999999999999997E-3</v>
      </c>
      <c r="E57" s="10">
        <f t="shared" si="2"/>
        <v>89845.177912928164</v>
      </c>
      <c r="F57" s="3"/>
      <c r="G57" s="28"/>
      <c r="H57" s="10"/>
      <c r="I57" s="10">
        <f t="shared" si="8"/>
        <v>11230</v>
      </c>
      <c r="J57" s="10">
        <f t="shared" si="6"/>
        <v>225222594228.45224</v>
      </c>
      <c r="K57" s="11">
        <f t="shared" si="7"/>
        <v>4.4999999999999485E-3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19965595.091762248</v>
      </c>
      <c r="D58" s="11">
        <v>5.0000000000000001E-3</v>
      </c>
      <c r="E58" s="10">
        <f t="shared" si="2"/>
        <v>99331.318864487112</v>
      </c>
      <c r="F58" s="3"/>
      <c r="G58" s="28"/>
      <c r="H58" s="10"/>
      <c r="I58" s="10">
        <f t="shared" si="8"/>
        <v>11230</v>
      </c>
      <c r="J58" s="10">
        <f t="shared" si="6"/>
        <v>224213632880.49005</v>
      </c>
      <c r="K58" s="11">
        <f t="shared" si="7"/>
        <v>4.9999999999998934E-3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19866263.772897761</v>
      </c>
      <c r="D59" s="11">
        <v>5.4999999999999997E-3</v>
      </c>
      <c r="E59" s="10">
        <f t="shared" si="2"/>
        <v>108666.78344200924</v>
      </c>
      <c r="F59" s="3"/>
      <c r="G59" s="28"/>
      <c r="H59" s="10"/>
      <c r="I59" s="10">
        <f t="shared" si="8"/>
        <v>11230</v>
      </c>
      <c r="J59" s="10">
        <f t="shared" si="6"/>
        <v>223098142169.64185</v>
      </c>
      <c r="K59" s="11">
        <f t="shared" si="7"/>
        <v>5.5000000000000604E-3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19757596.989455752</v>
      </c>
      <c r="D60" s="11">
        <v>3.0000000000000001E-3</v>
      </c>
      <c r="E60" s="10">
        <f t="shared" si="2"/>
        <v>59095.504455000162</v>
      </c>
      <c r="F60" s="3"/>
      <c r="G60" s="28"/>
      <c r="H60" s="10"/>
      <c r="I60" s="10">
        <f t="shared" si="8"/>
        <v>11230</v>
      </c>
      <c r="J60" s="10">
        <f t="shared" si="6"/>
        <v>221877814191.5881</v>
      </c>
      <c r="K60" s="11">
        <f t="shared" si="7"/>
        <v>2.9999999999998916E-3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19698501.485000752</v>
      </c>
      <c r="D61" s="11">
        <v>-1.4999999999999999E-2</v>
      </c>
      <c r="E61" s="10">
        <f t="shared" si="2"/>
        <v>-299977.17997463048</v>
      </c>
      <c r="F61" s="3"/>
      <c r="G61" s="28"/>
      <c r="H61" s="10"/>
      <c r="I61" s="10">
        <f t="shared" si="8"/>
        <v>11230</v>
      </c>
      <c r="J61" s="10">
        <f t="shared" si="6"/>
        <v>221214171676.55844</v>
      </c>
      <c r="K61" s="11">
        <f t="shared" si="7"/>
        <v>-1.5000000000000013E-2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19998478.664975382</v>
      </c>
      <c r="D62" s="11">
        <v>1.2999999999999999E-2</v>
      </c>
      <c r="E62" s="10">
        <f t="shared" si="2"/>
        <v>256643.85256138071</v>
      </c>
      <c r="F62" s="3"/>
      <c r="G62" s="28"/>
      <c r="H62" s="10"/>
      <c r="I62" s="10">
        <f t="shared" si="8"/>
        <v>11230</v>
      </c>
      <c r="J62" s="10">
        <f t="shared" si="6"/>
        <v>224582915407.67355</v>
      </c>
      <c r="K62" s="11">
        <f t="shared" si="7"/>
        <v>1.2999999999999901E-2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19741834.812414002</v>
      </c>
      <c r="D63" s="11">
        <v>1.4E-2</v>
      </c>
      <c r="E63" s="10">
        <f t="shared" si="2"/>
        <v>272569.71141400188</v>
      </c>
      <c r="F63" s="3"/>
      <c r="G63" s="28"/>
      <c r="H63" s="10"/>
      <c r="I63" s="10">
        <f t="shared" si="8"/>
        <v>11230</v>
      </c>
      <c r="J63" s="10">
        <f t="shared" si="6"/>
        <v>221700804943.40924</v>
      </c>
      <c r="K63" s="11">
        <f t="shared" si="7"/>
        <v>1.4000000000000012E-2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19469265.101</v>
      </c>
      <c r="D64" s="11">
        <v>1.2E-2</v>
      </c>
      <c r="E64" s="10">
        <f t="shared" si="2"/>
        <v>230860.85099999979</v>
      </c>
      <c r="F64" s="3"/>
      <c r="G64" s="28"/>
      <c r="H64" s="10"/>
      <c r="I64" s="10">
        <f t="shared" si="8"/>
        <v>11230</v>
      </c>
      <c r="J64" s="10">
        <f t="shared" si="6"/>
        <v>218639847084.23001</v>
      </c>
      <c r="K64" s="11">
        <f t="shared" si="7"/>
        <v>1.2000000000000011E-2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19238404.25</v>
      </c>
      <c r="D65" s="11">
        <v>1.0500000000000001E-2</v>
      </c>
      <c r="E65" s="10">
        <f t="shared" si="2"/>
        <v>199904.25</v>
      </c>
      <c r="F65" s="3"/>
      <c r="G65" s="28"/>
      <c r="H65" s="10"/>
      <c r="I65" s="10">
        <f t="shared" si="8"/>
        <v>11230</v>
      </c>
      <c r="J65" s="10">
        <f t="shared" si="6"/>
        <v>216047279727.5</v>
      </c>
      <c r="K65" s="11">
        <f t="shared" si="7"/>
        <v>1.0499999999999954E-2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19038500</v>
      </c>
      <c r="D66" s="11">
        <v>0.01</v>
      </c>
      <c r="E66" s="10">
        <f t="shared" si="2"/>
        <v>188500</v>
      </c>
      <c r="F66" s="3"/>
      <c r="G66" s="28"/>
      <c r="H66" s="10"/>
      <c r="I66" s="10">
        <f t="shared" si="8"/>
        <v>11230</v>
      </c>
      <c r="J66" s="10">
        <f t="shared" ref="J66:J67" si="9">IF(I66="","",I66*C66)</f>
        <v>213802355000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18850000</v>
      </c>
      <c r="D67" s="11">
        <v>9.4999999999999998E-3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11230</v>
      </c>
      <c r="J67" s="10">
        <f t="shared" si="9"/>
        <v>211685500000</v>
      </c>
      <c r="K67" s="11"/>
    </row>
  </sheetData>
  <dataValidations count="1">
    <dataValidation type="custom" allowBlank="1" showDropDown="1" sqref="D2:D67" xr:uid="{00000000-0002-0000-1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29181367.652544163</v>
      </c>
      <c r="D2" s="11">
        <v>2.06E-2</v>
      </c>
      <c r="E2" s="10">
        <f t="shared" ref="E2:E66" si="2">SUM(C2-C3)</f>
        <v>589002.71765863895</v>
      </c>
      <c r="F2" s="15">
        <v>29182698</v>
      </c>
      <c r="G2" s="28"/>
      <c r="H2" s="10"/>
      <c r="I2" s="10">
        <f>IF(H2&lt;&gt;"",H2,14048)</f>
        <v>14048</v>
      </c>
      <c r="J2" s="10">
        <f t="shared" ref="J2:J33" si="3">IF(I2="","",I2*C2)</f>
        <v>409939852782.94043</v>
      </c>
      <c r="K2" s="11">
        <f t="shared" ref="K2:K33" si="4">IFERROR(J2/J3-1,"")</f>
        <v>2.0599999999999952E-2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28592364.934885524</v>
      </c>
      <c r="D3" s="11">
        <v>2.0400000000000001E-2</v>
      </c>
      <c r="E3" s="10">
        <f t="shared" si="2"/>
        <v>571623.13276329264</v>
      </c>
      <c r="F3" s="3"/>
      <c r="G3" s="28"/>
      <c r="H3" s="10"/>
      <c r="I3" s="10">
        <f t="shared" ref="I3:I34" si="5">IF(H3&lt;&gt;"",H3,I2/(1+IF(G2="",0,G2)/100))</f>
        <v>14048</v>
      </c>
      <c r="J3" s="10">
        <f t="shared" si="3"/>
        <v>401665542605.27185</v>
      </c>
      <c r="K3" s="11">
        <f t="shared" si="4"/>
        <v>2.0399999999999974E-2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28020741.802122232</v>
      </c>
      <c r="D4" s="11">
        <v>2.0199999999999999E-2</v>
      </c>
      <c r="E4" s="10">
        <f t="shared" si="2"/>
        <v>554811.7863192223</v>
      </c>
      <c r="F4" s="3"/>
      <c r="G4" s="28"/>
      <c r="H4" s="10"/>
      <c r="I4" s="10">
        <f t="shared" si="5"/>
        <v>14048</v>
      </c>
      <c r="J4" s="10">
        <f t="shared" si="3"/>
        <v>393635380836.21313</v>
      </c>
      <c r="K4" s="11">
        <f t="shared" si="4"/>
        <v>2.0200000000000218E-2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27465930.015803009</v>
      </c>
      <c r="D5" s="11">
        <v>1.9900000000000001E-2</v>
      </c>
      <c r="E5" s="10">
        <f t="shared" si="2"/>
        <v>535907.44907783344</v>
      </c>
      <c r="F5" s="3"/>
      <c r="G5" s="28"/>
      <c r="H5" s="10"/>
      <c r="I5" s="10">
        <f t="shared" si="5"/>
        <v>14048</v>
      </c>
      <c r="J5" s="10">
        <f t="shared" si="3"/>
        <v>385841384862.00067</v>
      </c>
      <c r="K5" s="11">
        <f t="shared" si="4"/>
        <v>1.9900000000000029E-2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26930022.566725176</v>
      </c>
      <c r="D6" s="11">
        <v>1.9599999999999999E-2</v>
      </c>
      <c r="E6" s="10">
        <f t="shared" si="2"/>
        <v>517681.87750864401</v>
      </c>
      <c r="F6" s="3"/>
      <c r="G6" s="28"/>
      <c r="H6" s="10"/>
      <c r="I6" s="10">
        <f t="shared" si="5"/>
        <v>14048</v>
      </c>
      <c r="J6" s="10">
        <f t="shared" si="3"/>
        <v>378312957017.35529</v>
      </c>
      <c r="K6" s="11">
        <f t="shared" si="4"/>
        <v>1.9600000000000062E-2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26412340.689216532</v>
      </c>
      <c r="D7" s="11">
        <v>1.95E-2</v>
      </c>
      <c r="E7" s="10">
        <f t="shared" si="2"/>
        <v>505189.44918069988</v>
      </c>
      <c r="F7" s="3"/>
      <c r="G7" s="28"/>
      <c r="H7" s="10"/>
      <c r="I7" s="10">
        <f t="shared" si="5"/>
        <v>14048</v>
      </c>
      <c r="J7" s="10">
        <f t="shared" si="3"/>
        <v>371040562002.11383</v>
      </c>
      <c r="K7" s="11">
        <f t="shared" si="4"/>
        <v>1.9500000000000073E-2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25907151.240035832</v>
      </c>
      <c r="D8" s="11">
        <v>1.9199999999999998E-2</v>
      </c>
      <c r="E8" s="10">
        <f t="shared" si="2"/>
        <v>488046.80514981598</v>
      </c>
      <c r="F8" s="3"/>
      <c r="G8" s="28"/>
      <c r="H8" s="10"/>
      <c r="I8" s="10">
        <f t="shared" si="5"/>
        <v>14048</v>
      </c>
      <c r="J8" s="10">
        <f t="shared" si="3"/>
        <v>363943660620.02338</v>
      </c>
      <c r="K8" s="11">
        <f t="shared" si="4"/>
        <v>1.9200000000000106E-2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25419104.434886016</v>
      </c>
      <c r="D9" s="11">
        <v>1.8200000000000001E-2</v>
      </c>
      <c r="E9" s="10">
        <f t="shared" si="2"/>
        <v>454358.37823111936</v>
      </c>
      <c r="F9" s="3"/>
      <c r="G9" s="28"/>
      <c r="H9" s="10"/>
      <c r="I9" s="10">
        <f t="shared" si="5"/>
        <v>14048</v>
      </c>
      <c r="J9" s="10">
        <f t="shared" si="3"/>
        <v>357087579101.27875</v>
      </c>
      <c r="K9" s="11">
        <f t="shared" si="4"/>
        <v>1.8199999999999994E-2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24964746.056654897</v>
      </c>
      <c r="D10" s="11">
        <v>1.67E-2</v>
      </c>
      <c r="E10" s="10">
        <f t="shared" si="2"/>
        <v>410063.20364525914</v>
      </c>
      <c r="F10" s="3"/>
      <c r="G10" s="28"/>
      <c r="H10" s="10"/>
      <c r="I10" s="10">
        <f t="shared" si="5"/>
        <v>14048</v>
      </c>
      <c r="J10" s="10">
        <f t="shared" si="3"/>
        <v>350704752603.888</v>
      </c>
      <c r="K10" s="11">
        <f t="shared" si="4"/>
        <v>1.6699999999999937E-2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24554682.853009637</v>
      </c>
      <c r="D11" s="11">
        <v>1.54E-2</v>
      </c>
      <c r="E11" s="10">
        <f t="shared" si="2"/>
        <v>372407.04740629345</v>
      </c>
      <c r="F11" s="3"/>
      <c r="G11" s="28"/>
      <c r="H11" s="10"/>
      <c r="I11" s="10">
        <f t="shared" si="5"/>
        <v>14048</v>
      </c>
      <c r="J11" s="10">
        <f t="shared" si="3"/>
        <v>344944184719.07941</v>
      </c>
      <c r="K11" s="11">
        <f t="shared" si="4"/>
        <v>1.540000000000008E-2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24182275.805603344</v>
      </c>
      <c r="D12" s="11">
        <v>1.46E-2</v>
      </c>
      <c r="E12" s="10">
        <f t="shared" si="2"/>
        <v>347980.70841889083</v>
      </c>
      <c r="F12" s="3"/>
      <c r="G12" s="28"/>
      <c r="H12" s="10"/>
      <c r="I12" s="10">
        <f t="shared" si="5"/>
        <v>14048</v>
      </c>
      <c r="J12" s="10">
        <f t="shared" si="3"/>
        <v>339712610517.11578</v>
      </c>
      <c r="K12" s="11">
        <f t="shared" si="4"/>
        <v>1.4599999999999946E-2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23834295.097184453</v>
      </c>
      <c r="D13" s="11">
        <v>1.4E-2</v>
      </c>
      <c r="E13" s="10">
        <f t="shared" si="2"/>
        <v>329073.10785067454</v>
      </c>
      <c r="F13" s="3"/>
      <c r="G13" s="28"/>
      <c r="H13" s="10"/>
      <c r="I13" s="10">
        <f t="shared" si="5"/>
        <v>14048</v>
      </c>
      <c r="J13" s="10">
        <f t="shared" si="3"/>
        <v>334824177525.24719</v>
      </c>
      <c r="K13" s="11">
        <f t="shared" si="4"/>
        <v>1.4000000000000012E-2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23505221.989333779</v>
      </c>
      <c r="D14" s="11">
        <v>1.3299999999999999E-2</v>
      </c>
      <c r="E14" s="10">
        <f t="shared" si="2"/>
        <v>308516.18716879562</v>
      </c>
      <c r="F14" s="3"/>
      <c r="G14" s="28"/>
      <c r="H14" s="10"/>
      <c r="I14" s="10">
        <f t="shared" si="5"/>
        <v>14048</v>
      </c>
      <c r="J14" s="10">
        <f t="shared" si="3"/>
        <v>330201358506.16095</v>
      </c>
      <c r="K14" s="11">
        <f t="shared" si="4"/>
        <v>1.3300000000000312E-2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23196705.802164983</v>
      </c>
      <c r="D15" s="11">
        <v>1.3299999999999999E-2</v>
      </c>
      <c r="E15" s="10">
        <f t="shared" si="2"/>
        <v>304466.77900798991</v>
      </c>
      <c r="F15" s="3"/>
      <c r="G15" s="28"/>
      <c r="H15" s="10"/>
      <c r="I15" s="10">
        <f t="shared" si="5"/>
        <v>14048</v>
      </c>
      <c r="J15" s="10">
        <f t="shared" si="3"/>
        <v>325867323108.81366</v>
      </c>
      <c r="K15" s="11">
        <f t="shared" si="4"/>
        <v>1.330000000000009E-2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22892239.023156993</v>
      </c>
      <c r="D16" s="11">
        <v>1.37E-2</v>
      </c>
      <c r="E16" s="10">
        <f t="shared" si="2"/>
        <v>309385.09876418114</v>
      </c>
      <c r="F16" s="3"/>
      <c r="G16" s="28"/>
      <c r="H16" s="10"/>
      <c r="I16" s="10">
        <f t="shared" si="5"/>
        <v>14048</v>
      </c>
      <c r="J16" s="10">
        <f t="shared" si="3"/>
        <v>321590173797.30945</v>
      </c>
      <c r="K16" s="11">
        <f t="shared" si="4"/>
        <v>1.3700000000000045E-2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22582853.924392812</v>
      </c>
      <c r="D17" s="11">
        <v>1.4E-2</v>
      </c>
      <c r="E17" s="10">
        <f t="shared" si="2"/>
        <v>311794.82735848054</v>
      </c>
      <c r="F17" s="3"/>
      <c r="G17" s="28"/>
      <c r="H17" s="10"/>
      <c r="I17" s="10">
        <f t="shared" si="5"/>
        <v>14048</v>
      </c>
      <c r="J17" s="10">
        <f t="shared" si="3"/>
        <v>317243931929.87024</v>
      </c>
      <c r="K17" s="11">
        <f t="shared" si="4"/>
        <v>1.4000000000000012E-2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22271059.097034331</v>
      </c>
      <c r="D18" s="11">
        <v>1.3899999999999999E-2</v>
      </c>
      <c r="E18" s="10">
        <f t="shared" si="2"/>
        <v>305323.72171691433</v>
      </c>
      <c r="F18" s="3"/>
      <c r="G18" s="28"/>
      <c r="H18" s="10"/>
      <c r="I18" s="10">
        <f t="shared" si="5"/>
        <v>14048</v>
      </c>
      <c r="J18" s="10">
        <f t="shared" si="3"/>
        <v>312863838195.13831</v>
      </c>
      <c r="K18" s="11">
        <f t="shared" si="4"/>
        <v>1.3900000000000245E-2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21965735.375317417</v>
      </c>
      <c r="D19" s="11">
        <v>1.5900000000000001E-2</v>
      </c>
      <c r="E19" s="10">
        <f t="shared" si="2"/>
        <v>343788.94819130749</v>
      </c>
      <c r="F19" s="3"/>
      <c r="G19" s="28"/>
      <c r="H19" s="10"/>
      <c r="I19" s="10">
        <f t="shared" si="5"/>
        <v>14048</v>
      </c>
      <c r="J19" s="10">
        <f t="shared" si="3"/>
        <v>308574650552.45905</v>
      </c>
      <c r="K19" s="11">
        <f t="shared" si="4"/>
        <v>1.5900000000000025E-2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21621946.42712611</v>
      </c>
      <c r="D20" s="11">
        <v>1.8599999999999998E-2</v>
      </c>
      <c r="E20" s="10">
        <f t="shared" si="2"/>
        <v>394824.46843171492</v>
      </c>
      <c r="F20" s="3"/>
      <c r="G20" s="28"/>
      <c r="H20" s="10"/>
      <c r="I20" s="10">
        <f t="shared" si="5"/>
        <v>14048</v>
      </c>
      <c r="J20" s="10">
        <f t="shared" si="3"/>
        <v>303745103408.26758</v>
      </c>
      <c r="K20" s="11">
        <f t="shared" si="4"/>
        <v>1.859999999999995E-2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21227121.958694395</v>
      </c>
      <c r="D21" s="11">
        <v>1.9599999999999999E-2</v>
      </c>
      <c r="E21" s="10">
        <f t="shared" si="2"/>
        <v>408053.73714242131</v>
      </c>
      <c r="F21" s="3"/>
      <c r="G21" s="28"/>
      <c r="H21" s="10"/>
      <c r="I21" s="10">
        <f t="shared" si="5"/>
        <v>14048</v>
      </c>
      <c r="J21" s="10">
        <f t="shared" si="3"/>
        <v>298198609275.73883</v>
      </c>
      <c r="K21" s="11">
        <f t="shared" si="4"/>
        <v>1.9600000000000062E-2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20819068.221551973</v>
      </c>
      <c r="D22" s="11">
        <v>2.07E-2</v>
      </c>
      <c r="E22" s="10">
        <f t="shared" si="2"/>
        <v>422214.86449115723</v>
      </c>
      <c r="F22" s="3"/>
      <c r="G22" s="28"/>
      <c r="H22" s="10"/>
      <c r="I22" s="10">
        <f t="shared" si="5"/>
        <v>14048</v>
      </c>
      <c r="J22" s="10">
        <f t="shared" si="3"/>
        <v>292466270376.36212</v>
      </c>
      <c r="K22" s="11">
        <f t="shared" si="4"/>
        <v>2.0699999999999941E-2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20396853.357060816</v>
      </c>
      <c r="D23" s="11">
        <v>2.2100000000000002E-2</v>
      </c>
      <c r="E23" s="10">
        <f t="shared" si="2"/>
        <v>441023.8324929513</v>
      </c>
      <c r="F23" s="3"/>
      <c r="G23" s="28"/>
      <c r="H23" s="10"/>
      <c r="I23" s="10">
        <f t="shared" si="5"/>
        <v>14048</v>
      </c>
      <c r="J23" s="10">
        <f t="shared" si="3"/>
        <v>286534995959.99036</v>
      </c>
      <c r="K23" s="11">
        <f t="shared" si="4"/>
        <v>2.2100000000000009E-2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19955829.524567865</v>
      </c>
      <c r="D24" s="11">
        <v>2.41E-2</v>
      </c>
      <c r="E24" s="10">
        <f t="shared" si="2"/>
        <v>469617.70485507697</v>
      </c>
      <c r="F24" s="3"/>
      <c r="G24" s="28"/>
      <c r="H24" s="10"/>
      <c r="I24" s="10">
        <f t="shared" si="5"/>
        <v>14048</v>
      </c>
      <c r="J24" s="10">
        <f t="shared" si="3"/>
        <v>280339493161.12939</v>
      </c>
      <c r="K24" s="11">
        <f t="shared" si="4"/>
        <v>2.410000000000001E-2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19486211.819712788</v>
      </c>
      <c r="D25" s="11">
        <v>2.4400000000000002E-2</v>
      </c>
      <c r="E25" s="10">
        <f t="shared" si="2"/>
        <v>464138.58688109368</v>
      </c>
      <c r="F25" s="3"/>
      <c r="G25" s="28"/>
      <c r="H25" s="10"/>
      <c r="I25" s="10">
        <f t="shared" si="5"/>
        <v>14048</v>
      </c>
      <c r="J25" s="10">
        <f t="shared" si="3"/>
        <v>273742303643.32526</v>
      </c>
      <c r="K25" s="11">
        <f t="shared" si="4"/>
        <v>2.4399999999999977E-2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19022073.232831694</v>
      </c>
      <c r="D26" s="11">
        <v>2.3800000000000002E-2</v>
      </c>
      <c r="E26" s="10">
        <f t="shared" si="2"/>
        <v>442200.9600912258</v>
      </c>
      <c r="F26" s="3"/>
      <c r="G26" s="28"/>
      <c r="H26" s="10"/>
      <c r="I26" s="10">
        <f t="shared" si="5"/>
        <v>14048</v>
      </c>
      <c r="J26" s="10">
        <f t="shared" si="3"/>
        <v>267222084774.81964</v>
      </c>
      <c r="K26" s="11">
        <f t="shared" si="4"/>
        <v>2.3800000000000043E-2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18579872.272740468</v>
      </c>
      <c r="D27" s="11">
        <v>2.4799999999999999E-2</v>
      </c>
      <c r="E27" s="10">
        <f t="shared" si="2"/>
        <v>449630.00816155598</v>
      </c>
      <c r="F27" s="3"/>
      <c r="G27" s="28"/>
      <c r="H27" s="10"/>
      <c r="I27" s="10">
        <f t="shared" si="5"/>
        <v>14048</v>
      </c>
      <c r="J27" s="10">
        <f t="shared" si="3"/>
        <v>261010045687.4581</v>
      </c>
      <c r="K27" s="11">
        <f t="shared" si="4"/>
        <v>2.4799999999999933E-2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18130242.264578912</v>
      </c>
      <c r="D28" s="11">
        <v>2.64E-2</v>
      </c>
      <c r="E28" s="10">
        <f t="shared" si="2"/>
        <v>466327.35364856198</v>
      </c>
      <c r="F28" s="3"/>
      <c r="G28" s="28"/>
      <c r="H28" s="10"/>
      <c r="I28" s="10">
        <f t="shared" si="5"/>
        <v>14048</v>
      </c>
      <c r="J28" s="10">
        <f t="shared" si="3"/>
        <v>254693643332.80457</v>
      </c>
      <c r="K28" s="11">
        <f t="shared" si="4"/>
        <v>2.6399999999999979E-2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17663914.91093035</v>
      </c>
      <c r="D29" s="11">
        <v>2.8000000000000001E-2</v>
      </c>
      <c r="E29" s="10">
        <f t="shared" si="2"/>
        <v>481118.304966975</v>
      </c>
      <c r="F29" s="3"/>
      <c r="G29" s="28"/>
      <c r="H29" s="10"/>
      <c r="I29" s="10">
        <f t="shared" si="5"/>
        <v>14048</v>
      </c>
      <c r="J29" s="10">
        <f t="shared" si="3"/>
        <v>248142676668.74957</v>
      </c>
      <c r="K29" s="11">
        <f t="shared" si="4"/>
        <v>2.8000000000000025E-2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17182796.605963375</v>
      </c>
      <c r="D30" s="12">
        <v>3.0200000000000001E-2</v>
      </c>
      <c r="E30" s="10">
        <f t="shared" si="2"/>
        <v>503708.46194922738</v>
      </c>
      <c r="F30" s="3"/>
      <c r="G30" s="28"/>
      <c r="H30" s="10"/>
      <c r="I30" s="10">
        <f t="shared" si="5"/>
        <v>14048</v>
      </c>
      <c r="J30" s="10">
        <f t="shared" si="3"/>
        <v>241383926720.57349</v>
      </c>
      <c r="K30" s="11">
        <f t="shared" si="4"/>
        <v>3.0200000000000005E-2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16679088.144014148</v>
      </c>
      <c r="D31" s="13">
        <v>3.2899999999999999E-2</v>
      </c>
      <c r="E31" s="10">
        <f t="shared" si="2"/>
        <v>531263.43299260736</v>
      </c>
      <c r="F31" s="3"/>
      <c r="G31" s="28"/>
      <c r="H31" s="10"/>
      <c r="I31" s="10">
        <f t="shared" si="5"/>
        <v>14048</v>
      </c>
      <c r="J31" s="10">
        <f t="shared" si="3"/>
        <v>234307830247.11075</v>
      </c>
      <c r="K31" s="11">
        <f t="shared" si="4"/>
        <v>3.2899999999999929E-2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16147824.711021541</v>
      </c>
      <c r="D32" s="12">
        <v>3.4000000000000002E-2</v>
      </c>
      <c r="E32" s="10">
        <f t="shared" si="2"/>
        <v>530972.95955003239</v>
      </c>
      <c r="F32" s="3"/>
      <c r="G32" s="28"/>
      <c r="H32" s="10"/>
      <c r="I32" s="10">
        <f t="shared" si="5"/>
        <v>14048</v>
      </c>
      <c r="J32" s="10">
        <f t="shared" si="3"/>
        <v>226844641540.4306</v>
      </c>
      <c r="K32" s="11">
        <f t="shared" si="4"/>
        <v>3.400000000000003E-2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15616851.751471508</v>
      </c>
      <c r="D33" s="13">
        <v>3.4099999999999998E-2</v>
      </c>
      <c r="E33" s="10">
        <f t="shared" si="2"/>
        <v>514974.03029221483</v>
      </c>
      <c r="F33" s="3"/>
      <c r="G33" s="28"/>
      <c r="H33" s="10"/>
      <c r="I33" s="10">
        <f t="shared" si="5"/>
        <v>14048</v>
      </c>
      <c r="J33" s="10">
        <f t="shared" si="3"/>
        <v>219385533404.67175</v>
      </c>
      <c r="K33" s="11">
        <f t="shared" si="4"/>
        <v>3.4100000000000019E-2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15101877.721179293</v>
      </c>
      <c r="D34" s="12">
        <v>3.39E-2</v>
      </c>
      <c r="E34" s="10">
        <f t="shared" si="2"/>
        <v>495167.47726857476</v>
      </c>
      <c r="F34" s="3"/>
      <c r="G34" s="28"/>
      <c r="H34" s="10"/>
      <c r="I34" s="10">
        <f t="shared" si="5"/>
        <v>14048</v>
      </c>
      <c r="J34" s="10">
        <f t="shared" ref="J34:J65" si="6">IF(I34="","",I34*C34)</f>
        <v>212151178227.12671</v>
      </c>
      <c r="K34" s="11">
        <f t="shared" ref="K34:K65" si="7">IFERROR(J34/J35-1,"")</f>
        <v>3.3900000000000041E-2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14606710.243910719</v>
      </c>
      <c r="D35" s="11">
        <v>3.3300000000000003E-2</v>
      </c>
      <c r="E35" s="10">
        <f t="shared" si="2"/>
        <v>470728.20199576952</v>
      </c>
      <c r="F35" s="3"/>
      <c r="G35" s="28"/>
      <c r="H35" s="10"/>
      <c r="I35" s="10">
        <f t="shared" ref="I35:I66" si="8">IF(H35&lt;&gt;"",H35,I34/(1+IF(G34="",0,G34)/100))</f>
        <v>14048</v>
      </c>
      <c r="J35" s="10">
        <f t="shared" si="6"/>
        <v>205195065506.45776</v>
      </c>
      <c r="K35" s="11">
        <f t="shared" si="7"/>
        <v>3.3300000000000107E-2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14135982.041914949</v>
      </c>
      <c r="D36" s="11">
        <v>3.2399999999999998E-2</v>
      </c>
      <c r="E36" s="10">
        <f t="shared" si="2"/>
        <v>443632.13692177832</v>
      </c>
      <c r="F36" s="3"/>
      <c r="G36" s="28"/>
      <c r="H36" s="10"/>
      <c r="I36" s="10">
        <f t="shared" si="8"/>
        <v>14048</v>
      </c>
      <c r="J36" s="10">
        <f t="shared" si="6"/>
        <v>198582275724.8212</v>
      </c>
      <c r="K36" s="11">
        <f t="shared" si="7"/>
        <v>3.2399999999999984E-2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13692349.904993171</v>
      </c>
      <c r="D37" s="11">
        <v>3.1099999999999999E-2</v>
      </c>
      <c r="E37" s="10">
        <f t="shared" si="2"/>
        <v>412988.1505627837</v>
      </c>
      <c r="F37" s="3"/>
      <c r="G37" s="28"/>
      <c r="H37" s="10"/>
      <c r="I37" s="10">
        <f t="shared" si="8"/>
        <v>14048</v>
      </c>
      <c r="J37" s="10">
        <f t="shared" si="6"/>
        <v>192350131465.34406</v>
      </c>
      <c r="K37" s="11">
        <f t="shared" si="7"/>
        <v>3.1099999999999905E-2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13279361.754430387</v>
      </c>
      <c r="D38" s="11">
        <v>2.98E-2</v>
      </c>
      <c r="E38" s="10">
        <f t="shared" si="2"/>
        <v>384273.62622065097</v>
      </c>
      <c r="F38" s="3"/>
      <c r="G38" s="28"/>
      <c r="H38" s="10"/>
      <c r="I38" s="10">
        <f t="shared" si="8"/>
        <v>14048</v>
      </c>
      <c r="J38" s="10">
        <f t="shared" si="6"/>
        <v>186548473926.23807</v>
      </c>
      <c r="K38" s="11">
        <f t="shared" si="7"/>
        <v>2.9800000000000049E-2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12895088.128209736</v>
      </c>
      <c r="D39" s="11">
        <v>2.8400000000000002E-2</v>
      </c>
      <c r="E39" s="10">
        <f t="shared" si="2"/>
        <v>356107.06227261387</v>
      </c>
      <c r="F39" s="3"/>
      <c r="G39" s="28"/>
      <c r="H39" s="10"/>
      <c r="I39" s="10">
        <f t="shared" si="8"/>
        <v>14048</v>
      </c>
      <c r="J39" s="10">
        <f t="shared" si="6"/>
        <v>181150198025.09036</v>
      </c>
      <c r="K39" s="11">
        <f t="shared" si="7"/>
        <v>2.8399999999999981E-2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12538981.065937122</v>
      </c>
      <c r="D40" s="11">
        <v>3.6299999999999999E-2</v>
      </c>
      <c r="E40" s="10">
        <f t="shared" si="2"/>
        <v>439221.28022147715</v>
      </c>
      <c r="F40" s="3"/>
      <c r="G40" s="28"/>
      <c r="H40" s="10"/>
      <c r="I40" s="10">
        <f t="shared" si="8"/>
        <v>14048</v>
      </c>
      <c r="J40" s="10">
        <f t="shared" si="6"/>
        <v>176147606014.2847</v>
      </c>
      <c r="K40" s="11">
        <f t="shared" si="7"/>
        <v>3.6299999999999777E-2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12099759.785715645</v>
      </c>
      <c r="D41" s="11">
        <v>4.5499999999999999E-2</v>
      </c>
      <c r="E41" s="10">
        <f t="shared" si="2"/>
        <v>526579.69416553155</v>
      </c>
      <c r="F41" s="3"/>
      <c r="G41" s="28"/>
      <c r="H41" s="10"/>
      <c r="I41" s="10">
        <f t="shared" si="8"/>
        <v>14048</v>
      </c>
      <c r="J41" s="10">
        <f t="shared" si="6"/>
        <v>169977425469.7334</v>
      </c>
      <c r="K41" s="11">
        <f t="shared" si="7"/>
        <v>4.5500000000000096E-2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11573180.091550114</v>
      </c>
      <c r="D42" s="11">
        <v>3.5400000000000001E-2</v>
      </c>
      <c r="E42" s="10">
        <f t="shared" si="2"/>
        <v>395683.38346617296</v>
      </c>
      <c r="F42" s="3"/>
      <c r="G42" s="28"/>
      <c r="H42" s="10"/>
      <c r="I42" s="10">
        <f t="shared" si="8"/>
        <v>14048</v>
      </c>
      <c r="J42" s="10">
        <f t="shared" si="6"/>
        <v>162580033926.09601</v>
      </c>
      <c r="K42" s="11">
        <f t="shared" si="7"/>
        <v>3.5400000000000098E-2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11177496.708083941</v>
      </c>
      <c r="D43" s="11">
        <v>2.4199999999999999E-2</v>
      </c>
      <c r="E43" s="10">
        <f t="shared" si="2"/>
        <v>264104.10108927079</v>
      </c>
      <c r="F43" s="3"/>
      <c r="G43" s="28"/>
      <c r="H43" s="10"/>
      <c r="I43" s="10">
        <f t="shared" si="8"/>
        <v>14048</v>
      </c>
      <c r="J43" s="10">
        <f t="shared" si="6"/>
        <v>157021473755.16321</v>
      </c>
      <c r="K43" s="11">
        <f t="shared" si="7"/>
        <v>2.4199999999999999E-2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10913392.60699467</v>
      </c>
      <c r="D44" s="11">
        <v>2.3599999999999999E-2</v>
      </c>
      <c r="E44" s="10">
        <f t="shared" si="2"/>
        <v>251617.88347506337</v>
      </c>
      <c r="F44" s="3"/>
      <c r="G44" s="28"/>
      <c r="H44" s="10"/>
      <c r="I44" s="10">
        <f t="shared" si="8"/>
        <v>14048</v>
      </c>
      <c r="J44" s="10">
        <f t="shared" si="6"/>
        <v>153311339343.06113</v>
      </c>
      <c r="K44" s="11">
        <f t="shared" si="7"/>
        <v>2.3600000000000287E-2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10661774.723519607</v>
      </c>
      <c r="D45" s="11">
        <v>2.3E-2</v>
      </c>
      <c r="E45" s="10">
        <f t="shared" si="2"/>
        <v>239707.54510356858</v>
      </c>
      <c r="F45" s="3"/>
      <c r="G45" s="28"/>
      <c r="H45" s="10"/>
      <c r="I45" s="10">
        <f t="shared" si="8"/>
        <v>14048</v>
      </c>
      <c r="J45" s="10">
        <f t="shared" si="6"/>
        <v>149776611316.00342</v>
      </c>
      <c r="K45" s="11">
        <f t="shared" si="7"/>
        <v>2.2999999999999909E-2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10422067.178416038</v>
      </c>
      <c r="D46" s="11">
        <v>2.2599999999999999E-2</v>
      </c>
      <c r="E46" s="10">
        <f t="shared" si="2"/>
        <v>230333.18817934953</v>
      </c>
      <c r="F46" s="3"/>
      <c r="G46" s="28"/>
      <c r="H46" s="10"/>
      <c r="I46" s="10">
        <f t="shared" si="8"/>
        <v>14048</v>
      </c>
      <c r="J46" s="10">
        <f t="shared" si="6"/>
        <v>146409199722.38849</v>
      </c>
      <c r="K46" s="11">
        <f t="shared" si="7"/>
        <v>2.2599999999999953E-2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10191733.990236688</v>
      </c>
      <c r="D47" s="11">
        <v>2.2599999999999999E-2</v>
      </c>
      <c r="E47" s="10">
        <f t="shared" si="2"/>
        <v>225242.70308952592</v>
      </c>
      <c r="F47" s="3"/>
      <c r="G47" s="28"/>
      <c r="H47" s="10"/>
      <c r="I47" s="10">
        <f t="shared" si="8"/>
        <v>14048</v>
      </c>
      <c r="J47" s="10">
        <f t="shared" si="6"/>
        <v>143173479094.845</v>
      </c>
      <c r="K47" s="11">
        <f t="shared" si="7"/>
        <v>2.2599999999999953E-2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9966491.2871471625</v>
      </c>
      <c r="D48" s="11">
        <v>2.2800000000000001E-2</v>
      </c>
      <c r="E48" s="10">
        <f t="shared" si="2"/>
        <v>222170.51363605261</v>
      </c>
      <c r="F48" s="3"/>
      <c r="G48" s="28"/>
      <c r="H48" s="10"/>
      <c r="I48" s="10">
        <f t="shared" si="8"/>
        <v>14048</v>
      </c>
      <c r="J48" s="10">
        <f t="shared" si="6"/>
        <v>140009269601.84335</v>
      </c>
      <c r="K48" s="11">
        <f t="shared" si="7"/>
        <v>2.2799999999999931E-2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9744320.7735111099</v>
      </c>
      <c r="D49" s="11">
        <v>2.2800000000000001E-2</v>
      </c>
      <c r="E49" s="10">
        <f t="shared" si="2"/>
        <v>217217.94450142048</v>
      </c>
      <c r="F49" s="3"/>
      <c r="G49" s="28"/>
      <c r="H49" s="10"/>
      <c r="I49" s="10">
        <f t="shared" si="8"/>
        <v>14048</v>
      </c>
      <c r="J49" s="10">
        <f t="shared" si="6"/>
        <v>136888218226.28407</v>
      </c>
      <c r="K49" s="11">
        <f t="shared" si="7"/>
        <v>2.2799999999999931E-2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9527102.8290096894</v>
      </c>
      <c r="D50" s="11">
        <v>2.2499999999999999E-2</v>
      </c>
      <c r="E50" s="10">
        <f t="shared" si="2"/>
        <v>209642.8495381102</v>
      </c>
      <c r="F50" s="3"/>
      <c r="G50" s="28"/>
      <c r="H50" s="10"/>
      <c r="I50" s="10">
        <f t="shared" si="8"/>
        <v>14048</v>
      </c>
      <c r="J50" s="10">
        <f t="shared" si="6"/>
        <v>133836740541.92812</v>
      </c>
      <c r="K50" s="11">
        <f t="shared" si="7"/>
        <v>2.2499999999999964E-2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9317459.9794715792</v>
      </c>
      <c r="D51" s="11">
        <v>1.7999999999999999E-2</v>
      </c>
      <c r="E51" s="10">
        <f t="shared" si="2"/>
        <v>164748.80120873079</v>
      </c>
      <c r="F51" s="3"/>
      <c r="G51" s="28"/>
      <c r="H51" s="10"/>
      <c r="I51" s="10">
        <f t="shared" si="8"/>
        <v>14048</v>
      </c>
      <c r="J51" s="10">
        <f t="shared" si="6"/>
        <v>130891677791.61674</v>
      </c>
      <c r="K51" s="11">
        <f t="shared" si="7"/>
        <v>1.8000000000000016E-2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9152711.1782628484</v>
      </c>
      <c r="D52" s="11">
        <v>1.52E-2</v>
      </c>
      <c r="E52" s="10">
        <f t="shared" si="2"/>
        <v>137038.22883136012</v>
      </c>
      <c r="F52" s="3"/>
      <c r="G52" s="28"/>
      <c r="H52" s="10"/>
      <c r="I52" s="10">
        <f t="shared" si="8"/>
        <v>14048</v>
      </c>
      <c r="J52" s="10">
        <f t="shared" si="6"/>
        <v>128577286632.2365</v>
      </c>
      <c r="K52" s="11">
        <f t="shared" si="7"/>
        <v>1.5200000000000324E-2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9015672.9494314883</v>
      </c>
      <c r="D53" s="11">
        <v>1.6400000000000001E-2</v>
      </c>
      <c r="E53" s="10">
        <f t="shared" si="2"/>
        <v>145471.30693691038</v>
      </c>
      <c r="F53" s="3"/>
      <c r="G53" s="28"/>
      <c r="H53" s="10"/>
      <c r="I53" s="10">
        <f t="shared" si="8"/>
        <v>14048</v>
      </c>
      <c r="J53" s="10">
        <f t="shared" si="6"/>
        <v>126652173593.61354</v>
      </c>
      <c r="K53" s="11">
        <f t="shared" si="7"/>
        <v>1.639999999999997E-2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8870201.6424945779</v>
      </c>
      <c r="D54" s="11">
        <v>1.5299999999999999E-2</v>
      </c>
      <c r="E54" s="10">
        <f t="shared" si="2"/>
        <v>133668.9501922261</v>
      </c>
      <c r="F54" s="3"/>
      <c r="G54" s="28"/>
      <c r="H54" s="10"/>
      <c r="I54" s="10">
        <f t="shared" si="8"/>
        <v>14048</v>
      </c>
      <c r="J54" s="10">
        <f t="shared" si="6"/>
        <v>124608592673.76382</v>
      </c>
      <c r="K54" s="11">
        <f t="shared" si="7"/>
        <v>1.5299999999999869E-2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8736532.6923023518</v>
      </c>
      <c r="D55" s="11">
        <v>1.47E-2</v>
      </c>
      <c r="E55" s="10">
        <f t="shared" si="2"/>
        <v>126566.50298299454</v>
      </c>
      <c r="F55" s="3"/>
      <c r="G55" s="28"/>
      <c r="H55" s="10"/>
      <c r="I55" s="10">
        <f t="shared" si="8"/>
        <v>14048</v>
      </c>
      <c r="J55" s="10">
        <f t="shared" si="6"/>
        <v>122730811261.46344</v>
      </c>
      <c r="K55" s="11">
        <f t="shared" si="7"/>
        <v>1.4699999999999935E-2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8609966.1893193573</v>
      </c>
      <c r="D56" s="11">
        <v>1.77E-2</v>
      </c>
      <c r="E56" s="10">
        <f t="shared" si="2"/>
        <v>149745.89913624153</v>
      </c>
      <c r="F56" s="3"/>
      <c r="G56" s="28"/>
      <c r="H56" s="10"/>
      <c r="I56" s="10">
        <f t="shared" si="8"/>
        <v>14048</v>
      </c>
      <c r="J56" s="10">
        <f t="shared" si="6"/>
        <v>120952805027.55833</v>
      </c>
      <c r="K56" s="11">
        <f t="shared" si="7"/>
        <v>1.7700000000000049E-2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8460220.2901831158</v>
      </c>
      <c r="D57" s="11">
        <v>1.7000000000000001E-2</v>
      </c>
      <c r="E57" s="10">
        <f t="shared" si="2"/>
        <v>141419.61153698433</v>
      </c>
      <c r="F57" s="3"/>
      <c r="G57" s="28"/>
      <c r="H57" s="10"/>
      <c r="I57" s="10">
        <f t="shared" si="8"/>
        <v>14048</v>
      </c>
      <c r="J57" s="10">
        <f t="shared" si="6"/>
        <v>118849174636.49242</v>
      </c>
      <c r="K57" s="11">
        <f t="shared" si="7"/>
        <v>1.7000000000000126E-2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8318800.6786461314</v>
      </c>
      <c r="D58" s="11">
        <v>1.7000000000000001E-2</v>
      </c>
      <c r="E58" s="10">
        <f t="shared" si="2"/>
        <v>139055.66522810608</v>
      </c>
      <c r="F58" s="3"/>
      <c r="G58" s="28"/>
      <c r="H58" s="10"/>
      <c r="I58" s="10">
        <f t="shared" si="8"/>
        <v>14048</v>
      </c>
      <c r="J58" s="10">
        <f t="shared" si="6"/>
        <v>116862511933.62085</v>
      </c>
      <c r="K58" s="11">
        <f t="shared" si="7"/>
        <v>1.6999999999999904E-2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8179745.0134180253</v>
      </c>
      <c r="D59" s="11">
        <v>1.6E-2</v>
      </c>
      <c r="E59" s="10">
        <f t="shared" si="2"/>
        <v>128814.88210107107</v>
      </c>
      <c r="F59" s="3"/>
      <c r="G59" s="28"/>
      <c r="H59" s="10"/>
      <c r="I59" s="10">
        <f t="shared" si="8"/>
        <v>14048</v>
      </c>
      <c r="J59" s="10">
        <f t="shared" si="6"/>
        <v>114909057948.49641</v>
      </c>
      <c r="K59" s="11">
        <f t="shared" si="7"/>
        <v>1.6000000000000014E-2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8050930.1313169543</v>
      </c>
      <c r="D60" s="11">
        <v>1.7000000000000001E-2</v>
      </c>
      <c r="E60" s="10">
        <f t="shared" si="2"/>
        <v>134577.98646252416</v>
      </c>
      <c r="F60" s="3"/>
      <c r="G60" s="28"/>
      <c r="H60" s="10"/>
      <c r="I60" s="10">
        <f t="shared" si="8"/>
        <v>14048</v>
      </c>
      <c r="J60" s="10">
        <f t="shared" si="6"/>
        <v>113099466484.74057</v>
      </c>
      <c r="K60" s="11">
        <f t="shared" si="7"/>
        <v>1.6999999999999682E-2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7916352.1448544301</v>
      </c>
      <c r="D61" s="11">
        <v>1.7999999999999999E-2</v>
      </c>
      <c r="E61" s="10">
        <f t="shared" si="2"/>
        <v>139974.79234516714</v>
      </c>
      <c r="F61" s="3"/>
      <c r="G61" s="28"/>
      <c r="H61" s="10"/>
      <c r="I61" s="10">
        <f t="shared" si="8"/>
        <v>14048</v>
      </c>
      <c r="J61" s="10">
        <f t="shared" si="6"/>
        <v>111208914930.91504</v>
      </c>
      <c r="K61" s="11">
        <f t="shared" si="7"/>
        <v>1.8000000000000016E-2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7776377.352509263</v>
      </c>
      <c r="D62" s="11">
        <v>1.9E-2</v>
      </c>
      <c r="E62" s="10">
        <f t="shared" si="2"/>
        <v>144996.24111646228</v>
      </c>
      <c r="F62" s="3"/>
      <c r="G62" s="28"/>
      <c r="H62" s="10"/>
      <c r="I62" s="10">
        <f t="shared" si="8"/>
        <v>14048</v>
      </c>
      <c r="J62" s="10">
        <f t="shared" si="6"/>
        <v>109242549048.05013</v>
      </c>
      <c r="K62" s="11">
        <f t="shared" si="7"/>
        <v>1.8999999999999906E-2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7631381.1113928007</v>
      </c>
      <c r="D63" s="11">
        <v>0.02</v>
      </c>
      <c r="E63" s="10">
        <f t="shared" si="2"/>
        <v>149634.92375280056</v>
      </c>
      <c r="F63" s="3"/>
      <c r="G63" s="28"/>
      <c r="H63" s="10"/>
      <c r="I63" s="10">
        <f t="shared" si="8"/>
        <v>14048</v>
      </c>
      <c r="J63" s="10">
        <f t="shared" si="6"/>
        <v>107205641852.84607</v>
      </c>
      <c r="K63" s="11">
        <f t="shared" si="7"/>
        <v>2.000000000000024E-2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7481746.1876400001</v>
      </c>
      <c r="D64" s="11">
        <v>0.02</v>
      </c>
      <c r="E64" s="10">
        <f t="shared" si="2"/>
        <v>146700.90564000048</v>
      </c>
      <c r="F64" s="3"/>
      <c r="G64" s="28"/>
      <c r="H64" s="10"/>
      <c r="I64" s="10">
        <f t="shared" si="8"/>
        <v>14048</v>
      </c>
      <c r="J64" s="10">
        <f t="shared" si="6"/>
        <v>105103570443.96672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7335045.2819999997</v>
      </c>
      <c r="D65" s="11">
        <v>1.9E-2</v>
      </c>
      <c r="E65" s="10">
        <f t="shared" si="2"/>
        <v>136767.28199999966</v>
      </c>
      <c r="F65" s="3"/>
      <c r="G65" s="28"/>
      <c r="H65" s="10"/>
      <c r="I65" s="10">
        <f t="shared" si="8"/>
        <v>14048</v>
      </c>
      <c r="J65" s="10">
        <f t="shared" si="6"/>
        <v>103042716121.536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7198278</v>
      </c>
      <c r="D66" s="11">
        <v>1.7999999999999999E-2</v>
      </c>
      <c r="E66" s="10">
        <f t="shared" si="2"/>
        <v>127278</v>
      </c>
      <c r="F66" s="3"/>
      <c r="G66" s="28"/>
      <c r="H66" s="10"/>
      <c r="I66" s="10">
        <f t="shared" si="8"/>
        <v>14048</v>
      </c>
      <c r="J66" s="10">
        <f t="shared" ref="J66:J67" si="9">IF(I66="","",I66*C66)</f>
        <v>101121409344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7071000</v>
      </c>
      <c r="D67" s="11">
        <v>1.7999999999999999E-2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14048</v>
      </c>
      <c r="J67" s="10">
        <f t="shared" si="9"/>
        <v>99333408000</v>
      </c>
      <c r="K67" s="11"/>
    </row>
  </sheetData>
  <dataValidations count="1">
    <dataValidation type="custom" allowBlank="1" showDropDown="1" sqref="D2:D67" xr:uid="{00000000-0002-0000-1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30642852.662169337</v>
      </c>
      <c r="D2" s="11">
        <v>1.2200000000000001E-2</v>
      </c>
      <c r="E2" s="10">
        <f t="shared" ref="E2:E66" si="2">SUM(C2-C3)</f>
        <v>369336.89239129052</v>
      </c>
      <c r="F2" s="15">
        <v>30642963</v>
      </c>
      <c r="G2" s="28"/>
      <c r="H2" s="10"/>
      <c r="I2" s="10">
        <f>IF(H2&lt;&gt;"",H2,1821)</f>
        <v>1821</v>
      </c>
      <c r="J2" s="10">
        <f t="shared" ref="J2:J33" si="3">IF(I2="","",I2*C2)</f>
        <v>55800634697.810364</v>
      </c>
      <c r="K2" s="11">
        <f t="shared" ref="K2:K33" si="4">IFERROR(J2/J3-1,"")</f>
        <v>1.2199999999999989E-2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30273515.769778047</v>
      </c>
      <c r="D3" s="11">
        <v>1.23E-2</v>
      </c>
      <c r="E3" s="10">
        <f t="shared" si="2"/>
        <v>367839.8142529577</v>
      </c>
      <c r="F3" s="3"/>
      <c r="G3" s="28"/>
      <c r="H3" s="10"/>
      <c r="I3" s="10">
        <f t="shared" ref="I3:I34" si="5">IF(H3&lt;&gt;"",H3,I2/(1+IF(G2="",0,G2)/100))</f>
        <v>1821</v>
      </c>
      <c r="J3" s="10">
        <f t="shared" si="3"/>
        <v>55128072216.765823</v>
      </c>
      <c r="K3" s="11">
        <f t="shared" si="4"/>
        <v>1.2299999999999978E-2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29905675.955525089</v>
      </c>
      <c r="D4" s="11">
        <v>1.2E-2</v>
      </c>
      <c r="E4" s="10">
        <f t="shared" si="2"/>
        <v>354612.7583659105</v>
      </c>
      <c r="F4" s="3"/>
      <c r="G4" s="28"/>
      <c r="H4" s="10"/>
      <c r="I4" s="10">
        <f t="shared" si="5"/>
        <v>1821</v>
      </c>
      <c r="J4" s="10">
        <f t="shared" si="3"/>
        <v>54458235915.011185</v>
      </c>
      <c r="K4" s="11">
        <f t="shared" si="4"/>
        <v>1.2000000000000011E-2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29551063.197159179</v>
      </c>
      <c r="D5" s="11">
        <v>1.15E-2</v>
      </c>
      <c r="E5" s="10">
        <f t="shared" si="2"/>
        <v>335973.53115900233</v>
      </c>
      <c r="F5" s="3"/>
      <c r="G5" s="28"/>
      <c r="H5" s="10"/>
      <c r="I5" s="10">
        <f t="shared" si="5"/>
        <v>1821</v>
      </c>
      <c r="J5" s="10">
        <f t="shared" si="3"/>
        <v>53812486082.026863</v>
      </c>
      <c r="K5" s="11">
        <f t="shared" si="4"/>
        <v>1.1499999999999844E-2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29215089.666000176</v>
      </c>
      <c r="D6" s="11">
        <v>1.3299999999999999E-2</v>
      </c>
      <c r="E6" s="10">
        <f t="shared" si="2"/>
        <v>383460.66570394114</v>
      </c>
      <c r="F6" s="3"/>
      <c r="G6" s="28"/>
      <c r="H6" s="10"/>
      <c r="I6" s="10">
        <f t="shared" si="5"/>
        <v>1821</v>
      </c>
      <c r="J6" s="10">
        <f t="shared" si="3"/>
        <v>53200678281.786324</v>
      </c>
      <c r="K6" s="11">
        <f t="shared" si="4"/>
        <v>1.330000000000009E-2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28831629.000296235</v>
      </c>
      <c r="D7" s="11">
        <v>1.6E-2</v>
      </c>
      <c r="E7" s="10">
        <f t="shared" si="2"/>
        <v>454041.40157946944</v>
      </c>
      <c r="F7" s="3"/>
      <c r="G7" s="28"/>
      <c r="H7" s="10"/>
      <c r="I7" s="10">
        <f t="shared" si="5"/>
        <v>1821</v>
      </c>
      <c r="J7" s="10">
        <f t="shared" si="3"/>
        <v>52502396409.539444</v>
      </c>
      <c r="K7" s="11">
        <f t="shared" si="4"/>
        <v>1.6000000000000014E-2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28377587.598716766</v>
      </c>
      <c r="D8" s="11">
        <v>1.7000000000000001E-2</v>
      </c>
      <c r="E8" s="10">
        <f t="shared" si="2"/>
        <v>474354.95494413376</v>
      </c>
      <c r="F8" s="3"/>
      <c r="G8" s="28"/>
      <c r="H8" s="10"/>
      <c r="I8" s="10">
        <f t="shared" si="5"/>
        <v>1821</v>
      </c>
      <c r="J8" s="10">
        <f t="shared" si="3"/>
        <v>51675587017.263229</v>
      </c>
      <c r="K8" s="11">
        <f t="shared" si="4"/>
        <v>1.6999999999999904E-2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27903232.643772632</v>
      </c>
      <c r="D9" s="11">
        <v>1.7600000000000001E-2</v>
      </c>
      <c r="E9" s="10">
        <f t="shared" si="2"/>
        <v>482603.08031682298</v>
      </c>
      <c r="F9" s="3"/>
      <c r="G9" s="28"/>
      <c r="H9" s="10"/>
      <c r="I9" s="10">
        <f t="shared" si="5"/>
        <v>1821</v>
      </c>
      <c r="J9" s="10">
        <f t="shared" si="3"/>
        <v>50811786644.309959</v>
      </c>
      <c r="K9" s="11">
        <f t="shared" si="4"/>
        <v>1.760000000000006E-2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27420629.563455809</v>
      </c>
      <c r="D10" s="11">
        <v>1.77E-2</v>
      </c>
      <c r="E10" s="10">
        <f t="shared" si="2"/>
        <v>476903.94347368553</v>
      </c>
      <c r="F10" s="3"/>
      <c r="G10" s="28"/>
      <c r="H10" s="10"/>
      <c r="I10" s="10">
        <f t="shared" si="5"/>
        <v>1821</v>
      </c>
      <c r="J10" s="10">
        <f t="shared" si="3"/>
        <v>49932966435.053024</v>
      </c>
      <c r="K10" s="11">
        <f t="shared" si="4"/>
        <v>1.7699999999999827E-2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26943725.619982123</v>
      </c>
      <c r="D11" s="11">
        <v>1.7299999999999999E-2</v>
      </c>
      <c r="E11" s="10">
        <f t="shared" si="2"/>
        <v>458199.60014321655</v>
      </c>
      <c r="F11" s="3"/>
      <c r="G11" s="28"/>
      <c r="H11" s="10"/>
      <c r="I11" s="10">
        <f t="shared" si="5"/>
        <v>1821</v>
      </c>
      <c r="J11" s="10">
        <f t="shared" si="3"/>
        <v>49064524353.98745</v>
      </c>
      <c r="K11" s="11">
        <f t="shared" si="4"/>
        <v>1.7300000000000315E-2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26485526.019838907</v>
      </c>
      <c r="D12" s="11">
        <v>1.7100000000000001E-2</v>
      </c>
      <c r="E12" s="10">
        <f t="shared" si="2"/>
        <v>445288.06896002591</v>
      </c>
      <c r="F12" s="3"/>
      <c r="G12" s="28"/>
      <c r="H12" s="10"/>
      <c r="I12" s="10">
        <f t="shared" si="5"/>
        <v>1821</v>
      </c>
      <c r="J12" s="10">
        <f t="shared" si="3"/>
        <v>48230142882.126648</v>
      </c>
      <c r="K12" s="11">
        <f t="shared" si="4"/>
        <v>1.7099999999999893E-2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26040237.950878881</v>
      </c>
      <c r="D13" s="11">
        <v>1.7100000000000001E-2</v>
      </c>
      <c r="E13" s="10">
        <f t="shared" si="2"/>
        <v>437801.66056437418</v>
      </c>
      <c r="F13" s="3"/>
      <c r="G13" s="28"/>
      <c r="H13" s="10"/>
      <c r="I13" s="10">
        <f t="shared" si="5"/>
        <v>1821</v>
      </c>
      <c r="J13" s="10">
        <f t="shared" si="3"/>
        <v>47419273308.550446</v>
      </c>
      <c r="K13" s="11">
        <f t="shared" si="4"/>
        <v>1.7099999999999893E-2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25602436.290314507</v>
      </c>
      <c r="D14" s="11">
        <v>1.7000000000000001E-2</v>
      </c>
      <c r="E14" s="10">
        <f t="shared" si="2"/>
        <v>427965.99502000585</v>
      </c>
      <c r="F14" s="3"/>
      <c r="G14" s="28"/>
      <c r="H14" s="10"/>
      <c r="I14" s="10">
        <f t="shared" si="5"/>
        <v>1821</v>
      </c>
      <c r="J14" s="10">
        <f t="shared" si="3"/>
        <v>46622036484.66272</v>
      </c>
      <c r="K14" s="11">
        <f t="shared" si="4"/>
        <v>1.7000000000000126E-2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25174470.295294501</v>
      </c>
      <c r="D15" s="11">
        <v>1.7500000000000002E-2</v>
      </c>
      <c r="E15" s="10">
        <f t="shared" si="2"/>
        <v>432976.14758491889</v>
      </c>
      <c r="F15" s="3"/>
      <c r="G15" s="28"/>
      <c r="H15" s="10"/>
      <c r="I15" s="10">
        <f t="shared" si="5"/>
        <v>1821</v>
      </c>
      <c r="J15" s="10">
        <f t="shared" si="3"/>
        <v>45842710407.731285</v>
      </c>
      <c r="K15" s="11">
        <f t="shared" si="4"/>
        <v>1.7500000000000071E-2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24741494.147709582</v>
      </c>
      <c r="D16" s="11">
        <v>1.8700000000000001E-2</v>
      </c>
      <c r="E16" s="10">
        <f t="shared" si="2"/>
        <v>454172.90719757229</v>
      </c>
      <c r="F16" s="3"/>
      <c r="G16" s="28"/>
      <c r="H16" s="10"/>
      <c r="I16" s="10">
        <f t="shared" si="5"/>
        <v>1821</v>
      </c>
      <c r="J16" s="10">
        <f t="shared" si="3"/>
        <v>45054260842.979149</v>
      </c>
      <c r="K16" s="11">
        <f t="shared" si="4"/>
        <v>1.8699999999999939E-2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24287321.24051201</v>
      </c>
      <c r="D17" s="11">
        <v>2.1700000000000001E-2</v>
      </c>
      <c r="E17" s="10">
        <f t="shared" si="2"/>
        <v>515841.11864452437</v>
      </c>
      <c r="F17" s="3"/>
      <c r="G17" s="28"/>
      <c r="H17" s="10"/>
      <c r="I17" s="10">
        <f t="shared" si="5"/>
        <v>1821</v>
      </c>
      <c r="J17" s="10">
        <f t="shared" si="3"/>
        <v>44227211978.972366</v>
      </c>
      <c r="K17" s="11">
        <f t="shared" si="4"/>
        <v>2.1699999999999831E-2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23771480.121867485</v>
      </c>
      <c r="D18" s="11">
        <v>2.1000000000000001E-2</v>
      </c>
      <c r="E18" s="10">
        <f t="shared" si="2"/>
        <v>488933.47948992625</v>
      </c>
      <c r="F18" s="3"/>
      <c r="G18" s="28"/>
      <c r="H18" s="10"/>
      <c r="I18" s="10">
        <f t="shared" si="5"/>
        <v>1821</v>
      </c>
      <c r="J18" s="10">
        <f t="shared" si="3"/>
        <v>43287865301.920692</v>
      </c>
      <c r="K18" s="11">
        <f t="shared" si="4"/>
        <v>2.0999999999999908E-2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23282546.642377559</v>
      </c>
      <c r="D19" s="11">
        <v>2.1700000000000001E-2</v>
      </c>
      <c r="E19" s="10">
        <f t="shared" si="2"/>
        <v>494500.59913829342</v>
      </c>
      <c r="F19" s="3"/>
      <c r="G19" s="28"/>
      <c r="H19" s="10"/>
      <c r="I19" s="10">
        <f t="shared" si="5"/>
        <v>1821</v>
      </c>
      <c r="J19" s="10">
        <f t="shared" si="3"/>
        <v>42397517435.769539</v>
      </c>
      <c r="K19" s="11">
        <f t="shared" si="4"/>
        <v>2.1700000000000275E-2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22788046.043239266</v>
      </c>
      <c r="D20" s="11">
        <v>2.23E-2</v>
      </c>
      <c r="E20" s="10">
        <f t="shared" si="2"/>
        <v>497088.35641615465</v>
      </c>
      <c r="F20" s="3"/>
      <c r="G20" s="28"/>
      <c r="H20" s="10"/>
      <c r="I20" s="10">
        <f t="shared" si="5"/>
        <v>1821</v>
      </c>
      <c r="J20" s="10">
        <f t="shared" si="3"/>
        <v>41497031844.738701</v>
      </c>
      <c r="K20" s="11">
        <f t="shared" si="4"/>
        <v>2.2299999999999764E-2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22290957.686823111</v>
      </c>
      <c r="D21" s="11">
        <v>2.2700000000000001E-2</v>
      </c>
      <c r="E21" s="10">
        <f t="shared" si="2"/>
        <v>494773.38368131593</v>
      </c>
      <c r="F21" s="3"/>
      <c r="G21" s="28"/>
      <c r="H21" s="10"/>
      <c r="I21" s="10">
        <f t="shared" si="5"/>
        <v>1821</v>
      </c>
      <c r="J21" s="10">
        <f t="shared" si="3"/>
        <v>40591833947.704887</v>
      </c>
      <c r="K21" s="11">
        <f t="shared" si="4"/>
        <v>2.2699999999999942E-2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21796184.303141795</v>
      </c>
      <c r="D22" s="11">
        <v>2.3099999999999999E-2</v>
      </c>
      <c r="E22" s="10">
        <f t="shared" si="2"/>
        <v>492123.79767625034</v>
      </c>
      <c r="F22" s="3"/>
      <c r="G22" s="28"/>
      <c r="H22" s="10"/>
      <c r="I22" s="10">
        <f t="shared" si="5"/>
        <v>1821</v>
      </c>
      <c r="J22" s="10">
        <f t="shared" si="3"/>
        <v>39690851616.02121</v>
      </c>
      <c r="K22" s="11">
        <f t="shared" si="4"/>
        <v>2.3099999999999898E-2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21304060.505465545</v>
      </c>
      <c r="D23" s="11">
        <v>2.3699999999999999E-2</v>
      </c>
      <c r="E23" s="10">
        <f t="shared" si="2"/>
        <v>493216.99128605425</v>
      </c>
      <c r="F23" s="3"/>
      <c r="G23" s="28"/>
      <c r="H23" s="10"/>
      <c r="I23" s="10">
        <f t="shared" si="5"/>
        <v>1821</v>
      </c>
      <c r="J23" s="10">
        <f t="shared" si="3"/>
        <v>38794694180.452759</v>
      </c>
      <c r="K23" s="11">
        <f t="shared" si="4"/>
        <v>2.3700000000000054E-2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20810843.514179491</v>
      </c>
      <c r="D24" s="11">
        <v>2.4199999999999999E-2</v>
      </c>
      <c r="E24" s="10">
        <f t="shared" si="2"/>
        <v>491722.72314308211</v>
      </c>
      <c r="F24" s="3"/>
      <c r="G24" s="28"/>
      <c r="H24" s="10"/>
      <c r="I24" s="10">
        <f t="shared" si="5"/>
        <v>1821</v>
      </c>
      <c r="J24" s="10">
        <f t="shared" si="3"/>
        <v>37896546039.320854</v>
      </c>
      <c r="K24" s="11">
        <f t="shared" si="4"/>
        <v>2.4199999999999999E-2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20319120.791036408</v>
      </c>
      <c r="D25" s="11">
        <v>2.4E-2</v>
      </c>
      <c r="E25" s="10">
        <f t="shared" si="2"/>
        <v>476229.39353991672</v>
      </c>
      <c r="F25" s="3"/>
      <c r="G25" s="28"/>
      <c r="H25" s="10"/>
      <c r="I25" s="10">
        <f t="shared" si="5"/>
        <v>1821</v>
      </c>
      <c r="J25" s="10">
        <f t="shared" si="3"/>
        <v>37001118960.477303</v>
      </c>
      <c r="K25" s="11">
        <f t="shared" si="4"/>
        <v>2.4000000000000243E-2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19842891.397496492</v>
      </c>
      <c r="D26" s="11">
        <v>2.3400000000000001E-2</v>
      </c>
      <c r="E26" s="10">
        <f t="shared" si="2"/>
        <v>453706.91684719548</v>
      </c>
      <c r="F26" s="3"/>
      <c r="G26" s="28"/>
      <c r="H26" s="10"/>
      <c r="I26" s="10">
        <f t="shared" si="5"/>
        <v>1821</v>
      </c>
      <c r="J26" s="10">
        <f t="shared" si="3"/>
        <v>36133905234.84111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19389184.480649296</v>
      </c>
      <c r="D27" s="11">
        <v>2.3900000000000001E-2</v>
      </c>
      <c r="E27" s="10">
        <f t="shared" si="2"/>
        <v>452584.73394620419</v>
      </c>
      <c r="F27" s="3"/>
      <c r="G27" s="28"/>
      <c r="H27" s="10"/>
      <c r="I27" s="10">
        <f t="shared" si="5"/>
        <v>1821</v>
      </c>
      <c r="J27" s="10">
        <f t="shared" si="3"/>
        <v>35307704939.262367</v>
      </c>
      <c r="K27" s="11">
        <f t="shared" si="4"/>
        <v>2.3900000000000032E-2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18936599.746703092</v>
      </c>
      <c r="D28" s="11">
        <v>2.46E-2</v>
      </c>
      <c r="E28" s="10">
        <f t="shared" si="2"/>
        <v>454655.82058256492</v>
      </c>
      <c r="F28" s="3"/>
      <c r="G28" s="28"/>
      <c r="H28" s="10"/>
      <c r="I28" s="10">
        <f t="shared" si="5"/>
        <v>1821</v>
      </c>
      <c r="J28" s="10">
        <f t="shared" si="3"/>
        <v>34483548138.74633</v>
      </c>
      <c r="K28" s="11">
        <f t="shared" si="4"/>
        <v>2.4599999999999955E-2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18481943.926120527</v>
      </c>
      <c r="D29" s="11">
        <v>2.4899999999999999E-2</v>
      </c>
      <c r="E29" s="10">
        <f t="shared" si="2"/>
        <v>449019.81047946215</v>
      </c>
      <c r="F29" s="3"/>
      <c r="G29" s="28"/>
      <c r="H29" s="10"/>
      <c r="I29" s="10">
        <f t="shared" si="5"/>
        <v>1821</v>
      </c>
      <c r="J29" s="10">
        <f t="shared" si="3"/>
        <v>33655619889.465481</v>
      </c>
      <c r="K29" s="11">
        <f t="shared" si="4"/>
        <v>2.4900000000000144E-2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18032924.115641065</v>
      </c>
      <c r="D30" s="12">
        <v>2.52E-2</v>
      </c>
      <c r="E30" s="10">
        <f t="shared" si="2"/>
        <v>443259.54712656513</v>
      </c>
      <c r="F30" s="3"/>
      <c r="G30" s="28"/>
      <c r="H30" s="10"/>
      <c r="I30" s="10">
        <f t="shared" si="5"/>
        <v>1821</v>
      </c>
      <c r="J30" s="10">
        <f t="shared" si="3"/>
        <v>32837954814.582378</v>
      </c>
      <c r="K30" s="11">
        <f t="shared" si="4"/>
        <v>2.5199999999999889E-2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17589664.5685145</v>
      </c>
      <c r="D31" s="13">
        <v>2.5399999999999999E-2</v>
      </c>
      <c r="E31" s="10">
        <f t="shared" si="2"/>
        <v>435710.43499148637</v>
      </c>
      <c r="F31" s="3"/>
      <c r="G31" s="28"/>
      <c r="H31" s="10"/>
      <c r="I31" s="10">
        <f t="shared" si="5"/>
        <v>1821</v>
      </c>
      <c r="J31" s="10">
        <f t="shared" si="3"/>
        <v>32030779179.264904</v>
      </c>
      <c r="K31" s="11">
        <f t="shared" si="4"/>
        <v>2.5400000000000089E-2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17153954.133523013</v>
      </c>
      <c r="D32" s="12">
        <v>2.5399999999999999E-2</v>
      </c>
      <c r="E32" s="10">
        <f t="shared" si="2"/>
        <v>424917.52973618731</v>
      </c>
      <c r="F32" s="3"/>
      <c r="G32" s="28"/>
      <c r="H32" s="10"/>
      <c r="I32" s="10">
        <f t="shared" si="5"/>
        <v>1821</v>
      </c>
      <c r="J32" s="10">
        <f t="shared" si="3"/>
        <v>31237350477.145409</v>
      </c>
      <c r="K32" s="11">
        <f t="shared" si="4"/>
        <v>2.5400000000000089E-2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16729036.603786826</v>
      </c>
      <c r="D33" s="13">
        <v>2.5600000000000001E-2</v>
      </c>
      <c r="E33" s="10">
        <f t="shared" si="2"/>
        <v>417573.45656878315</v>
      </c>
      <c r="F33" s="3"/>
      <c r="G33" s="28"/>
      <c r="H33" s="10"/>
      <c r="I33" s="10">
        <f t="shared" si="5"/>
        <v>1821</v>
      </c>
      <c r="J33" s="10">
        <f t="shared" si="3"/>
        <v>30463575655.495811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16311463.147218043</v>
      </c>
      <c r="D34" s="12">
        <v>2.6499999999999999E-2</v>
      </c>
      <c r="E34" s="10">
        <f t="shared" si="2"/>
        <v>421094.7622028999</v>
      </c>
      <c r="F34" s="3"/>
      <c r="G34" s="28"/>
      <c r="H34" s="10"/>
      <c r="I34" s="10">
        <f t="shared" si="5"/>
        <v>1821</v>
      </c>
      <c r="J34" s="10">
        <f t="shared" ref="J34:J65" si="6">IF(I34="","",I34*C34)</f>
        <v>29703174391.084057</v>
      </c>
      <c r="K34" s="11">
        <f t="shared" ref="K34:K65" si="7">IFERROR(J34/J35-1,"")</f>
        <v>2.6499999999999968E-2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15890368.385015143</v>
      </c>
      <c r="D35" s="11">
        <v>2.8199999999999999E-2</v>
      </c>
      <c r="E35" s="10">
        <f t="shared" si="2"/>
        <v>435818.31205740757</v>
      </c>
      <c r="F35" s="3"/>
      <c r="G35" s="28"/>
      <c r="H35" s="10"/>
      <c r="I35" s="10">
        <f t="shared" ref="I35:I66" si="8">IF(H35&lt;&gt;"",H35,I34/(1+IF(G34="",0,G34)/100))</f>
        <v>1821</v>
      </c>
      <c r="J35" s="10">
        <f t="shared" si="6"/>
        <v>28936360829.112576</v>
      </c>
      <c r="K35" s="11">
        <f t="shared" si="7"/>
        <v>2.8200000000000003E-2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15454550.072957736</v>
      </c>
      <c r="D36" s="11">
        <v>2.9499999999999998E-2</v>
      </c>
      <c r="E36" s="10">
        <f t="shared" si="2"/>
        <v>442845.29106581211</v>
      </c>
      <c r="F36" s="3"/>
      <c r="G36" s="28"/>
      <c r="H36" s="10"/>
      <c r="I36" s="10">
        <f t="shared" si="8"/>
        <v>1821</v>
      </c>
      <c r="J36" s="10">
        <f t="shared" si="6"/>
        <v>28142735682.856037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15011704.781891923</v>
      </c>
      <c r="D37" s="11">
        <v>3.04E-2</v>
      </c>
      <c r="E37" s="10">
        <f t="shared" si="2"/>
        <v>442891.91126699746</v>
      </c>
      <c r="F37" s="3"/>
      <c r="G37" s="28"/>
      <c r="H37" s="10"/>
      <c r="I37" s="10">
        <f t="shared" si="8"/>
        <v>1821</v>
      </c>
      <c r="J37" s="10">
        <f t="shared" si="6"/>
        <v>27336314407.825191</v>
      </c>
      <c r="K37" s="11">
        <f t="shared" si="7"/>
        <v>3.0399999999999983E-2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14568812.870624926</v>
      </c>
      <c r="D38" s="11">
        <v>3.1399999999999997E-2</v>
      </c>
      <c r="E38" s="10">
        <f t="shared" si="2"/>
        <v>443533.76394960657</v>
      </c>
      <c r="F38" s="3"/>
      <c r="G38" s="28"/>
      <c r="H38" s="10"/>
      <c r="I38" s="10">
        <f t="shared" si="8"/>
        <v>1821</v>
      </c>
      <c r="J38" s="10">
        <f t="shared" si="6"/>
        <v>26529808237.40799</v>
      </c>
      <c r="K38" s="11">
        <f t="shared" si="7"/>
        <v>3.1400000000000095E-2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14125279.106675319</v>
      </c>
      <c r="D39" s="11">
        <v>3.2199999999999999E-2</v>
      </c>
      <c r="E39" s="10">
        <f t="shared" si="2"/>
        <v>440645.21142699569</v>
      </c>
      <c r="F39" s="3"/>
      <c r="G39" s="28"/>
      <c r="H39" s="10"/>
      <c r="I39" s="10">
        <f t="shared" si="8"/>
        <v>1821</v>
      </c>
      <c r="J39" s="10">
        <f t="shared" si="6"/>
        <v>25722133253.255756</v>
      </c>
      <c r="K39" s="11">
        <f t="shared" si="7"/>
        <v>3.2200000000000006E-2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13684633.895248324</v>
      </c>
      <c r="D40" s="11">
        <v>3.2800000000000003E-2</v>
      </c>
      <c r="E40" s="10">
        <f t="shared" si="2"/>
        <v>434601.07645637542</v>
      </c>
      <c r="F40" s="3"/>
      <c r="G40" s="28"/>
      <c r="H40" s="10"/>
      <c r="I40" s="10">
        <f t="shared" si="8"/>
        <v>1821</v>
      </c>
      <c r="J40" s="10">
        <f t="shared" si="6"/>
        <v>24919718323.247196</v>
      </c>
      <c r="K40" s="11">
        <f t="shared" si="7"/>
        <v>3.279999999999994E-2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13250032.818791948</v>
      </c>
      <c r="D41" s="11">
        <v>3.2899999999999999E-2</v>
      </c>
      <c r="E41" s="10">
        <f t="shared" si="2"/>
        <v>422040.93304119818</v>
      </c>
      <c r="F41" s="3"/>
      <c r="G41" s="28"/>
      <c r="H41" s="10"/>
      <c r="I41" s="10">
        <f t="shared" si="8"/>
        <v>1821</v>
      </c>
      <c r="J41" s="10">
        <f t="shared" si="6"/>
        <v>24128309763.020138</v>
      </c>
      <c r="K41" s="11">
        <f t="shared" si="7"/>
        <v>3.2899999999999929E-2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12827991.88575075</v>
      </c>
      <c r="D42" s="11">
        <v>3.2599999999999997E-2</v>
      </c>
      <c r="E42" s="10">
        <f t="shared" si="2"/>
        <v>404989.86584880389</v>
      </c>
      <c r="F42" s="3"/>
      <c r="G42" s="28"/>
      <c r="H42" s="10"/>
      <c r="I42" s="10">
        <f t="shared" si="8"/>
        <v>1821</v>
      </c>
      <c r="J42" s="10">
        <f t="shared" si="6"/>
        <v>23359773223.952114</v>
      </c>
      <c r="K42" s="11">
        <f t="shared" si="7"/>
        <v>3.2599999999999962E-2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12423002.019901946</v>
      </c>
      <c r="D43" s="11">
        <v>3.2199999999999999E-2</v>
      </c>
      <c r="E43" s="10">
        <f t="shared" si="2"/>
        <v>387541.81848560646</v>
      </c>
      <c r="F43" s="3"/>
      <c r="G43" s="28"/>
      <c r="H43" s="10"/>
      <c r="I43" s="10">
        <f t="shared" si="8"/>
        <v>1821</v>
      </c>
      <c r="J43" s="10">
        <f t="shared" si="6"/>
        <v>22622286678.241444</v>
      </c>
      <c r="K43" s="11">
        <f t="shared" si="7"/>
        <v>3.2200000000000006E-2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12035460.20141634</v>
      </c>
      <c r="D44" s="11">
        <v>3.1800000000000002E-2</v>
      </c>
      <c r="E44" s="10">
        <f t="shared" si="2"/>
        <v>370931.9969035089</v>
      </c>
      <c r="F44" s="3"/>
      <c r="G44" s="28"/>
      <c r="H44" s="10"/>
      <c r="I44" s="10">
        <f t="shared" si="8"/>
        <v>1821</v>
      </c>
      <c r="J44" s="10">
        <f t="shared" si="6"/>
        <v>21916573026.779156</v>
      </c>
      <c r="K44" s="11">
        <f t="shared" si="7"/>
        <v>3.180000000000005E-2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11664528.204512831</v>
      </c>
      <c r="D45" s="11">
        <v>3.15E-2</v>
      </c>
      <c r="E45" s="10">
        <f t="shared" si="2"/>
        <v>356211.96165017411</v>
      </c>
      <c r="F45" s="3"/>
      <c r="G45" s="28"/>
      <c r="H45" s="10"/>
      <c r="I45" s="10">
        <f t="shared" si="8"/>
        <v>1821</v>
      </c>
      <c r="J45" s="10">
        <f t="shared" si="6"/>
        <v>21241105860.417866</v>
      </c>
      <c r="K45" s="11">
        <f t="shared" si="7"/>
        <v>3.1500000000000083E-2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11308316.242862657</v>
      </c>
      <c r="D46" s="11">
        <v>2.7799999999999998E-2</v>
      </c>
      <c r="E46" s="10">
        <f t="shared" si="2"/>
        <v>305868.05949755013</v>
      </c>
      <c r="F46" s="3"/>
      <c r="G46" s="28"/>
      <c r="H46" s="10"/>
      <c r="I46" s="10">
        <f t="shared" si="8"/>
        <v>1821</v>
      </c>
      <c r="J46" s="10">
        <f t="shared" si="6"/>
        <v>20592443878.252899</v>
      </c>
      <c r="K46" s="11">
        <f t="shared" si="7"/>
        <v>2.7800000000000047E-2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11002448.183365107</v>
      </c>
      <c r="D47" s="11">
        <v>2.4E-2</v>
      </c>
      <c r="E47" s="10">
        <f t="shared" si="2"/>
        <v>257869.87929761969</v>
      </c>
      <c r="F47" s="3"/>
      <c r="G47" s="28"/>
      <c r="H47" s="10"/>
      <c r="I47" s="10">
        <f t="shared" si="8"/>
        <v>1821</v>
      </c>
      <c r="J47" s="10">
        <f t="shared" si="6"/>
        <v>20035458141.90786</v>
      </c>
      <c r="K47" s="11">
        <f t="shared" si="7"/>
        <v>2.4000000000000021E-2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10744578.304067487</v>
      </c>
      <c r="D48" s="11">
        <v>2.4E-2</v>
      </c>
      <c r="E48" s="10">
        <f t="shared" si="2"/>
        <v>251826.05400158279</v>
      </c>
      <c r="F48" s="3"/>
      <c r="G48" s="28"/>
      <c r="H48" s="10"/>
      <c r="I48" s="10">
        <f t="shared" si="8"/>
        <v>1821</v>
      </c>
      <c r="J48" s="10">
        <f t="shared" si="6"/>
        <v>19565877091.706894</v>
      </c>
      <c r="K48" s="11">
        <f t="shared" si="7"/>
        <v>2.4000000000000243E-2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10492752.250065904</v>
      </c>
      <c r="D49" s="11">
        <v>2.4E-2</v>
      </c>
      <c r="E49" s="10">
        <f t="shared" si="2"/>
        <v>245923.88086091913</v>
      </c>
      <c r="F49" s="3"/>
      <c r="G49" s="28"/>
      <c r="H49" s="10"/>
      <c r="I49" s="10">
        <f t="shared" si="8"/>
        <v>1821</v>
      </c>
      <c r="J49" s="10">
        <f t="shared" si="6"/>
        <v>19107301847.37001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10246828.369204985</v>
      </c>
      <c r="D50" s="11">
        <v>2.4E-2</v>
      </c>
      <c r="E50" s="10">
        <f t="shared" si="2"/>
        <v>240160.03990324214</v>
      </c>
      <c r="F50" s="3"/>
      <c r="G50" s="28"/>
      <c r="H50" s="10"/>
      <c r="I50" s="10">
        <f t="shared" si="8"/>
        <v>1821</v>
      </c>
      <c r="J50" s="10">
        <f t="shared" si="6"/>
        <v>18659474460.322277</v>
      </c>
      <c r="K50" s="11">
        <f t="shared" si="7"/>
        <v>2.4000000000000021E-2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10006668.329301743</v>
      </c>
      <c r="D51" s="11">
        <v>2.3900000000000001E-2</v>
      </c>
      <c r="E51" s="10">
        <f t="shared" si="2"/>
        <v>233576.88550670259</v>
      </c>
      <c r="F51" s="3"/>
      <c r="G51" s="28"/>
      <c r="H51" s="10"/>
      <c r="I51" s="10">
        <f t="shared" si="8"/>
        <v>1821</v>
      </c>
      <c r="J51" s="10">
        <f t="shared" si="6"/>
        <v>18222143027.658474</v>
      </c>
      <c r="K51" s="11">
        <f t="shared" si="7"/>
        <v>2.3900000000000032E-2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9773091.4437950402</v>
      </c>
      <c r="D52" s="11">
        <v>2.4E-2</v>
      </c>
      <c r="E52" s="10">
        <f t="shared" si="2"/>
        <v>229056.83071394637</v>
      </c>
      <c r="F52" s="3"/>
      <c r="G52" s="28"/>
      <c r="H52" s="10"/>
      <c r="I52" s="10">
        <f t="shared" si="8"/>
        <v>1821</v>
      </c>
      <c r="J52" s="10">
        <f t="shared" si="6"/>
        <v>17796799519.150768</v>
      </c>
      <c r="K52" s="11">
        <f t="shared" si="7"/>
        <v>2.4000000000000021E-2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9544034.6130810939</v>
      </c>
      <c r="D53" s="11">
        <v>2.3900000000000001E-2</v>
      </c>
      <c r="E53" s="10">
        <f t="shared" si="2"/>
        <v>222778.03228111938</v>
      </c>
      <c r="F53" s="3"/>
      <c r="G53" s="28"/>
      <c r="H53" s="10"/>
      <c r="I53" s="10">
        <f t="shared" si="8"/>
        <v>1821</v>
      </c>
      <c r="J53" s="10">
        <f t="shared" si="6"/>
        <v>17379687030.420673</v>
      </c>
      <c r="K53" s="11">
        <f t="shared" si="7"/>
        <v>2.3900000000000032E-2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9321256.5807999745</v>
      </c>
      <c r="D54" s="11">
        <v>2.4E-2</v>
      </c>
      <c r="E54" s="10">
        <f t="shared" si="2"/>
        <v>218466.95111249946</v>
      </c>
      <c r="F54" s="3"/>
      <c r="G54" s="28"/>
      <c r="H54" s="10"/>
      <c r="I54" s="10">
        <f t="shared" si="8"/>
        <v>1821</v>
      </c>
      <c r="J54" s="10">
        <f t="shared" si="6"/>
        <v>16974008233.636753</v>
      </c>
      <c r="K54" s="11">
        <f t="shared" si="7"/>
        <v>2.4000000000000021E-2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9102789.629687475</v>
      </c>
      <c r="D55" s="11">
        <v>2.3800000000000002E-2</v>
      </c>
      <c r="E55" s="10">
        <f t="shared" si="2"/>
        <v>211610.07343872078</v>
      </c>
      <c r="F55" s="3"/>
      <c r="G55" s="28"/>
      <c r="H55" s="10"/>
      <c r="I55" s="10">
        <f t="shared" si="8"/>
        <v>1821</v>
      </c>
      <c r="J55" s="10">
        <f t="shared" si="6"/>
        <v>16576179915.660892</v>
      </c>
      <c r="K55" s="11">
        <f t="shared" si="7"/>
        <v>2.3800000000000043E-2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8891179.5562487543</v>
      </c>
      <c r="D56" s="11">
        <v>2.3E-2</v>
      </c>
      <c r="E56" s="10">
        <f t="shared" si="2"/>
        <v>199899.44261360727</v>
      </c>
      <c r="F56" s="3"/>
      <c r="G56" s="28"/>
      <c r="H56" s="10"/>
      <c r="I56" s="10">
        <f t="shared" si="8"/>
        <v>1821</v>
      </c>
      <c r="J56" s="10">
        <f t="shared" si="6"/>
        <v>16190837971.928982</v>
      </c>
      <c r="K56" s="11">
        <f t="shared" si="7"/>
        <v>2.2999999999999909E-2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8691280.113635147</v>
      </c>
      <c r="D57" s="11">
        <v>2.2599999999999999E-2</v>
      </c>
      <c r="E57" s="10">
        <f t="shared" si="2"/>
        <v>192081.88007838279</v>
      </c>
      <c r="F57" s="3"/>
      <c r="G57" s="28"/>
      <c r="H57" s="10"/>
      <c r="I57" s="10">
        <f t="shared" si="8"/>
        <v>1821</v>
      </c>
      <c r="J57" s="10">
        <f t="shared" si="6"/>
        <v>15826821086.929604</v>
      </c>
      <c r="K57" s="11">
        <f t="shared" si="7"/>
        <v>2.2599999999999953E-2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8499198.2335567642</v>
      </c>
      <c r="D58" s="11">
        <v>2.2700000000000001E-2</v>
      </c>
      <c r="E58" s="10">
        <f t="shared" si="2"/>
        <v>188649.45722278021</v>
      </c>
      <c r="F58" s="3"/>
      <c r="G58" s="28"/>
      <c r="H58" s="10"/>
      <c r="I58" s="10">
        <f t="shared" si="8"/>
        <v>1821</v>
      </c>
      <c r="J58" s="10">
        <f t="shared" si="6"/>
        <v>15477039983.306868</v>
      </c>
      <c r="K58" s="11">
        <f t="shared" si="7"/>
        <v>2.269999999999972E-2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8310548.776333984</v>
      </c>
      <c r="D59" s="11">
        <v>2.3699999999999999E-2</v>
      </c>
      <c r="E59" s="10">
        <f t="shared" si="2"/>
        <v>192400.12308207061</v>
      </c>
      <c r="F59" s="3"/>
      <c r="G59" s="28"/>
      <c r="H59" s="10"/>
      <c r="I59" s="10">
        <f t="shared" si="8"/>
        <v>1821</v>
      </c>
      <c r="J59" s="10">
        <f t="shared" si="6"/>
        <v>15133509321.704185</v>
      </c>
      <c r="K59" s="11">
        <f t="shared" si="7"/>
        <v>2.3700000000000054E-2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8118148.6532519134</v>
      </c>
      <c r="D60" s="11">
        <v>2.4899999999999999E-2</v>
      </c>
      <c r="E60" s="10">
        <f t="shared" si="2"/>
        <v>197230.85322077479</v>
      </c>
      <c r="F60" s="3"/>
      <c r="G60" s="28"/>
      <c r="H60" s="10"/>
      <c r="I60" s="10">
        <f t="shared" si="8"/>
        <v>1821</v>
      </c>
      <c r="J60" s="10">
        <f t="shared" si="6"/>
        <v>14783148697.571733</v>
      </c>
      <c r="K60" s="11">
        <f t="shared" si="7"/>
        <v>2.4899999999999922E-2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7920917.8000311386</v>
      </c>
      <c r="D61" s="11">
        <v>2.5499999999999998E-2</v>
      </c>
      <c r="E61" s="10">
        <f t="shared" si="2"/>
        <v>196960.90092715248</v>
      </c>
      <c r="F61" s="3"/>
      <c r="G61" s="28"/>
      <c r="H61" s="10"/>
      <c r="I61" s="10">
        <f t="shared" si="8"/>
        <v>1821</v>
      </c>
      <c r="J61" s="10">
        <f t="shared" si="6"/>
        <v>14423991313.856703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7723956.8991039861</v>
      </c>
      <c r="D62" s="11">
        <v>2.5999999999999999E-2</v>
      </c>
      <c r="E62" s="10">
        <f t="shared" si="2"/>
        <v>195733.80056208931</v>
      </c>
      <c r="F62" s="3"/>
      <c r="G62" s="28"/>
      <c r="H62" s="10"/>
      <c r="I62" s="10">
        <f t="shared" si="8"/>
        <v>1821</v>
      </c>
      <c r="J62" s="10">
        <f t="shared" si="6"/>
        <v>14065325513.268358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7528223.0985418968</v>
      </c>
      <c r="D63" s="11">
        <v>2.6100000000000002E-2</v>
      </c>
      <c r="E63" s="10">
        <f t="shared" si="2"/>
        <v>191488.76607732568</v>
      </c>
      <c r="F63" s="3"/>
      <c r="G63" s="28"/>
      <c r="H63" s="10"/>
      <c r="I63" s="10">
        <f t="shared" si="8"/>
        <v>1821</v>
      </c>
      <c r="J63" s="10">
        <f t="shared" si="6"/>
        <v>13708894262.444794</v>
      </c>
      <c r="K63" s="11">
        <f t="shared" si="7"/>
        <v>2.6100000000000012E-2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7336734.3324645711</v>
      </c>
      <c r="D64" s="11">
        <v>2.6100000000000002E-2</v>
      </c>
      <c r="E64" s="10">
        <f t="shared" si="2"/>
        <v>186618.03535457142</v>
      </c>
      <c r="F64" s="3"/>
      <c r="G64" s="28"/>
      <c r="H64" s="10"/>
      <c r="I64" s="10">
        <f t="shared" si="8"/>
        <v>1821</v>
      </c>
      <c r="J64" s="10">
        <f t="shared" si="6"/>
        <v>13360193219.417984</v>
      </c>
      <c r="K64" s="11">
        <f t="shared" si="7"/>
        <v>2.6100000000000012E-2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7150116.2971099997</v>
      </c>
      <c r="D65" s="12">
        <v>2.6100000000000002E-2</v>
      </c>
      <c r="E65" s="10">
        <f t="shared" si="2"/>
        <v>181871.19711000007</v>
      </c>
      <c r="F65" s="3"/>
      <c r="G65" s="28"/>
      <c r="H65" s="10"/>
      <c r="I65" s="10">
        <f t="shared" si="8"/>
        <v>1821</v>
      </c>
      <c r="J65" s="10">
        <f t="shared" si="6"/>
        <v>13020361777.03731</v>
      </c>
      <c r="K65" s="11">
        <f t="shared" si="7"/>
        <v>2.6100000000000012E-2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6968245.0999999996</v>
      </c>
      <c r="D66" s="13">
        <v>2.6100000000000002E-2</v>
      </c>
      <c r="E66" s="10">
        <f t="shared" si="2"/>
        <v>177245.09999999963</v>
      </c>
      <c r="F66" s="3"/>
      <c r="G66" s="28"/>
      <c r="H66" s="10"/>
      <c r="I66" s="10">
        <f t="shared" si="8"/>
        <v>1821</v>
      </c>
      <c r="J66" s="10">
        <f t="shared" ref="J66:J67" si="9">IF(I66="","",I66*C66)</f>
        <v>12689174327.099998</v>
      </c>
      <c r="K66" s="11">
        <f t="shared" ref="K66" si="10">IFERROR(J66/J67-1,"")</f>
        <v>2.609999999999979E-2</v>
      </c>
    </row>
    <row r="67" spans="1:11" ht="22.5" customHeight="1">
      <c r="A67" s="3">
        <f t="shared" si="0"/>
        <v>1950</v>
      </c>
      <c r="B67" s="3">
        <v>1700</v>
      </c>
      <c r="C67" s="10">
        <v>6791000</v>
      </c>
      <c r="D67" s="12">
        <v>2.58E-2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1821</v>
      </c>
      <c r="J67" s="10">
        <f t="shared" si="9"/>
        <v>12366411000</v>
      </c>
      <c r="K67" s="11"/>
    </row>
  </sheetData>
  <dataValidations count="1">
    <dataValidation type="custom" allowBlank="1" showDropDown="1" sqref="D2:D67" xr:uid="{00000000-0002-0000-1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7439240.1907887748</v>
      </c>
      <c r="D2" s="12">
        <v>2.0400000000000001E-2</v>
      </c>
      <c r="E2" s="10">
        <f t="shared" ref="E2:E66" si="2">SUM(C2-C3)</f>
        <v>148726.47970608622</v>
      </c>
      <c r="F2" s="15">
        <v>7438559</v>
      </c>
      <c r="G2" s="28"/>
      <c r="H2" s="10"/>
      <c r="I2" s="10">
        <f>IF(H2&lt;&gt;"",H2,18175)</f>
        <v>18175</v>
      </c>
      <c r="J2" s="10">
        <f t="shared" ref="J2:J33" si="3">IF(I2="","",I2*C2)</f>
        <v>135208190467.58598</v>
      </c>
      <c r="K2" s="11">
        <f t="shared" ref="K2:K33" si="4">IFERROR(J2/J3-1,"")</f>
        <v>2.0399999999999974E-2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7290513.7110826885</v>
      </c>
      <c r="D3" s="13">
        <v>1.66E-2</v>
      </c>
      <c r="E3" s="10">
        <f t="shared" si="2"/>
        <v>119046.35806017369</v>
      </c>
      <c r="F3" s="3"/>
      <c r="G3" s="28"/>
      <c r="H3" s="10"/>
      <c r="I3" s="10">
        <f t="shared" ref="I3:I34" si="5">IF(H3&lt;&gt;"",H3,I2/(1+IF(G2="",0,G2)/100))</f>
        <v>18175</v>
      </c>
      <c r="J3" s="10">
        <f t="shared" si="3"/>
        <v>132505086698.92787</v>
      </c>
      <c r="K3" s="11">
        <f t="shared" si="4"/>
        <v>1.660000000000017E-2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7171467.3530225148</v>
      </c>
      <c r="D4" s="12">
        <v>7.7000000000000002E-3</v>
      </c>
      <c r="E4" s="10">
        <f t="shared" si="2"/>
        <v>54798.351313162595</v>
      </c>
      <c r="F4" s="3"/>
      <c r="G4" s="28"/>
      <c r="H4" s="10"/>
      <c r="I4" s="10">
        <f t="shared" si="5"/>
        <v>18175</v>
      </c>
      <c r="J4" s="10">
        <f t="shared" si="3"/>
        <v>130341419141.1842</v>
      </c>
      <c r="K4" s="11">
        <f t="shared" si="4"/>
        <v>7.7000000000000401E-3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7116669.0017093522</v>
      </c>
      <c r="D5" s="11">
        <v>5.4999999999999997E-3</v>
      </c>
      <c r="E5" s="10">
        <f t="shared" si="2"/>
        <v>38927.577831329778</v>
      </c>
      <c r="F5" s="3"/>
      <c r="G5" s="28"/>
      <c r="H5" s="10"/>
      <c r="I5" s="10">
        <f t="shared" si="5"/>
        <v>18175</v>
      </c>
      <c r="J5" s="10">
        <f t="shared" si="3"/>
        <v>129345459106.06747</v>
      </c>
      <c r="K5" s="11">
        <f t="shared" si="4"/>
        <v>5.5000000000000604E-3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7077741.4238780225</v>
      </c>
      <c r="D6" s="11">
        <v>7.6E-3</v>
      </c>
      <c r="E6" s="10">
        <f t="shared" si="2"/>
        <v>53385.108000668697</v>
      </c>
      <c r="F6" s="3"/>
      <c r="G6" s="28"/>
      <c r="H6" s="10"/>
      <c r="I6" s="10">
        <f t="shared" si="5"/>
        <v>18175</v>
      </c>
      <c r="J6" s="10">
        <f t="shared" si="3"/>
        <v>128637950378.98306</v>
      </c>
      <c r="K6" s="11">
        <f t="shared" si="4"/>
        <v>7.6000000000000512E-3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7024356.3158773538</v>
      </c>
      <c r="D7" s="11">
        <v>1.11E-2</v>
      </c>
      <c r="E7" s="10">
        <f t="shared" si="2"/>
        <v>77114.385427989066</v>
      </c>
      <c r="F7" s="3"/>
      <c r="G7" s="28"/>
      <c r="H7" s="10"/>
      <c r="I7" s="10">
        <f t="shared" si="5"/>
        <v>18175</v>
      </c>
      <c r="J7" s="10">
        <f t="shared" si="3"/>
        <v>127667676041.07091</v>
      </c>
      <c r="K7" s="11">
        <f t="shared" si="4"/>
        <v>1.110000000000011E-2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6947241.9304493647</v>
      </c>
      <c r="D8" s="11">
        <v>0.01</v>
      </c>
      <c r="E8" s="10">
        <f t="shared" si="2"/>
        <v>68784.573568806052</v>
      </c>
      <c r="F8" s="3"/>
      <c r="G8" s="28"/>
      <c r="H8" s="10"/>
      <c r="I8" s="10">
        <f t="shared" si="5"/>
        <v>18175</v>
      </c>
      <c r="J8" s="10">
        <f t="shared" si="3"/>
        <v>126266122085.91721</v>
      </c>
      <c r="K8" s="11">
        <f t="shared" si="4"/>
        <v>1.0000000000000009E-2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6878457.3568805587</v>
      </c>
      <c r="D9" s="11">
        <v>8.5000000000000006E-3</v>
      </c>
      <c r="E9" s="10">
        <f t="shared" si="2"/>
        <v>57974.107618724927</v>
      </c>
      <c r="F9" s="3"/>
      <c r="G9" s="28"/>
      <c r="H9" s="10"/>
      <c r="I9" s="10">
        <f t="shared" si="5"/>
        <v>18175</v>
      </c>
      <c r="J9" s="10">
        <f t="shared" si="3"/>
        <v>125015962461.30415</v>
      </c>
      <c r="K9" s="11">
        <f t="shared" si="4"/>
        <v>8.499999999999952E-3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6820483.2492618337</v>
      </c>
      <c r="D10" s="11">
        <v>9.2999999999999992E-3</v>
      </c>
      <c r="E10" s="10">
        <f t="shared" si="2"/>
        <v>62846.026174711064</v>
      </c>
      <c r="F10" s="3"/>
      <c r="G10" s="28"/>
      <c r="H10" s="10"/>
      <c r="I10" s="10">
        <f t="shared" si="5"/>
        <v>18175</v>
      </c>
      <c r="J10" s="10">
        <f t="shared" si="3"/>
        <v>123962283055.33383</v>
      </c>
      <c r="K10" s="11">
        <f t="shared" si="4"/>
        <v>9.300000000000086E-3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6757637.2230871227</v>
      </c>
      <c r="D11" s="11">
        <v>1.2200000000000001E-2</v>
      </c>
      <c r="E11" s="10">
        <f t="shared" si="2"/>
        <v>81449.490339520387</v>
      </c>
      <c r="F11" s="3"/>
      <c r="G11" s="28"/>
      <c r="H11" s="10"/>
      <c r="I11" s="10">
        <f t="shared" si="5"/>
        <v>18175</v>
      </c>
      <c r="J11" s="10">
        <f t="shared" si="3"/>
        <v>122820056529.60846</v>
      </c>
      <c r="K11" s="11">
        <f t="shared" si="4"/>
        <v>1.2199999999999989E-2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6676187.7327476023</v>
      </c>
      <c r="D12" s="11">
        <v>1.1299999999999999E-2</v>
      </c>
      <c r="E12" s="10">
        <f t="shared" si="2"/>
        <v>74597.964382525533</v>
      </c>
      <c r="F12" s="3"/>
      <c r="G12" s="28"/>
      <c r="H12" s="10"/>
      <c r="I12" s="10">
        <f t="shared" si="5"/>
        <v>18175</v>
      </c>
      <c r="J12" s="10">
        <f t="shared" si="3"/>
        <v>121339712042.68767</v>
      </c>
      <c r="K12" s="11">
        <f t="shared" si="4"/>
        <v>1.1300000000000088E-2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6601589.7683650767</v>
      </c>
      <c r="D13" s="11">
        <v>1.49E-2</v>
      </c>
      <c r="E13" s="10">
        <f t="shared" si="2"/>
        <v>96919.585721390322</v>
      </c>
      <c r="F13" s="3"/>
      <c r="G13" s="28"/>
      <c r="H13" s="10"/>
      <c r="I13" s="10">
        <f t="shared" si="5"/>
        <v>18175</v>
      </c>
      <c r="J13" s="10">
        <f t="shared" si="3"/>
        <v>119983894040.03526</v>
      </c>
      <c r="K13" s="11">
        <f t="shared" si="4"/>
        <v>1.4899999999999913E-2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6504670.1826436864</v>
      </c>
      <c r="D14" s="11">
        <v>1.9699999999999999E-2</v>
      </c>
      <c r="E14" s="10">
        <f t="shared" si="2"/>
        <v>125666.3750103768</v>
      </c>
      <c r="F14" s="3"/>
      <c r="G14" s="28"/>
      <c r="H14" s="10"/>
      <c r="I14" s="10">
        <f t="shared" si="5"/>
        <v>18175</v>
      </c>
      <c r="J14" s="10">
        <f t="shared" si="3"/>
        <v>118222380569.549</v>
      </c>
      <c r="K14" s="11">
        <f t="shared" si="4"/>
        <v>1.9700000000000051E-2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6379003.8076333096</v>
      </c>
      <c r="D15" s="11">
        <v>1.7399999999999999E-2</v>
      </c>
      <c r="E15" s="10">
        <f t="shared" si="2"/>
        <v>109096.38908278011</v>
      </c>
      <c r="F15" s="3"/>
      <c r="G15" s="28"/>
      <c r="H15" s="10"/>
      <c r="I15" s="10">
        <f t="shared" si="5"/>
        <v>18175</v>
      </c>
      <c r="J15" s="10">
        <f t="shared" si="3"/>
        <v>115938394203.7354</v>
      </c>
      <c r="K15" s="11">
        <f t="shared" si="4"/>
        <v>1.7400000000000082E-2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6269907.4185505295</v>
      </c>
      <c r="D16" s="11">
        <v>5.8999999999999999E-3</v>
      </c>
      <c r="E16" s="10">
        <f t="shared" si="2"/>
        <v>36775.478446613066</v>
      </c>
      <c r="F16" s="3"/>
      <c r="G16" s="28"/>
      <c r="H16" s="10"/>
      <c r="I16" s="10">
        <f t="shared" si="5"/>
        <v>18175</v>
      </c>
      <c r="J16" s="10">
        <f t="shared" si="3"/>
        <v>113955567332.15587</v>
      </c>
      <c r="K16" s="11">
        <f t="shared" si="4"/>
        <v>5.8999999999997943E-3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6233131.9401039165</v>
      </c>
      <c r="D17" s="11">
        <v>5.8999999999999999E-3</v>
      </c>
      <c r="E17" s="10">
        <f t="shared" si="2"/>
        <v>36559.775769572705</v>
      </c>
      <c r="F17" s="3"/>
      <c r="G17" s="28"/>
      <c r="H17" s="10"/>
      <c r="I17" s="10">
        <f t="shared" si="5"/>
        <v>18175</v>
      </c>
      <c r="J17" s="10">
        <f t="shared" si="3"/>
        <v>113287173011.38869</v>
      </c>
      <c r="K17" s="11">
        <f t="shared" si="4"/>
        <v>5.9000000000000163E-3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6196572.1643343437</v>
      </c>
      <c r="D18" s="11">
        <v>5.3E-3</v>
      </c>
      <c r="E18" s="10">
        <f t="shared" si="2"/>
        <v>32668.68842233438</v>
      </c>
      <c r="F18" s="3"/>
      <c r="G18" s="28"/>
      <c r="H18" s="10"/>
      <c r="I18" s="10">
        <f t="shared" si="5"/>
        <v>18175</v>
      </c>
      <c r="J18" s="10">
        <f t="shared" si="3"/>
        <v>112622699086.7767</v>
      </c>
      <c r="K18" s="11">
        <f t="shared" si="4"/>
        <v>5.3000000000000824E-3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6163903.4759120094</v>
      </c>
      <c r="D19" s="11">
        <v>8.8999999999999999E-3</v>
      </c>
      <c r="E19" s="10">
        <f t="shared" si="2"/>
        <v>54374.805169606581</v>
      </c>
      <c r="F19" s="3"/>
      <c r="G19" s="28"/>
      <c r="H19" s="10"/>
      <c r="I19" s="10">
        <f t="shared" si="5"/>
        <v>18175</v>
      </c>
      <c r="J19" s="10">
        <f t="shared" si="3"/>
        <v>112028945674.70078</v>
      </c>
      <c r="K19" s="11">
        <f t="shared" si="4"/>
        <v>8.899999999999908E-3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6109528.6707424028</v>
      </c>
      <c r="D20" s="11">
        <v>1.3100000000000001E-2</v>
      </c>
      <c r="E20" s="10">
        <f t="shared" si="2"/>
        <v>78999.926548935473</v>
      </c>
      <c r="F20" s="3"/>
      <c r="G20" s="28"/>
      <c r="H20" s="10"/>
      <c r="I20" s="10">
        <f t="shared" si="5"/>
        <v>18175</v>
      </c>
      <c r="J20" s="10">
        <f t="shared" si="3"/>
        <v>111040683590.74316</v>
      </c>
      <c r="K20" s="11">
        <f t="shared" si="4"/>
        <v>1.3100000000000112E-2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6030528.7441934673</v>
      </c>
      <c r="D21" s="11">
        <v>1.5800000000000002E-2</v>
      </c>
      <c r="E21" s="10">
        <f t="shared" si="2"/>
        <v>93800.309271763079</v>
      </c>
      <c r="F21" s="3"/>
      <c r="G21" s="28"/>
      <c r="H21" s="10"/>
      <c r="I21" s="10">
        <f t="shared" si="5"/>
        <v>18175</v>
      </c>
      <c r="J21" s="10">
        <f t="shared" si="3"/>
        <v>109604859925.71626</v>
      </c>
      <c r="K21" s="11">
        <f t="shared" si="4"/>
        <v>1.5799999999999814E-2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5936728.4349217042</v>
      </c>
      <c r="D22" s="11">
        <v>1.46E-2</v>
      </c>
      <c r="E22" s="10">
        <f t="shared" si="2"/>
        <v>85428.972156373784</v>
      </c>
      <c r="F22" s="3"/>
      <c r="G22" s="28"/>
      <c r="H22" s="10"/>
      <c r="I22" s="10">
        <f t="shared" si="5"/>
        <v>18175</v>
      </c>
      <c r="J22" s="10">
        <f t="shared" si="3"/>
        <v>107900039304.70198</v>
      </c>
      <c r="K22" s="11">
        <f t="shared" si="4"/>
        <v>1.4599999999999946E-2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5851299.4627653304</v>
      </c>
      <c r="D23" s="11">
        <v>1.3299999999999999E-2</v>
      </c>
      <c r="E23" s="10">
        <f t="shared" si="2"/>
        <v>76800.831791946664</v>
      </c>
      <c r="F23" s="3"/>
      <c r="G23" s="28"/>
      <c r="H23" s="10"/>
      <c r="I23" s="10">
        <f t="shared" si="5"/>
        <v>18175</v>
      </c>
      <c r="J23" s="10">
        <f t="shared" si="3"/>
        <v>106347367735.75989</v>
      </c>
      <c r="K23" s="11">
        <f t="shared" si="4"/>
        <v>1.330000000000009E-2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5774498.6309733838</v>
      </c>
      <c r="D24" s="11">
        <v>1.14E-2</v>
      </c>
      <c r="E24" s="10">
        <f t="shared" si="2"/>
        <v>65087.289295132272</v>
      </c>
      <c r="F24" s="3"/>
      <c r="G24" s="28"/>
      <c r="H24" s="10"/>
      <c r="I24" s="10">
        <f t="shared" si="5"/>
        <v>18175</v>
      </c>
      <c r="J24" s="10">
        <f t="shared" si="3"/>
        <v>104951512617.94125</v>
      </c>
      <c r="K24" s="11">
        <f t="shared" si="4"/>
        <v>1.1400000000000077E-2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5709411.3416782515</v>
      </c>
      <c r="D25" s="11">
        <v>1.04E-2</v>
      </c>
      <c r="E25" s="10">
        <f t="shared" si="2"/>
        <v>58766.704229467548</v>
      </c>
      <c r="F25" s="3"/>
      <c r="G25" s="28"/>
      <c r="H25" s="10"/>
      <c r="I25" s="10">
        <f t="shared" si="5"/>
        <v>18175</v>
      </c>
      <c r="J25" s="10">
        <f t="shared" si="3"/>
        <v>103768551135.00223</v>
      </c>
      <c r="K25" s="11">
        <f t="shared" si="4"/>
        <v>1.0399999999999965E-2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5650644.637448784</v>
      </c>
      <c r="D26" s="11">
        <v>9.4999999999999998E-3</v>
      </c>
      <c r="E26" s="10">
        <f t="shared" si="2"/>
        <v>53175.952506948262</v>
      </c>
      <c r="F26" s="3"/>
      <c r="G26" s="28"/>
      <c r="H26" s="10"/>
      <c r="I26" s="10">
        <f t="shared" si="5"/>
        <v>18175</v>
      </c>
      <c r="J26" s="10">
        <f t="shared" si="3"/>
        <v>102700466285.63165</v>
      </c>
      <c r="K26" s="11">
        <f t="shared" si="4"/>
        <v>9.5000000000000639E-3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5597468.6849418357</v>
      </c>
      <c r="D27" s="11">
        <v>9.1999999999999998E-3</v>
      </c>
      <c r="E27" s="10">
        <f t="shared" si="2"/>
        <v>51027.26109935157</v>
      </c>
      <c r="F27" s="3"/>
      <c r="G27" s="28"/>
      <c r="H27" s="10"/>
      <c r="I27" s="10">
        <f t="shared" si="5"/>
        <v>18175</v>
      </c>
      <c r="J27" s="10">
        <f t="shared" si="3"/>
        <v>101733993348.81787</v>
      </c>
      <c r="K27" s="11">
        <f t="shared" si="4"/>
        <v>9.200000000000319E-3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5546441.4238424841</v>
      </c>
      <c r="D28" s="11">
        <v>4.7999999999999996E-3</v>
      </c>
      <c r="E28" s="10">
        <f t="shared" si="2"/>
        <v>26495.739285871387</v>
      </c>
      <c r="F28" s="3"/>
      <c r="G28" s="28"/>
      <c r="H28" s="10"/>
      <c r="I28" s="10">
        <f t="shared" si="5"/>
        <v>18175</v>
      </c>
      <c r="J28" s="10">
        <f t="shared" si="3"/>
        <v>100806572878.33714</v>
      </c>
      <c r="K28" s="11">
        <f t="shared" si="4"/>
        <v>4.7999999999999154E-3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5519945.6845566127</v>
      </c>
      <c r="D29" s="11">
        <v>2.7000000000000001E-3</v>
      </c>
      <c r="E29" s="10">
        <f t="shared" si="2"/>
        <v>14863.721300790086</v>
      </c>
      <c r="F29" s="3"/>
      <c r="G29" s="28"/>
      <c r="H29" s="10"/>
      <c r="I29" s="10">
        <f t="shared" si="5"/>
        <v>18175</v>
      </c>
      <c r="J29" s="10">
        <f t="shared" si="3"/>
        <v>100325012816.81644</v>
      </c>
      <c r="K29" s="11">
        <f t="shared" si="4"/>
        <v>2.6999999999999247E-3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5505081.9632558227</v>
      </c>
      <c r="D30" s="12">
        <v>8.6E-3</v>
      </c>
      <c r="E30" s="10">
        <f t="shared" si="2"/>
        <v>46940.020705929026</v>
      </c>
      <c r="F30" s="3"/>
      <c r="G30" s="28"/>
      <c r="H30" s="10"/>
      <c r="I30" s="10">
        <f t="shared" si="5"/>
        <v>18175</v>
      </c>
      <c r="J30" s="10">
        <f t="shared" si="3"/>
        <v>100054864682.17458</v>
      </c>
      <c r="K30" s="11">
        <f t="shared" si="4"/>
        <v>8.599999999999941E-3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5458141.9425498936</v>
      </c>
      <c r="D31" s="13">
        <v>-2.0000000000000001E-4</v>
      </c>
      <c r="E31" s="10">
        <f t="shared" si="2"/>
        <v>-1091.8467578617856</v>
      </c>
      <c r="F31" s="3"/>
      <c r="G31" s="28"/>
      <c r="H31" s="10"/>
      <c r="I31" s="10">
        <f t="shared" si="5"/>
        <v>18175</v>
      </c>
      <c r="J31" s="10">
        <f t="shared" si="3"/>
        <v>99201729805.844315</v>
      </c>
      <c r="K31" s="11">
        <f t="shared" si="4"/>
        <v>-2.00000000000089E-4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5459233.7893077554</v>
      </c>
      <c r="D32" s="12">
        <v>6.1999999999999998E-3</v>
      </c>
      <c r="E32" s="10">
        <f t="shared" si="2"/>
        <v>33638.689618076198</v>
      </c>
      <c r="F32" s="3"/>
      <c r="G32" s="28"/>
      <c r="H32" s="10"/>
      <c r="I32" s="10">
        <f t="shared" si="5"/>
        <v>18175</v>
      </c>
      <c r="J32" s="10">
        <f t="shared" si="3"/>
        <v>99221574120.668457</v>
      </c>
      <c r="K32" s="11">
        <f t="shared" si="4"/>
        <v>6.1999999999999833E-3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5425595.0996896792</v>
      </c>
      <c r="D33" s="13">
        <v>8.6999999999999994E-3</v>
      </c>
      <c r="E33" s="10">
        <f t="shared" si="2"/>
        <v>46795.556029840373</v>
      </c>
      <c r="F33" s="3"/>
      <c r="G33" s="28"/>
      <c r="H33" s="10"/>
      <c r="I33" s="10">
        <f t="shared" si="5"/>
        <v>18175</v>
      </c>
      <c r="J33" s="10">
        <f t="shared" si="3"/>
        <v>98610190936.859924</v>
      </c>
      <c r="K33" s="11">
        <f t="shared" si="4"/>
        <v>8.69999999999993E-3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5378799.5436598388</v>
      </c>
      <c r="D34" s="12">
        <v>1.3599999999999999E-2</v>
      </c>
      <c r="E34" s="10">
        <f t="shared" si="2"/>
        <v>72170.159622902982</v>
      </c>
      <c r="F34" s="3"/>
      <c r="G34" s="28"/>
      <c r="H34" s="10"/>
      <c r="I34" s="10">
        <f t="shared" si="5"/>
        <v>18175</v>
      </c>
      <c r="J34" s="10">
        <f t="shared" ref="J34:J65" si="6">IF(I34="","",I34*C34)</f>
        <v>97759681706.017578</v>
      </c>
      <c r="K34" s="11">
        <f t="shared" ref="K34:K65" si="7">IFERROR(J34/J35-1,"")</f>
        <v>1.3600000000000279E-2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5306629.3840369359</v>
      </c>
      <c r="D35" s="11">
        <v>9.9000000000000008E-3</v>
      </c>
      <c r="E35" s="10">
        <f t="shared" si="2"/>
        <v>52020.626697658561</v>
      </c>
      <c r="F35" s="3"/>
      <c r="G35" s="28"/>
      <c r="H35" s="10"/>
      <c r="I35" s="10">
        <f t="shared" ref="I35:I66" si="8">IF(H35&lt;&gt;"",H35,I34/(1+IF(G34="",0,G34)/100))</f>
        <v>18175</v>
      </c>
      <c r="J35" s="10">
        <f t="shared" si="6"/>
        <v>96447989054.871307</v>
      </c>
      <c r="K35" s="11">
        <f t="shared" si="7"/>
        <v>9.9000000000000199E-3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5254608.7573392773</v>
      </c>
      <c r="D36" s="11">
        <v>3.8E-3</v>
      </c>
      <c r="E36" s="10">
        <f t="shared" si="2"/>
        <v>19891.923966815695</v>
      </c>
      <c r="F36" s="3"/>
      <c r="G36" s="28"/>
      <c r="H36" s="10"/>
      <c r="I36" s="10">
        <f t="shared" si="8"/>
        <v>18175</v>
      </c>
      <c r="J36" s="10">
        <f t="shared" si="6"/>
        <v>95502514164.641357</v>
      </c>
      <c r="K36" s="11">
        <f t="shared" si="7"/>
        <v>3.8000000000000256E-3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5234716.8333724616</v>
      </c>
      <c r="D37" s="11">
        <v>1.2999999999999999E-3</v>
      </c>
      <c r="E37" s="10">
        <f t="shared" si="2"/>
        <v>6796.2966976780444</v>
      </c>
      <c r="F37" s="3"/>
      <c r="G37" s="28"/>
      <c r="H37" s="10"/>
      <c r="I37" s="10">
        <f t="shared" si="8"/>
        <v>18175</v>
      </c>
      <c r="J37" s="10">
        <f t="shared" si="6"/>
        <v>95140978446.544495</v>
      </c>
      <c r="K37" s="11">
        <f t="shared" si="7"/>
        <v>1.3000000000000789E-3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5227920.5366747836</v>
      </c>
      <c r="D38" s="11">
        <v>-3.8999999999999998E-3</v>
      </c>
      <c r="E38" s="10">
        <f t="shared" si="2"/>
        <v>-20468.718093596399</v>
      </c>
      <c r="F38" s="3"/>
      <c r="G38" s="28"/>
      <c r="H38" s="10"/>
      <c r="I38" s="10">
        <f t="shared" si="8"/>
        <v>18175</v>
      </c>
      <c r="J38" s="10">
        <f t="shared" si="6"/>
        <v>95017455754.064194</v>
      </c>
      <c r="K38" s="11">
        <f t="shared" si="7"/>
        <v>-3.8999999999997925E-3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5248389.25476838</v>
      </c>
      <c r="D39" s="11">
        <v>2.9999999999999997E-4</v>
      </c>
      <c r="E39" s="10">
        <f t="shared" si="2"/>
        <v>1574.0445630615577</v>
      </c>
      <c r="F39" s="3"/>
      <c r="G39" s="28"/>
      <c r="H39" s="10"/>
      <c r="I39" s="10">
        <f t="shared" si="8"/>
        <v>18175</v>
      </c>
      <c r="J39" s="10">
        <f t="shared" si="6"/>
        <v>95389474705.415298</v>
      </c>
      <c r="K39" s="11">
        <f t="shared" si="7"/>
        <v>2.9999999999996696E-4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5246815.2102053184</v>
      </c>
      <c r="D40" s="11">
        <v>3.0999999999999999E-3</v>
      </c>
      <c r="E40" s="10">
        <f t="shared" si="2"/>
        <v>16214.861082281917</v>
      </c>
      <c r="F40" s="3"/>
      <c r="G40" s="28"/>
      <c r="H40" s="10"/>
      <c r="I40" s="10">
        <f t="shared" si="8"/>
        <v>18175</v>
      </c>
      <c r="J40" s="10">
        <f t="shared" si="6"/>
        <v>95360866445.481659</v>
      </c>
      <c r="K40" s="11">
        <f t="shared" si="7"/>
        <v>3.1000000000001027E-3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5230600.3491230365</v>
      </c>
      <c r="D41" s="11">
        <v>8.8000000000000005E-3</v>
      </c>
      <c r="E41" s="10">
        <f t="shared" si="2"/>
        <v>45627.758794886991</v>
      </c>
      <c r="F41" s="3"/>
      <c r="G41" s="28"/>
      <c r="H41" s="10"/>
      <c r="I41" s="10">
        <f t="shared" si="8"/>
        <v>18175</v>
      </c>
      <c r="J41" s="10">
        <f t="shared" si="6"/>
        <v>95066161345.311188</v>
      </c>
      <c r="K41" s="11">
        <f t="shared" si="7"/>
        <v>8.799999999999919E-3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5184972.5903281495</v>
      </c>
      <c r="D42" s="11">
        <v>1.95E-2</v>
      </c>
      <c r="E42" s="10">
        <f t="shared" si="2"/>
        <v>99173.09025149513</v>
      </c>
      <c r="F42" s="3"/>
      <c r="G42" s="28"/>
      <c r="H42" s="10"/>
      <c r="I42" s="10">
        <f t="shared" si="8"/>
        <v>18175</v>
      </c>
      <c r="J42" s="10">
        <f t="shared" si="6"/>
        <v>94236876829.214111</v>
      </c>
      <c r="K42" s="11">
        <f t="shared" si="7"/>
        <v>1.9500000000000073E-2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5085799.5000766544</v>
      </c>
      <c r="D43" s="11">
        <v>2.0899999999999998E-2</v>
      </c>
      <c r="E43" s="10">
        <f t="shared" si="2"/>
        <v>104117.16088902112</v>
      </c>
      <c r="F43" s="3"/>
      <c r="G43" s="28"/>
      <c r="H43" s="10"/>
      <c r="I43" s="10">
        <f t="shared" si="8"/>
        <v>18175</v>
      </c>
      <c r="J43" s="10">
        <f t="shared" si="6"/>
        <v>92434405913.893188</v>
      </c>
      <c r="K43" s="11">
        <f t="shared" si="7"/>
        <v>2.0899999999999919E-2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4981682.3391876332</v>
      </c>
      <c r="D44" s="11">
        <v>1.9599999999999999E-2</v>
      </c>
      <c r="E44" s="10">
        <f t="shared" si="2"/>
        <v>95763.99945868738</v>
      </c>
      <c r="F44" s="3"/>
      <c r="G44" s="28"/>
      <c r="H44" s="10"/>
      <c r="I44" s="10">
        <f t="shared" si="8"/>
        <v>18175</v>
      </c>
      <c r="J44" s="10">
        <f t="shared" si="6"/>
        <v>90542076514.735229</v>
      </c>
      <c r="K44" s="11">
        <f t="shared" si="7"/>
        <v>1.959999999999984E-2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4885918.3397289459</v>
      </c>
      <c r="D45" s="11">
        <v>1.77E-2</v>
      </c>
      <c r="E45" s="10">
        <f t="shared" si="2"/>
        <v>84976.667596740648</v>
      </c>
      <c r="F45" s="3"/>
      <c r="G45" s="28"/>
      <c r="H45" s="10"/>
      <c r="I45" s="10">
        <f t="shared" si="8"/>
        <v>18175</v>
      </c>
      <c r="J45" s="10">
        <f t="shared" si="6"/>
        <v>88801565824.573593</v>
      </c>
      <c r="K45" s="11">
        <f t="shared" si="7"/>
        <v>1.7700000000000271E-2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4800941.6721322052</v>
      </c>
      <c r="D46" s="11">
        <v>1.49E-2</v>
      </c>
      <c r="E46" s="10">
        <f t="shared" si="2"/>
        <v>70483.821967454627</v>
      </c>
      <c r="F46" s="3"/>
      <c r="G46" s="28"/>
      <c r="H46" s="10"/>
      <c r="I46" s="10">
        <f t="shared" si="8"/>
        <v>18175</v>
      </c>
      <c r="J46" s="10">
        <f t="shared" si="6"/>
        <v>87257114891.002823</v>
      </c>
      <c r="K46" s="11">
        <f t="shared" si="7"/>
        <v>1.4899999999999913E-2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4730457.8501647506</v>
      </c>
      <c r="D47" s="11">
        <v>1.3599999999999999E-2</v>
      </c>
      <c r="E47" s="10">
        <f t="shared" si="2"/>
        <v>63471.020878296345</v>
      </c>
      <c r="F47" s="3"/>
      <c r="G47" s="28"/>
      <c r="H47" s="10"/>
      <c r="I47" s="10">
        <f t="shared" si="8"/>
        <v>18175</v>
      </c>
      <c r="J47" s="10">
        <f t="shared" si="6"/>
        <v>85976071426.744339</v>
      </c>
      <c r="K47" s="11">
        <f t="shared" si="7"/>
        <v>1.3600000000000056E-2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4666986.8292864542</v>
      </c>
      <c r="D48" s="11">
        <v>8.8999999999999999E-3</v>
      </c>
      <c r="E48" s="10">
        <f t="shared" si="2"/>
        <v>41169.771811526269</v>
      </c>
      <c r="F48" s="3"/>
      <c r="G48" s="28"/>
      <c r="H48" s="10"/>
      <c r="I48" s="10">
        <f t="shared" si="8"/>
        <v>18175</v>
      </c>
      <c r="J48" s="10">
        <f t="shared" si="6"/>
        <v>84822485622.281311</v>
      </c>
      <c r="K48" s="11">
        <f t="shared" si="7"/>
        <v>8.899999999999908E-3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4625817.057474928</v>
      </c>
      <c r="D49" s="11">
        <v>8.8000000000000005E-3</v>
      </c>
      <c r="E49" s="10">
        <f t="shared" si="2"/>
        <v>40352.091698829085</v>
      </c>
      <c r="F49" s="3"/>
      <c r="G49" s="28"/>
      <c r="H49" s="10"/>
      <c r="I49" s="10">
        <f t="shared" si="8"/>
        <v>18175</v>
      </c>
      <c r="J49" s="10">
        <f t="shared" si="6"/>
        <v>84074225019.606812</v>
      </c>
      <c r="K49" s="11">
        <f t="shared" si="7"/>
        <v>8.799999999999919E-3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4585464.9657760989</v>
      </c>
      <c r="D50" s="11">
        <v>1.7899999999999999E-2</v>
      </c>
      <c r="E50" s="10">
        <f t="shared" si="2"/>
        <v>80636.430776492693</v>
      </c>
      <c r="F50" s="3"/>
      <c r="G50" s="28"/>
      <c r="H50" s="10"/>
      <c r="I50" s="10">
        <f t="shared" si="8"/>
        <v>18175</v>
      </c>
      <c r="J50" s="10">
        <f t="shared" si="6"/>
        <v>83340825752.980591</v>
      </c>
      <c r="K50" s="11">
        <f t="shared" si="7"/>
        <v>1.7899999999999805E-2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4504828.5349996062</v>
      </c>
      <c r="D51" s="11">
        <v>1.7899999999999999E-2</v>
      </c>
      <c r="E51" s="10">
        <f t="shared" si="2"/>
        <v>79218.421039879322</v>
      </c>
      <c r="F51" s="3"/>
      <c r="G51" s="28"/>
      <c r="H51" s="10"/>
      <c r="I51" s="10">
        <f t="shared" si="8"/>
        <v>18175</v>
      </c>
      <c r="J51" s="10">
        <f t="shared" si="6"/>
        <v>81875258623.617844</v>
      </c>
      <c r="K51" s="11">
        <f t="shared" si="7"/>
        <v>1.7900000000000027E-2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4425610.1139597269</v>
      </c>
      <c r="D52" s="11">
        <v>1.6500000000000001E-2</v>
      </c>
      <c r="E52" s="10">
        <f t="shared" si="2"/>
        <v>71837.252218726091</v>
      </c>
      <c r="F52" s="3"/>
      <c r="G52" s="28"/>
      <c r="H52" s="10"/>
      <c r="I52" s="10">
        <f t="shared" si="8"/>
        <v>18175</v>
      </c>
      <c r="J52" s="10">
        <f t="shared" si="6"/>
        <v>80435463821.218033</v>
      </c>
      <c r="K52" s="11">
        <f t="shared" si="7"/>
        <v>1.6499999999999959E-2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4353772.8617410008</v>
      </c>
      <c r="D53" s="11">
        <v>2.0899999999999998E-2</v>
      </c>
      <c r="E53" s="10">
        <f t="shared" si="2"/>
        <v>89131.014605139382</v>
      </c>
      <c r="F53" s="3"/>
      <c r="G53" s="28"/>
      <c r="H53" s="10"/>
      <c r="I53" s="10">
        <f t="shared" si="8"/>
        <v>18175</v>
      </c>
      <c r="J53" s="10">
        <f t="shared" si="6"/>
        <v>79129821762.142685</v>
      </c>
      <c r="K53" s="11">
        <f t="shared" si="7"/>
        <v>2.0899999999999919E-2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4264641.8471358614</v>
      </c>
      <c r="D54" s="11">
        <v>1.9900000000000001E-2</v>
      </c>
      <c r="E54" s="10">
        <f t="shared" si="2"/>
        <v>83210.484123937786</v>
      </c>
      <c r="F54" s="3"/>
      <c r="G54" s="28"/>
      <c r="H54" s="10"/>
      <c r="I54" s="10">
        <f t="shared" si="8"/>
        <v>18175</v>
      </c>
      <c r="J54" s="10">
        <f t="shared" si="6"/>
        <v>77509865571.694275</v>
      </c>
      <c r="K54" s="11">
        <f t="shared" si="7"/>
        <v>1.9900000000000029E-2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4181431.3630119236</v>
      </c>
      <c r="D55" s="11">
        <v>2.5399999999999999E-2</v>
      </c>
      <c r="E55" s="10">
        <f t="shared" si="2"/>
        <v>103577.48841476813</v>
      </c>
      <c r="F55" s="3"/>
      <c r="G55" s="28"/>
      <c r="H55" s="10"/>
      <c r="I55" s="10">
        <f t="shared" si="8"/>
        <v>18175</v>
      </c>
      <c r="J55" s="10">
        <f t="shared" si="6"/>
        <v>75997515022.741714</v>
      </c>
      <c r="K55" s="11">
        <f t="shared" si="7"/>
        <v>2.5400000000000089E-2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4077853.8745971555</v>
      </c>
      <c r="D56" s="11">
        <v>0.02</v>
      </c>
      <c r="E56" s="10">
        <f t="shared" si="2"/>
        <v>79957.919109748211</v>
      </c>
      <c r="F56" s="3"/>
      <c r="G56" s="28"/>
      <c r="H56" s="10"/>
      <c r="I56" s="10">
        <f t="shared" si="8"/>
        <v>18175</v>
      </c>
      <c r="J56" s="10">
        <f t="shared" si="6"/>
        <v>74114994170.803299</v>
      </c>
      <c r="K56" s="11">
        <f t="shared" si="7"/>
        <v>2.0000000000000018E-2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3997895.9554874073</v>
      </c>
      <c r="D57" s="11">
        <v>0.02</v>
      </c>
      <c r="E57" s="10">
        <f t="shared" si="2"/>
        <v>78390.11677426286</v>
      </c>
      <c r="F57" s="3"/>
      <c r="G57" s="28"/>
      <c r="H57" s="10"/>
      <c r="I57" s="10">
        <f t="shared" si="8"/>
        <v>18175</v>
      </c>
      <c r="J57" s="10">
        <f t="shared" si="6"/>
        <v>72661758990.983627</v>
      </c>
      <c r="K57" s="11">
        <f t="shared" si="7"/>
        <v>2.0000000000000018E-2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3919505.8387131444</v>
      </c>
      <c r="D58" s="11">
        <v>0.02</v>
      </c>
      <c r="E58" s="10">
        <f t="shared" si="2"/>
        <v>76853.055661042221</v>
      </c>
      <c r="F58" s="3"/>
      <c r="G58" s="28"/>
      <c r="H58" s="10"/>
      <c r="I58" s="10">
        <f t="shared" si="8"/>
        <v>18175</v>
      </c>
      <c r="J58" s="10">
        <f t="shared" si="6"/>
        <v>71237018618.611404</v>
      </c>
      <c r="K58" s="11">
        <f t="shared" si="7"/>
        <v>2.000000000000024E-2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3842652.7830521022</v>
      </c>
      <c r="D59" s="11">
        <v>2.1000000000000001E-2</v>
      </c>
      <c r="E59" s="10">
        <f t="shared" si="2"/>
        <v>79035.953422226943</v>
      </c>
      <c r="F59" s="3"/>
      <c r="G59" s="28"/>
      <c r="H59" s="10"/>
      <c r="I59" s="10">
        <f t="shared" si="8"/>
        <v>18175</v>
      </c>
      <c r="J59" s="10">
        <f t="shared" si="6"/>
        <v>69840214331.971954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3763616.8296298753</v>
      </c>
      <c r="D60" s="11">
        <v>2.1999999999999999E-2</v>
      </c>
      <c r="E60" s="10">
        <f t="shared" si="2"/>
        <v>81017.192027257755</v>
      </c>
      <c r="F60" s="3"/>
      <c r="G60" s="28"/>
      <c r="H60" s="10"/>
      <c r="I60" s="10">
        <f t="shared" si="8"/>
        <v>18175</v>
      </c>
      <c r="J60" s="10">
        <f t="shared" si="6"/>
        <v>68403735878.52298</v>
      </c>
      <c r="K60" s="11">
        <f t="shared" si="7"/>
        <v>2.200000000000002E-2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3682599.6376026175</v>
      </c>
      <c r="D61" s="11">
        <v>2.1999999999999999E-2</v>
      </c>
      <c r="E61" s="10">
        <f t="shared" si="2"/>
        <v>79273.182022756897</v>
      </c>
      <c r="F61" s="3"/>
      <c r="G61" s="28"/>
      <c r="H61" s="10"/>
      <c r="I61" s="10">
        <f t="shared" si="8"/>
        <v>18175</v>
      </c>
      <c r="J61" s="10">
        <f t="shared" si="6"/>
        <v>66931248413.427574</v>
      </c>
      <c r="K61" s="11">
        <f t="shared" si="7"/>
        <v>2.200000000000002E-2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3603326.4555798606</v>
      </c>
      <c r="D62" s="11">
        <v>2.1999999999999999E-2</v>
      </c>
      <c r="E62" s="10">
        <f t="shared" si="2"/>
        <v>77566.714307981543</v>
      </c>
      <c r="F62" s="3"/>
      <c r="G62" s="28"/>
      <c r="H62" s="10"/>
      <c r="I62" s="10">
        <f t="shared" si="8"/>
        <v>18175</v>
      </c>
      <c r="J62" s="10">
        <f t="shared" si="6"/>
        <v>65490458330.163963</v>
      </c>
      <c r="K62" s="11">
        <f t="shared" si="7"/>
        <v>2.200000000000002E-2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3525759.7412718791</v>
      </c>
      <c r="D63" s="11">
        <v>2.1999999999999999E-2</v>
      </c>
      <c r="E63" s="10">
        <f t="shared" si="2"/>
        <v>75896.980731879827</v>
      </c>
      <c r="F63" s="3"/>
      <c r="G63" s="28"/>
      <c r="H63" s="10"/>
      <c r="I63" s="10">
        <f t="shared" si="8"/>
        <v>18175</v>
      </c>
      <c r="J63" s="10">
        <f t="shared" si="6"/>
        <v>64080683297.616402</v>
      </c>
      <c r="K63" s="11">
        <f t="shared" si="7"/>
        <v>2.200000000000002E-2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3449862.7605399992</v>
      </c>
      <c r="D64" s="11">
        <v>2.1999999999999999E-2</v>
      </c>
      <c r="E64" s="10">
        <f t="shared" si="2"/>
        <v>74263.190539999865</v>
      </c>
      <c r="F64" s="3"/>
      <c r="G64" s="28"/>
      <c r="H64" s="10"/>
      <c r="I64" s="10">
        <f t="shared" si="8"/>
        <v>18175</v>
      </c>
      <c r="J64" s="10">
        <f t="shared" si="6"/>
        <v>62701255672.814484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3375599.5699999994</v>
      </c>
      <c r="D65" s="11">
        <v>2.1999999999999999E-2</v>
      </c>
      <c r="E65" s="10">
        <f t="shared" si="2"/>
        <v>72664.569999999832</v>
      </c>
      <c r="F65" s="3"/>
      <c r="G65" s="28"/>
      <c r="H65" s="10"/>
      <c r="I65" s="10">
        <f t="shared" si="8"/>
        <v>18175</v>
      </c>
      <c r="J65" s="10">
        <f t="shared" si="6"/>
        <v>61351522184.749985</v>
      </c>
      <c r="K65" s="11">
        <f t="shared" si="7"/>
        <v>2.1999999999999797E-2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3302934.9999999995</v>
      </c>
      <c r="D66" s="11">
        <v>2.1000000000000001E-2</v>
      </c>
      <c r="E66" s="10">
        <f t="shared" si="2"/>
        <v>67934.999999999534</v>
      </c>
      <c r="F66" s="3"/>
      <c r="G66" s="28"/>
      <c r="H66" s="10"/>
      <c r="I66" s="10">
        <f t="shared" si="8"/>
        <v>18175</v>
      </c>
      <c r="J66" s="10">
        <f t="shared" ref="J66:J67" si="9">IF(I66="","",I66*C66)</f>
        <v>60030843624.999992</v>
      </c>
      <c r="K66" s="11">
        <f t="shared" ref="K66" si="10">IFERROR(J66/J67-1,"")</f>
        <v>2.0999999999999908E-2</v>
      </c>
    </row>
    <row r="67" spans="1:11" ht="22.5" customHeight="1">
      <c r="A67" s="3">
        <f t="shared" si="0"/>
        <v>1950</v>
      </c>
      <c r="B67" s="3">
        <v>1700</v>
      </c>
      <c r="C67" s="10">
        <v>3235000</v>
      </c>
      <c r="D67" s="11">
        <v>0.02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18175</v>
      </c>
      <c r="J67" s="10">
        <f t="shared" si="9"/>
        <v>58796125000</v>
      </c>
      <c r="K67" s="11"/>
    </row>
  </sheetData>
  <dataValidations count="1">
    <dataValidation type="custom" allowBlank="1" showDropDown="1" sqref="D2:D67" xr:uid="{00000000-0002-0000-1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95001398.787649736</v>
      </c>
      <c r="D2" s="11">
        <v>2.9000000000000001E-2</v>
      </c>
      <c r="E2" s="10">
        <f t="shared" ref="E2:E66" si="2">SUM(C2-C3)</f>
        <v>2677396.0785634965</v>
      </c>
      <c r="F2" s="15">
        <v>95001457</v>
      </c>
      <c r="G2" s="28"/>
      <c r="H2" s="10"/>
      <c r="I2" s="10">
        <f>IF(H2&lt;&gt;"",H2,3298)</f>
        <v>3298</v>
      </c>
      <c r="J2" s="10">
        <f t="shared" ref="J2:J33" si="3">IF(I2="","",I2*C2)</f>
        <v>313314613201.66882</v>
      </c>
      <c r="K2" s="11">
        <f t="shared" ref="K2:K33" si="4">IFERROR(J2/J3-1,"")</f>
        <v>2.8999999999999915E-2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92324002.709086239</v>
      </c>
      <c r="D3" s="11">
        <v>2.9000000000000001E-2</v>
      </c>
      <c r="E3" s="10">
        <f t="shared" si="2"/>
        <v>2601939.8236768693</v>
      </c>
      <c r="F3" s="3"/>
      <c r="G3" s="28"/>
      <c r="H3" s="10"/>
      <c r="I3" s="10">
        <f t="shared" ref="I3:I34" si="5">IF(H3&lt;&gt;"",H3,I2/(1+IF(G2="",0,G2)/100))</f>
        <v>3298</v>
      </c>
      <c r="J3" s="10">
        <f t="shared" si="3"/>
        <v>304484560934.56641</v>
      </c>
      <c r="K3" s="11">
        <f t="shared" si="4"/>
        <v>2.8999999999999915E-2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89722062.88540937</v>
      </c>
      <c r="D4" s="11">
        <v>2.8899999999999999E-2</v>
      </c>
      <c r="E4" s="10">
        <f t="shared" si="2"/>
        <v>2520135.6957802773</v>
      </c>
      <c r="F4" s="3"/>
      <c r="G4" s="28"/>
      <c r="H4" s="10"/>
      <c r="I4" s="10">
        <f t="shared" si="5"/>
        <v>3298</v>
      </c>
      <c r="J4" s="10">
        <f t="shared" si="3"/>
        <v>295903363396.08008</v>
      </c>
      <c r="K4" s="11">
        <f t="shared" si="4"/>
        <v>2.8899999999999926E-2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87201927.189629093</v>
      </c>
      <c r="D5" s="11">
        <v>2.87E-2</v>
      </c>
      <c r="E5" s="10">
        <f t="shared" si="2"/>
        <v>2432871.8871802837</v>
      </c>
      <c r="F5" s="3"/>
      <c r="G5" s="28"/>
      <c r="H5" s="10"/>
      <c r="I5" s="10">
        <f t="shared" si="5"/>
        <v>3298</v>
      </c>
      <c r="J5" s="10">
        <f t="shared" si="3"/>
        <v>287591955871.39673</v>
      </c>
      <c r="K5" s="11">
        <f t="shared" si="4"/>
        <v>2.8699999999999948E-2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84769055.302448809</v>
      </c>
      <c r="D6" s="11">
        <v>2.7900000000000001E-2</v>
      </c>
      <c r="E6" s="10">
        <f t="shared" si="2"/>
        <v>2300862.5770389438</v>
      </c>
      <c r="F6" s="3"/>
      <c r="G6" s="28"/>
      <c r="H6" s="10"/>
      <c r="I6" s="10">
        <f t="shared" si="5"/>
        <v>3298</v>
      </c>
      <c r="J6" s="10">
        <f t="shared" si="3"/>
        <v>279568344387.4762</v>
      </c>
      <c r="K6" s="11">
        <f t="shared" si="4"/>
        <v>2.7900000000000258E-2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82468192.725409865</v>
      </c>
      <c r="D7" s="11">
        <v>2.6800000000000001E-2</v>
      </c>
      <c r="E7" s="10">
        <f t="shared" si="2"/>
        <v>2152461.5943133831</v>
      </c>
      <c r="F7" s="3"/>
      <c r="G7" s="28"/>
      <c r="H7" s="10"/>
      <c r="I7" s="10">
        <f t="shared" si="5"/>
        <v>3298</v>
      </c>
      <c r="J7" s="10">
        <f t="shared" si="3"/>
        <v>271980099608.40173</v>
      </c>
      <c r="K7" s="11">
        <f t="shared" si="4"/>
        <v>2.6799999999999935E-2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80315731.131096482</v>
      </c>
      <c r="D8" s="11">
        <v>2.5899999999999999E-2</v>
      </c>
      <c r="E8" s="10">
        <f t="shared" si="2"/>
        <v>2027661.0159814805</v>
      </c>
      <c r="F8" s="3"/>
      <c r="G8" s="28"/>
      <c r="H8" s="10"/>
      <c r="I8" s="10">
        <f t="shared" si="5"/>
        <v>3298</v>
      </c>
      <c r="J8" s="10">
        <f t="shared" si="3"/>
        <v>264881281270.3562</v>
      </c>
      <c r="K8" s="11">
        <f t="shared" si="4"/>
        <v>2.5900000000000034E-2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78288070.115115002</v>
      </c>
      <c r="D9" s="11">
        <v>2.47E-2</v>
      </c>
      <c r="E9" s="10">
        <f t="shared" si="2"/>
        <v>1887103.8663446307</v>
      </c>
      <c r="F9" s="3"/>
      <c r="G9" s="28"/>
      <c r="H9" s="10"/>
      <c r="I9" s="10">
        <f t="shared" si="5"/>
        <v>3298</v>
      </c>
      <c r="J9" s="10">
        <f t="shared" si="3"/>
        <v>258194055239.64926</v>
      </c>
      <c r="K9" s="11">
        <f t="shared" si="4"/>
        <v>2.4699999999999944E-2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76400966.248770371</v>
      </c>
      <c r="D10" s="11">
        <v>2.3800000000000002E-2</v>
      </c>
      <c r="E10" s="10">
        <f t="shared" si="2"/>
        <v>1776072.4718897641</v>
      </c>
      <c r="F10" s="3"/>
      <c r="G10" s="28"/>
      <c r="H10" s="10"/>
      <c r="I10" s="10">
        <f t="shared" si="5"/>
        <v>3298</v>
      </c>
      <c r="J10" s="10">
        <f t="shared" si="3"/>
        <v>251970386688.44467</v>
      </c>
      <c r="K10" s="11">
        <f t="shared" si="4"/>
        <v>2.3800000000000043E-2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74624893.776880607</v>
      </c>
      <c r="D11" s="11">
        <v>2.35E-2</v>
      </c>
      <c r="E11" s="10">
        <f t="shared" si="2"/>
        <v>1713419.6421658099</v>
      </c>
      <c r="F11" s="3"/>
      <c r="G11" s="28"/>
      <c r="H11" s="10"/>
      <c r="I11" s="10">
        <f t="shared" si="5"/>
        <v>3298</v>
      </c>
      <c r="J11" s="10">
        <f t="shared" si="3"/>
        <v>246112899676.15225</v>
      </c>
      <c r="K11" s="11">
        <f t="shared" si="4"/>
        <v>2.3500000000000298E-2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72911474.134714797</v>
      </c>
      <c r="D12" s="11">
        <v>2.3099999999999999E-2</v>
      </c>
      <c r="E12" s="10">
        <f t="shared" si="2"/>
        <v>1646227.2040972561</v>
      </c>
      <c r="F12" s="3"/>
      <c r="G12" s="28"/>
      <c r="H12" s="10"/>
      <c r="I12" s="10">
        <f t="shared" si="5"/>
        <v>3298</v>
      </c>
      <c r="J12" s="10">
        <f t="shared" si="3"/>
        <v>240462041696.2894</v>
      </c>
      <c r="K12" s="11">
        <f t="shared" si="4"/>
        <v>2.3099999999999898E-2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71265246.930617541</v>
      </c>
      <c r="D13" s="11">
        <v>2.2800000000000001E-2</v>
      </c>
      <c r="E13" s="10">
        <f t="shared" si="2"/>
        <v>1588626.9358800054</v>
      </c>
      <c r="F13" s="3"/>
      <c r="G13" s="28"/>
      <c r="H13" s="10"/>
      <c r="I13" s="10">
        <f t="shared" si="5"/>
        <v>3298</v>
      </c>
      <c r="J13" s="10">
        <f t="shared" si="3"/>
        <v>235032784377.17664</v>
      </c>
      <c r="K13" s="11">
        <f t="shared" si="4"/>
        <v>2.2799999999999931E-2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69676619.994737536</v>
      </c>
      <c r="D14" s="11">
        <v>2.2599999999999999E-2</v>
      </c>
      <c r="E14" s="10">
        <f t="shared" si="2"/>
        <v>1539890.0957178473</v>
      </c>
      <c r="F14" s="3"/>
      <c r="G14" s="28"/>
      <c r="H14" s="10"/>
      <c r="I14" s="10">
        <f t="shared" si="5"/>
        <v>3298</v>
      </c>
      <c r="J14" s="10">
        <f t="shared" si="3"/>
        <v>229793492742.64438</v>
      </c>
      <c r="K14" s="11">
        <f t="shared" si="4"/>
        <v>2.2599999999999953E-2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68136729.899019688</v>
      </c>
      <c r="D15" s="11">
        <v>2.24E-2</v>
      </c>
      <c r="E15" s="10">
        <f t="shared" si="2"/>
        <v>1492823.503264904</v>
      </c>
      <c r="F15" s="3"/>
      <c r="G15" s="28"/>
      <c r="H15" s="10"/>
      <c r="I15" s="10">
        <f t="shared" si="5"/>
        <v>3298</v>
      </c>
      <c r="J15" s="10">
        <f t="shared" si="3"/>
        <v>224714935206.96692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66643906.395754784</v>
      </c>
      <c r="D16" s="11">
        <v>2.23E-2</v>
      </c>
      <c r="E16" s="10">
        <f t="shared" si="2"/>
        <v>1453740.6951240674</v>
      </c>
      <c r="F16" s="3"/>
      <c r="G16" s="28"/>
      <c r="H16" s="10"/>
      <c r="I16" s="10">
        <f t="shared" si="5"/>
        <v>3298</v>
      </c>
      <c r="J16" s="10">
        <f t="shared" si="3"/>
        <v>219791603293.19928</v>
      </c>
      <c r="K16" s="11">
        <f t="shared" si="4"/>
        <v>2.2299999999999986E-2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65190165.700630717</v>
      </c>
      <c r="D17" s="11">
        <v>2.1999999999999999E-2</v>
      </c>
      <c r="E17" s="10">
        <f t="shared" si="2"/>
        <v>1403310.8076456711</v>
      </c>
      <c r="F17" s="3"/>
      <c r="G17" s="28"/>
      <c r="H17" s="10"/>
      <c r="I17" s="10">
        <f t="shared" si="5"/>
        <v>3298</v>
      </c>
      <c r="J17" s="10">
        <f t="shared" si="3"/>
        <v>214997166480.68011</v>
      </c>
      <c r="K17" s="11">
        <f t="shared" si="4"/>
        <v>2.200000000000002E-2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63786854.892985046</v>
      </c>
      <c r="D18" s="11">
        <v>2.2499999999999999E-2</v>
      </c>
      <c r="E18" s="10">
        <f t="shared" si="2"/>
        <v>1403622.7238065153</v>
      </c>
      <c r="F18" s="3"/>
      <c r="G18" s="28"/>
      <c r="H18" s="10"/>
      <c r="I18" s="10">
        <f t="shared" si="5"/>
        <v>3298</v>
      </c>
      <c r="J18" s="10">
        <f t="shared" si="3"/>
        <v>210369047437.06467</v>
      </c>
      <c r="K18" s="11">
        <f t="shared" si="4"/>
        <v>2.2499999999999742E-2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62383232.169178531</v>
      </c>
      <c r="D19" s="11">
        <v>2.2800000000000001E-2</v>
      </c>
      <c r="E19" s="10">
        <f t="shared" si="2"/>
        <v>1390631.2998213395</v>
      </c>
      <c r="F19" s="3"/>
      <c r="G19" s="28"/>
      <c r="H19" s="10"/>
      <c r="I19" s="10">
        <f t="shared" si="5"/>
        <v>3298</v>
      </c>
      <c r="J19" s="10">
        <f t="shared" si="3"/>
        <v>205739899693.95081</v>
      </c>
      <c r="K19" s="11">
        <f t="shared" si="4"/>
        <v>2.2799999999999931E-2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60992600.869357191</v>
      </c>
      <c r="D20" s="11">
        <v>2.7400000000000001E-2</v>
      </c>
      <c r="E20" s="10">
        <f t="shared" si="2"/>
        <v>1626627.6657780707</v>
      </c>
      <c r="F20" s="3"/>
      <c r="G20" s="28"/>
      <c r="H20" s="10"/>
      <c r="I20" s="10">
        <f t="shared" si="5"/>
        <v>3298</v>
      </c>
      <c r="J20" s="10">
        <f t="shared" si="3"/>
        <v>201153597667.14001</v>
      </c>
      <c r="K20" s="11">
        <f t="shared" si="4"/>
        <v>2.7400000000000091E-2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59365973.20357912</v>
      </c>
      <c r="D21" s="11">
        <v>3.2800000000000003E-2</v>
      </c>
      <c r="E21" s="10">
        <f t="shared" si="2"/>
        <v>1885363.9824529365</v>
      </c>
      <c r="F21" s="3"/>
      <c r="G21" s="28"/>
      <c r="H21" s="10"/>
      <c r="I21" s="10">
        <f t="shared" si="5"/>
        <v>3298</v>
      </c>
      <c r="J21" s="10">
        <f t="shared" si="3"/>
        <v>195788979625.40393</v>
      </c>
      <c r="K21" s="11">
        <f t="shared" si="4"/>
        <v>3.279999999999994E-2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57480609.221126184</v>
      </c>
      <c r="D22" s="11">
        <v>5.9799999999999999E-2</v>
      </c>
      <c r="E22" s="10">
        <f t="shared" si="2"/>
        <v>3243385.9515223131</v>
      </c>
      <c r="F22" s="3"/>
      <c r="G22" s="28"/>
      <c r="H22" s="10"/>
      <c r="I22" s="10">
        <f t="shared" si="5"/>
        <v>3298</v>
      </c>
      <c r="J22" s="10">
        <f t="shared" si="3"/>
        <v>189571049211.27414</v>
      </c>
      <c r="K22" s="11">
        <f t="shared" si="4"/>
        <v>5.9799999999999853E-2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54237223.269603871</v>
      </c>
      <c r="D23" s="11">
        <v>6.7599999999999993E-2</v>
      </c>
      <c r="E23" s="10">
        <f t="shared" si="2"/>
        <v>3434279.0305594131</v>
      </c>
      <c r="F23" s="3"/>
      <c r="G23" s="28"/>
      <c r="H23" s="10"/>
      <c r="I23" s="10">
        <f t="shared" si="5"/>
        <v>3298</v>
      </c>
      <c r="J23" s="10">
        <f t="shared" si="3"/>
        <v>178874362343.15356</v>
      </c>
      <c r="K23" s="11">
        <f t="shared" si="4"/>
        <v>6.7600000000000104E-2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50802944.239044458</v>
      </c>
      <c r="D24" s="11">
        <v>3.1699999999999999E-2</v>
      </c>
      <c r="E24" s="10">
        <f t="shared" si="2"/>
        <v>1560970.5654528588</v>
      </c>
      <c r="F24" s="3"/>
      <c r="G24" s="28"/>
      <c r="H24" s="10"/>
      <c r="I24" s="10">
        <f t="shared" si="5"/>
        <v>3298</v>
      </c>
      <c r="J24" s="10">
        <f t="shared" si="3"/>
        <v>167548110100.36862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49241973.673591599</v>
      </c>
      <c r="D25" s="11">
        <v>1.9400000000000001E-2</v>
      </c>
      <c r="E25" s="10">
        <f t="shared" si="2"/>
        <v>937114.27238344401</v>
      </c>
      <c r="F25" s="3"/>
      <c r="G25" s="28"/>
      <c r="H25" s="10"/>
      <c r="I25" s="10">
        <f t="shared" si="5"/>
        <v>3298</v>
      </c>
      <c r="J25" s="10">
        <f t="shared" si="3"/>
        <v>162400029175.5051</v>
      </c>
      <c r="K25" s="11">
        <f t="shared" si="4"/>
        <v>1.9400000000000084E-2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48304859.401208155</v>
      </c>
      <c r="D26" s="11">
        <v>1.95E-2</v>
      </c>
      <c r="E26" s="10">
        <f t="shared" si="2"/>
        <v>923928.1592187956</v>
      </c>
      <c r="F26" s="3"/>
      <c r="G26" s="28"/>
      <c r="H26" s="10"/>
      <c r="I26" s="10">
        <f t="shared" si="5"/>
        <v>3298</v>
      </c>
      <c r="J26" s="10">
        <f t="shared" si="3"/>
        <v>159309426305.18451</v>
      </c>
      <c r="K26" s="11">
        <f t="shared" si="4"/>
        <v>1.9500000000000295E-2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47380931.241989359</v>
      </c>
      <c r="D27" s="11">
        <v>1.44E-2</v>
      </c>
      <c r="E27" s="10">
        <f t="shared" si="2"/>
        <v>672599.97031214833</v>
      </c>
      <c r="F27" s="3"/>
      <c r="G27" s="28"/>
      <c r="H27" s="10"/>
      <c r="I27" s="10">
        <f t="shared" si="5"/>
        <v>3298</v>
      </c>
      <c r="J27" s="10">
        <f t="shared" si="3"/>
        <v>156262311236.0809</v>
      </c>
      <c r="K27" s="11">
        <f t="shared" si="4"/>
        <v>1.4399999999999746E-2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46708331.271677211</v>
      </c>
      <c r="D28" s="11">
        <v>1.6400000000000001E-2</v>
      </c>
      <c r="E28" s="10">
        <f t="shared" si="2"/>
        <v>753656.66357290745</v>
      </c>
      <c r="F28" s="3"/>
      <c r="G28" s="28"/>
      <c r="H28" s="10"/>
      <c r="I28" s="10">
        <f t="shared" si="5"/>
        <v>3298</v>
      </c>
      <c r="J28" s="10">
        <f t="shared" si="3"/>
        <v>154044076533.99146</v>
      </c>
      <c r="K28" s="11">
        <f t="shared" si="4"/>
        <v>1.639999999999997E-2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45954674.608104303</v>
      </c>
      <c r="D29" s="11">
        <v>1.77E-2</v>
      </c>
      <c r="E29" s="10">
        <f t="shared" si="2"/>
        <v>799250.9979006052</v>
      </c>
      <c r="F29" s="3"/>
      <c r="G29" s="28"/>
      <c r="H29" s="10"/>
      <c r="I29" s="10">
        <f t="shared" si="5"/>
        <v>3298</v>
      </c>
      <c r="J29" s="10">
        <f t="shared" si="3"/>
        <v>151558516857.52798</v>
      </c>
      <c r="K29" s="11">
        <f t="shared" si="4"/>
        <v>1.7700000000000049E-2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45155423.610203698</v>
      </c>
      <c r="D30" s="11">
        <v>1.4E-2</v>
      </c>
      <c r="E30" s="10">
        <f t="shared" si="2"/>
        <v>623447.6632572487</v>
      </c>
      <c r="F30" s="3"/>
      <c r="G30" s="28"/>
      <c r="H30" s="10"/>
      <c r="I30" s="10">
        <f t="shared" si="5"/>
        <v>3298</v>
      </c>
      <c r="J30" s="10">
        <f t="shared" si="3"/>
        <v>148922587066.45178</v>
      </c>
      <c r="K30" s="11">
        <f t="shared" si="4"/>
        <v>1.399999999999979E-2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44531975.94694645</v>
      </c>
      <c r="D31" s="13">
        <v>1.7500000000000002E-2</v>
      </c>
      <c r="E31" s="10">
        <f t="shared" si="2"/>
        <v>765906.22021775693</v>
      </c>
      <c r="F31" s="3"/>
      <c r="G31" s="28"/>
      <c r="H31" s="10"/>
      <c r="I31" s="10">
        <f t="shared" si="5"/>
        <v>3298</v>
      </c>
      <c r="J31" s="10">
        <f t="shared" si="3"/>
        <v>146866456673.02939</v>
      </c>
      <c r="K31" s="11">
        <f t="shared" si="4"/>
        <v>1.7500000000000071E-2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43766069.726728693</v>
      </c>
      <c r="D32" s="12">
        <v>1.8700000000000001E-2</v>
      </c>
      <c r="E32" s="10">
        <f t="shared" si="2"/>
        <v>803401.88857349753</v>
      </c>
      <c r="F32" s="3"/>
      <c r="G32" s="28"/>
      <c r="H32" s="10"/>
      <c r="I32" s="10">
        <f t="shared" si="5"/>
        <v>3298</v>
      </c>
      <c r="J32" s="10">
        <f t="shared" si="3"/>
        <v>144340497958.75122</v>
      </c>
      <c r="K32" s="11">
        <f t="shared" si="4"/>
        <v>1.8699999999999717E-2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42962667.838155195</v>
      </c>
      <c r="D33" s="13">
        <v>1.9900000000000001E-2</v>
      </c>
      <c r="E33" s="10">
        <f t="shared" si="2"/>
        <v>838275.40933354944</v>
      </c>
      <c r="F33" s="3"/>
      <c r="G33" s="28"/>
      <c r="H33" s="10"/>
      <c r="I33" s="10">
        <f t="shared" si="5"/>
        <v>3298</v>
      </c>
      <c r="J33" s="10">
        <f t="shared" si="3"/>
        <v>141690878530.23584</v>
      </c>
      <c r="K33" s="11">
        <f t="shared" si="4"/>
        <v>1.9900000000000029E-2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42124392.428821646</v>
      </c>
      <c r="D34" s="12">
        <v>2.0899999999999998E-2</v>
      </c>
      <c r="E34" s="10">
        <f t="shared" si="2"/>
        <v>862376.14042743295</v>
      </c>
      <c r="F34" s="3"/>
      <c r="G34" s="28"/>
      <c r="H34" s="10"/>
      <c r="I34" s="10">
        <f t="shared" si="5"/>
        <v>3298</v>
      </c>
      <c r="J34" s="10">
        <f t="shared" ref="J34:J65" si="6">IF(I34="","",I34*C34)</f>
        <v>138926246230.25378</v>
      </c>
      <c r="K34" s="11">
        <f t="shared" ref="K34:K65" si="7">IFERROR(J34/J35-1,"")</f>
        <v>2.0899999999999919E-2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41262016.288394213</v>
      </c>
      <c r="D35" s="11">
        <v>2.1899999999999999E-2</v>
      </c>
      <c r="E35" s="10">
        <f t="shared" si="2"/>
        <v>884272.58705923706</v>
      </c>
      <c r="F35" s="3"/>
      <c r="G35" s="28"/>
      <c r="H35" s="10"/>
      <c r="I35" s="10">
        <f t="shared" ref="I35:I66" si="8">IF(H35&lt;&gt;"",H35,I34/(1+IF(G34="",0,G34)/100))</f>
        <v>3298</v>
      </c>
      <c r="J35" s="10">
        <f t="shared" si="6"/>
        <v>136082129719.12411</v>
      </c>
      <c r="K35" s="11">
        <f t="shared" si="7"/>
        <v>2.1900000000000031E-2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40377743.701334976</v>
      </c>
      <c r="D36" s="11">
        <v>2.0299999999999999E-2</v>
      </c>
      <c r="E36" s="10">
        <f t="shared" si="2"/>
        <v>803359.98935323209</v>
      </c>
      <c r="F36" s="3"/>
      <c r="G36" s="28"/>
      <c r="H36" s="10"/>
      <c r="I36" s="10">
        <f t="shared" si="8"/>
        <v>3298</v>
      </c>
      <c r="J36" s="10">
        <f t="shared" si="6"/>
        <v>133165798727.00275</v>
      </c>
      <c r="K36" s="11">
        <f t="shared" si="7"/>
        <v>2.0299999999999985E-2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39574383.711981744</v>
      </c>
      <c r="D37" s="11">
        <v>2.75E-2</v>
      </c>
      <c r="E37" s="10">
        <f t="shared" si="2"/>
        <v>1059168.4205153286</v>
      </c>
      <c r="F37" s="3"/>
      <c r="G37" s="28"/>
      <c r="H37" s="10"/>
      <c r="I37" s="10">
        <f t="shared" si="8"/>
        <v>3298</v>
      </c>
      <c r="J37" s="10">
        <f t="shared" si="6"/>
        <v>130516317482.11578</v>
      </c>
      <c r="K37" s="11">
        <f t="shared" si="7"/>
        <v>2.750000000000008E-2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38515215.291466415</v>
      </c>
      <c r="D38" s="11">
        <v>3.7900000000000003E-2</v>
      </c>
      <c r="E38" s="10">
        <f t="shared" si="2"/>
        <v>1406423.2195265219</v>
      </c>
      <c r="F38" s="3"/>
      <c r="G38" s="28"/>
      <c r="H38" s="10"/>
      <c r="I38" s="10">
        <f t="shared" si="8"/>
        <v>3298</v>
      </c>
      <c r="J38" s="10">
        <f t="shared" si="6"/>
        <v>127023180031.25624</v>
      </c>
      <c r="K38" s="11">
        <f t="shared" si="7"/>
        <v>3.7900000000000045E-2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37108792.071939893</v>
      </c>
      <c r="D39" s="11">
        <v>3.7699999999999997E-2</v>
      </c>
      <c r="E39" s="10">
        <f t="shared" si="2"/>
        <v>1348175.2540350184</v>
      </c>
      <c r="F39" s="3"/>
      <c r="G39" s="28"/>
      <c r="H39" s="10"/>
      <c r="I39" s="10">
        <f t="shared" si="8"/>
        <v>3298</v>
      </c>
      <c r="J39" s="10">
        <f t="shared" si="6"/>
        <v>122384796253.25777</v>
      </c>
      <c r="K39" s="11">
        <f t="shared" si="7"/>
        <v>3.7700000000000067E-2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35760616.817904875</v>
      </c>
      <c r="D40" s="11">
        <v>3.56E-2</v>
      </c>
      <c r="E40" s="10">
        <f t="shared" si="2"/>
        <v>1229314.3672435433</v>
      </c>
      <c r="F40" s="3"/>
      <c r="G40" s="28"/>
      <c r="H40" s="10"/>
      <c r="I40" s="10">
        <f t="shared" si="8"/>
        <v>3298</v>
      </c>
      <c r="J40" s="10">
        <f t="shared" si="6"/>
        <v>117938514265.45027</v>
      </c>
      <c r="K40" s="11">
        <f t="shared" si="7"/>
        <v>3.5600000000000076E-2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34531302.450661331</v>
      </c>
      <c r="D41" s="11">
        <v>3.3599999999999998E-2</v>
      </c>
      <c r="E41" s="10">
        <f t="shared" si="2"/>
        <v>1122534.5997892991</v>
      </c>
      <c r="F41" s="3"/>
      <c r="G41" s="28"/>
      <c r="H41" s="10"/>
      <c r="I41" s="10">
        <f t="shared" si="8"/>
        <v>3298</v>
      </c>
      <c r="J41" s="10">
        <f t="shared" si="6"/>
        <v>113884235482.28107</v>
      </c>
      <c r="K41" s="11">
        <f t="shared" si="7"/>
        <v>3.3599999999999852E-2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33408767.850872032</v>
      </c>
      <c r="D42" s="11">
        <v>3.2500000000000001E-2</v>
      </c>
      <c r="E42" s="10">
        <f t="shared" si="2"/>
        <v>1051607.7047489993</v>
      </c>
      <c r="F42" s="3"/>
      <c r="G42" s="28"/>
      <c r="H42" s="10"/>
      <c r="I42" s="10">
        <f t="shared" si="8"/>
        <v>3298</v>
      </c>
      <c r="J42" s="10">
        <f t="shared" si="6"/>
        <v>110182116372.17596</v>
      </c>
      <c r="K42" s="11">
        <f t="shared" si="7"/>
        <v>3.2500000000000195E-2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32357160.146123033</v>
      </c>
      <c r="D43" s="11">
        <v>3.1E-2</v>
      </c>
      <c r="E43" s="10">
        <f t="shared" si="2"/>
        <v>972911.70177479461</v>
      </c>
      <c r="F43" s="3"/>
      <c r="G43" s="28"/>
      <c r="H43" s="10"/>
      <c r="I43" s="10">
        <f t="shared" si="8"/>
        <v>3298</v>
      </c>
      <c r="J43" s="10">
        <f t="shared" si="6"/>
        <v>106713914161.91376</v>
      </c>
      <c r="K43" s="11">
        <f t="shared" si="7"/>
        <v>3.0999999999999917E-2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31384248.444348238</v>
      </c>
      <c r="D44" s="11">
        <v>2.9600000000000001E-2</v>
      </c>
      <c r="E44" s="10">
        <f t="shared" si="2"/>
        <v>902266.66079322994</v>
      </c>
      <c r="F44" s="3"/>
      <c r="G44" s="28"/>
      <c r="H44" s="10"/>
      <c r="I44" s="10">
        <f t="shared" si="8"/>
        <v>3298</v>
      </c>
      <c r="J44" s="10">
        <f t="shared" si="6"/>
        <v>103505251369.46049</v>
      </c>
      <c r="K44" s="11">
        <f t="shared" si="7"/>
        <v>2.9600000000000071E-2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30481981.783555008</v>
      </c>
      <c r="D45" s="11">
        <v>2.76E-2</v>
      </c>
      <c r="E45" s="10">
        <f t="shared" si="2"/>
        <v>818706.40057037771</v>
      </c>
      <c r="F45" s="3"/>
      <c r="G45" s="28"/>
      <c r="H45" s="10"/>
      <c r="I45" s="10">
        <f t="shared" si="8"/>
        <v>3298</v>
      </c>
      <c r="J45" s="10">
        <f t="shared" si="6"/>
        <v>100529575922.16441</v>
      </c>
      <c r="K45" s="11">
        <f t="shared" si="7"/>
        <v>2.7600000000000069E-2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29663275.382984631</v>
      </c>
      <c r="D46" s="11">
        <v>2.46E-2</v>
      </c>
      <c r="E46" s="10">
        <f t="shared" si="2"/>
        <v>712196.53954852745</v>
      </c>
      <c r="F46" s="3"/>
      <c r="G46" s="28"/>
      <c r="H46" s="10"/>
      <c r="I46" s="10">
        <f t="shared" si="8"/>
        <v>3298</v>
      </c>
      <c r="J46" s="10">
        <f t="shared" si="6"/>
        <v>97829482213.083313</v>
      </c>
      <c r="K46" s="11">
        <f t="shared" si="7"/>
        <v>2.4599999999999955E-2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28951078.843436103</v>
      </c>
      <c r="D47" s="11">
        <v>2.2499999999999999E-2</v>
      </c>
      <c r="E47" s="10">
        <f t="shared" si="2"/>
        <v>637065.30462328717</v>
      </c>
      <c r="F47" s="3"/>
      <c r="G47" s="28"/>
      <c r="H47" s="10"/>
      <c r="I47" s="10">
        <f t="shared" si="8"/>
        <v>3298</v>
      </c>
      <c r="J47" s="10">
        <f t="shared" si="6"/>
        <v>95480658025.652267</v>
      </c>
      <c r="K47" s="11">
        <f t="shared" si="7"/>
        <v>2.2499999999999964E-2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28314013.538812816</v>
      </c>
      <c r="D48" s="11">
        <v>2.18E-2</v>
      </c>
      <c r="E48" s="10">
        <f t="shared" si="2"/>
        <v>604076.62472707033</v>
      </c>
      <c r="F48" s="3"/>
      <c r="G48" s="28"/>
      <c r="H48" s="10"/>
      <c r="I48" s="10">
        <f t="shared" si="8"/>
        <v>3298</v>
      </c>
      <c r="J48" s="10">
        <f t="shared" si="6"/>
        <v>93379616651.004669</v>
      </c>
      <c r="K48" s="11">
        <f t="shared" si="7"/>
        <v>2.1800000000000042E-2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27709936.914085746</v>
      </c>
      <c r="D49" s="11">
        <v>2.1499999999999998E-2</v>
      </c>
      <c r="E49" s="10">
        <f t="shared" si="2"/>
        <v>583224.32075658068</v>
      </c>
      <c r="F49" s="3"/>
      <c r="G49" s="28"/>
      <c r="H49" s="10"/>
      <c r="I49" s="10">
        <f t="shared" si="8"/>
        <v>3298</v>
      </c>
      <c r="J49" s="10">
        <f t="shared" si="6"/>
        <v>91387371942.654785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27126712.593329165</v>
      </c>
      <c r="D50" s="11">
        <v>2.1100000000000001E-2</v>
      </c>
      <c r="E50" s="10">
        <f t="shared" si="2"/>
        <v>560546.11274041981</v>
      </c>
      <c r="F50" s="3"/>
      <c r="G50" s="28"/>
      <c r="H50" s="10"/>
      <c r="I50" s="10">
        <f t="shared" si="8"/>
        <v>3298</v>
      </c>
      <c r="J50" s="10">
        <f t="shared" si="6"/>
        <v>89463898132.799591</v>
      </c>
      <c r="K50" s="11">
        <f t="shared" si="7"/>
        <v>2.1099999999999897E-2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26566166.480588745</v>
      </c>
      <c r="D51" s="11">
        <v>2.0899999999999998E-2</v>
      </c>
      <c r="E51" s="10">
        <f t="shared" si="2"/>
        <v>543866.07840562612</v>
      </c>
      <c r="F51" s="3"/>
      <c r="G51" s="28"/>
      <c r="H51" s="10"/>
      <c r="I51" s="10">
        <f t="shared" si="8"/>
        <v>3298</v>
      </c>
      <c r="J51" s="10">
        <f t="shared" si="6"/>
        <v>87615217052.981689</v>
      </c>
      <c r="K51" s="11">
        <f t="shared" si="7"/>
        <v>2.0899999999999919E-2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26022300.402183119</v>
      </c>
      <c r="D52" s="11">
        <v>2.06E-2</v>
      </c>
      <c r="E52" s="10">
        <f t="shared" si="2"/>
        <v>525239.45550163835</v>
      </c>
      <c r="F52" s="3"/>
      <c r="G52" s="28"/>
      <c r="H52" s="10"/>
      <c r="I52" s="10">
        <f t="shared" si="8"/>
        <v>3298</v>
      </c>
      <c r="J52" s="10">
        <f t="shared" si="6"/>
        <v>85821546726.399933</v>
      </c>
      <c r="K52" s="11">
        <f t="shared" si="7"/>
        <v>2.0600000000000174E-2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25497060.946681481</v>
      </c>
      <c r="D53" s="11">
        <v>2.0199999999999999E-2</v>
      </c>
      <c r="E53" s="10">
        <f t="shared" si="2"/>
        <v>504842.8064330183</v>
      </c>
      <c r="F53" s="3"/>
      <c r="G53" s="28"/>
      <c r="H53" s="10"/>
      <c r="I53" s="10">
        <f t="shared" si="8"/>
        <v>3298</v>
      </c>
      <c r="J53" s="10">
        <f t="shared" si="6"/>
        <v>84089307002.155518</v>
      </c>
      <c r="K53" s="11">
        <f t="shared" si="7"/>
        <v>2.0199999999999996E-2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24992218.140248463</v>
      </c>
      <c r="D54" s="11">
        <v>0.02</v>
      </c>
      <c r="E54" s="10">
        <f t="shared" si="2"/>
        <v>490043.49294604734</v>
      </c>
      <c r="F54" s="3"/>
      <c r="G54" s="28"/>
      <c r="H54" s="10"/>
      <c r="I54" s="10">
        <f t="shared" si="8"/>
        <v>3298</v>
      </c>
      <c r="J54" s="10">
        <f t="shared" si="6"/>
        <v>82424335426.539429</v>
      </c>
      <c r="K54" s="11">
        <f t="shared" si="7"/>
        <v>2.0000000000000018E-2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24502174.647302415</v>
      </c>
      <c r="D55" s="11">
        <v>1.95E-2</v>
      </c>
      <c r="E55" s="10">
        <f t="shared" si="2"/>
        <v>468653.65926669911</v>
      </c>
      <c r="F55" s="3"/>
      <c r="G55" s="28"/>
      <c r="H55" s="10"/>
      <c r="I55" s="10">
        <f t="shared" si="8"/>
        <v>3298</v>
      </c>
      <c r="J55" s="10">
        <f t="shared" si="6"/>
        <v>80808171986.80336</v>
      </c>
      <c r="K55" s="11">
        <f t="shared" si="7"/>
        <v>1.9500000000000073E-2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24033520.988035716</v>
      </c>
      <c r="D56" s="11">
        <v>1.7899999999999999E-2</v>
      </c>
      <c r="E56" s="10">
        <f t="shared" si="2"/>
        <v>422634.86166208982</v>
      </c>
      <c r="F56" s="3"/>
      <c r="G56" s="28"/>
      <c r="H56" s="10"/>
      <c r="I56" s="10">
        <f t="shared" si="8"/>
        <v>3298</v>
      </c>
      <c r="J56" s="10">
        <f t="shared" si="6"/>
        <v>79262552218.541794</v>
      </c>
      <c r="K56" s="11">
        <f t="shared" si="7"/>
        <v>1.7900000000000249E-2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23610886.126373626</v>
      </c>
      <c r="D57" s="11">
        <v>1.78E-2</v>
      </c>
      <c r="E57" s="10">
        <f t="shared" si="2"/>
        <v>412923.73064398766</v>
      </c>
      <c r="F57" s="3"/>
      <c r="G57" s="28"/>
      <c r="H57" s="10"/>
      <c r="I57" s="10">
        <f t="shared" si="8"/>
        <v>3298</v>
      </c>
      <c r="J57" s="10">
        <f t="shared" si="6"/>
        <v>77868702444.780212</v>
      </c>
      <c r="K57" s="11">
        <f t="shared" si="7"/>
        <v>1.7799999999999816E-2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23197962.395729639</v>
      </c>
      <c r="D58" s="11">
        <v>1.7500000000000002E-2</v>
      </c>
      <c r="E58" s="10">
        <f t="shared" si="2"/>
        <v>398982.15422631055</v>
      </c>
      <c r="F58" s="3"/>
      <c r="G58" s="28"/>
      <c r="H58" s="10"/>
      <c r="I58" s="10">
        <f t="shared" si="8"/>
        <v>3298</v>
      </c>
      <c r="J58" s="10">
        <f t="shared" si="6"/>
        <v>76506879981.116348</v>
      </c>
      <c r="K58" s="11">
        <f t="shared" si="7"/>
        <v>1.7500000000000071E-2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22798980.241503328</v>
      </c>
      <c r="D59" s="11">
        <v>1.7000000000000001E-2</v>
      </c>
      <c r="E59" s="10">
        <f t="shared" si="2"/>
        <v>381103.89784223586</v>
      </c>
      <c r="F59" s="3"/>
      <c r="G59" s="28"/>
      <c r="H59" s="10"/>
      <c r="I59" s="10">
        <f t="shared" si="8"/>
        <v>3298</v>
      </c>
      <c r="J59" s="10">
        <f t="shared" si="6"/>
        <v>75191036836.477982</v>
      </c>
      <c r="K59" s="11">
        <f t="shared" si="7"/>
        <v>1.6999999999999904E-2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22417876.343661092</v>
      </c>
      <c r="D60" s="11">
        <v>1.7000000000000001E-2</v>
      </c>
      <c r="E60" s="10">
        <f t="shared" si="2"/>
        <v>374733.42954005674</v>
      </c>
      <c r="F60" s="3"/>
      <c r="G60" s="28"/>
      <c r="H60" s="10"/>
      <c r="I60" s="10">
        <f t="shared" si="8"/>
        <v>3298</v>
      </c>
      <c r="J60" s="10">
        <f t="shared" si="6"/>
        <v>73934156181.394287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22043142.914121035</v>
      </c>
      <c r="D61" s="11">
        <v>1.7000000000000001E-2</v>
      </c>
      <c r="E61" s="10">
        <f t="shared" si="2"/>
        <v>368469.44890860841</v>
      </c>
      <c r="F61" s="3"/>
      <c r="G61" s="28"/>
      <c r="H61" s="10"/>
      <c r="I61" s="10">
        <f t="shared" si="8"/>
        <v>3298</v>
      </c>
      <c r="J61" s="10">
        <f t="shared" si="6"/>
        <v>72698285330.771179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21674673.465212427</v>
      </c>
      <c r="D62" s="11">
        <v>1.7000000000000001E-2</v>
      </c>
      <c r="E62" s="10">
        <f t="shared" si="2"/>
        <v>362310.17591800168</v>
      </c>
      <c r="F62" s="3"/>
      <c r="G62" s="28"/>
      <c r="H62" s="10"/>
      <c r="I62" s="10">
        <f t="shared" si="8"/>
        <v>3298</v>
      </c>
      <c r="J62" s="10">
        <f t="shared" si="6"/>
        <v>71483073088.270584</v>
      </c>
      <c r="K62" s="11">
        <f t="shared" si="7"/>
        <v>1.6999999999999682E-2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21312363.289294425</v>
      </c>
      <c r="D63" s="11">
        <v>1.6500000000000001E-2</v>
      </c>
      <c r="E63" s="10">
        <f t="shared" si="2"/>
        <v>345945.88713562116</v>
      </c>
      <c r="F63" s="3"/>
      <c r="G63" s="28"/>
      <c r="H63" s="10"/>
      <c r="I63" s="10">
        <f t="shared" si="8"/>
        <v>3298</v>
      </c>
      <c r="J63" s="10">
        <f t="shared" si="6"/>
        <v>70288174128.093018</v>
      </c>
      <c r="K63" s="11">
        <f t="shared" si="7"/>
        <v>1.6500000000000181E-2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20966417.402158804</v>
      </c>
      <c r="D64" s="11">
        <v>1.6500000000000001E-2</v>
      </c>
      <c r="E64" s="10">
        <f t="shared" si="2"/>
        <v>340330.43495880067</v>
      </c>
      <c r="F64" s="3"/>
      <c r="G64" s="28"/>
      <c r="H64" s="10"/>
      <c r="I64" s="10">
        <f t="shared" si="8"/>
        <v>3298</v>
      </c>
      <c r="J64" s="10">
        <f t="shared" si="6"/>
        <v>69147244592.319733</v>
      </c>
      <c r="K64" s="11">
        <f t="shared" si="7"/>
        <v>1.6499999999999959E-2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20626086.967200004</v>
      </c>
      <c r="D65" s="11">
        <v>1.6E-2</v>
      </c>
      <c r="E65" s="10">
        <f t="shared" si="2"/>
        <v>324820.26720000058</v>
      </c>
      <c r="F65" s="3"/>
      <c r="G65" s="28"/>
      <c r="H65" s="10"/>
      <c r="I65" s="10">
        <f t="shared" si="8"/>
        <v>3298</v>
      </c>
      <c r="J65" s="10">
        <f t="shared" si="6"/>
        <v>68024834817.825615</v>
      </c>
      <c r="K65" s="11">
        <f t="shared" si="7"/>
        <v>1.6000000000000236E-2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20301266.700000003</v>
      </c>
      <c r="D66" s="11">
        <v>1.55E-2</v>
      </c>
      <c r="E66" s="10">
        <f t="shared" si="2"/>
        <v>309866.70000000298</v>
      </c>
      <c r="F66" s="3"/>
      <c r="G66" s="28"/>
      <c r="H66" s="10"/>
      <c r="I66" s="10">
        <f t="shared" si="8"/>
        <v>3298</v>
      </c>
      <c r="J66" s="10">
        <f t="shared" ref="J66:J67" si="9">IF(I66="","",I66*C66)</f>
        <v>66953577576.600006</v>
      </c>
      <c r="K66" s="11">
        <f t="shared" ref="K66" si="10">IFERROR(J66/J67-1,"")</f>
        <v>1.5500000000000069E-2</v>
      </c>
    </row>
    <row r="67" spans="1:11" ht="22.5" customHeight="1">
      <c r="A67" s="3">
        <f t="shared" si="0"/>
        <v>1950</v>
      </c>
      <c r="B67" s="3">
        <v>1700</v>
      </c>
      <c r="C67" s="10">
        <v>19991400</v>
      </c>
      <c r="D67" s="11">
        <v>1.4999999999999999E-2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3298</v>
      </c>
      <c r="J67" s="10">
        <f t="shared" si="9"/>
        <v>65931637200</v>
      </c>
      <c r="K67" s="11"/>
    </row>
  </sheetData>
  <dataValidations count="1">
    <dataValidation type="custom" allowBlank="1" showDropDown="1" sqref="D2:D67" xr:uid="{00000000-0002-0000-1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137997507.0137313</v>
      </c>
      <c r="D2" s="11">
        <v>1.06E-2</v>
      </c>
      <c r="E2" s="10">
        <f t="shared" ref="E2:E66" si="2">SUM(C2-C3)</f>
        <v>1447430.8077830374</v>
      </c>
      <c r="F2" s="15">
        <v>137992639</v>
      </c>
      <c r="G2" s="28"/>
      <c r="H2" s="10"/>
      <c r="I2" s="10">
        <f>IF(H2&lt;&gt;"",H2,4921)</f>
        <v>4921</v>
      </c>
      <c r="J2" s="10">
        <f t="shared" ref="J2:J33" si="3">IF(I2="","",I2*C2)</f>
        <v>679085732014.57178</v>
      </c>
      <c r="K2" s="11">
        <f t="shared" ref="K2:K33" si="4">IFERROR(J2/J3-1,"")</f>
        <v>1.0599999999999943E-2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136550076.20594826</v>
      </c>
      <c r="D3" s="11">
        <v>1.01E-2</v>
      </c>
      <c r="E3" s="10">
        <f t="shared" si="2"/>
        <v>1365365.5773488581</v>
      </c>
      <c r="F3" s="3"/>
      <c r="G3" s="28"/>
      <c r="H3" s="10"/>
      <c r="I3" s="10">
        <f t="shared" ref="I3:I34" si="5">IF(H3&lt;&gt;"",H3,I2/(1+IF(G2="",0,G2)/100))</f>
        <v>4921</v>
      </c>
      <c r="J3" s="10">
        <f t="shared" si="3"/>
        <v>671962925009.47144</v>
      </c>
      <c r="K3" s="11">
        <f t="shared" si="4"/>
        <v>1.010000000000022E-2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135184710.62859941</v>
      </c>
      <c r="D4" s="11">
        <v>0.01</v>
      </c>
      <c r="E4" s="10">
        <f t="shared" si="2"/>
        <v>1338462.4814712852</v>
      </c>
      <c r="F4" s="3"/>
      <c r="G4" s="28"/>
      <c r="H4" s="10"/>
      <c r="I4" s="10">
        <f t="shared" si="5"/>
        <v>4921</v>
      </c>
      <c r="J4" s="10">
        <f t="shared" si="3"/>
        <v>665243961003.33765</v>
      </c>
      <c r="K4" s="11">
        <f t="shared" si="4"/>
        <v>1.0000000000000009E-2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133846248.14712812</v>
      </c>
      <c r="D5" s="11">
        <v>1.09E-2</v>
      </c>
      <c r="E5" s="10">
        <f t="shared" si="2"/>
        <v>1443193.2978570461</v>
      </c>
      <c r="F5" s="3"/>
      <c r="G5" s="28"/>
      <c r="H5" s="10"/>
      <c r="I5" s="10">
        <f t="shared" si="5"/>
        <v>4921</v>
      </c>
      <c r="J5" s="10">
        <f t="shared" si="3"/>
        <v>658657387132.01746</v>
      </c>
      <c r="K5" s="11">
        <f t="shared" si="4"/>
        <v>1.089999999999991E-2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132403054.84927107</v>
      </c>
      <c r="D6" s="11">
        <v>1.03E-2</v>
      </c>
      <c r="E6" s="10">
        <f t="shared" si="2"/>
        <v>1349848.0302360505</v>
      </c>
      <c r="F6" s="3"/>
      <c r="G6" s="28"/>
      <c r="H6" s="10"/>
      <c r="I6" s="10">
        <f t="shared" si="5"/>
        <v>4921</v>
      </c>
      <c r="J6" s="10">
        <f t="shared" si="3"/>
        <v>651555432913.26294</v>
      </c>
      <c r="K6" s="11">
        <f t="shared" si="4"/>
        <v>1.0299999999999976E-2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131053206.81903502</v>
      </c>
      <c r="D7" s="11">
        <v>1.1399999999999999E-2</v>
      </c>
      <c r="E7" s="10">
        <f t="shared" si="2"/>
        <v>1477166.8555833548</v>
      </c>
      <c r="F7" s="3"/>
      <c r="G7" s="28"/>
      <c r="H7" s="10"/>
      <c r="I7" s="10">
        <f t="shared" si="5"/>
        <v>4921</v>
      </c>
      <c r="J7" s="10">
        <f t="shared" si="3"/>
        <v>644912830756.47131</v>
      </c>
      <c r="K7" s="11">
        <f t="shared" si="4"/>
        <v>1.1400000000000077E-2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129576039.96345167</v>
      </c>
      <c r="D8" s="11">
        <v>1.0500000000000001E-2</v>
      </c>
      <c r="E8" s="10">
        <f t="shared" si="2"/>
        <v>1346411.1030343771</v>
      </c>
      <c r="F8" s="3"/>
      <c r="G8" s="28"/>
      <c r="H8" s="10"/>
      <c r="I8" s="10">
        <f t="shared" si="5"/>
        <v>4921</v>
      </c>
      <c r="J8" s="10">
        <f t="shared" si="3"/>
        <v>637643692660.14563</v>
      </c>
      <c r="K8" s="11">
        <f t="shared" si="4"/>
        <v>1.0499999999999954E-2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128229628.86041729</v>
      </c>
      <c r="D9" s="11">
        <v>9.8000000000000014E-3</v>
      </c>
      <c r="E9" s="10">
        <f t="shared" si="2"/>
        <v>1244454.7067063749</v>
      </c>
      <c r="F9" s="3"/>
      <c r="G9" s="28"/>
      <c r="H9" s="10"/>
      <c r="I9" s="10">
        <f t="shared" si="5"/>
        <v>4921</v>
      </c>
      <c r="J9" s="10">
        <f t="shared" si="3"/>
        <v>631018003622.11353</v>
      </c>
      <c r="K9" s="11">
        <f t="shared" si="4"/>
        <v>9.800000000000253E-3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126985174.15371092</v>
      </c>
      <c r="D10" s="11">
        <v>9.1999999999999981E-3</v>
      </c>
      <c r="E10" s="10">
        <f t="shared" si="2"/>
        <v>1157613.5574852824</v>
      </c>
      <c r="F10" s="3"/>
      <c r="G10" s="28"/>
      <c r="H10" s="10"/>
      <c r="I10" s="10">
        <f t="shared" si="5"/>
        <v>4921</v>
      </c>
      <c r="J10" s="10">
        <f t="shared" si="3"/>
        <v>624894042010.41138</v>
      </c>
      <c r="K10" s="11">
        <f t="shared" si="4"/>
        <v>9.1999999999998749E-3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125827560.59622563</v>
      </c>
      <c r="D11" s="11">
        <v>8.9999999999999993E-3</v>
      </c>
      <c r="E11" s="10">
        <f t="shared" si="2"/>
        <v>1122346.9230584949</v>
      </c>
      <c r="F11" s="3"/>
      <c r="G11" s="28"/>
      <c r="H11" s="10"/>
      <c r="I11" s="10">
        <f t="shared" si="5"/>
        <v>4921</v>
      </c>
      <c r="J11" s="10">
        <f t="shared" si="3"/>
        <v>619197425694.02637</v>
      </c>
      <c r="K11" s="11">
        <f t="shared" si="4"/>
        <v>8.999999999999897E-3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124705213.67316714</v>
      </c>
      <c r="D12" s="11">
        <v>9.5999999999999992E-3</v>
      </c>
      <c r="E12" s="10">
        <f t="shared" si="2"/>
        <v>1185786.5008542091</v>
      </c>
      <c r="F12" s="3"/>
      <c r="G12" s="28"/>
      <c r="H12" s="10"/>
      <c r="I12" s="10">
        <f t="shared" si="5"/>
        <v>4921</v>
      </c>
      <c r="J12" s="10">
        <f t="shared" si="3"/>
        <v>613674356485.65552</v>
      </c>
      <c r="K12" s="11">
        <f t="shared" si="4"/>
        <v>9.6000000000000529E-3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123519427.17231293</v>
      </c>
      <c r="D13" s="11">
        <v>9.5999999999999992E-3</v>
      </c>
      <c r="E13" s="10">
        <f t="shared" si="2"/>
        <v>1174511.1933975965</v>
      </c>
      <c r="F13" s="3"/>
      <c r="G13" s="28"/>
      <c r="H13" s="10"/>
      <c r="I13" s="10">
        <f t="shared" si="5"/>
        <v>4921</v>
      </c>
      <c r="J13" s="10">
        <f t="shared" si="3"/>
        <v>607839101114.9519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122344915.97891533</v>
      </c>
      <c r="D14" s="11">
        <v>9.1999999999999981E-3</v>
      </c>
      <c r="E14" s="10">
        <f t="shared" si="2"/>
        <v>1115312.3533551693</v>
      </c>
      <c r="F14" s="3"/>
      <c r="G14" s="28"/>
      <c r="H14" s="10"/>
      <c r="I14" s="10">
        <f t="shared" si="5"/>
        <v>4921</v>
      </c>
      <c r="J14" s="10">
        <f t="shared" si="3"/>
        <v>602059331532.24231</v>
      </c>
      <c r="K14" s="11">
        <f t="shared" si="4"/>
        <v>9.200000000000097E-3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121229603.62556016</v>
      </c>
      <c r="D15" s="11">
        <v>9.1999999999999981E-3</v>
      </c>
      <c r="E15" s="10">
        <f t="shared" si="2"/>
        <v>1105145.0191787183</v>
      </c>
      <c r="F15" s="3"/>
      <c r="G15" s="28"/>
      <c r="H15" s="10"/>
      <c r="I15" s="10">
        <f t="shared" si="5"/>
        <v>4921</v>
      </c>
      <c r="J15" s="10">
        <f t="shared" si="3"/>
        <v>596570879441.38159</v>
      </c>
      <c r="K15" s="11">
        <f t="shared" si="4"/>
        <v>9.200000000000097E-3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120124458.60638145</v>
      </c>
      <c r="D16" s="11">
        <v>9.300000000000001E-3</v>
      </c>
      <c r="E16" s="10">
        <f t="shared" si="2"/>
        <v>1106863.6332501322</v>
      </c>
      <c r="F16" s="3"/>
      <c r="G16" s="28"/>
      <c r="H16" s="10"/>
      <c r="I16" s="10">
        <f t="shared" si="5"/>
        <v>4921</v>
      </c>
      <c r="J16" s="10">
        <f t="shared" si="3"/>
        <v>591132460802.00305</v>
      </c>
      <c r="K16" s="11">
        <f t="shared" si="4"/>
        <v>9.300000000000086E-3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119017594.97313131</v>
      </c>
      <c r="D17" s="11">
        <v>2.2000000000000006E-3</v>
      </c>
      <c r="E17" s="10">
        <f t="shared" si="2"/>
        <v>261263.92829862237</v>
      </c>
      <c r="F17" s="3"/>
      <c r="G17" s="28"/>
      <c r="H17" s="10"/>
      <c r="I17" s="10">
        <f t="shared" si="5"/>
        <v>4921</v>
      </c>
      <c r="J17" s="10">
        <f t="shared" si="3"/>
        <v>585685584862.77917</v>
      </c>
      <c r="K17" s="11">
        <f t="shared" si="4"/>
        <v>2.1999999999997577E-3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118756331.04483269</v>
      </c>
      <c r="D18" s="11">
        <v>-4.8000000000000004E-3</v>
      </c>
      <c r="E18" s="10">
        <f t="shared" si="2"/>
        <v>-572779.73172749579</v>
      </c>
      <c r="F18" s="3"/>
      <c r="G18" s="28"/>
      <c r="H18" s="10"/>
      <c r="I18" s="10">
        <f t="shared" si="5"/>
        <v>4921</v>
      </c>
      <c r="J18" s="10">
        <f t="shared" si="3"/>
        <v>584399905071.6217</v>
      </c>
      <c r="K18" s="11">
        <f t="shared" si="4"/>
        <v>-4.7999999999999154E-3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119329110.77656019</v>
      </c>
      <c r="D19" s="11">
        <v>-4.1000000000000003E-3</v>
      </c>
      <c r="E19" s="10">
        <f t="shared" si="2"/>
        <v>-491263.53467607498</v>
      </c>
      <c r="F19" s="3"/>
      <c r="G19" s="28"/>
      <c r="H19" s="10"/>
      <c r="I19" s="10">
        <f t="shared" si="5"/>
        <v>4921</v>
      </c>
      <c r="J19" s="10">
        <f t="shared" si="3"/>
        <v>587218554131.45264</v>
      </c>
      <c r="K19" s="11">
        <f t="shared" si="4"/>
        <v>-4.1000000000001036E-3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119820374.31123626</v>
      </c>
      <c r="D20" s="11">
        <v>-2E-3</v>
      </c>
      <c r="E20" s="10">
        <f t="shared" si="2"/>
        <v>-240120.99060368538</v>
      </c>
      <c r="F20" s="3"/>
      <c r="G20" s="28"/>
      <c r="H20" s="10"/>
      <c r="I20" s="10">
        <f t="shared" si="5"/>
        <v>4921</v>
      </c>
      <c r="J20" s="10">
        <f t="shared" si="3"/>
        <v>589636061985.59363</v>
      </c>
      <c r="K20" s="11">
        <f t="shared" si="4"/>
        <v>-2.0000000000000018E-3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120060495.30183995</v>
      </c>
      <c r="D21" s="11">
        <v>9.5999999999999992E-3</v>
      </c>
      <c r="E21" s="10">
        <f t="shared" si="2"/>
        <v>1141621.1914596558</v>
      </c>
      <c r="F21" s="3"/>
      <c r="G21" s="28"/>
      <c r="H21" s="10"/>
      <c r="I21" s="10">
        <f t="shared" si="5"/>
        <v>4921</v>
      </c>
      <c r="J21" s="10">
        <f t="shared" si="3"/>
        <v>590817697380.35437</v>
      </c>
      <c r="K21" s="11">
        <f t="shared" si="4"/>
        <v>9.6000000000000529E-3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118918874.11038029</v>
      </c>
      <c r="D22" s="11">
        <v>1.0899999999999998E-2</v>
      </c>
      <c r="E22" s="10">
        <f t="shared" si="2"/>
        <v>1282239.3192235976</v>
      </c>
      <c r="F22" s="3"/>
      <c r="G22" s="28"/>
      <c r="H22" s="10"/>
      <c r="I22" s="10">
        <f t="shared" si="5"/>
        <v>4921</v>
      </c>
      <c r="J22" s="10">
        <f t="shared" si="3"/>
        <v>585199779497.1814</v>
      </c>
      <c r="K22" s="11">
        <f t="shared" si="4"/>
        <v>1.089999999999991E-2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117636634.79115669</v>
      </c>
      <c r="D23" s="11">
        <v>7.3999999999999986E-3</v>
      </c>
      <c r="E23" s="10">
        <f t="shared" si="2"/>
        <v>864116.63436029851</v>
      </c>
      <c r="F23" s="3"/>
      <c r="G23" s="28"/>
      <c r="H23" s="10"/>
      <c r="I23" s="10">
        <f t="shared" si="5"/>
        <v>4921</v>
      </c>
      <c r="J23" s="10">
        <f t="shared" si="3"/>
        <v>578889879807.2821</v>
      </c>
      <c r="K23" s="11">
        <f t="shared" si="4"/>
        <v>7.4000000000000732E-3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116772518.1567964</v>
      </c>
      <c r="D24" s="11">
        <v>3.2999999999999991E-3</v>
      </c>
      <c r="E24" s="10">
        <f t="shared" si="2"/>
        <v>384081.83984594047</v>
      </c>
      <c r="F24" s="3"/>
      <c r="G24" s="28"/>
      <c r="H24" s="10"/>
      <c r="I24" s="10">
        <f t="shared" si="5"/>
        <v>4921</v>
      </c>
      <c r="J24" s="10">
        <f t="shared" si="3"/>
        <v>574637561849.59509</v>
      </c>
      <c r="K24" s="11">
        <f t="shared" si="4"/>
        <v>3.3000000000000806E-3</v>
      </c>
      <c r="L24" t="s">
        <v>114</v>
      </c>
      <c r="M24" t="s">
        <v>115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116388436.31695046</v>
      </c>
      <c r="D25" s="11">
        <v>9.300000000000001E-3</v>
      </c>
      <c r="E25" s="10">
        <f t="shared" si="2"/>
        <v>1072438.7771204263</v>
      </c>
      <c r="F25" s="3"/>
      <c r="G25" s="28"/>
      <c r="H25" s="10"/>
      <c r="I25" s="10">
        <f t="shared" si="5"/>
        <v>4921</v>
      </c>
      <c r="J25" s="10">
        <f t="shared" si="3"/>
        <v>572747495115.71313</v>
      </c>
      <c r="K25" s="11">
        <f t="shared" si="4"/>
        <v>9.300000000000086E-3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115315997.53983003</v>
      </c>
      <c r="D26" s="11">
        <v>1.6E-2</v>
      </c>
      <c r="E26" s="10">
        <f t="shared" si="2"/>
        <v>1815999.9612571746</v>
      </c>
      <c r="F26" s="3"/>
      <c r="G26" s="28"/>
      <c r="H26" s="10"/>
      <c r="I26" s="10">
        <f t="shared" si="5"/>
        <v>4921</v>
      </c>
      <c r="J26" s="10">
        <f t="shared" si="3"/>
        <v>567470023893.50354</v>
      </c>
      <c r="K26" s="11">
        <f t="shared" si="4"/>
        <v>1.6000000000000014E-2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113499997.57857285</v>
      </c>
      <c r="D27" s="11">
        <v>1.47E-2</v>
      </c>
      <c r="E27" s="10">
        <f t="shared" si="2"/>
        <v>1644279.0621908158</v>
      </c>
      <c r="F27" s="3"/>
      <c r="G27" s="28"/>
      <c r="H27" s="10"/>
      <c r="I27" s="10">
        <f t="shared" si="5"/>
        <v>4921</v>
      </c>
      <c r="J27" s="10">
        <f t="shared" si="3"/>
        <v>558533488084.15698</v>
      </c>
      <c r="K27" s="11">
        <f t="shared" si="4"/>
        <v>1.4699999999999935E-2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111855718.51638204</v>
      </c>
      <c r="D28" s="11">
        <v>1.9299999999999998E-2</v>
      </c>
      <c r="E28" s="10">
        <f t="shared" si="2"/>
        <v>2117939.141926989</v>
      </c>
      <c r="F28" s="3"/>
      <c r="G28" s="28"/>
      <c r="H28" s="10"/>
      <c r="I28" s="10">
        <f t="shared" si="5"/>
        <v>4921</v>
      </c>
      <c r="J28" s="10">
        <f t="shared" si="3"/>
        <v>550441990819.11597</v>
      </c>
      <c r="K28" s="11">
        <f t="shared" si="4"/>
        <v>1.9299999999999873E-2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109737779.37445505</v>
      </c>
      <c r="D29" s="11">
        <v>0.02</v>
      </c>
      <c r="E29" s="10">
        <f t="shared" si="2"/>
        <v>2151721.1642049998</v>
      </c>
      <c r="F29" s="3"/>
      <c r="G29" s="28"/>
      <c r="H29" s="10"/>
      <c r="I29" s="10">
        <f t="shared" si="5"/>
        <v>4921</v>
      </c>
      <c r="J29" s="10">
        <f t="shared" si="3"/>
        <v>540019612301.6933</v>
      </c>
      <c r="K29" s="11">
        <f t="shared" si="4"/>
        <v>2.0000000000000018E-2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107586058.21025005</v>
      </c>
      <c r="D30" s="12">
        <v>1.84E-2</v>
      </c>
      <c r="E30" s="10">
        <f t="shared" si="2"/>
        <v>1943817.2339636683</v>
      </c>
      <c r="F30" s="3"/>
      <c r="G30" s="28"/>
      <c r="H30" s="10"/>
      <c r="I30" s="10">
        <f t="shared" si="5"/>
        <v>4921</v>
      </c>
      <c r="J30" s="10">
        <f t="shared" si="3"/>
        <v>529430992452.6405</v>
      </c>
      <c r="K30" s="11">
        <f t="shared" si="4"/>
        <v>1.8399999999999972E-2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105642240.97628638</v>
      </c>
      <c r="D31" s="13">
        <v>1.06E-2</v>
      </c>
      <c r="E31" s="10">
        <f t="shared" si="2"/>
        <v>1108062.2940318882</v>
      </c>
      <c r="F31" s="3"/>
      <c r="G31" s="28"/>
      <c r="H31" s="10"/>
      <c r="I31" s="10">
        <f t="shared" si="5"/>
        <v>4921</v>
      </c>
      <c r="J31" s="10">
        <f t="shared" si="3"/>
        <v>519865467844.3053</v>
      </c>
      <c r="K31" s="11">
        <f t="shared" si="4"/>
        <v>1.0599999999999943E-2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104534178.68225449</v>
      </c>
      <c r="D32" s="12">
        <v>1.06E-2</v>
      </c>
      <c r="E32" s="10">
        <f t="shared" si="2"/>
        <v>1096440.029716894</v>
      </c>
      <c r="F32" s="3"/>
      <c r="G32" s="28"/>
      <c r="H32" s="10"/>
      <c r="I32" s="10">
        <f t="shared" si="5"/>
        <v>4921</v>
      </c>
      <c r="J32" s="10">
        <f t="shared" si="3"/>
        <v>514412693295.37439</v>
      </c>
      <c r="K32" s="11">
        <f t="shared" si="4"/>
        <v>1.0599999999999943E-2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103437738.6525376</v>
      </c>
      <c r="D33" s="13">
        <v>1.3299999999999999E-2</v>
      </c>
      <c r="E33" s="10">
        <f t="shared" si="2"/>
        <v>1357664.9798467904</v>
      </c>
      <c r="F33" s="3"/>
      <c r="G33" s="28"/>
      <c r="H33" s="10"/>
      <c r="I33" s="10">
        <f t="shared" si="5"/>
        <v>4921</v>
      </c>
      <c r="J33" s="10">
        <f t="shared" si="3"/>
        <v>509017111909.13751</v>
      </c>
      <c r="K33" s="11">
        <f t="shared" si="4"/>
        <v>1.330000000000009E-2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102080073.67269081</v>
      </c>
      <c r="D34" s="12">
        <v>1.38E-2</v>
      </c>
      <c r="E34" s="10">
        <f t="shared" si="2"/>
        <v>1389529.5094526857</v>
      </c>
      <c r="F34" s="3"/>
      <c r="G34" s="28"/>
      <c r="H34" s="10"/>
      <c r="I34" s="10">
        <f t="shared" si="5"/>
        <v>4921</v>
      </c>
      <c r="J34" s="10">
        <f t="shared" ref="J34:J65" si="6">IF(I34="","",I34*C34)</f>
        <v>502336042543.31146</v>
      </c>
      <c r="K34" s="11">
        <f t="shared" ref="K34:K65" si="7">IFERROR(J34/J35-1,"")</f>
        <v>1.3800000000000034E-2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100690544.16323812</v>
      </c>
      <c r="D35" s="11">
        <v>1.5299999999999999E-2</v>
      </c>
      <c r="E35" s="10">
        <f t="shared" si="2"/>
        <v>1517349.8726460636</v>
      </c>
      <c r="F35" s="3"/>
      <c r="G35" s="28"/>
      <c r="H35" s="10"/>
      <c r="I35" s="10">
        <f t="shared" ref="I35:I66" si="8">IF(H35&lt;&gt;"",H35,I34/(1+IF(G34="",0,G34)/100))</f>
        <v>4921</v>
      </c>
      <c r="J35" s="10">
        <f t="shared" si="6"/>
        <v>495498167827.2948</v>
      </c>
      <c r="K35" s="11">
        <f t="shared" si="7"/>
        <v>1.5300000000000091E-2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99173194.290592059</v>
      </c>
      <c r="D36" s="11">
        <v>1.8099999999999998E-2</v>
      </c>
      <c r="E36" s="10">
        <f t="shared" si="2"/>
        <v>1763122.3029758483</v>
      </c>
      <c r="F36" s="3"/>
      <c r="G36" s="28"/>
      <c r="H36" s="10"/>
      <c r="I36" s="10">
        <f t="shared" si="8"/>
        <v>4921</v>
      </c>
      <c r="J36" s="10">
        <f t="shared" si="6"/>
        <v>488031289104.00354</v>
      </c>
      <c r="K36" s="11">
        <f t="shared" si="7"/>
        <v>1.8100000000000005E-2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97410071.987616211</v>
      </c>
      <c r="D37" s="11">
        <v>1.8599999999999998E-2</v>
      </c>
      <c r="E37" s="10">
        <f t="shared" si="2"/>
        <v>1778742.7242977172</v>
      </c>
      <c r="F37" s="3"/>
      <c r="G37" s="28"/>
      <c r="H37" s="10"/>
      <c r="I37" s="10">
        <f t="shared" si="8"/>
        <v>4921</v>
      </c>
      <c r="J37" s="10">
        <f t="shared" si="6"/>
        <v>479354964251.05939</v>
      </c>
      <c r="K37" s="11">
        <f t="shared" si="7"/>
        <v>1.859999999999995E-2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95631329.263318494</v>
      </c>
      <c r="D38" s="11">
        <v>1.9799999999999998E-2</v>
      </c>
      <c r="E38" s="10">
        <f t="shared" si="2"/>
        <v>1856736.9282346666</v>
      </c>
      <c r="F38" s="3"/>
      <c r="G38" s="28"/>
      <c r="H38" s="10"/>
      <c r="I38" s="10">
        <f t="shared" si="8"/>
        <v>4921</v>
      </c>
      <c r="J38" s="10">
        <f t="shared" si="6"/>
        <v>470601771304.79028</v>
      </c>
      <c r="K38" s="11">
        <f t="shared" si="7"/>
        <v>1.980000000000004E-2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93774592.335083827</v>
      </c>
      <c r="D39" s="11">
        <v>2.1100000000000001E-2</v>
      </c>
      <c r="E39" s="10">
        <f t="shared" si="2"/>
        <v>1937757.2209090739</v>
      </c>
      <c r="F39" s="3"/>
      <c r="G39" s="28"/>
      <c r="H39" s="10"/>
      <c r="I39" s="10">
        <f t="shared" si="8"/>
        <v>4921</v>
      </c>
      <c r="J39" s="10">
        <f t="shared" si="6"/>
        <v>461464768880.94751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91836835.114174753</v>
      </c>
      <c r="D40" s="11">
        <v>2.1499999999999998E-2</v>
      </c>
      <c r="E40" s="10">
        <f t="shared" si="2"/>
        <v>1932933.8766077012</v>
      </c>
      <c r="F40" s="3"/>
      <c r="G40" s="28"/>
      <c r="H40" s="10"/>
      <c r="I40" s="10">
        <f t="shared" si="8"/>
        <v>4921</v>
      </c>
      <c r="J40" s="10">
        <f t="shared" si="6"/>
        <v>451929065596.85394</v>
      </c>
      <c r="K40" s="11">
        <f t="shared" si="7"/>
        <v>2.1500000000000075E-2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89903901.237567052</v>
      </c>
      <c r="D41" s="11">
        <v>2.1499999999999998E-2</v>
      </c>
      <c r="E41" s="10">
        <f t="shared" si="2"/>
        <v>1892250.4910501242</v>
      </c>
      <c r="F41" s="3"/>
      <c r="G41" s="28"/>
      <c r="H41" s="10"/>
      <c r="I41" s="10">
        <f t="shared" si="8"/>
        <v>4921</v>
      </c>
      <c r="J41" s="10">
        <f t="shared" si="6"/>
        <v>442417097990.06744</v>
      </c>
      <c r="K41" s="11">
        <f t="shared" si="7"/>
        <v>2.1500000000000075E-2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88011650.746516928</v>
      </c>
      <c r="D42" s="11">
        <v>2.1399999999999995E-2</v>
      </c>
      <c r="E42" s="10">
        <f t="shared" si="2"/>
        <v>1843987.9831363559</v>
      </c>
      <c r="F42" s="3"/>
      <c r="G42" s="28"/>
      <c r="H42" s="10"/>
      <c r="I42" s="10">
        <f t="shared" si="8"/>
        <v>4921</v>
      </c>
      <c r="J42" s="10">
        <f t="shared" si="6"/>
        <v>433105333323.6098</v>
      </c>
      <c r="K42" s="11">
        <f t="shared" si="7"/>
        <v>2.1400000000000086E-2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86167662.763380572</v>
      </c>
      <c r="D43" s="11">
        <v>2.1199999999999997E-2</v>
      </c>
      <c r="E43" s="10">
        <f t="shared" si="2"/>
        <v>1788831.2285386324</v>
      </c>
      <c r="F43" s="3"/>
      <c r="G43" s="28"/>
      <c r="H43" s="10"/>
      <c r="I43" s="10">
        <f t="shared" si="8"/>
        <v>4921</v>
      </c>
      <c r="J43" s="10">
        <f t="shared" si="6"/>
        <v>424031068458.59583</v>
      </c>
      <c r="K43" s="11">
        <f t="shared" si="7"/>
        <v>2.1199999999999886E-2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84378831.53484194</v>
      </c>
      <c r="D44" s="11">
        <v>2.1100000000000001E-2</v>
      </c>
      <c r="E44" s="10">
        <f t="shared" si="2"/>
        <v>1743603.3154295981</v>
      </c>
      <c r="F44" s="3"/>
      <c r="G44" s="28"/>
      <c r="H44" s="10"/>
      <c r="I44" s="10">
        <f t="shared" si="8"/>
        <v>4921</v>
      </c>
      <c r="J44" s="10">
        <f t="shared" si="6"/>
        <v>415228229982.95721</v>
      </c>
      <c r="K44" s="11">
        <f t="shared" si="7"/>
        <v>2.1099999999999897E-2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82635228.219412342</v>
      </c>
      <c r="D45" s="11">
        <v>2.0799999999999999E-2</v>
      </c>
      <c r="E45" s="10">
        <f t="shared" si="2"/>
        <v>1683789.9166964889</v>
      </c>
      <c r="F45" s="3"/>
      <c r="G45" s="28"/>
      <c r="H45" s="10"/>
      <c r="I45" s="10">
        <f t="shared" si="8"/>
        <v>4921</v>
      </c>
      <c r="J45" s="10">
        <f t="shared" si="6"/>
        <v>406647958067.72815</v>
      </c>
      <c r="K45" s="11">
        <f t="shared" si="7"/>
        <v>2.079999999999993E-2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80951438.302715853</v>
      </c>
      <c r="D46" s="11">
        <v>2.0900000000000002E-2</v>
      </c>
      <c r="E46" s="10">
        <f t="shared" si="2"/>
        <v>1657248.5655076504</v>
      </c>
      <c r="F46" s="3"/>
      <c r="G46" s="28"/>
      <c r="H46" s="10"/>
      <c r="I46" s="10">
        <f t="shared" si="8"/>
        <v>4921</v>
      </c>
      <c r="J46" s="10">
        <f t="shared" si="6"/>
        <v>398362027887.66473</v>
      </c>
      <c r="K46" s="11">
        <f t="shared" si="7"/>
        <v>2.0899999999999919E-2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79294189.737208202</v>
      </c>
      <c r="D47" s="11">
        <v>2.1699999999999997E-2</v>
      </c>
      <c r="E47" s="10">
        <f t="shared" si="2"/>
        <v>1684138.1200914383</v>
      </c>
      <c r="F47" s="3"/>
      <c r="G47" s="28"/>
      <c r="H47" s="10"/>
      <c r="I47" s="10">
        <f t="shared" si="8"/>
        <v>4921</v>
      </c>
      <c r="J47" s="10">
        <f t="shared" si="6"/>
        <v>390206707696.80157</v>
      </c>
      <c r="K47" s="11">
        <f t="shared" si="7"/>
        <v>2.1700000000000053E-2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77610051.617116764</v>
      </c>
      <c r="D48" s="11">
        <v>2.2699999999999998E-2</v>
      </c>
      <c r="E48" s="10">
        <f t="shared" si="2"/>
        <v>1722644.1495145708</v>
      </c>
      <c r="F48" s="3"/>
      <c r="G48" s="28"/>
      <c r="H48" s="10"/>
      <c r="I48" s="10">
        <f t="shared" si="8"/>
        <v>4921</v>
      </c>
      <c r="J48" s="10">
        <f t="shared" si="6"/>
        <v>381919064007.8316</v>
      </c>
      <c r="K48" s="11">
        <f t="shared" si="7"/>
        <v>2.2700000000000164E-2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75887407.467602193</v>
      </c>
      <c r="D49" s="11">
        <v>2.3099999999999996E-2</v>
      </c>
      <c r="E49" s="10">
        <f t="shared" si="2"/>
        <v>1713419.1305850893</v>
      </c>
      <c r="F49" s="3"/>
      <c r="G49" s="28"/>
      <c r="H49" s="10"/>
      <c r="I49" s="10">
        <f t="shared" si="8"/>
        <v>4921</v>
      </c>
      <c r="J49" s="10">
        <f t="shared" si="6"/>
        <v>373441932148.07037</v>
      </c>
      <c r="K49" s="11">
        <f t="shared" si="7"/>
        <v>2.3099999999999898E-2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74173988.337017104</v>
      </c>
      <c r="D50" s="11">
        <v>2.3199999999999998E-2</v>
      </c>
      <c r="E50" s="10">
        <f t="shared" si="2"/>
        <v>1681818.3438416719</v>
      </c>
      <c r="F50" s="3"/>
      <c r="G50" s="28"/>
      <c r="H50" s="10"/>
      <c r="I50" s="10">
        <f t="shared" si="8"/>
        <v>4921</v>
      </c>
      <c r="J50" s="10">
        <f t="shared" si="6"/>
        <v>365010196606.46118</v>
      </c>
      <c r="K50" s="11">
        <f t="shared" si="7"/>
        <v>2.3200000000000109E-2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72492169.993175432</v>
      </c>
      <c r="D51" s="11">
        <v>2.3199999999999998E-2</v>
      </c>
      <c r="E51" s="10">
        <f t="shared" si="2"/>
        <v>1643684.8552010208</v>
      </c>
      <c r="F51" s="3"/>
      <c r="G51" s="28"/>
      <c r="H51" s="10"/>
      <c r="I51" s="10">
        <f t="shared" si="8"/>
        <v>4921</v>
      </c>
      <c r="J51" s="10">
        <f t="shared" si="6"/>
        <v>356733968536.41632</v>
      </c>
      <c r="K51" s="11">
        <f t="shared" si="7"/>
        <v>2.3200000000000109E-2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70848485.137974411</v>
      </c>
      <c r="D52" s="11">
        <v>2.3300000000000001E-2</v>
      </c>
      <c r="E52" s="10">
        <f t="shared" si="2"/>
        <v>1613182.5502929837</v>
      </c>
      <c r="F52" s="3"/>
      <c r="G52" s="28"/>
      <c r="H52" s="10"/>
      <c r="I52" s="10">
        <f t="shared" si="8"/>
        <v>4921</v>
      </c>
      <c r="J52" s="10">
        <f t="shared" si="6"/>
        <v>348645395363.97211</v>
      </c>
      <c r="K52" s="11">
        <f t="shared" si="7"/>
        <v>2.330000000000032E-2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69235302.587681428</v>
      </c>
      <c r="D53" s="11">
        <v>2.35E-2</v>
      </c>
      <c r="E53" s="10">
        <f t="shared" si="2"/>
        <v>1589672.311490491</v>
      </c>
      <c r="F53" s="3"/>
      <c r="G53" s="28"/>
      <c r="H53" s="10"/>
      <c r="I53" s="10">
        <f t="shared" si="8"/>
        <v>4921</v>
      </c>
      <c r="J53" s="10">
        <f t="shared" si="6"/>
        <v>340706924033.98029</v>
      </c>
      <c r="K53" s="11">
        <f t="shared" si="7"/>
        <v>2.3499999999999854E-2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67645630.276190937</v>
      </c>
      <c r="D54" s="11">
        <v>2.35E-2</v>
      </c>
      <c r="E54" s="10">
        <f t="shared" si="2"/>
        <v>1553172.7518226653</v>
      </c>
      <c r="F54" s="3"/>
      <c r="G54" s="28"/>
      <c r="H54" s="10"/>
      <c r="I54" s="10">
        <f t="shared" si="8"/>
        <v>4921</v>
      </c>
      <c r="J54" s="10">
        <f t="shared" si="6"/>
        <v>332884146589.13562</v>
      </c>
      <c r="K54" s="11">
        <f t="shared" si="7"/>
        <v>2.3500000000000298E-2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66092457.524368271</v>
      </c>
      <c r="D55" s="11">
        <v>2.3E-2</v>
      </c>
      <c r="E55" s="10">
        <f t="shared" si="2"/>
        <v>1485949.680411011</v>
      </c>
      <c r="F55" s="3"/>
      <c r="G55" s="28"/>
      <c r="H55" s="10"/>
      <c r="I55" s="10">
        <f t="shared" si="8"/>
        <v>4921</v>
      </c>
      <c r="J55" s="10">
        <f t="shared" si="6"/>
        <v>325240983477.41626</v>
      </c>
      <c r="K55" s="11">
        <f t="shared" si="7"/>
        <v>2.2999999999999909E-2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64606507.84395726</v>
      </c>
      <c r="D56" s="11">
        <v>2.2499999999999999E-2</v>
      </c>
      <c r="E56" s="10">
        <f t="shared" si="2"/>
        <v>1421659.0968107954</v>
      </c>
      <c r="F56" s="3"/>
      <c r="G56" s="28"/>
      <c r="H56" s="10"/>
      <c r="I56" s="10">
        <f t="shared" si="8"/>
        <v>4921</v>
      </c>
      <c r="J56" s="10">
        <f t="shared" si="6"/>
        <v>317928625100.11365</v>
      </c>
      <c r="K56" s="11">
        <f t="shared" si="7"/>
        <v>2.2499999999999964E-2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63184848.747146465</v>
      </c>
      <c r="D57" s="11">
        <v>2.2199999999999998E-2</v>
      </c>
      <c r="E57" s="10">
        <f t="shared" si="2"/>
        <v>1372239.9160503373</v>
      </c>
      <c r="F57" s="3"/>
      <c r="G57" s="28"/>
      <c r="H57" s="10"/>
      <c r="I57" s="10">
        <f t="shared" si="8"/>
        <v>4921</v>
      </c>
      <c r="J57" s="10">
        <f t="shared" si="6"/>
        <v>310932640684.70776</v>
      </c>
      <c r="K57" s="11">
        <f t="shared" si="7"/>
        <v>2.220000000000022E-2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61812608.831096128</v>
      </c>
      <c r="D58" s="11">
        <v>2.1999999999999999E-2</v>
      </c>
      <c r="E58" s="10">
        <f t="shared" si="2"/>
        <v>1330604.1039962023</v>
      </c>
      <c r="F58" s="3"/>
      <c r="G58" s="28"/>
      <c r="H58" s="10"/>
      <c r="I58" s="10">
        <f t="shared" si="8"/>
        <v>4921</v>
      </c>
      <c r="J58" s="10">
        <f t="shared" si="6"/>
        <v>304179848057.82404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60482004.727099925</v>
      </c>
      <c r="D59" s="11">
        <v>2.1999999999999999E-2</v>
      </c>
      <c r="E59" s="10">
        <f t="shared" si="2"/>
        <v>1301960.9628142864</v>
      </c>
      <c r="F59" s="3"/>
      <c r="G59" s="28"/>
      <c r="H59" s="10"/>
      <c r="I59" s="10">
        <f t="shared" si="8"/>
        <v>4921</v>
      </c>
      <c r="J59" s="10">
        <f t="shared" si="6"/>
        <v>297631945262.05872</v>
      </c>
      <c r="K59" s="11">
        <f t="shared" si="7"/>
        <v>2.200000000000002E-2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59180043.764285639</v>
      </c>
      <c r="D60" s="11">
        <v>2.1499999999999998E-2</v>
      </c>
      <c r="E60" s="10">
        <f t="shared" si="2"/>
        <v>1245590.7400216758</v>
      </c>
      <c r="F60" s="3"/>
      <c r="G60" s="28"/>
      <c r="H60" s="10"/>
      <c r="I60" s="10">
        <f t="shared" si="8"/>
        <v>4921</v>
      </c>
      <c r="J60" s="10">
        <f t="shared" si="6"/>
        <v>291224995364.04962</v>
      </c>
      <c r="K60" s="11">
        <f t="shared" si="7"/>
        <v>2.1500000000000075E-2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57934453.024263963</v>
      </c>
      <c r="D61" s="11">
        <v>2.0999999999999998E-2</v>
      </c>
      <c r="E61" s="10">
        <f t="shared" si="2"/>
        <v>1191599.9152884781</v>
      </c>
      <c r="F61" s="3"/>
      <c r="G61" s="28"/>
      <c r="H61" s="10"/>
      <c r="I61" s="10">
        <f t="shared" si="8"/>
        <v>4921</v>
      </c>
      <c r="J61" s="10">
        <f t="shared" si="6"/>
        <v>285095443332.40295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56742853.108975485</v>
      </c>
      <c r="D62" s="11">
        <v>2.0499999999999997E-2</v>
      </c>
      <c r="E62" s="10">
        <f t="shared" si="2"/>
        <v>1139861.3314394876</v>
      </c>
      <c r="F62" s="3"/>
      <c r="G62" s="28"/>
      <c r="H62" s="10"/>
      <c r="I62" s="10">
        <f t="shared" si="8"/>
        <v>4921</v>
      </c>
      <c r="J62" s="10">
        <f t="shared" si="6"/>
        <v>279231580149.26837</v>
      </c>
      <c r="K62" s="11">
        <f t="shared" si="7"/>
        <v>2.0499999999999963E-2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55602991.777535997</v>
      </c>
      <c r="D63" s="11">
        <v>1.9999999999999997E-2</v>
      </c>
      <c r="E63" s="10">
        <f t="shared" si="2"/>
        <v>1090254.7407360002</v>
      </c>
      <c r="F63" s="3"/>
      <c r="G63" s="28"/>
      <c r="H63" s="10"/>
      <c r="I63" s="10">
        <f t="shared" si="8"/>
        <v>4921</v>
      </c>
      <c r="J63" s="10">
        <f t="shared" si="6"/>
        <v>273622322537.25464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54512737.036799997</v>
      </c>
      <c r="D64" s="11">
        <v>1.9999999999999997E-2</v>
      </c>
      <c r="E64" s="10">
        <f t="shared" si="2"/>
        <v>1068877.196800001</v>
      </c>
      <c r="F64" s="3"/>
      <c r="G64" s="28"/>
      <c r="H64" s="10"/>
      <c r="I64" s="10">
        <f t="shared" si="8"/>
        <v>4921</v>
      </c>
      <c r="J64" s="10">
        <f t="shared" si="6"/>
        <v>268257178958.09277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53443859.839999996</v>
      </c>
      <c r="D65" s="11">
        <v>1.9000000000000003E-2</v>
      </c>
      <c r="E65" s="10">
        <f t="shared" si="2"/>
        <v>996499.83999999613</v>
      </c>
      <c r="F65" s="3"/>
      <c r="G65" s="28"/>
      <c r="H65" s="10"/>
      <c r="I65" s="10">
        <f t="shared" si="8"/>
        <v>4921</v>
      </c>
      <c r="J65" s="10">
        <f t="shared" si="6"/>
        <v>262997234272.63998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52447360</v>
      </c>
      <c r="D66" s="11">
        <v>1.8000000000000002E-2</v>
      </c>
      <c r="E66" s="10">
        <f t="shared" si="2"/>
        <v>927360</v>
      </c>
      <c r="F66" s="3"/>
      <c r="G66" s="28"/>
      <c r="H66" s="10"/>
      <c r="I66" s="10">
        <f t="shared" si="8"/>
        <v>4921</v>
      </c>
      <c r="J66" s="10">
        <f t="shared" ref="J66:J67" si="9">IF(I66="","",I66*C66)</f>
        <v>258093458560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51520000</v>
      </c>
      <c r="D67" s="11">
        <v>1.7000000000000001E-2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4921</v>
      </c>
      <c r="J67" s="10">
        <f t="shared" si="9"/>
        <v>253529920000</v>
      </c>
      <c r="K67" s="11"/>
    </row>
  </sheetData>
  <dataValidations count="1">
    <dataValidation type="custom" allowBlank="1" showDropDown="1" sqref="D2:D67" xr:uid="{00000000-0002-0000-1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67"/>
  <sheetViews>
    <sheetView topLeftCell="A31" workbookViewId="0">
      <selection activeCell="I68" sqref="I6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29915462.024033483</v>
      </c>
      <c r="D2" s="11">
        <v>1.6999999999999999E-3</v>
      </c>
      <c r="E2" s="10">
        <f t="shared" ref="E2:E66" si="2">SUM(C2-C3)</f>
        <v>50769.976480841637</v>
      </c>
      <c r="F2" s="15">
        <v>29913650</v>
      </c>
      <c r="G2" s="29">
        <v>2.14</v>
      </c>
      <c r="H2" s="10"/>
      <c r="I2" s="10">
        <f>IF(H2&lt;&gt;"",H2,25000)</f>
        <v>25000</v>
      </c>
      <c r="J2" s="10">
        <f t="shared" ref="J2:J33" si="3">IF(I2="","",I2*C2)</f>
        <v>747886550600.83704</v>
      </c>
      <c r="K2" s="11">
        <f t="shared" ref="K2:K33" si="4">IFERROR(J2/J3-1,"")</f>
        <v>2.3136380000000178E-2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29864692.047552641</v>
      </c>
      <c r="D3" s="11">
        <v>8.9999999999999998E-4</v>
      </c>
      <c r="E3" s="10">
        <f t="shared" si="2"/>
        <v>26854.054194018245</v>
      </c>
      <c r="F3" s="3"/>
      <c r="G3" s="29">
        <v>3.16</v>
      </c>
      <c r="H3" s="10"/>
      <c r="I3" s="10">
        <f t="shared" ref="I3:I34" si="5">IF(H3&lt;&gt;"",H3,I2/(1+IF(G2="",0,G2)/100))</f>
        <v>24476.209124730758</v>
      </c>
      <c r="J3" s="10">
        <f t="shared" si="3"/>
        <v>730974448001.58203</v>
      </c>
      <c r="K3" s="11">
        <f t="shared" si="4"/>
        <v>3.2528439999999881E-2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29837837.993358623</v>
      </c>
      <c r="D4" s="11">
        <v>2.7000000000000001E-3</v>
      </c>
      <c r="E4" s="10">
        <f t="shared" si="2"/>
        <v>80345.230459824204</v>
      </c>
      <c r="F4" s="3"/>
      <c r="G4" s="29">
        <v>1.72</v>
      </c>
      <c r="H4" s="10"/>
      <c r="I4" s="10">
        <f t="shared" si="5"/>
        <v>23726.45320350015</v>
      </c>
      <c r="J4" s="10">
        <f t="shared" si="3"/>
        <v>707946066843.04224</v>
      </c>
      <c r="K4" s="11">
        <f t="shared" si="4"/>
        <v>1.994644000000001E-2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29757492.762898799</v>
      </c>
      <c r="D5" s="11">
        <v>1.9E-3</v>
      </c>
      <c r="E5" s="10">
        <f t="shared" si="2"/>
        <v>56432.015420209616</v>
      </c>
      <c r="F5" s="3"/>
      <c r="G5" s="29">
        <v>1.53</v>
      </c>
      <c r="H5" s="10"/>
      <c r="I5" s="10">
        <f t="shared" si="5"/>
        <v>23325.258752949419</v>
      </c>
      <c r="J5" s="10">
        <f t="shared" si="3"/>
        <v>694101218533.63416</v>
      </c>
      <c r="K5" s="11">
        <f t="shared" si="4"/>
        <v>1.722907000000018E-2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29701060.747478589</v>
      </c>
      <c r="D6" s="11">
        <v>1.1999999999999999E-3</v>
      </c>
      <c r="E6" s="10">
        <f t="shared" si="2"/>
        <v>35598.55463141948</v>
      </c>
      <c r="F6" s="3"/>
      <c r="G6" s="29">
        <v>0.85</v>
      </c>
      <c r="H6" s="10"/>
      <c r="I6" s="10">
        <f t="shared" si="5"/>
        <v>22973.760221559554</v>
      </c>
      <c r="J6" s="10">
        <f t="shared" si="3"/>
        <v>682345047938.54749</v>
      </c>
      <c r="K6" s="11">
        <f t="shared" si="4"/>
        <v>9.7102000000002242E-3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29665462.19284717</v>
      </c>
      <c r="D7" s="11">
        <v>-1.5E-3</v>
      </c>
      <c r="E7" s="10">
        <f t="shared" si="2"/>
        <v>-44565.040850546211</v>
      </c>
      <c r="F7" s="3"/>
      <c r="G7" s="29">
        <v>2.2599999999999998</v>
      </c>
      <c r="H7" s="10"/>
      <c r="I7" s="10">
        <f t="shared" si="5"/>
        <v>22780.129124005507</v>
      </c>
      <c r="J7" s="10">
        <f t="shared" si="3"/>
        <v>675783059276.36206</v>
      </c>
      <c r="K7" s="11">
        <f t="shared" si="4"/>
        <v>2.1066099999999865E-2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29710027.233697716</v>
      </c>
      <c r="D8" s="11">
        <v>-2.5000000000000001E-3</v>
      </c>
      <c r="E8" s="10">
        <f t="shared" si="2"/>
        <v>-74461.221137084067</v>
      </c>
      <c r="F8" s="3"/>
      <c r="G8" s="29">
        <v>3.2</v>
      </c>
      <c r="H8" s="10"/>
      <c r="I8" s="10">
        <f t="shared" si="5"/>
        <v>22276.676240959816</v>
      </c>
      <c r="J8" s="10">
        <f t="shared" si="3"/>
        <v>661840657795.18298</v>
      </c>
      <c r="K8" s="11">
        <f t="shared" si="4"/>
        <v>2.9420000000000224E-2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29784488.4548348</v>
      </c>
      <c r="D9" s="11">
        <v>-1.9E-3</v>
      </c>
      <c r="E9" s="10">
        <f t="shared" si="2"/>
        <v>-56698.254748206586</v>
      </c>
      <c r="F9" s="3"/>
      <c r="G9" s="29">
        <v>2.2000000000000002</v>
      </c>
      <c r="H9" s="10"/>
      <c r="I9" s="10">
        <f t="shared" si="5"/>
        <v>21585.926590077339</v>
      </c>
      <c r="J9" s="10">
        <f t="shared" si="3"/>
        <v>642925781309.07007</v>
      </c>
      <c r="K9" s="11">
        <f t="shared" si="4"/>
        <v>2.0058200000000248E-2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29841186.709583007</v>
      </c>
      <c r="D10" s="11">
        <v>-1.2999999999999999E-3</v>
      </c>
      <c r="E10" s="10">
        <f t="shared" si="2"/>
        <v>-38844.039974424988</v>
      </c>
      <c r="F10" s="3"/>
      <c r="G10" s="29">
        <v>2.93</v>
      </c>
      <c r="H10" s="10"/>
      <c r="I10" s="10">
        <f t="shared" si="5"/>
        <v>21121.258894400526</v>
      </c>
      <c r="J10" s="10">
        <f t="shared" si="3"/>
        <v>630283430209.24683</v>
      </c>
      <c r="K10" s="11">
        <f t="shared" si="4"/>
        <v>2.7961910000000145E-2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29880030.749557432</v>
      </c>
      <c r="D11" s="11">
        <v>-1.1000000000000001E-3</v>
      </c>
      <c r="E11" s="10">
        <f t="shared" si="2"/>
        <v>-32904.228475835174</v>
      </c>
      <c r="F11" s="3"/>
      <c r="G11" s="29">
        <v>2.19</v>
      </c>
      <c r="H11" s="10"/>
      <c r="I11" s="10">
        <f t="shared" si="5"/>
        <v>20520.022242689716</v>
      </c>
      <c r="J11" s="10">
        <f t="shared" si="3"/>
        <v>613138895593.17114</v>
      </c>
      <c r="K11" s="11">
        <f t="shared" si="4"/>
        <v>2.0775910000000009E-2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29912934.978033267</v>
      </c>
      <c r="D12" s="11">
        <v>-5.9999999999999995E-4</v>
      </c>
      <c r="E12" s="10">
        <f t="shared" si="2"/>
        <v>-17958.536108486354</v>
      </c>
      <c r="F12" s="3"/>
      <c r="G12" s="29">
        <v>2.79</v>
      </c>
      <c r="H12" s="10"/>
      <c r="I12" s="10">
        <f t="shared" si="5"/>
        <v>20080.264451208255</v>
      </c>
      <c r="J12" s="10">
        <f t="shared" si="3"/>
        <v>600659644870.70544</v>
      </c>
      <c r="K12" s="11">
        <f t="shared" si="4"/>
        <v>2.7283260000000142E-2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29930893.514141753</v>
      </c>
      <c r="D13" s="11">
        <v>-2.0000000000000001E-4</v>
      </c>
      <c r="E13" s="10">
        <f t="shared" si="2"/>
        <v>-5987.3761780634522</v>
      </c>
      <c r="F13" s="3"/>
      <c r="G13" s="29">
        <v>2.33</v>
      </c>
      <c r="H13" s="10"/>
      <c r="I13" s="10">
        <f t="shared" si="5"/>
        <v>19535.231492565672</v>
      </c>
      <c r="J13" s="10">
        <f t="shared" si="3"/>
        <v>584706933578.09155</v>
      </c>
      <c r="K13" s="11">
        <f t="shared" si="4"/>
        <v>2.309534000000002E-2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29936880.890319817</v>
      </c>
      <c r="D14" s="11">
        <v>5.9999999999999995E-4</v>
      </c>
      <c r="E14" s="10">
        <f t="shared" si="2"/>
        <v>17951.357719559222</v>
      </c>
      <c r="F14" s="3"/>
      <c r="G14" s="29">
        <v>3.22</v>
      </c>
      <c r="H14" s="10"/>
      <c r="I14" s="10">
        <f t="shared" si="5"/>
        <v>19090.424599399659</v>
      </c>
      <c r="J14" s="10">
        <f t="shared" si="3"/>
        <v>571507767377.85901</v>
      </c>
      <c r="K14" s="11">
        <f t="shared" si="4"/>
        <v>3.2819319999999985E-2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29918929.532600258</v>
      </c>
      <c r="D15" s="11">
        <v>1.6999999999999999E-3</v>
      </c>
      <c r="E15" s="10">
        <f t="shared" si="2"/>
        <v>50775.861241310835</v>
      </c>
      <c r="F15" s="3"/>
      <c r="G15" s="29">
        <v>1.71</v>
      </c>
      <c r="H15" s="10"/>
      <c r="I15" s="10">
        <f t="shared" si="5"/>
        <v>18494.889168184131</v>
      </c>
      <c r="J15" s="10">
        <f t="shared" si="3"/>
        <v>553347285736.15283</v>
      </c>
      <c r="K15" s="11">
        <f t="shared" si="4"/>
        <v>1.8829070000000003E-2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29868153.671358947</v>
      </c>
      <c r="D16" s="11">
        <v>1.6999999999999999E-3</v>
      </c>
      <c r="E16" s="10">
        <f t="shared" si="2"/>
        <v>50689.688770402223</v>
      </c>
      <c r="F16" s="3"/>
      <c r="G16" s="29">
        <v>2.39</v>
      </c>
      <c r="H16" s="10"/>
      <c r="I16" s="10">
        <f t="shared" si="5"/>
        <v>18183.943730394389</v>
      </c>
      <c r="J16" s="10">
        <f t="shared" si="3"/>
        <v>543120825690.76367</v>
      </c>
      <c r="K16" s="11">
        <f t="shared" si="4"/>
        <v>2.5640630000000053E-2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29817463.982588544</v>
      </c>
      <c r="D17" s="11">
        <v>1.4E-3</v>
      </c>
      <c r="E17" s="10">
        <f t="shared" si="2"/>
        <v>41686.08905095607</v>
      </c>
      <c r="F17" s="3"/>
      <c r="G17" s="29">
        <v>4.5199999999999996</v>
      </c>
      <c r="H17" s="10"/>
      <c r="I17" s="10">
        <f t="shared" si="5"/>
        <v>17759.491874591648</v>
      </c>
      <c r="J17" s="10">
        <f t="shared" si="3"/>
        <v>529543009319.71039</v>
      </c>
      <c r="K17" s="11">
        <f t="shared" si="4"/>
        <v>4.6663280000000196E-2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29775777.893537588</v>
      </c>
      <c r="D18" s="11">
        <v>5.9999999999999995E-4</v>
      </c>
      <c r="E18" s="10">
        <f t="shared" si="2"/>
        <v>17854.753883790225</v>
      </c>
      <c r="F18" s="3"/>
      <c r="G18" s="29">
        <v>2.94</v>
      </c>
      <c r="H18" s="10"/>
      <c r="I18" s="10">
        <f t="shared" si="5"/>
        <v>16991.477109253396</v>
      </c>
      <c r="J18" s="10">
        <f t="shared" si="3"/>
        <v>505934448488.2572</v>
      </c>
      <c r="K18" s="11">
        <f t="shared" si="4"/>
        <v>3.0017640000000068E-2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29757923.139653798</v>
      </c>
      <c r="D19" s="11">
        <v>2.0000000000000001E-4</v>
      </c>
      <c r="E19" s="10">
        <f t="shared" si="2"/>
        <v>5950.3945490196347</v>
      </c>
      <c r="F19" s="3"/>
      <c r="G19" s="29">
        <v>3.25</v>
      </c>
      <c r="H19" s="10"/>
      <c r="I19" s="10">
        <f t="shared" si="5"/>
        <v>16506.194976931605</v>
      </c>
      <c r="J19" s="10">
        <f t="shared" si="3"/>
        <v>491190081451.67029</v>
      </c>
      <c r="K19" s="11">
        <f t="shared" si="4"/>
        <v>3.2706499999999972E-2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29751972.745104779</v>
      </c>
      <c r="D20" s="11">
        <v>1.5E-3</v>
      </c>
      <c r="E20" s="10">
        <f t="shared" si="2"/>
        <v>44561.117441497743</v>
      </c>
      <c r="F20" s="3"/>
      <c r="G20" s="29">
        <v>4.88</v>
      </c>
      <c r="H20" s="10"/>
      <c r="I20" s="10">
        <f t="shared" si="5"/>
        <v>15986.629517609303</v>
      </c>
      <c r="J20" s="10">
        <f t="shared" si="3"/>
        <v>475633765693.99951</v>
      </c>
      <c r="K20" s="11">
        <f t="shared" si="4"/>
        <v>5.0373200000000118E-2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29707411.627663281</v>
      </c>
      <c r="D21" s="11">
        <v>1.1999999999999999E-3</v>
      </c>
      <c r="E21" s="10">
        <f t="shared" si="2"/>
        <v>35606.166553333402</v>
      </c>
      <c r="F21" s="3"/>
      <c r="G21" s="29">
        <v>2.61</v>
      </c>
      <c r="H21" s="10"/>
      <c r="I21" s="10">
        <f t="shared" si="5"/>
        <v>15242.781767362036</v>
      </c>
      <c r="J21" s="10">
        <f t="shared" si="3"/>
        <v>452823592313.66479</v>
      </c>
      <c r="K21" s="11">
        <f t="shared" si="4"/>
        <v>2.7331320000000048E-2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29671805.461109947</v>
      </c>
      <c r="D22" s="11">
        <v>5.0000000000000001E-4</v>
      </c>
      <c r="E22" s="10">
        <f t="shared" si="2"/>
        <v>14828.488486308604</v>
      </c>
      <c r="F22" s="3"/>
      <c r="G22" s="29">
        <v>3.53</v>
      </c>
      <c r="H22" s="10"/>
      <c r="I22" s="10">
        <f t="shared" si="5"/>
        <v>14855.064581777639</v>
      </c>
      <c r="J22" s="10">
        <f t="shared" si="3"/>
        <v>440776586382.73071</v>
      </c>
      <c r="K22" s="11">
        <f t="shared" si="4"/>
        <v>3.5817649999999812E-2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29656976.972623639</v>
      </c>
      <c r="D23" s="11">
        <v>-1.9E-3</v>
      </c>
      <c r="E23" s="10">
        <f t="shared" si="2"/>
        <v>-56455.521739289165</v>
      </c>
      <c r="F23" s="3"/>
      <c r="G23" s="29">
        <v>4.95</v>
      </c>
      <c r="H23" s="10"/>
      <c r="I23" s="10">
        <f t="shared" si="5"/>
        <v>14348.560399669313</v>
      </c>
      <c r="J23" s="10">
        <f t="shared" si="3"/>
        <v>425534925363.29224</v>
      </c>
      <c r="K23" s="11">
        <f t="shared" si="4"/>
        <v>4.7505949999999908E-2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29713432.494362928</v>
      </c>
      <c r="D24" s="11">
        <v>-3.2000000000000002E-3</v>
      </c>
      <c r="E24" s="10">
        <f t="shared" si="2"/>
        <v>-95388.226306140423</v>
      </c>
      <c r="F24" s="3"/>
      <c r="G24" s="29">
        <v>3.49</v>
      </c>
      <c r="H24" s="10"/>
      <c r="I24" s="10">
        <f t="shared" si="5"/>
        <v>13671.806002543413</v>
      </c>
      <c r="J24" s="10">
        <f t="shared" si="3"/>
        <v>406236284732.59961</v>
      </c>
      <c r="K24" s="11">
        <f t="shared" si="4"/>
        <v>3.1588320000000003E-2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29808820.720669068</v>
      </c>
      <c r="D25" s="11">
        <v>-1.6999999999999999E-3</v>
      </c>
      <c r="E25" s="10">
        <f t="shared" si="2"/>
        <v>-50761.289417147636</v>
      </c>
      <c r="F25" s="3"/>
      <c r="G25" s="29">
        <v>1.29</v>
      </c>
      <c r="H25" s="10"/>
      <c r="I25" s="10">
        <f t="shared" si="5"/>
        <v>13210.750799636115</v>
      </c>
      <c r="J25" s="10">
        <f t="shared" si="3"/>
        <v>393796902171.78845</v>
      </c>
      <c r="K25" s="11">
        <f t="shared" si="4"/>
        <v>1.1178069999999707E-2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29859582.010086216</v>
      </c>
      <c r="D26" s="11">
        <v>-1.5E-3</v>
      </c>
      <c r="E26" s="10">
        <f t="shared" si="2"/>
        <v>-44856.658002130687</v>
      </c>
      <c r="F26" s="3"/>
      <c r="G26" s="29">
        <v>-1.29</v>
      </c>
      <c r="H26" s="10"/>
      <c r="I26" s="10">
        <f t="shared" si="5"/>
        <v>13042.502517164692</v>
      </c>
      <c r="J26" s="10">
        <f t="shared" si="3"/>
        <v>389443673528.03503</v>
      </c>
      <c r="K26" s="11">
        <f t="shared" si="4"/>
        <v>-1.4380649999999884E-2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29904438.668088347</v>
      </c>
      <c r="D27" s="11">
        <v>-2.9999999999999997E-4</v>
      </c>
      <c r="E27" s="10">
        <f t="shared" si="2"/>
        <v>-8974.023807566613</v>
      </c>
      <c r="F27" s="3"/>
      <c r="G27" s="29">
        <v>-0.2</v>
      </c>
      <c r="H27" s="10"/>
      <c r="I27" s="10">
        <f t="shared" si="5"/>
        <v>13212.94956657349</v>
      </c>
      <c r="J27" s="10">
        <f t="shared" si="3"/>
        <v>395125839938.14142</v>
      </c>
      <c r="K27" s="11">
        <f t="shared" si="4"/>
        <v>-2.2993999999999515E-3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29913412.691895913</v>
      </c>
      <c r="D28" s="11">
        <v>5.0000000000000001E-4</v>
      </c>
      <c r="E28" s="10">
        <f t="shared" si="2"/>
        <v>14949.231730081141</v>
      </c>
      <c r="F28" s="3"/>
      <c r="G28" s="29">
        <v>2.2799999999999998</v>
      </c>
      <c r="H28" s="10"/>
      <c r="I28" s="10">
        <f t="shared" si="5"/>
        <v>13239.428423420331</v>
      </c>
      <c r="J28" s="10">
        <f t="shared" si="3"/>
        <v>396036486234.58923</v>
      </c>
      <c r="K28" s="11">
        <f t="shared" si="4"/>
        <v>2.3311399999999871E-2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29898463.460165832</v>
      </c>
      <c r="D29" s="11">
        <v>-2.2000000000000001E-3</v>
      </c>
      <c r="E29" s="10">
        <f t="shared" si="2"/>
        <v>-65921.647236283869</v>
      </c>
      <c r="F29" s="3"/>
      <c r="G29" s="29">
        <v>5.03</v>
      </c>
      <c r="H29" s="10"/>
      <c r="I29" s="10">
        <f t="shared" si="5"/>
        <v>12944.29841945672</v>
      </c>
      <c r="J29" s="10">
        <f t="shared" si="3"/>
        <v>387014633311.60907</v>
      </c>
      <c r="K29" s="11">
        <f t="shared" si="4"/>
        <v>4.7989340000000213E-2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29964385.107402116</v>
      </c>
      <c r="D30" s="12">
        <v>1.5E-3</v>
      </c>
      <c r="E30" s="10">
        <f t="shared" si="2"/>
        <v>44879.258772946894</v>
      </c>
      <c r="F30" s="3"/>
      <c r="G30" s="29">
        <v>4.5599999999999996</v>
      </c>
      <c r="H30" s="10"/>
      <c r="I30" s="10">
        <f t="shared" si="5"/>
        <v>12324.382004624125</v>
      </c>
      <c r="J30" s="10">
        <f t="shared" si="3"/>
        <v>369292528597.29376</v>
      </c>
      <c r="K30" s="11">
        <f t="shared" si="4"/>
        <v>4.716840000000011E-2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29919505.848629169</v>
      </c>
      <c r="D31" s="13">
        <v>5.0000000000000001E-4</v>
      </c>
      <c r="E31" s="10">
        <f t="shared" si="2"/>
        <v>14952.276785921305</v>
      </c>
      <c r="F31" s="3"/>
      <c r="G31" s="29">
        <v>4.01</v>
      </c>
      <c r="H31" s="10"/>
      <c r="I31" s="10">
        <f t="shared" si="5"/>
        <v>11786.899392333708</v>
      </c>
      <c r="J31" s="10">
        <f t="shared" si="3"/>
        <v>352658205306.13196</v>
      </c>
      <c r="K31" s="11">
        <f t="shared" si="4"/>
        <v>4.0620050000000019E-2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29904553.571843248</v>
      </c>
      <c r="D32" s="12">
        <v>-2.2000000000000001E-3</v>
      </c>
      <c r="E32" s="10">
        <f t="shared" si="2"/>
        <v>-65935.075023107231</v>
      </c>
      <c r="F32" s="3"/>
      <c r="G32" s="29">
        <v>3.6</v>
      </c>
      <c r="H32" s="10"/>
      <c r="I32" s="10">
        <f t="shared" si="5"/>
        <v>11332.467447681673</v>
      </c>
      <c r="J32" s="10">
        <f t="shared" si="3"/>
        <v>338892379890.36627</v>
      </c>
      <c r="K32" s="11">
        <f t="shared" si="4"/>
        <v>3.3720799999999995E-2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29970488.646866355</v>
      </c>
      <c r="D33" s="13">
        <v>-3.5000000000000001E-3</v>
      </c>
      <c r="E33" s="10">
        <f t="shared" si="2"/>
        <v>-105265.13824789971</v>
      </c>
      <c r="F33" s="3"/>
      <c r="G33" s="29">
        <v>2.67</v>
      </c>
      <c r="H33" s="10"/>
      <c r="I33" s="10">
        <f t="shared" si="5"/>
        <v>10938.675142549877</v>
      </c>
      <c r="J33" s="10">
        <f t="shared" si="3"/>
        <v>327837439171.55029</v>
      </c>
      <c r="K33" s="11">
        <f t="shared" si="4"/>
        <v>2.3106549999999837E-2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30075753.785114255</v>
      </c>
      <c r="D34" s="12">
        <v>-2.5999999999999999E-3</v>
      </c>
      <c r="E34" s="10">
        <f t="shared" si="2"/>
        <v>-78400.80192630738</v>
      </c>
      <c r="F34" s="3"/>
      <c r="G34" s="29">
        <v>3.62</v>
      </c>
      <c r="H34" s="10"/>
      <c r="I34" s="10">
        <f t="shared" si="5"/>
        <v>10654.207794438373</v>
      </c>
      <c r="J34" s="10">
        <f t="shared" ref="J34:J65" si="6">IF(I34="","",I34*C34)</f>
        <v>320433330400.97369</v>
      </c>
      <c r="K34" s="11">
        <f t="shared" ref="K34:K65" si="7">IFERROR(J34/J35-1,"")</f>
        <v>3.3505879999999877E-2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30154154.587040562</v>
      </c>
      <c r="D35" s="11">
        <v>-1E-3</v>
      </c>
      <c r="E35" s="10">
        <f t="shared" si="2"/>
        <v>-30184.33892596513</v>
      </c>
      <c r="F35" s="3"/>
      <c r="G35" s="29">
        <v>2.09</v>
      </c>
      <c r="H35" s="10"/>
      <c r="I35" s="10">
        <f t="shared" ref="I35:I66" si="8">IF(H35&lt;&gt;"",H35,I34/(1+IF(G34="",0,G34)/100))</f>
        <v>10281.999415593875</v>
      </c>
      <c r="J35" s="10">
        <f t="shared" si="6"/>
        <v>310044999841.67841</v>
      </c>
      <c r="K35" s="11">
        <f t="shared" si="7"/>
        <v>1.9879099999999816E-2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30184338.925966527</v>
      </c>
      <c r="D36" s="11">
        <v>1.5E-3</v>
      </c>
      <c r="E36" s="10">
        <f t="shared" si="2"/>
        <v>45208.695345930755</v>
      </c>
      <c r="F36" s="3"/>
      <c r="G36" s="29">
        <v>-1.32</v>
      </c>
      <c r="H36" s="10"/>
      <c r="I36" s="10">
        <f t="shared" si="8"/>
        <v>10071.504961890367</v>
      </c>
      <c r="J36" s="10">
        <f t="shared" si="6"/>
        <v>304001719264.25244</v>
      </c>
      <c r="K36" s="11">
        <f t="shared" si="7"/>
        <v>-1.1719799999999836E-2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30139130.230620597</v>
      </c>
      <c r="D37" s="11">
        <v>2.0999999999999999E-3</v>
      </c>
      <c r="E37" s="10">
        <f t="shared" si="2"/>
        <v>63159.538453549147</v>
      </c>
      <c r="F37" s="3"/>
      <c r="G37" s="29">
        <v>0.3</v>
      </c>
      <c r="H37" s="10"/>
      <c r="I37" s="10">
        <f t="shared" si="8"/>
        <v>10206.227160407749</v>
      </c>
      <c r="J37" s="10">
        <f t="shared" si="6"/>
        <v>307606809550.82617</v>
      </c>
      <c r="K37" s="11">
        <f t="shared" si="7"/>
        <v>5.106299999999564E-3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30075970.692167047</v>
      </c>
      <c r="D38" s="11">
        <v>4.0000000000000002E-4</v>
      </c>
      <c r="E38" s="10">
        <f t="shared" si="2"/>
        <v>12025.578045647591</v>
      </c>
      <c r="F38" s="3"/>
      <c r="G38" s="29">
        <v>-2.1800000000000002</v>
      </c>
      <c r="H38" s="10"/>
      <c r="I38" s="10">
        <f t="shared" si="8"/>
        <v>10175.700060227069</v>
      </c>
      <c r="J38" s="10">
        <f t="shared" si="6"/>
        <v>306044056783.67181</v>
      </c>
      <c r="K38" s="11">
        <f t="shared" si="7"/>
        <v>-2.1408719999999937E-2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30063945.1141214</v>
      </c>
      <c r="D39" s="11">
        <v>-8.9999999999999998E-4</v>
      </c>
      <c r="E39" s="10">
        <f t="shared" si="2"/>
        <v>-27081.924334611744</v>
      </c>
      <c r="F39" s="3"/>
      <c r="G39" s="29">
        <v>3.4</v>
      </c>
      <c r="H39" s="10"/>
      <c r="I39" s="10">
        <f t="shared" si="8"/>
        <v>10402.473993280586</v>
      </c>
      <c r="J39" s="10">
        <f t="shared" si="6"/>
        <v>312739407185.06281</v>
      </c>
      <c r="K39" s="11">
        <f t="shared" si="7"/>
        <v>3.3069400000000027E-2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30091027.038456012</v>
      </c>
      <c r="D40" s="11">
        <v>-2.3E-3</v>
      </c>
      <c r="E40" s="10">
        <f t="shared" si="2"/>
        <v>-69368.910683017224</v>
      </c>
      <c r="F40" s="3"/>
      <c r="G40" s="29">
        <v>1</v>
      </c>
      <c r="H40" s="10"/>
      <c r="I40" s="10">
        <f t="shared" si="8"/>
        <v>10060.419722708497</v>
      </c>
      <c r="J40" s="10">
        <f t="shared" si="6"/>
        <v>302728361894.23749</v>
      </c>
      <c r="K40" s="11">
        <f t="shared" si="7"/>
        <v>7.6770000000001559E-3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30160395.949139029</v>
      </c>
      <c r="D41" s="11">
        <v>-4.3E-3</v>
      </c>
      <c r="E41" s="10">
        <f t="shared" si="2"/>
        <v>-130249.77662076801</v>
      </c>
      <c r="F41" s="3"/>
      <c r="G41" s="29">
        <v>-6.2</v>
      </c>
      <c r="H41" s="10"/>
      <c r="I41" s="10">
        <f t="shared" si="8"/>
        <v>9960.8116066420753</v>
      </c>
      <c r="J41" s="10">
        <f t="shared" si="6"/>
        <v>300422022031.10468</v>
      </c>
      <c r="K41" s="11">
        <f t="shared" si="7"/>
        <v>-6.6033399999999909E-2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30290645.725759797</v>
      </c>
      <c r="D42" s="11">
        <v>-3.7000000000000002E-3</v>
      </c>
      <c r="E42" s="10">
        <f t="shared" si="2"/>
        <v>-112491.60813541338</v>
      </c>
      <c r="F42" s="3"/>
      <c r="G42" s="29">
        <v>-5.3</v>
      </c>
      <c r="H42" s="10"/>
      <c r="I42" s="10">
        <f t="shared" si="8"/>
        <v>10619.202139277266</v>
      </c>
      <c r="J42" s="10">
        <f t="shared" si="6"/>
        <v>321662489891.07819</v>
      </c>
      <c r="K42" s="11">
        <f t="shared" si="7"/>
        <v>-5.6503900000000051E-2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30403137.33389521</v>
      </c>
      <c r="D43" s="11">
        <v>4.0000000000000002E-4</v>
      </c>
      <c r="E43" s="10">
        <f t="shared" si="2"/>
        <v>12156.392376605421</v>
      </c>
      <c r="F43" s="3"/>
      <c r="G43" s="29">
        <v>4.3</v>
      </c>
      <c r="H43" s="10"/>
      <c r="I43" s="10">
        <f t="shared" si="8"/>
        <v>11213.518626480745</v>
      </c>
      <c r="J43" s="10">
        <f t="shared" si="6"/>
        <v>340926146797.08606</v>
      </c>
      <c r="K43" s="11">
        <f t="shared" si="7"/>
        <v>4.3417199999999712E-2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30390980.941518605</v>
      </c>
      <c r="D44" s="11">
        <v>3.0999999999999999E-3</v>
      </c>
      <c r="E44" s="10">
        <f t="shared" si="2"/>
        <v>93920.886171579361</v>
      </c>
      <c r="F44" s="3"/>
      <c r="G44" s="29">
        <v>7.31</v>
      </c>
      <c r="H44" s="10"/>
      <c r="I44" s="10">
        <f t="shared" si="8"/>
        <v>10751.216324526124</v>
      </c>
      <c r="J44" s="10">
        <f t="shared" si="6"/>
        <v>326740010416.81714</v>
      </c>
      <c r="K44" s="11">
        <f t="shared" si="7"/>
        <v>7.6426610000000395E-2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30297060.055347025</v>
      </c>
      <c r="D45" s="11">
        <v>1.8E-3</v>
      </c>
      <c r="E45" s="10">
        <f t="shared" si="2"/>
        <v>54436.722000025213</v>
      </c>
      <c r="F45" s="3"/>
      <c r="G45" s="29">
        <v>3.63</v>
      </c>
      <c r="H45" s="10"/>
      <c r="I45" s="10">
        <f t="shared" si="8"/>
        <v>10018.839180436235</v>
      </c>
      <c r="J45" s="10">
        <f t="shared" si="6"/>
        <v>303541372334.54034</v>
      </c>
      <c r="K45" s="11">
        <f t="shared" si="7"/>
        <v>3.8165339999999937E-2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30242623.333347</v>
      </c>
      <c r="D46" s="11">
        <v>1.8E-3</v>
      </c>
      <c r="E46" s="10">
        <f t="shared" si="2"/>
        <v>54338.911958500743</v>
      </c>
      <c r="F46" s="3"/>
      <c r="G46" s="29">
        <v>2</v>
      </c>
      <c r="H46" s="10"/>
      <c r="I46" s="10">
        <f t="shared" si="8"/>
        <v>9667.894606230082</v>
      </c>
      <c r="J46" s="10">
        <f t="shared" si="6"/>
        <v>292382495002.7135</v>
      </c>
      <c r="K46" s="11">
        <f t="shared" si="7"/>
        <v>2.1836000000000189E-2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30188284.421388499</v>
      </c>
      <c r="D47" s="11">
        <v>2.2000000000000001E-3</v>
      </c>
      <c r="E47" s="10">
        <f t="shared" si="2"/>
        <v>66268.435169681907</v>
      </c>
      <c r="F47" s="3"/>
      <c r="G47" s="29">
        <v>2.71</v>
      </c>
      <c r="H47" s="10"/>
      <c r="I47" s="10">
        <f t="shared" si="8"/>
        <v>9478.3280453236093</v>
      </c>
      <c r="J47" s="10">
        <f t="shared" si="6"/>
        <v>286134462871.45239</v>
      </c>
      <c r="K47" s="11">
        <f t="shared" si="7"/>
        <v>2.935961999999992E-2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30122015.986218818</v>
      </c>
      <c r="D48" s="11">
        <v>3.2000000000000002E-3</v>
      </c>
      <c r="E48" s="10">
        <f t="shared" si="2"/>
        <v>96082.985601976514</v>
      </c>
      <c r="F48" s="3"/>
      <c r="G48" s="29">
        <v>1.94</v>
      </c>
      <c r="H48" s="10"/>
      <c r="I48" s="10">
        <f t="shared" si="8"/>
        <v>9228.2426689938766</v>
      </c>
      <c r="J48" s="10">
        <f t="shared" si="6"/>
        <v>277973273200.14014</v>
      </c>
      <c r="K48" s="11">
        <f t="shared" si="7"/>
        <v>2.266208000000014E-2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30025933.000616841</v>
      </c>
      <c r="D49" s="11">
        <v>3.5999999999999999E-3</v>
      </c>
      <c r="E49" s="10">
        <f t="shared" si="2"/>
        <v>107705.61857534945</v>
      </c>
      <c r="F49" s="3"/>
      <c r="G49" s="29">
        <v>5.47</v>
      </c>
      <c r="H49" s="10"/>
      <c r="I49" s="10">
        <f t="shared" si="8"/>
        <v>9052.6218059582843</v>
      </c>
      <c r="J49" s="10">
        <f t="shared" si="6"/>
        <v>271813415825.62646</v>
      </c>
      <c r="K49" s="11">
        <f t="shared" si="7"/>
        <v>5.8496920000000063E-2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29918227.382041492</v>
      </c>
      <c r="D50" s="11">
        <v>3.8E-3</v>
      </c>
      <c r="E50" s="10">
        <f t="shared" si="2"/>
        <v>113258.88030659407</v>
      </c>
      <c r="F50" s="3"/>
      <c r="G50" s="29">
        <v>2.78</v>
      </c>
      <c r="H50" s="10"/>
      <c r="I50" s="10">
        <f t="shared" si="8"/>
        <v>8583.124875280444</v>
      </c>
      <c r="J50" s="10">
        <f t="shared" si="6"/>
        <v>256791881667.09683</v>
      </c>
      <c r="K50" s="11">
        <f t="shared" si="7"/>
        <v>3.1705639999999979E-2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29804968.501734897</v>
      </c>
      <c r="D51" s="11">
        <v>4.0000000000000001E-3</v>
      </c>
      <c r="E51" s="10">
        <f t="shared" si="2"/>
        <v>118744.89442922175</v>
      </c>
      <c r="F51" s="3"/>
      <c r="G51" s="29">
        <v>1.57</v>
      </c>
      <c r="H51" s="10"/>
      <c r="I51" s="10">
        <f t="shared" si="8"/>
        <v>8350.9679658303594</v>
      </c>
      <c r="J51" s="10">
        <f t="shared" si="6"/>
        <v>248900337180.57101</v>
      </c>
      <c r="K51" s="11">
        <f t="shared" si="7"/>
        <v>1.976280000000008E-2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29686223.607305676</v>
      </c>
      <c r="D52" s="11">
        <v>4.4000000000000003E-3</v>
      </c>
      <c r="E52" s="10">
        <f t="shared" si="2"/>
        <v>130047.17629643902</v>
      </c>
      <c r="F52" s="3"/>
      <c r="G52" s="29">
        <v>2.13</v>
      </c>
      <c r="H52" s="10"/>
      <c r="I52" s="10">
        <f t="shared" si="8"/>
        <v>8221.8843810479066</v>
      </c>
      <c r="J52" s="10">
        <f t="shared" si="6"/>
        <v>244076698209.20218</v>
      </c>
      <c r="K52" s="11">
        <f t="shared" si="7"/>
        <v>2.579372000000002E-2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29556176.431009237</v>
      </c>
      <c r="D53" s="11">
        <v>4.5999999999999999E-3</v>
      </c>
      <c r="E53" s="10">
        <f t="shared" si="2"/>
        <v>135335.86659629643</v>
      </c>
      <c r="F53" s="3"/>
      <c r="G53" s="29">
        <v>1</v>
      </c>
      <c r="H53" s="10"/>
      <c r="I53" s="10">
        <f t="shared" si="8"/>
        <v>8050.4106345323662</v>
      </c>
      <c r="J53" s="10">
        <f t="shared" si="6"/>
        <v>237939357056.31165</v>
      </c>
      <c r="K53" s="11">
        <f t="shared" si="7"/>
        <v>1.4645999999999937E-2</v>
      </c>
      <c r="L53" t="s">
        <v>116</v>
      </c>
      <c r="M53" t="s">
        <v>117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29420840.56441294</v>
      </c>
      <c r="D54" s="11">
        <v>4.7000000000000002E-3</v>
      </c>
      <c r="E54" s="10">
        <f t="shared" si="2"/>
        <v>137631.08455532789</v>
      </c>
      <c r="F54" s="3"/>
      <c r="G54" s="29">
        <v>1</v>
      </c>
      <c r="H54" s="10"/>
      <c r="I54" s="10">
        <f t="shared" si="8"/>
        <v>7970.7035985468974</v>
      </c>
      <c r="J54" s="10">
        <f t="shared" si="6"/>
        <v>234504799759.04074</v>
      </c>
      <c r="K54" s="11">
        <f t="shared" si="7"/>
        <v>1.4746999999999844E-2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29283209.479857612</v>
      </c>
      <c r="D55" s="11">
        <v>4.7999999999999996E-3</v>
      </c>
      <c r="E55" s="10">
        <f t="shared" si="2"/>
        <v>139887.94337511435</v>
      </c>
      <c r="F55" s="3"/>
      <c r="G55" s="29">
        <v>1.1000000000000001</v>
      </c>
      <c r="H55" s="10"/>
      <c r="I55" s="10">
        <f t="shared" si="8"/>
        <v>7891.7857411355417</v>
      </c>
      <c r="J55" s="10">
        <f t="shared" si="6"/>
        <v>231096815027.82544</v>
      </c>
      <c r="K55" s="11">
        <f t="shared" si="7"/>
        <v>1.58528E-2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29143321.536482498</v>
      </c>
      <c r="D56" s="11">
        <v>5.4000000000000003E-3</v>
      </c>
      <c r="E56" s="10">
        <f t="shared" si="2"/>
        <v>156528.68141735345</v>
      </c>
      <c r="F56" s="3"/>
      <c r="G56" s="29">
        <v>2.7</v>
      </c>
      <c r="H56" s="10"/>
      <c r="I56" s="10">
        <f t="shared" si="8"/>
        <v>7805.9206143773908</v>
      </c>
      <c r="J56" s="10">
        <f t="shared" si="6"/>
        <v>227490454353.05731</v>
      </c>
      <c r="K56" s="11">
        <f t="shared" si="7"/>
        <v>3.2545800000000069E-2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28986792.855065145</v>
      </c>
      <c r="D57" s="11">
        <v>4.0000000000000001E-3</v>
      </c>
      <c r="E57" s="10">
        <f t="shared" si="2"/>
        <v>115485.2304982692</v>
      </c>
      <c r="F57" s="3"/>
      <c r="G57" s="30">
        <v>5.76</v>
      </c>
      <c r="H57" s="10"/>
      <c r="I57" s="10">
        <f t="shared" si="8"/>
        <v>7600.701669306126</v>
      </c>
      <c r="J57" s="10">
        <f t="shared" si="6"/>
        <v>220319964841.32452</v>
      </c>
      <c r="K57" s="11">
        <f t="shared" si="7"/>
        <v>6.1830400000000063E-2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28871307.624566875</v>
      </c>
      <c r="D58" s="11">
        <v>4.0000000000000001E-3</v>
      </c>
      <c r="E58" s="10">
        <f t="shared" si="2"/>
        <v>115025.12997835502</v>
      </c>
      <c r="F58" s="3"/>
      <c r="G58" s="30">
        <v>4.04</v>
      </c>
      <c r="H58" s="10"/>
      <c r="I58" s="10">
        <f t="shared" si="8"/>
        <v>7186.7451487387716</v>
      </c>
      <c r="J58" s="10">
        <f t="shared" si="6"/>
        <v>207490730008.60071</v>
      </c>
      <c r="K58" s="11">
        <f t="shared" si="7"/>
        <v>4.4561600000000201E-2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28756282.49458852</v>
      </c>
      <c r="D59" s="11">
        <v>3.3999999999999998E-3</v>
      </c>
      <c r="E59" s="10">
        <f t="shared" si="2"/>
        <v>97440.064263109118</v>
      </c>
      <c r="F59" s="3"/>
      <c r="G59" s="30">
        <v>-0.2</v>
      </c>
      <c r="H59" s="10"/>
      <c r="I59" s="10">
        <f t="shared" si="8"/>
        <v>6907.6750756812489</v>
      </c>
      <c r="J59" s="10">
        <f t="shared" si="6"/>
        <v>198639055857.11813</v>
      </c>
      <c r="K59" s="11">
        <f t="shared" si="7"/>
        <v>1.3932000000000944E-3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28658842.430325411</v>
      </c>
      <c r="D60" s="11">
        <v>4.0000000000000002E-4</v>
      </c>
      <c r="E60" s="10">
        <f t="shared" si="2"/>
        <v>11458.953390773386</v>
      </c>
      <c r="F60" s="3"/>
      <c r="G60" s="30">
        <v>1.59</v>
      </c>
      <c r="H60" s="10"/>
      <c r="I60" s="10">
        <f t="shared" si="8"/>
        <v>6921.5181119050594</v>
      </c>
      <c r="J60" s="10">
        <f t="shared" si="6"/>
        <v>198362696947.73053</v>
      </c>
      <c r="K60" s="11">
        <f t="shared" si="7"/>
        <v>1.6306359999999964E-2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28647383.476934638</v>
      </c>
      <c r="D61" s="11">
        <v>-2.9999999999999997E-4</v>
      </c>
      <c r="E61" s="10">
        <f t="shared" si="2"/>
        <v>-8596.7940813042223</v>
      </c>
      <c r="F61" s="3"/>
      <c r="G61" s="30">
        <v>1.25</v>
      </c>
      <c r="H61" s="10"/>
      <c r="I61" s="10">
        <f t="shared" si="8"/>
        <v>6813.1884160892405</v>
      </c>
      <c r="J61" s="10">
        <f t="shared" si="6"/>
        <v>195180021256.31738</v>
      </c>
      <c r="K61" s="11">
        <f t="shared" si="7"/>
        <v>1.2196249999999909E-2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28655980.271015942</v>
      </c>
      <c r="D62" s="11">
        <v>2E-3</v>
      </c>
      <c r="E62" s="10">
        <f t="shared" si="2"/>
        <v>57197.56541121006</v>
      </c>
      <c r="F62" s="3"/>
      <c r="G62" s="30">
        <v>3.63</v>
      </c>
      <c r="H62" s="10"/>
      <c r="I62" s="10">
        <f t="shared" si="8"/>
        <v>6729.0749788535713</v>
      </c>
      <c r="J62" s="10">
        <f t="shared" si="6"/>
        <v>192828239836.21497</v>
      </c>
      <c r="K62" s="11">
        <f t="shared" si="7"/>
        <v>3.8372600000000201E-2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28598782.705604732</v>
      </c>
      <c r="D63" s="11">
        <v>3.3999999999999998E-3</v>
      </c>
      <c r="E63" s="10">
        <f t="shared" si="2"/>
        <v>96906.379508730024</v>
      </c>
      <c r="F63" s="3"/>
      <c r="G63" s="30">
        <v>4.08</v>
      </c>
      <c r="H63" s="10"/>
      <c r="I63" s="10">
        <f t="shared" si="8"/>
        <v>6493.3658003025876</v>
      </c>
      <c r="J63" s="10">
        <f t="shared" si="6"/>
        <v>185702357550.85886</v>
      </c>
      <c r="K63" s="11">
        <f t="shared" si="7"/>
        <v>4.4338719999999832E-2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28501876.326096002</v>
      </c>
      <c r="D64" s="11">
        <v>5.5999999999999999E-3</v>
      </c>
      <c r="E64" s="10">
        <f t="shared" si="2"/>
        <v>158721.66609600186</v>
      </c>
      <c r="F64" s="3"/>
      <c r="G64" s="30">
        <v>3.93</v>
      </c>
      <c r="H64" s="10"/>
      <c r="I64" s="10">
        <f t="shared" si="8"/>
        <v>6238.8218680847312</v>
      </c>
      <c r="J64" s="10">
        <f t="shared" si="6"/>
        <v>177818129304.69424</v>
      </c>
      <c r="K64" s="11">
        <f t="shared" si="7"/>
        <v>4.5120080000000007E-2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28343154.66</v>
      </c>
      <c r="D65" s="11">
        <v>5.4999999999999997E-3</v>
      </c>
      <c r="E65" s="10">
        <f t="shared" si="2"/>
        <v>155034.66000000015</v>
      </c>
      <c r="F65" s="3"/>
      <c r="G65" s="30">
        <v>3.2</v>
      </c>
      <c r="H65" s="10"/>
      <c r="I65" s="10">
        <f t="shared" si="8"/>
        <v>6002.9075994272416</v>
      </c>
      <c r="J65" s="10">
        <f t="shared" si="6"/>
        <v>170141338500.25565</v>
      </c>
      <c r="K65" s="11">
        <f t="shared" si="7"/>
        <v>3.7676000000000043E-2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28188120</v>
      </c>
      <c r="D66" s="11">
        <v>6.0000000000000001E-3</v>
      </c>
      <c r="E66" s="10">
        <f t="shared" si="2"/>
        <v>168120</v>
      </c>
      <c r="F66" s="3"/>
      <c r="G66" s="30">
        <v>2.98</v>
      </c>
      <c r="H66" s="10"/>
      <c r="I66" s="10">
        <f t="shared" si="8"/>
        <v>5816.7709296775593</v>
      </c>
      <c r="J66" s="10">
        <f t="shared" ref="J66:J67" si="9">IF(I66="","",I66*C66)</f>
        <v>163963836978.2626</v>
      </c>
      <c r="K66" s="11">
        <f t="shared" ref="K66" si="10">IFERROR(J66/J67-1,"")</f>
        <v>3.5978800000000088E-2</v>
      </c>
    </row>
    <row r="67" spans="1:11" ht="22.5" customHeight="1">
      <c r="A67" s="3">
        <f t="shared" si="0"/>
        <v>1950</v>
      </c>
      <c r="B67" s="3">
        <v>1700</v>
      </c>
      <c r="C67" s="24">
        <v>28020000</v>
      </c>
      <c r="D67" s="11">
        <v>5.0000000000000001E-3</v>
      </c>
      <c r="E67" s="3" t="s">
        <v>72</v>
      </c>
      <c r="F67" s="3"/>
      <c r="G67" s="30">
        <v>-0.61</v>
      </c>
      <c r="H67" s="10"/>
      <c r="I67" s="10">
        <f t="shared" ref="I67" si="11">IF(H67&lt;&gt;"",H67,I66/(1+IF(G66="",0,G66)/100))</f>
        <v>5648.4472030273437</v>
      </c>
      <c r="J67" s="10">
        <f t="shared" si="9"/>
        <v>158269490628.82617</v>
      </c>
      <c r="K67" s="11"/>
    </row>
  </sheetData>
  <dataValidations count="1">
    <dataValidation type="custom" allowBlank="1" showDropDown="1" sqref="D2:D67" xr:uid="{00000000-0002-0000-1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29419801.414635636</v>
      </c>
      <c r="D2" s="11">
        <v>2.5399999999999999E-2</v>
      </c>
      <c r="E2" s="10">
        <f t="shared" ref="E2:E66" si="2">SUM(C2-C3)</f>
        <v>728752.63890359551</v>
      </c>
      <c r="F2" s="15">
        <v>29421790</v>
      </c>
      <c r="G2" s="28"/>
      <c r="H2" s="10"/>
      <c r="I2" s="10">
        <f>IF(H2&lt;&gt;"",H2,1198)</f>
        <v>1198</v>
      </c>
      <c r="J2" s="10">
        <f t="shared" ref="J2:J33" si="3">IF(I2="","",I2*C2)</f>
        <v>35244922094.73349</v>
      </c>
      <c r="K2" s="11">
        <f t="shared" ref="K2:K33" si="4">IFERROR(J2/J3-1,"")</f>
        <v>2.5400000000000089E-2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28691048.77573204</v>
      </c>
      <c r="D3" s="11">
        <v>2.64E-2</v>
      </c>
      <c r="E3" s="10">
        <f t="shared" si="2"/>
        <v>737961.50397440046</v>
      </c>
      <c r="F3" s="3"/>
      <c r="G3" s="28"/>
      <c r="H3" s="10"/>
      <c r="I3" s="10">
        <f t="shared" ref="I3:I34" si="5">IF(H3&lt;&gt;"",H3,I2/(1+IF(G2="",0,G2)/100))</f>
        <v>1198</v>
      </c>
      <c r="J3" s="10">
        <f t="shared" si="3"/>
        <v>34371876433.326981</v>
      </c>
      <c r="K3" s="11">
        <f t="shared" si="4"/>
        <v>2.6399999999999979E-2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27953087.27175764</v>
      </c>
      <c r="D4" s="11">
        <v>2.7099999999999999E-2</v>
      </c>
      <c r="E4" s="10">
        <f t="shared" si="2"/>
        <v>737541.29594453424</v>
      </c>
      <c r="F4" s="3"/>
      <c r="G4" s="28"/>
      <c r="H4" s="10"/>
      <c r="I4" s="10">
        <f t="shared" si="5"/>
        <v>1198</v>
      </c>
      <c r="J4" s="10">
        <f t="shared" si="3"/>
        <v>33487798551.565651</v>
      </c>
      <c r="K4" s="11">
        <f t="shared" si="4"/>
        <v>2.7099999999999902E-2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27215545.975813106</v>
      </c>
      <c r="D5" s="11">
        <v>2.7699999999999999E-2</v>
      </c>
      <c r="E5" s="10">
        <f t="shared" si="2"/>
        <v>733551.25379977003</v>
      </c>
      <c r="F5" s="3"/>
      <c r="G5" s="28"/>
      <c r="H5" s="10"/>
      <c r="I5" s="10">
        <f t="shared" si="5"/>
        <v>1198</v>
      </c>
      <c r="J5" s="10">
        <f t="shared" si="3"/>
        <v>32604224079.024101</v>
      </c>
      <c r="K5" s="11">
        <f t="shared" si="4"/>
        <v>2.7700000000000058E-2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26481994.722013336</v>
      </c>
      <c r="D6" s="11">
        <v>2.8000000000000001E-2</v>
      </c>
      <c r="E6" s="10">
        <f t="shared" si="2"/>
        <v>721299.46713655069</v>
      </c>
      <c r="F6" s="3"/>
      <c r="G6" s="28"/>
      <c r="H6" s="10"/>
      <c r="I6" s="10">
        <f t="shared" si="5"/>
        <v>1198</v>
      </c>
      <c r="J6" s="10">
        <f t="shared" si="3"/>
        <v>31725429676.971977</v>
      </c>
      <c r="K6" s="11">
        <f t="shared" si="4"/>
        <v>2.8000000000000025E-2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25760695.254876785</v>
      </c>
      <c r="D7" s="11">
        <v>2.8000000000000001E-2</v>
      </c>
      <c r="E7" s="10">
        <f t="shared" si="2"/>
        <v>701653.17814839631</v>
      </c>
      <c r="F7" s="3"/>
      <c r="G7" s="28"/>
      <c r="H7" s="10"/>
      <c r="I7" s="10">
        <f t="shared" si="5"/>
        <v>1198</v>
      </c>
      <c r="J7" s="10">
        <f t="shared" si="3"/>
        <v>30861312915.342388</v>
      </c>
      <c r="K7" s="11">
        <f t="shared" si="4"/>
        <v>2.8000000000000025E-2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25059042.076728389</v>
      </c>
      <c r="D8" s="11">
        <v>2.7900000000000001E-2</v>
      </c>
      <c r="E8" s="10">
        <f t="shared" si="2"/>
        <v>680170.51652954891</v>
      </c>
      <c r="F8" s="3"/>
      <c r="G8" s="28"/>
      <c r="H8" s="10"/>
      <c r="I8" s="10">
        <f t="shared" si="5"/>
        <v>1198</v>
      </c>
      <c r="J8" s="10">
        <f t="shared" si="3"/>
        <v>30020732407.920609</v>
      </c>
      <c r="K8" s="11">
        <f t="shared" si="4"/>
        <v>2.7900000000000036E-2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24378871.56019884</v>
      </c>
      <c r="D9" s="11">
        <v>2.7799999999999998E-2</v>
      </c>
      <c r="E9" s="10">
        <f t="shared" si="2"/>
        <v>659401.27395750955</v>
      </c>
      <c r="F9" s="3"/>
      <c r="G9" s="28"/>
      <c r="H9" s="10"/>
      <c r="I9" s="10">
        <f t="shared" si="5"/>
        <v>1198</v>
      </c>
      <c r="J9" s="10">
        <f t="shared" si="3"/>
        <v>29205888129.11821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23719470.28624133</v>
      </c>
      <c r="D10" s="11">
        <v>2.7699999999999999E-2</v>
      </c>
      <c r="E10" s="10">
        <f t="shared" si="2"/>
        <v>639320.15853739902</v>
      </c>
      <c r="F10" s="3"/>
      <c r="G10" s="28"/>
      <c r="H10" s="10"/>
      <c r="I10" s="10">
        <f t="shared" si="5"/>
        <v>1198</v>
      </c>
      <c r="J10" s="10">
        <f t="shared" si="3"/>
        <v>28415925402.917114</v>
      </c>
      <c r="K10" s="11">
        <f t="shared" si="4"/>
        <v>2.7700000000000058E-2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23080150.127703931</v>
      </c>
      <c r="D11" s="11">
        <v>2.76E-2</v>
      </c>
      <c r="E11" s="10">
        <f t="shared" si="2"/>
        <v>619902.82553973421</v>
      </c>
      <c r="F11" s="3"/>
      <c r="G11" s="28"/>
      <c r="H11" s="10"/>
      <c r="I11" s="10">
        <f t="shared" si="5"/>
        <v>1198</v>
      </c>
      <c r="J11" s="10">
        <f t="shared" si="3"/>
        <v>27650019852.989311</v>
      </c>
      <c r="K11" s="11">
        <f t="shared" si="4"/>
        <v>2.7600000000000291E-2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22460247.302164197</v>
      </c>
      <c r="D12" s="11">
        <v>2.7699999999999999E-2</v>
      </c>
      <c r="E12" s="10">
        <f t="shared" si="2"/>
        <v>605379.82900647074</v>
      </c>
      <c r="F12" s="3"/>
      <c r="G12" s="28"/>
      <c r="H12" s="10"/>
      <c r="I12" s="10">
        <f t="shared" si="5"/>
        <v>1198</v>
      </c>
      <c r="J12" s="10">
        <f t="shared" si="3"/>
        <v>26907376267.992706</v>
      </c>
      <c r="K12" s="11">
        <f t="shared" si="4"/>
        <v>2.7700000000000058E-2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21854867.473157726</v>
      </c>
      <c r="D13" s="11">
        <v>2.7699999999999999E-2</v>
      </c>
      <c r="E13" s="10">
        <f t="shared" si="2"/>
        <v>589062.78973092511</v>
      </c>
      <c r="F13" s="3"/>
      <c r="G13" s="28"/>
      <c r="H13" s="10"/>
      <c r="I13" s="10">
        <f t="shared" si="5"/>
        <v>1198</v>
      </c>
      <c r="J13" s="10">
        <f t="shared" si="3"/>
        <v>26182131232.842957</v>
      </c>
      <c r="K13" s="11">
        <f t="shared" si="4"/>
        <v>2.7700000000000058E-2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21265804.683426801</v>
      </c>
      <c r="D14" s="11">
        <v>2.76E-2</v>
      </c>
      <c r="E14" s="10">
        <f t="shared" si="2"/>
        <v>571171.86576740071</v>
      </c>
      <c r="F14" s="3"/>
      <c r="G14" s="28"/>
      <c r="H14" s="10"/>
      <c r="I14" s="10">
        <f t="shared" si="5"/>
        <v>1198</v>
      </c>
      <c r="J14" s="10">
        <f t="shared" si="3"/>
        <v>25476434010.745308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20694632.8176594</v>
      </c>
      <c r="D15" s="11">
        <v>2.7400000000000001E-2</v>
      </c>
      <c r="E15" s="10">
        <f t="shared" si="2"/>
        <v>551910.58906352893</v>
      </c>
      <c r="F15" s="3"/>
      <c r="G15" s="28"/>
      <c r="H15" s="10"/>
      <c r="I15" s="10">
        <f t="shared" si="5"/>
        <v>1198</v>
      </c>
      <c r="J15" s="10">
        <f t="shared" si="3"/>
        <v>24792170115.555962</v>
      </c>
      <c r="K15" s="11">
        <f t="shared" si="4"/>
        <v>2.7400000000000091E-2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20142722.228595871</v>
      </c>
      <c r="D16" s="11">
        <v>2.7199999999999998E-2</v>
      </c>
      <c r="E16" s="10">
        <f t="shared" si="2"/>
        <v>533374.26462013647</v>
      </c>
      <c r="F16" s="3"/>
      <c r="G16" s="28"/>
      <c r="H16" s="10"/>
      <c r="I16" s="10">
        <f t="shared" si="5"/>
        <v>1198</v>
      </c>
      <c r="J16" s="10">
        <f t="shared" si="3"/>
        <v>24130981229.857853</v>
      </c>
      <c r="K16" s="11">
        <f t="shared" si="4"/>
        <v>2.7199999999999891E-2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19609347.963975735</v>
      </c>
      <c r="D17" s="11">
        <v>2.6700000000000002E-2</v>
      </c>
      <c r="E17" s="10">
        <f t="shared" si="2"/>
        <v>509953.82354938239</v>
      </c>
      <c r="F17" s="3"/>
      <c r="G17" s="28"/>
      <c r="H17" s="10"/>
      <c r="I17" s="10">
        <f t="shared" si="5"/>
        <v>1198</v>
      </c>
      <c r="J17" s="10">
        <f t="shared" si="3"/>
        <v>23491998860.84293</v>
      </c>
      <c r="K17" s="11">
        <f t="shared" si="4"/>
        <v>2.6699999999999946E-2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19099394.140426353</v>
      </c>
      <c r="D18" s="11">
        <v>2.64E-2</v>
      </c>
      <c r="E18" s="10">
        <f t="shared" si="2"/>
        <v>491254.8765659146</v>
      </c>
      <c r="F18" s="3"/>
      <c r="G18" s="28"/>
      <c r="H18" s="10"/>
      <c r="I18" s="10">
        <f t="shared" si="5"/>
        <v>1198</v>
      </c>
      <c r="J18" s="10">
        <f t="shared" si="3"/>
        <v>22881074180.23077</v>
      </c>
      <c r="K18" s="11">
        <f t="shared" si="4"/>
        <v>2.6399999999999979E-2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18608139.263860438</v>
      </c>
      <c r="D19" s="11">
        <v>2.6100000000000002E-2</v>
      </c>
      <c r="E19" s="10">
        <f t="shared" si="2"/>
        <v>473318.813747935</v>
      </c>
      <c r="F19" s="3"/>
      <c r="G19" s="28"/>
      <c r="H19" s="10"/>
      <c r="I19" s="10">
        <f t="shared" si="5"/>
        <v>1198</v>
      </c>
      <c r="J19" s="10">
        <f t="shared" si="3"/>
        <v>22292550838.104805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18134820.450112503</v>
      </c>
      <c r="D20" s="11">
        <v>2.5999999999999999E-2</v>
      </c>
      <c r="E20" s="10">
        <f t="shared" si="2"/>
        <v>459556.85351162404</v>
      </c>
      <c r="F20" s="3"/>
      <c r="G20" s="28"/>
      <c r="H20" s="10"/>
      <c r="I20" s="10">
        <f t="shared" si="5"/>
        <v>1198</v>
      </c>
      <c r="J20" s="10">
        <f t="shared" si="3"/>
        <v>21725514899.234779</v>
      </c>
      <c r="K20" s="11">
        <f t="shared" si="4"/>
        <v>2.6000000000000245E-2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17675263.596600879</v>
      </c>
      <c r="D21" s="11">
        <v>2.6100000000000002E-2</v>
      </c>
      <c r="E21" s="10">
        <f t="shared" si="2"/>
        <v>449590.07881423086</v>
      </c>
      <c r="F21" s="3"/>
      <c r="G21" s="28"/>
      <c r="H21" s="10"/>
      <c r="I21" s="10">
        <f t="shared" si="5"/>
        <v>1198</v>
      </c>
      <c r="J21" s="10">
        <f t="shared" si="3"/>
        <v>21174965788.727852</v>
      </c>
      <c r="K21" s="11">
        <f t="shared" si="4"/>
        <v>2.6100000000000012E-2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17225673.517786648</v>
      </c>
      <c r="D22" s="11">
        <v>2.64E-2</v>
      </c>
      <c r="E22" s="10">
        <f t="shared" si="2"/>
        <v>443060.97122911736</v>
      </c>
      <c r="F22" s="3"/>
      <c r="G22" s="28"/>
      <c r="H22" s="10"/>
      <c r="I22" s="10">
        <f t="shared" si="5"/>
        <v>1198</v>
      </c>
      <c r="J22" s="10">
        <f t="shared" si="3"/>
        <v>20636356874.308403</v>
      </c>
      <c r="K22" s="11">
        <f t="shared" si="4"/>
        <v>2.6399999999999979E-2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16782612.546557531</v>
      </c>
      <c r="D23" s="11">
        <v>2.64E-2</v>
      </c>
      <c r="E23" s="10">
        <f t="shared" si="2"/>
        <v>431665.01483741216</v>
      </c>
      <c r="F23" s="3"/>
      <c r="G23" s="28"/>
      <c r="H23" s="10"/>
      <c r="I23" s="10">
        <f t="shared" si="5"/>
        <v>1198</v>
      </c>
      <c r="J23" s="10">
        <f t="shared" si="3"/>
        <v>20105569830.775921</v>
      </c>
      <c r="K23" s="11">
        <f t="shared" si="4"/>
        <v>2.6399999999999979E-2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16350947.531720119</v>
      </c>
      <c r="D24" s="11">
        <v>2.6499999999999999E-2</v>
      </c>
      <c r="E24" s="10">
        <f t="shared" si="2"/>
        <v>422114.08630353957</v>
      </c>
      <c r="F24" s="3"/>
      <c r="G24" s="28"/>
      <c r="H24" s="10"/>
      <c r="I24" s="10">
        <f t="shared" si="5"/>
        <v>1198</v>
      </c>
      <c r="J24" s="10">
        <f t="shared" si="3"/>
        <v>19588435143.000702</v>
      </c>
      <c r="K24" s="11">
        <f t="shared" si="4"/>
        <v>2.6499999999999968E-2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15928833.445416579</v>
      </c>
      <c r="D25" s="11">
        <v>2.63E-2</v>
      </c>
      <c r="E25" s="10">
        <f t="shared" si="2"/>
        <v>408192.84771943465</v>
      </c>
      <c r="F25" s="3"/>
      <c r="G25" s="28"/>
      <c r="H25" s="10"/>
      <c r="I25" s="10">
        <f t="shared" si="5"/>
        <v>1198</v>
      </c>
      <c r="J25" s="10">
        <f t="shared" si="3"/>
        <v>19082742467.609062</v>
      </c>
      <c r="K25" s="11">
        <f t="shared" si="4"/>
        <v>2.629999999999999E-2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15520640.597697144</v>
      </c>
      <c r="D26" s="11">
        <v>2.64E-2</v>
      </c>
      <c r="E26" s="10">
        <f t="shared" si="2"/>
        <v>399205.87663601339</v>
      </c>
      <c r="F26" s="3"/>
      <c r="G26" s="28"/>
      <c r="H26" s="10"/>
      <c r="I26" s="10">
        <f t="shared" si="5"/>
        <v>1198</v>
      </c>
      <c r="J26" s="10">
        <f t="shared" si="3"/>
        <v>18593727436.04118</v>
      </c>
      <c r="K26" s="11">
        <f t="shared" si="4"/>
        <v>2.6399999999999979E-2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15121434.721061131</v>
      </c>
      <c r="D27" s="11">
        <v>2.7E-2</v>
      </c>
      <c r="E27" s="10">
        <f t="shared" si="2"/>
        <v>397545.02187794447</v>
      </c>
      <c r="F27" s="3"/>
      <c r="G27" s="28"/>
      <c r="H27" s="10"/>
      <c r="I27" s="10">
        <f t="shared" si="5"/>
        <v>1198</v>
      </c>
      <c r="J27" s="10">
        <f t="shared" si="3"/>
        <v>18115478795.831234</v>
      </c>
      <c r="K27" s="11">
        <f t="shared" si="4"/>
        <v>2.6999999999999913E-2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14723889.699183187</v>
      </c>
      <c r="D28" s="11">
        <v>2.69E-2</v>
      </c>
      <c r="E28" s="10">
        <f t="shared" si="2"/>
        <v>385697.37355928123</v>
      </c>
      <c r="F28" s="3"/>
      <c r="G28" s="28"/>
      <c r="H28" s="10"/>
      <c r="I28" s="10">
        <f t="shared" si="5"/>
        <v>1198</v>
      </c>
      <c r="J28" s="10">
        <f t="shared" si="3"/>
        <v>17639219859.621456</v>
      </c>
      <c r="K28" s="11">
        <f t="shared" si="4"/>
        <v>2.6899999999999702E-2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14338192.325623905</v>
      </c>
      <c r="D29" s="11">
        <v>2.6700000000000002E-2</v>
      </c>
      <c r="E29" s="10">
        <f t="shared" si="2"/>
        <v>372873.99931251258</v>
      </c>
      <c r="F29" s="3"/>
      <c r="G29" s="28"/>
      <c r="H29" s="10"/>
      <c r="I29" s="10">
        <f t="shared" si="5"/>
        <v>1198</v>
      </c>
      <c r="J29" s="10">
        <f t="shared" si="3"/>
        <v>17177154406.097439</v>
      </c>
      <c r="K29" s="11">
        <f t="shared" si="4"/>
        <v>2.6699999999999946E-2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13965318.326311393</v>
      </c>
      <c r="D30" s="12">
        <v>2.6599999999999999E-2</v>
      </c>
      <c r="E30" s="10">
        <f t="shared" si="2"/>
        <v>361852.19898683205</v>
      </c>
      <c r="F30" s="3"/>
      <c r="G30" s="28"/>
      <c r="H30" s="10"/>
      <c r="I30" s="10">
        <f t="shared" si="5"/>
        <v>1198</v>
      </c>
      <c r="J30" s="10">
        <f t="shared" si="3"/>
        <v>16730451354.921049</v>
      </c>
      <c r="K30" s="11">
        <f t="shared" si="4"/>
        <v>2.6599999999999957E-2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13603466.127324561</v>
      </c>
      <c r="D31" s="13">
        <v>2.7199999999999998E-2</v>
      </c>
      <c r="E31" s="10">
        <f t="shared" si="2"/>
        <v>360216.39277962036</v>
      </c>
      <c r="F31" s="3"/>
      <c r="G31" s="28"/>
      <c r="H31" s="10"/>
      <c r="I31" s="10">
        <f t="shared" si="5"/>
        <v>1198</v>
      </c>
      <c r="J31" s="10">
        <f t="shared" si="3"/>
        <v>16296952420.534824</v>
      </c>
      <c r="K31" s="11">
        <f t="shared" si="4"/>
        <v>2.7199999999999891E-2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13243249.73454494</v>
      </c>
      <c r="D32" s="12">
        <v>2.8299999999999999E-2</v>
      </c>
      <c r="E32" s="10">
        <f t="shared" si="2"/>
        <v>364469.48117049597</v>
      </c>
      <c r="F32" s="3"/>
      <c r="G32" s="28"/>
      <c r="H32" s="10"/>
      <c r="I32" s="10">
        <f t="shared" si="5"/>
        <v>1198</v>
      </c>
      <c r="J32" s="10">
        <f t="shared" si="3"/>
        <v>15865413181.984838</v>
      </c>
      <c r="K32" s="11">
        <f t="shared" si="4"/>
        <v>2.8299999999999992E-2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12878780.253374444</v>
      </c>
      <c r="D33" s="13">
        <v>2.5600000000000001E-2</v>
      </c>
      <c r="E33" s="10">
        <f t="shared" si="2"/>
        <v>321467.21381277964</v>
      </c>
      <c r="F33" s="3"/>
      <c r="G33" s="28"/>
      <c r="H33" s="10"/>
      <c r="I33" s="10">
        <f t="shared" si="5"/>
        <v>1198</v>
      </c>
      <c r="J33" s="10">
        <f t="shared" si="3"/>
        <v>15428778743.542583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12557313.039561665</v>
      </c>
      <c r="D34" s="12">
        <v>2.5899999999999999E-2</v>
      </c>
      <c r="E34" s="10">
        <f t="shared" si="2"/>
        <v>317023.4990980085</v>
      </c>
      <c r="F34" s="3"/>
      <c r="G34" s="28"/>
      <c r="H34" s="10"/>
      <c r="I34" s="10">
        <f t="shared" si="5"/>
        <v>1198</v>
      </c>
      <c r="J34" s="10">
        <f t="shared" ref="J34:J65" si="6">IF(I34="","",I34*C34)</f>
        <v>15043661021.394875</v>
      </c>
      <c r="K34" s="11">
        <f t="shared" ref="K34:K65" si="7">IFERROR(J34/J35-1,"")</f>
        <v>2.5900000000000034E-2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12240289.540463656</v>
      </c>
      <c r="D35" s="11">
        <v>2.9899999999999999E-2</v>
      </c>
      <c r="E35" s="10">
        <f t="shared" si="2"/>
        <v>355359.41087470949</v>
      </c>
      <c r="F35" s="3"/>
      <c r="G35" s="28"/>
      <c r="H35" s="10"/>
      <c r="I35" s="10">
        <f t="shared" ref="I35:I66" si="8">IF(H35&lt;&gt;"",H35,I34/(1+IF(G34="",0,G34)/100))</f>
        <v>1198</v>
      </c>
      <c r="J35" s="10">
        <f t="shared" si="6"/>
        <v>14663866869.47546</v>
      </c>
      <c r="K35" s="11">
        <f t="shared" si="7"/>
        <v>2.9900000000000038E-2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11884930.129588947</v>
      </c>
      <c r="D36" s="11">
        <v>3.0700000000000002E-2</v>
      </c>
      <c r="E36" s="10">
        <f t="shared" si="2"/>
        <v>353999.5682336092</v>
      </c>
      <c r="F36" s="3"/>
      <c r="G36" s="28"/>
      <c r="H36" s="10"/>
      <c r="I36" s="10">
        <f t="shared" si="8"/>
        <v>1198</v>
      </c>
      <c r="J36" s="10">
        <f t="shared" si="6"/>
        <v>14238146295.247559</v>
      </c>
      <c r="K36" s="11">
        <f t="shared" si="7"/>
        <v>3.069999999999995E-2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11530930.561355338</v>
      </c>
      <c r="D37" s="11">
        <v>3.1199999999999999E-2</v>
      </c>
      <c r="E37" s="10">
        <f t="shared" si="2"/>
        <v>348879.97819461301</v>
      </c>
      <c r="F37" s="3"/>
      <c r="G37" s="28"/>
      <c r="H37" s="10"/>
      <c r="I37" s="10">
        <f t="shared" si="8"/>
        <v>1198</v>
      </c>
      <c r="J37" s="10">
        <f t="shared" si="6"/>
        <v>13814054812.503695</v>
      </c>
      <c r="K37" s="11">
        <f t="shared" si="7"/>
        <v>3.1199999999999894E-2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11182050.583160724</v>
      </c>
      <c r="D38" s="11">
        <v>3.0800000000000001E-2</v>
      </c>
      <c r="E38" s="10">
        <f t="shared" si="2"/>
        <v>334116.3736528419</v>
      </c>
      <c r="F38" s="3"/>
      <c r="G38" s="28"/>
      <c r="H38" s="10"/>
      <c r="I38" s="10">
        <f t="shared" si="8"/>
        <v>1198</v>
      </c>
      <c r="J38" s="10">
        <f t="shared" si="6"/>
        <v>13396096598.626549</v>
      </c>
      <c r="K38" s="11">
        <f t="shared" si="7"/>
        <v>3.0799999999999939E-2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10847934.209507883</v>
      </c>
      <c r="D39" s="11">
        <v>3.0599999999999999E-2</v>
      </c>
      <c r="E39" s="10">
        <f t="shared" si="2"/>
        <v>322090.80808358267</v>
      </c>
      <c r="F39" s="3"/>
      <c r="G39" s="28"/>
      <c r="H39" s="10"/>
      <c r="I39" s="10">
        <f t="shared" si="8"/>
        <v>1198</v>
      </c>
      <c r="J39" s="10">
        <f t="shared" si="6"/>
        <v>12995825182.990444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10525843.4014243</v>
      </c>
      <c r="D40" s="11">
        <v>2.98E-2</v>
      </c>
      <c r="E40" s="10">
        <f t="shared" si="2"/>
        <v>304593.25438186526</v>
      </c>
      <c r="F40" s="3"/>
      <c r="G40" s="28"/>
      <c r="H40" s="10"/>
      <c r="I40" s="10">
        <f t="shared" si="8"/>
        <v>1198</v>
      </c>
      <c r="J40" s="10">
        <f t="shared" si="6"/>
        <v>12609960394.906311</v>
      </c>
      <c r="K40" s="11">
        <f t="shared" si="7"/>
        <v>2.9800000000000049E-2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10221250.147042435</v>
      </c>
      <c r="D41" s="11">
        <v>2.87E-2</v>
      </c>
      <c r="E41" s="10">
        <f t="shared" si="2"/>
        <v>285165.62576078251</v>
      </c>
      <c r="F41" s="3"/>
      <c r="G41" s="28"/>
      <c r="H41" s="10"/>
      <c r="I41" s="10">
        <f t="shared" si="8"/>
        <v>1198</v>
      </c>
      <c r="J41" s="10">
        <f t="shared" si="6"/>
        <v>12245057676.156837</v>
      </c>
      <c r="K41" s="11">
        <f t="shared" si="7"/>
        <v>2.8699999999999948E-2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9936084.5212816522</v>
      </c>
      <c r="D42" s="11">
        <v>2.7699999999999999E-2</v>
      </c>
      <c r="E42" s="10">
        <f t="shared" si="2"/>
        <v>267811.17178116366</v>
      </c>
      <c r="F42" s="3"/>
      <c r="G42" s="28"/>
      <c r="H42" s="10"/>
      <c r="I42" s="10">
        <f t="shared" si="8"/>
        <v>1198</v>
      </c>
      <c r="J42" s="10">
        <f t="shared" si="6"/>
        <v>11903429256.495419</v>
      </c>
      <c r="K42" s="11">
        <f t="shared" si="7"/>
        <v>2.7699999999999836E-2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9668273.3495004885</v>
      </c>
      <c r="D43" s="11">
        <v>2.6200000000000001E-2</v>
      </c>
      <c r="E43" s="10">
        <f t="shared" si="2"/>
        <v>246841.51408781298</v>
      </c>
      <c r="F43" s="3"/>
      <c r="G43" s="28"/>
      <c r="H43" s="10"/>
      <c r="I43" s="10">
        <f t="shared" si="8"/>
        <v>1198</v>
      </c>
      <c r="J43" s="10">
        <f t="shared" si="6"/>
        <v>11582591472.701586</v>
      </c>
      <c r="K43" s="11">
        <f t="shared" si="7"/>
        <v>2.6200000000000223E-2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9421431.8354126755</v>
      </c>
      <c r="D44" s="11">
        <v>2.4899999999999999E-2</v>
      </c>
      <c r="E44" s="10">
        <f t="shared" si="2"/>
        <v>228894.18743465282</v>
      </c>
      <c r="F44" s="3"/>
      <c r="G44" s="28"/>
      <c r="H44" s="10"/>
      <c r="I44" s="10">
        <f t="shared" si="8"/>
        <v>1198</v>
      </c>
      <c r="J44" s="10">
        <f t="shared" si="6"/>
        <v>11286875338.824385</v>
      </c>
      <c r="K44" s="11">
        <f t="shared" si="7"/>
        <v>2.4899999999999922E-2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9192537.6479780227</v>
      </c>
      <c r="D45" s="11">
        <v>2.4E-2</v>
      </c>
      <c r="E45" s="10">
        <f t="shared" si="2"/>
        <v>215450.10112448595</v>
      </c>
      <c r="F45" s="3"/>
      <c r="G45" s="28"/>
      <c r="H45" s="10"/>
      <c r="I45" s="10">
        <f t="shared" si="8"/>
        <v>1198</v>
      </c>
      <c r="J45" s="10">
        <f t="shared" si="6"/>
        <v>11012660102.277672</v>
      </c>
      <c r="K45" s="11">
        <f t="shared" si="7"/>
        <v>2.4000000000000243E-2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8977087.5468535367</v>
      </c>
      <c r="D46" s="11">
        <v>2.3400000000000001E-2</v>
      </c>
      <c r="E46" s="10">
        <f t="shared" si="2"/>
        <v>205260.74711390771</v>
      </c>
      <c r="F46" s="3"/>
      <c r="G46" s="28"/>
      <c r="H46" s="10"/>
      <c r="I46" s="10">
        <f t="shared" si="8"/>
        <v>1198</v>
      </c>
      <c r="J46" s="10">
        <f t="shared" si="6"/>
        <v>10754550881.130537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8771826.799739629</v>
      </c>
      <c r="D47" s="11">
        <v>2.2800000000000001E-2</v>
      </c>
      <c r="E47" s="10">
        <f t="shared" si="2"/>
        <v>195539.35376814939</v>
      </c>
      <c r="F47" s="3"/>
      <c r="G47" s="28"/>
      <c r="H47" s="10"/>
      <c r="I47" s="10">
        <f t="shared" si="8"/>
        <v>1198</v>
      </c>
      <c r="J47" s="10">
        <f t="shared" si="6"/>
        <v>10508648506.088076</v>
      </c>
      <c r="K47" s="11">
        <f t="shared" si="7"/>
        <v>2.2799999999999931E-2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8576287.4459714796</v>
      </c>
      <c r="D48" s="11">
        <v>2.2200000000000001E-2</v>
      </c>
      <c r="E48" s="10">
        <f t="shared" si="2"/>
        <v>186258.63950358704</v>
      </c>
      <c r="F48" s="3"/>
      <c r="G48" s="28"/>
      <c r="H48" s="10"/>
      <c r="I48" s="10">
        <f t="shared" si="8"/>
        <v>1198</v>
      </c>
      <c r="J48" s="10">
        <f t="shared" si="6"/>
        <v>10274392360.273832</v>
      </c>
      <c r="K48" s="11">
        <f t="shared" si="7"/>
        <v>2.2199999999999998E-2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8390028.8064678926</v>
      </c>
      <c r="D49" s="11">
        <v>2.1600000000000001E-2</v>
      </c>
      <c r="E49" s="10">
        <f t="shared" si="2"/>
        <v>177392.93482743483</v>
      </c>
      <c r="F49" s="3"/>
      <c r="G49" s="28"/>
      <c r="H49" s="10"/>
      <c r="I49" s="10">
        <f t="shared" si="8"/>
        <v>1198</v>
      </c>
      <c r="J49" s="10">
        <f t="shared" si="6"/>
        <v>10051254510.148535</v>
      </c>
      <c r="K49" s="11">
        <f t="shared" si="7"/>
        <v>2.1600000000000064E-2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8212635.8716404578</v>
      </c>
      <c r="D50" s="11">
        <v>2.1399999999999999E-2</v>
      </c>
      <c r="E50" s="10">
        <f t="shared" si="2"/>
        <v>172068.1492589647</v>
      </c>
      <c r="F50" s="3"/>
      <c r="G50" s="28"/>
      <c r="H50" s="10"/>
      <c r="I50" s="10">
        <f t="shared" si="8"/>
        <v>1198</v>
      </c>
      <c r="J50" s="10">
        <f t="shared" si="6"/>
        <v>9838737774.2252693</v>
      </c>
      <c r="K50" s="11">
        <f t="shared" si="7"/>
        <v>2.1400000000000086E-2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8040567.7223814931</v>
      </c>
      <c r="D51" s="11">
        <v>2.18E-2</v>
      </c>
      <c r="E51" s="10">
        <f t="shared" si="2"/>
        <v>171544.701847638</v>
      </c>
      <c r="F51" s="3"/>
      <c r="G51" s="28"/>
      <c r="H51" s="10"/>
      <c r="I51" s="10">
        <f t="shared" si="8"/>
        <v>1198</v>
      </c>
      <c r="J51" s="10">
        <f t="shared" si="6"/>
        <v>9632600131.4130287</v>
      </c>
      <c r="K51" s="11">
        <f t="shared" si="7"/>
        <v>2.1800000000000042E-2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7869023.0205338551</v>
      </c>
      <c r="D52" s="11">
        <v>2.1700000000000001E-2</v>
      </c>
      <c r="E52" s="10">
        <f t="shared" si="2"/>
        <v>167131.05563823506</v>
      </c>
      <c r="F52" s="3"/>
      <c r="G52" s="28"/>
      <c r="H52" s="10"/>
      <c r="I52" s="10">
        <f t="shared" si="8"/>
        <v>1198</v>
      </c>
      <c r="J52" s="10">
        <f t="shared" si="6"/>
        <v>9427089578.5995579</v>
      </c>
      <c r="K52" s="11">
        <f t="shared" si="7"/>
        <v>2.1700000000000053E-2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7701891.96489562</v>
      </c>
      <c r="D53" s="11">
        <v>2.1399999999999999E-2</v>
      </c>
      <c r="E53" s="10">
        <f t="shared" si="2"/>
        <v>161367.2293408718</v>
      </c>
      <c r="F53" s="3"/>
      <c r="G53" s="28"/>
      <c r="H53" s="10"/>
      <c r="I53" s="10">
        <f t="shared" si="8"/>
        <v>1198</v>
      </c>
      <c r="J53" s="10">
        <f t="shared" si="6"/>
        <v>9226866573.944952</v>
      </c>
      <c r="K53" s="11">
        <f t="shared" si="7"/>
        <v>2.1400000000000086E-2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7540524.7355547482</v>
      </c>
      <c r="D54" s="11">
        <v>2.12E-2</v>
      </c>
      <c r="E54" s="10">
        <f t="shared" si="2"/>
        <v>156540.46650387906</v>
      </c>
      <c r="F54" s="3"/>
      <c r="G54" s="28"/>
      <c r="H54" s="10"/>
      <c r="I54" s="10">
        <f t="shared" si="8"/>
        <v>1198</v>
      </c>
      <c r="J54" s="10">
        <f t="shared" si="6"/>
        <v>9033548633.1945877</v>
      </c>
      <c r="K54" s="11">
        <f t="shared" si="7"/>
        <v>2.1200000000000108E-2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7383984.2690508692</v>
      </c>
      <c r="D55" s="11">
        <v>2.1000000000000001E-2</v>
      </c>
      <c r="E55" s="10">
        <f t="shared" si="2"/>
        <v>151874.30915775429</v>
      </c>
      <c r="F55" s="3"/>
      <c r="G55" s="28"/>
      <c r="H55" s="10"/>
      <c r="I55" s="10">
        <f t="shared" si="8"/>
        <v>1198</v>
      </c>
      <c r="J55" s="10">
        <f t="shared" si="6"/>
        <v>8846013154.3229408</v>
      </c>
      <c r="K55" s="11">
        <f t="shared" si="7"/>
        <v>2.0999999999999686E-2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7232109.9598931149</v>
      </c>
      <c r="D56" s="11">
        <v>2.06E-2</v>
      </c>
      <c r="E56" s="10">
        <f t="shared" si="2"/>
        <v>145974.39268449694</v>
      </c>
      <c r="F56" s="3"/>
      <c r="G56" s="28"/>
      <c r="H56" s="10"/>
      <c r="I56" s="10">
        <f t="shared" si="8"/>
        <v>1198</v>
      </c>
      <c r="J56" s="10">
        <f t="shared" si="6"/>
        <v>8664067731.951952</v>
      </c>
      <c r="K56" s="11">
        <f t="shared" si="7"/>
        <v>2.0599999999999952E-2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7086135.5672086179</v>
      </c>
      <c r="D57" s="11">
        <v>2.0500000000000001E-2</v>
      </c>
      <c r="E57" s="10">
        <f t="shared" si="2"/>
        <v>142347.65225651767</v>
      </c>
      <c r="F57" s="3"/>
      <c r="G57" s="28"/>
      <c r="H57" s="10"/>
      <c r="I57" s="10">
        <f t="shared" si="8"/>
        <v>1198</v>
      </c>
      <c r="J57" s="10">
        <f t="shared" si="6"/>
        <v>8489190409.5159245</v>
      </c>
      <c r="K57" s="11">
        <f t="shared" si="7"/>
        <v>2.0499999999999963E-2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6943787.9149521003</v>
      </c>
      <c r="D58" s="11">
        <v>0.02</v>
      </c>
      <c r="E58" s="10">
        <f t="shared" si="2"/>
        <v>136152.70421474706</v>
      </c>
      <c r="F58" s="3"/>
      <c r="G58" s="28"/>
      <c r="H58" s="10"/>
      <c r="I58" s="10">
        <f t="shared" si="8"/>
        <v>1198</v>
      </c>
      <c r="J58" s="10">
        <f t="shared" si="6"/>
        <v>8318657922.1126165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6807635.2107373532</v>
      </c>
      <c r="D59" s="11">
        <v>0.02</v>
      </c>
      <c r="E59" s="10">
        <f t="shared" si="2"/>
        <v>133483.04334779177</v>
      </c>
      <c r="F59" s="3"/>
      <c r="G59" s="28"/>
      <c r="H59" s="10"/>
      <c r="I59" s="10">
        <f t="shared" si="8"/>
        <v>1198</v>
      </c>
      <c r="J59" s="10">
        <f t="shared" si="6"/>
        <v>8155546982.4633493</v>
      </c>
      <c r="K59" s="11">
        <f t="shared" si="7"/>
        <v>2.0000000000000018E-2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6674152.1673895614</v>
      </c>
      <c r="D60" s="11">
        <v>0.02</v>
      </c>
      <c r="E60" s="10">
        <f t="shared" si="2"/>
        <v>130865.72877234407</v>
      </c>
      <c r="F60" s="3"/>
      <c r="G60" s="28"/>
      <c r="H60" s="10"/>
      <c r="I60" s="10">
        <f t="shared" si="8"/>
        <v>1198</v>
      </c>
      <c r="J60" s="10">
        <f t="shared" si="6"/>
        <v>7995634296.5326948</v>
      </c>
      <c r="K60" s="11">
        <f t="shared" si="7"/>
        <v>2.0000000000000018E-2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6543286.4386172174</v>
      </c>
      <c r="D61" s="11">
        <v>1.95E-2</v>
      </c>
      <c r="E61" s="10">
        <f t="shared" si="2"/>
        <v>125153.59053755365</v>
      </c>
      <c r="F61" s="3"/>
      <c r="G61" s="28"/>
      <c r="H61" s="10"/>
      <c r="I61" s="10">
        <f t="shared" si="8"/>
        <v>1198</v>
      </c>
      <c r="J61" s="10">
        <f t="shared" si="6"/>
        <v>7838857153.4634266</v>
      </c>
      <c r="K61" s="11">
        <f t="shared" si="7"/>
        <v>1.9500000000000073E-2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6418132.8480796637</v>
      </c>
      <c r="D62" s="11">
        <v>1.9E-2</v>
      </c>
      <c r="E62" s="10">
        <f t="shared" si="2"/>
        <v>119670.77930668555</v>
      </c>
      <c r="F62" s="3"/>
      <c r="G62" s="28"/>
      <c r="H62" s="10"/>
      <c r="I62" s="10">
        <f t="shared" si="8"/>
        <v>1198</v>
      </c>
      <c r="J62" s="10">
        <f t="shared" si="6"/>
        <v>7688923151.9994373</v>
      </c>
      <c r="K62" s="11">
        <f t="shared" si="7"/>
        <v>1.8999999999999906E-2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6298462.0687729781</v>
      </c>
      <c r="D63" s="11">
        <v>1.8499999999999999E-2</v>
      </c>
      <c r="E63" s="10">
        <f t="shared" si="2"/>
        <v>114405.05475925375</v>
      </c>
      <c r="F63" s="3"/>
      <c r="G63" s="28"/>
      <c r="H63" s="10"/>
      <c r="I63" s="10">
        <f t="shared" si="8"/>
        <v>1198</v>
      </c>
      <c r="J63" s="10">
        <f t="shared" si="6"/>
        <v>7545557558.390028</v>
      </c>
      <c r="K63" s="11">
        <f t="shared" si="7"/>
        <v>1.8499999999999961E-2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6184057.0140137244</v>
      </c>
      <c r="D64" s="11">
        <v>1.8499999999999999E-2</v>
      </c>
      <c r="E64" s="10">
        <f t="shared" si="2"/>
        <v>112327.00516372453</v>
      </c>
      <c r="F64" s="3"/>
      <c r="G64" s="28"/>
      <c r="H64" s="10"/>
      <c r="I64" s="10">
        <f t="shared" si="8"/>
        <v>1198</v>
      </c>
      <c r="J64" s="10">
        <f t="shared" si="6"/>
        <v>7408500302.7884417</v>
      </c>
      <c r="K64" s="11">
        <f t="shared" si="7"/>
        <v>1.8499999999999961E-2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6071730.0088499999</v>
      </c>
      <c r="D65" s="11">
        <v>1.7999999999999999E-2</v>
      </c>
      <c r="E65" s="10">
        <f t="shared" si="2"/>
        <v>107358.68384999968</v>
      </c>
      <c r="F65" s="3"/>
      <c r="G65" s="28"/>
      <c r="H65" s="10"/>
      <c r="I65" s="10">
        <f t="shared" si="8"/>
        <v>1198</v>
      </c>
      <c r="J65" s="10">
        <f t="shared" si="6"/>
        <v>7273932550.6022997</v>
      </c>
      <c r="K65" s="11">
        <f t="shared" si="7"/>
        <v>1.7999999999999794E-2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5964371.3250000002</v>
      </c>
      <c r="D66" s="11">
        <v>1.7500000000000002E-2</v>
      </c>
      <c r="E66" s="10">
        <f t="shared" si="2"/>
        <v>102581.32500000019</v>
      </c>
      <c r="F66" s="3"/>
      <c r="G66" s="28"/>
      <c r="H66" s="10"/>
      <c r="I66" s="10">
        <f t="shared" si="8"/>
        <v>1198</v>
      </c>
      <c r="J66" s="10">
        <f t="shared" ref="J66:J67" si="9">IF(I66="","",I66*C66)</f>
        <v>7145316847.3500004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5861790</v>
      </c>
      <c r="D67" s="11">
        <v>1.7000000000000001E-2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1198</v>
      </c>
      <c r="J67" s="10">
        <f t="shared" si="9"/>
        <v>7022424420</v>
      </c>
      <c r="K67" s="11"/>
    </row>
  </sheetData>
  <dataValidations count="1">
    <dataValidation type="custom" allowBlank="1" showDropDown="1" sqref="D2:D67" xr:uid="{00000000-0002-0000-2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5393470.1198432725</v>
      </c>
      <c r="D2" s="11">
        <v>0.01</v>
      </c>
      <c r="E2" s="10">
        <f t="shared" ref="E2:E66" si="2">SUM(C2-C3)</f>
        <v>53400.694255874492</v>
      </c>
      <c r="F2" s="15">
        <v>5393380</v>
      </c>
      <c r="G2" s="28"/>
      <c r="H2" s="10"/>
      <c r="I2" s="10">
        <f>IF(H2&lt;&gt;"",H2,13770)</f>
        <v>13770</v>
      </c>
      <c r="J2" s="10">
        <f t="shared" ref="J2:J33" si="3">IF(I2="","",I2*C2)</f>
        <v>74268083550.241867</v>
      </c>
      <c r="K2" s="11">
        <f t="shared" ref="K2:K33" si="4">IFERROR(J2/J3-1,"")</f>
        <v>1.0000000000000231E-2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5340069.425587398</v>
      </c>
      <c r="D3" s="11">
        <v>1.1299999999999999E-2</v>
      </c>
      <c r="E3" s="10">
        <f t="shared" si="2"/>
        <v>59668.530118796043</v>
      </c>
      <c r="F3" s="3"/>
      <c r="G3" s="28"/>
      <c r="H3" s="10"/>
      <c r="I3" s="10">
        <f t="shared" ref="I3:I34" si="5">IF(H3&lt;&gt;"",H3,I2/(1+IF(G2="",0,G2)/100))</f>
        <v>13770</v>
      </c>
      <c r="J3" s="10">
        <f t="shared" si="3"/>
        <v>73532755990.33847</v>
      </c>
      <c r="K3" s="11">
        <f t="shared" si="4"/>
        <v>1.130000000000031E-2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5280400.895468602</v>
      </c>
      <c r="D4" s="11">
        <v>1.21E-2</v>
      </c>
      <c r="E4" s="10">
        <f t="shared" si="2"/>
        <v>63128.990055498667</v>
      </c>
      <c r="F4" s="3"/>
      <c r="G4" s="28"/>
      <c r="H4" s="10"/>
      <c r="I4" s="10">
        <f t="shared" si="5"/>
        <v>13770</v>
      </c>
      <c r="J4" s="10">
        <f t="shared" si="3"/>
        <v>72711120330.602646</v>
      </c>
      <c r="K4" s="11">
        <f t="shared" si="4"/>
        <v>1.21E-2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5217271.9054131033</v>
      </c>
      <c r="D5" s="11">
        <v>1.3100000000000001E-2</v>
      </c>
      <c r="E5" s="10">
        <f t="shared" si="2"/>
        <v>67462.503169393167</v>
      </c>
      <c r="F5" s="3"/>
      <c r="G5" s="28"/>
      <c r="H5" s="10"/>
      <c r="I5" s="10">
        <f t="shared" si="5"/>
        <v>13770</v>
      </c>
      <c r="J5" s="10">
        <f t="shared" si="3"/>
        <v>71841834137.538437</v>
      </c>
      <c r="K5" s="11">
        <f t="shared" si="4"/>
        <v>1.3100000000000112E-2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5149809.4022437101</v>
      </c>
      <c r="D6" s="11">
        <v>1.2999999999999999E-2</v>
      </c>
      <c r="E6" s="10">
        <f t="shared" si="2"/>
        <v>66088.373375289142</v>
      </c>
      <c r="F6" s="3"/>
      <c r="G6" s="28"/>
      <c r="H6" s="10"/>
      <c r="I6" s="10">
        <f t="shared" si="5"/>
        <v>13770</v>
      </c>
      <c r="J6" s="10">
        <f t="shared" si="3"/>
        <v>70912875468.895889</v>
      </c>
      <c r="K6" s="11">
        <f t="shared" si="4"/>
        <v>1.2999999999999901E-2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5083721.028868421</v>
      </c>
      <c r="D7" s="11">
        <v>1.2500000000000001E-2</v>
      </c>
      <c r="E7" s="10">
        <f t="shared" si="2"/>
        <v>62761.988010721281</v>
      </c>
      <c r="F7" s="3"/>
      <c r="G7" s="28"/>
      <c r="H7" s="10"/>
      <c r="I7" s="10">
        <f t="shared" si="5"/>
        <v>13770</v>
      </c>
      <c r="J7" s="10">
        <f t="shared" si="3"/>
        <v>70002838567.518158</v>
      </c>
      <c r="K7" s="11">
        <f t="shared" si="4"/>
        <v>1.2500000000000178E-2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5020959.0408576997</v>
      </c>
      <c r="D8" s="11">
        <v>1.26E-2</v>
      </c>
      <c r="E8" s="10">
        <f t="shared" si="2"/>
        <v>62476.875286201015</v>
      </c>
      <c r="F8" s="3"/>
      <c r="G8" s="28"/>
      <c r="H8" s="10"/>
      <c r="I8" s="10">
        <f t="shared" si="5"/>
        <v>13770</v>
      </c>
      <c r="J8" s="10">
        <f t="shared" si="3"/>
        <v>69138605992.610519</v>
      </c>
      <c r="K8" s="11">
        <f t="shared" si="4"/>
        <v>1.2599999999999945E-2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4958482.1655714987</v>
      </c>
      <c r="D9" s="11">
        <v>1.2500000000000001E-2</v>
      </c>
      <c r="E9" s="10">
        <f t="shared" si="2"/>
        <v>61215.829204586335</v>
      </c>
      <c r="F9" s="3"/>
      <c r="G9" s="28"/>
      <c r="H9" s="10"/>
      <c r="I9" s="10">
        <f t="shared" si="5"/>
        <v>13770</v>
      </c>
      <c r="J9" s="10">
        <f t="shared" si="3"/>
        <v>68278299419.91954</v>
      </c>
      <c r="K9" s="11">
        <f t="shared" si="4"/>
        <v>1.2499999999999956E-2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4897266.3363669124</v>
      </c>
      <c r="D10" s="11">
        <v>1.03E-2</v>
      </c>
      <c r="E10" s="10">
        <f t="shared" si="2"/>
        <v>49927.589096881449</v>
      </c>
      <c r="F10" s="3"/>
      <c r="G10" s="28"/>
      <c r="H10" s="10"/>
      <c r="I10" s="10">
        <f t="shared" si="5"/>
        <v>13770</v>
      </c>
      <c r="J10" s="10">
        <f t="shared" si="3"/>
        <v>67435357451.772385</v>
      </c>
      <c r="K10" s="11">
        <f t="shared" si="4"/>
        <v>1.0299999999999976E-2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4847338.7472700309</v>
      </c>
      <c r="D11" s="11">
        <v>8.0999999999999996E-3</v>
      </c>
      <c r="E11" s="10">
        <f t="shared" si="2"/>
        <v>38947.965333684348</v>
      </c>
      <c r="F11" s="3"/>
      <c r="G11" s="28"/>
      <c r="H11" s="10"/>
      <c r="I11" s="10">
        <f t="shared" si="5"/>
        <v>13770</v>
      </c>
      <c r="J11" s="10">
        <f t="shared" si="3"/>
        <v>66747854549.908325</v>
      </c>
      <c r="K11" s="11">
        <f t="shared" si="4"/>
        <v>8.0999999999999961E-3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4808390.7819363466</v>
      </c>
      <c r="D12" s="11">
        <v>6.7999999999999996E-3</v>
      </c>
      <c r="E12" s="10">
        <f t="shared" si="2"/>
        <v>32476.219027778134</v>
      </c>
      <c r="F12" s="3"/>
      <c r="G12" s="28"/>
      <c r="H12" s="10"/>
      <c r="I12" s="10">
        <f t="shared" si="5"/>
        <v>13770</v>
      </c>
      <c r="J12" s="10">
        <f t="shared" si="3"/>
        <v>66211541067.263489</v>
      </c>
      <c r="K12" s="11">
        <f t="shared" si="4"/>
        <v>6.7999999999999172E-3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4775914.5629085684</v>
      </c>
      <c r="D13" s="11">
        <v>5.8999999999999999E-3</v>
      </c>
      <c r="E13" s="10">
        <f t="shared" si="2"/>
        <v>28012.621454578824</v>
      </c>
      <c r="F13" s="3"/>
      <c r="G13" s="28"/>
      <c r="H13" s="10"/>
      <c r="I13" s="10">
        <f t="shared" si="5"/>
        <v>13770</v>
      </c>
      <c r="J13" s="10">
        <f t="shared" si="3"/>
        <v>65764343531.250984</v>
      </c>
      <c r="K13" s="11">
        <f t="shared" si="4"/>
        <v>5.9000000000000163E-3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4747901.9414539896</v>
      </c>
      <c r="D14" s="11">
        <v>5.8999999999999999E-3</v>
      </c>
      <c r="E14" s="10">
        <f t="shared" si="2"/>
        <v>27848.316387889907</v>
      </c>
      <c r="F14" s="3"/>
      <c r="G14" s="28"/>
      <c r="H14" s="10"/>
      <c r="I14" s="10">
        <f t="shared" si="5"/>
        <v>13770</v>
      </c>
      <c r="J14" s="10">
        <f t="shared" si="3"/>
        <v>65378609733.821434</v>
      </c>
      <c r="K14" s="11">
        <f t="shared" si="4"/>
        <v>5.9000000000000163E-3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4720053.6250660997</v>
      </c>
      <c r="D15" s="11">
        <v>5.4000000000000003E-3</v>
      </c>
      <c r="E15" s="10">
        <f t="shared" si="2"/>
        <v>25351.392058243044</v>
      </c>
      <c r="F15" s="3"/>
      <c r="G15" s="28"/>
      <c r="H15" s="10"/>
      <c r="I15" s="10">
        <f t="shared" si="5"/>
        <v>13770</v>
      </c>
      <c r="J15" s="10">
        <f t="shared" si="3"/>
        <v>64995138417.160194</v>
      </c>
      <c r="K15" s="11">
        <f t="shared" si="4"/>
        <v>5.4000000000000714E-3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4694702.2330078566</v>
      </c>
      <c r="D16" s="11">
        <v>5.1000000000000004E-3</v>
      </c>
      <c r="E16" s="10">
        <f t="shared" si="2"/>
        <v>23821.491780261509</v>
      </c>
      <c r="F16" s="3"/>
      <c r="G16" s="28"/>
      <c r="H16" s="10"/>
      <c r="I16" s="10">
        <f t="shared" si="5"/>
        <v>13770</v>
      </c>
      <c r="J16" s="10">
        <f t="shared" si="3"/>
        <v>64646049748.518188</v>
      </c>
      <c r="K16" s="11">
        <f t="shared" si="4"/>
        <v>5.1000000000001044E-3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4670880.7412275951</v>
      </c>
      <c r="D17" s="11">
        <v>6.4999999999999997E-3</v>
      </c>
      <c r="E17" s="10">
        <f t="shared" si="2"/>
        <v>30164.654563318007</v>
      </c>
      <c r="F17" s="3"/>
      <c r="G17" s="28"/>
      <c r="H17" s="10"/>
      <c r="I17" s="10">
        <f t="shared" si="5"/>
        <v>13770</v>
      </c>
      <c r="J17" s="10">
        <f t="shared" si="3"/>
        <v>64318027806.703987</v>
      </c>
      <c r="K17" s="11">
        <f t="shared" si="4"/>
        <v>6.5000000000001723E-3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4640716.0866642771</v>
      </c>
      <c r="D18" s="11">
        <v>6.7999999999999996E-3</v>
      </c>
      <c r="E18" s="10">
        <f t="shared" si="2"/>
        <v>31343.73201163765</v>
      </c>
      <c r="F18" s="3"/>
      <c r="G18" s="28"/>
      <c r="H18" s="10"/>
      <c r="I18" s="10">
        <f t="shared" si="5"/>
        <v>13770</v>
      </c>
      <c r="J18" s="10">
        <f t="shared" si="3"/>
        <v>63902660513.367096</v>
      </c>
      <c r="K18" s="11">
        <f t="shared" si="4"/>
        <v>6.7999999999999172E-3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4609372.3546526395</v>
      </c>
      <c r="D19" s="11">
        <v>6.0000000000000001E-3</v>
      </c>
      <c r="E19" s="10">
        <f t="shared" si="2"/>
        <v>27491.286409459077</v>
      </c>
      <c r="F19" s="3"/>
      <c r="G19" s="28"/>
      <c r="H19" s="10"/>
      <c r="I19" s="10">
        <f t="shared" si="5"/>
        <v>13770</v>
      </c>
      <c r="J19" s="10">
        <f t="shared" si="3"/>
        <v>63471057323.566849</v>
      </c>
      <c r="K19" s="11">
        <f t="shared" si="4"/>
        <v>6.0000000000000053E-3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4581881.0682431804</v>
      </c>
      <c r="D20" s="11">
        <v>5.4000000000000003E-3</v>
      </c>
      <c r="E20" s="10">
        <f t="shared" si="2"/>
        <v>24609.267722810619</v>
      </c>
      <c r="F20" s="3"/>
      <c r="G20" s="28"/>
      <c r="H20" s="10"/>
      <c r="I20" s="10">
        <f t="shared" si="5"/>
        <v>13770</v>
      </c>
      <c r="J20" s="10">
        <f t="shared" si="3"/>
        <v>63092502309.708595</v>
      </c>
      <c r="K20" s="11">
        <f t="shared" si="4"/>
        <v>5.4000000000002935E-3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4557271.8005203698</v>
      </c>
      <c r="D21" s="11">
        <v>5.1000000000000004E-3</v>
      </c>
      <c r="E21" s="10">
        <f t="shared" si="2"/>
        <v>23124.153002342209</v>
      </c>
      <c r="F21" s="3"/>
      <c r="G21" s="28"/>
      <c r="H21" s="10"/>
      <c r="I21" s="10">
        <f t="shared" si="5"/>
        <v>13770</v>
      </c>
      <c r="J21" s="10">
        <f t="shared" si="3"/>
        <v>62753632693.165489</v>
      </c>
      <c r="K21" s="11">
        <f t="shared" si="4"/>
        <v>5.0999999999998824E-3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4534147.6475180276</v>
      </c>
      <c r="D22" s="11">
        <v>5.1999999999999998E-3</v>
      </c>
      <c r="E22" s="10">
        <f t="shared" si="2"/>
        <v>23455.598654093221</v>
      </c>
      <c r="F22" s="3"/>
      <c r="G22" s="28"/>
      <c r="H22" s="10"/>
      <c r="I22" s="10">
        <f t="shared" si="5"/>
        <v>13770</v>
      </c>
      <c r="J22" s="10">
        <f t="shared" si="3"/>
        <v>62435213106.323242</v>
      </c>
      <c r="K22" s="11">
        <f t="shared" si="4"/>
        <v>5.2000000000000934E-3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4510692.0488639344</v>
      </c>
      <c r="D23" s="11">
        <v>5.7000000000000002E-3</v>
      </c>
      <c r="E23" s="10">
        <f t="shared" si="2"/>
        <v>25565.222907949239</v>
      </c>
      <c r="F23" s="3"/>
      <c r="G23" s="28"/>
      <c r="H23" s="10"/>
      <c r="I23" s="10">
        <f t="shared" si="5"/>
        <v>13770</v>
      </c>
      <c r="J23" s="10">
        <f t="shared" si="3"/>
        <v>62112229512.856377</v>
      </c>
      <c r="K23" s="11">
        <f t="shared" si="4"/>
        <v>5.7000000000000384E-3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4485126.8259559851</v>
      </c>
      <c r="D24" s="11">
        <v>6.0000000000000001E-3</v>
      </c>
      <c r="E24" s="10">
        <f t="shared" si="2"/>
        <v>26750.259399339557</v>
      </c>
      <c r="F24" s="3"/>
      <c r="G24" s="28"/>
      <c r="H24" s="10"/>
      <c r="I24" s="10">
        <f t="shared" si="5"/>
        <v>13770</v>
      </c>
      <c r="J24" s="10">
        <f t="shared" si="3"/>
        <v>61760196393.413918</v>
      </c>
      <c r="K24" s="11">
        <f t="shared" si="4"/>
        <v>6.0000000000000053E-3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4458376.5665566456</v>
      </c>
      <c r="D25" s="11">
        <v>5.7999999999999996E-3</v>
      </c>
      <c r="E25" s="10">
        <f t="shared" si="2"/>
        <v>25709.469164872542</v>
      </c>
      <c r="F25" s="3"/>
      <c r="G25" s="28"/>
      <c r="H25" s="10"/>
      <c r="I25" s="10">
        <f t="shared" si="5"/>
        <v>13770</v>
      </c>
      <c r="J25" s="10">
        <f t="shared" si="3"/>
        <v>61391845321.485008</v>
      </c>
      <c r="K25" s="11">
        <f t="shared" si="4"/>
        <v>5.8000000000000274E-3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4432667.097391773</v>
      </c>
      <c r="D26" s="11">
        <v>4.7999999999999996E-3</v>
      </c>
      <c r="E26" s="10">
        <f t="shared" si="2"/>
        <v>21175.16129327286</v>
      </c>
      <c r="F26" s="3"/>
      <c r="G26" s="28"/>
      <c r="H26" s="10"/>
      <c r="I26" s="10">
        <f t="shared" si="5"/>
        <v>13770</v>
      </c>
      <c r="J26" s="10">
        <f t="shared" si="3"/>
        <v>61037825931.084717</v>
      </c>
      <c r="K26" s="11">
        <f t="shared" si="4"/>
        <v>4.8000000000001375E-3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4411491.9360985002</v>
      </c>
      <c r="D27" s="11">
        <v>3.3999999999999998E-3</v>
      </c>
      <c r="E27" s="10">
        <f t="shared" si="2"/>
        <v>14948.248537707143</v>
      </c>
      <c r="F27" s="3"/>
      <c r="G27" s="28"/>
      <c r="H27" s="10"/>
      <c r="I27" s="10">
        <f t="shared" si="5"/>
        <v>13770</v>
      </c>
      <c r="J27" s="10">
        <f t="shared" si="3"/>
        <v>60746243960.076347</v>
      </c>
      <c r="K27" s="11">
        <f t="shared" si="4"/>
        <v>3.4000000000000696E-3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4396543.687560793</v>
      </c>
      <c r="D28" s="11">
        <v>4.1000000000000003E-3</v>
      </c>
      <c r="E28" s="10">
        <f t="shared" si="2"/>
        <v>17952.224996513687</v>
      </c>
      <c r="F28" s="3"/>
      <c r="G28" s="28"/>
      <c r="H28" s="10"/>
      <c r="I28" s="10">
        <f t="shared" si="5"/>
        <v>13770</v>
      </c>
      <c r="J28" s="10">
        <f t="shared" si="3"/>
        <v>60540406577.71212</v>
      </c>
      <c r="K28" s="11">
        <f t="shared" si="4"/>
        <v>4.0999999999999925E-3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4378591.4625642793</v>
      </c>
      <c r="D29" s="11">
        <v>5.4000000000000003E-3</v>
      </c>
      <c r="E29" s="10">
        <f t="shared" si="2"/>
        <v>23517.399938181043</v>
      </c>
      <c r="F29" s="3"/>
      <c r="G29" s="28"/>
      <c r="H29" s="10"/>
      <c r="I29" s="10">
        <f t="shared" si="5"/>
        <v>13770</v>
      </c>
      <c r="J29" s="10">
        <f t="shared" si="3"/>
        <v>60293204439.510124</v>
      </c>
      <c r="K29" s="11">
        <f t="shared" si="4"/>
        <v>5.4000000000000714E-3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4355074.0626260983</v>
      </c>
      <c r="D30" s="12">
        <v>4.7000000000000002E-3</v>
      </c>
      <c r="E30" s="10">
        <f t="shared" si="2"/>
        <v>20373.094549957663</v>
      </c>
      <c r="F30" s="3"/>
      <c r="G30" s="28"/>
      <c r="H30" s="10"/>
      <c r="I30" s="10">
        <f t="shared" si="5"/>
        <v>13770</v>
      </c>
      <c r="J30" s="10">
        <f t="shared" si="3"/>
        <v>59969369842.361374</v>
      </c>
      <c r="K30" s="11">
        <f t="shared" si="4"/>
        <v>4.6999999999999265E-3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4334700.9680761406</v>
      </c>
      <c r="D31" s="13">
        <v>3.5999999999999999E-3</v>
      </c>
      <c r="E31" s="10">
        <f t="shared" si="2"/>
        <v>15548.94727488514</v>
      </c>
      <c r="F31" s="3"/>
      <c r="G31" s="28"/>
      <c r="H31" s="10"/>
      <c r="I31" s="10">
        <f t="shared" si="5"/>
        <v>13770</v>
      </c>
      <c r="J31" s="10">
        <f t="shared" si="3"/>
        <v>59688832330.408455</v>
      </c>
      <c r="K31" s="11">
        <f t="shared" si="4"/>
        <v>3.6000000000000476E-3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4319152.0208012555</v>
      </c>
      <c r="D32" s="12">
        <v>3.0000000000000001E-3</v>
      </c>
      <c r="E32" s="10">
        <f t="shared" si="2"/>
        <v>12918.699962515384</v>
      </c>
      <c r="F32" s="3"/>
      <c r="G32" s="28"/>
      <c r="H32" s="10"/>
      <c r="I32" s="10">
        <f t="shared" si="5"/>
        <v>13770</v>
      </c>
      <c r="J32" s="10">
        <f t="shared" si="3"/>
        <v>59474723326.433289</v>
      </c>
      <c r="K32" s="11">
        <f t="shared" si="4"/>
        <v>2.9999999999998916E-3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4306233.3208387401</v>
      </c>
      <c r="D33" s="13">
        <v>2.8E-3</v>
      </c>
      <c r="E33" s="10">
        <f t="shared" si="2"/>
        <v>12023.786695600487</v>
      </c>
      <c r="F33" s="3"/>
      <c r="G33" s="28"/>
      <c r="H33" s="10"/>
      <c r="I33" s="10">
        <f t="shared" si="5"/>
        <v>13770</v>
      </c>
      <c r="J33" s="10">
        <f t="shared" si="3"/>
        <v>59296832827.949448</v>
      </c>
      <c r="K33" s="11">
        <f t="shared" si="4"/>
        <v>2.7999999999999137E-3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4294209.5341431396</v>
      </c>
      <c r="D34" s="12">
        <v>3.3E-3</v>
      </c>
      <c r="E34" s="10">
        <f t="shared" si="2"/>
        <v>14124.281334269792</v>
      </c>
      <c r="F34" s="3"/>
      <c r="G34" s="28"/>
      <c r="H34" s="10"/>
      <c r="I34" s="10">
        <f t="shared" si="5"/>
        <v>13770</v>
      </c>
      <c r="J34" s="10">
        <f t="shared" ref="J34:J65" si="6">IF(I34="","",I34*C34)</f>
        <v>59131265285.151031</v>
      </c>
      <c r="K34" s="11">
        <f t="shared" ref="K34:K65" si="7">IFERROR(J34/J35-1,"")</f>
        <v>3.3000000000000806E-3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4280085.2528088698</v>
      </c>
      <c r="D35" s="11">
        <v>3.7000000000000002E-3</v>
      </c>
      <c r="E35" s="10">
        <f t="shared" si="2"/>
        <v>15777.937068240717</v>
      </c>
      <c r="F35" s="3"/>
      <c r="G35" s="28"/>
      <c r="H35" s="10"/>
      <c r="I35" s="10">
        <f t="shared" ref="I35:I66" si="8">IF(H35&lt;&gt;"",H35,I34/(1+IF(G34="",0,G34)/100))</f>
        <v>13770</v>
      </c>
      <c r="J35" s="10">
        <f t="shared" si="6"/>
        <v>58936773931.178139</v>
      </c>
      <c r="K35" s="11">
        <f t="shared" si="7"/>
        <v>3.7000000000000366E-3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4264307.3157406291</v>
      </c>
      <c r="D36" s="11">
        <v>3.3999999999999998E-3</v>
      </c>
      <c r="E36" s="10">
        <f t="shared" si="2"/>
        <v>14449.516517359763</v>
      </c>
      <c r="F36" s="3"/>
      <c r="G36" s="28"/>
      <c r="H36" s="10"/>
      <c r="I36" s="10">
        <f t="shared" si="8"/>
        <v>13770</v>
      </c>
      <c r="J36" s="10">
        <f t="shared" si="6"/>
        <v>58719511737.748466</v>
      </c>
      <c r="K36" s="11">
        <f t="shared" si="7"/>
        <v>3.4000000000002917E-3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4249857.7992232693</v>
      </c>
      <c r="D37" s="11">
        <v>3.2000000000000002E-3</v>
      </c>
      <c r="E37" s="10">
        <f t="shared" si="2"/>
        <v>13556.165228783153</v>
      </c>
      <c r="F37" s="3"/>
      <c r="G37" s="28"/>
      <c r="H37" s="10"/>
      <c r="I37" s="10">
        <f t="shared" si="8"/>
        <v>13770</v>
      </c>
      <c r="J37" s="10">
        <f t="shared" si="6"/>
        <v>58520541895.30442</v>
      </c>
      <c r="K37" s="11">
        <f t="shared" si="7"/>
        <v>3.2000000000003137E-3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4236301.6339944862</v>
      </c>
      <c r="D38" s="11">
        <v>3.3999999999999998E-3</v>
      </c>
      <c r="E38" s="10">
        <f t="shared" si="2"/>
        <v>14354.619848097675</v>
      </c>
      <c r="F38" s="3"/>
      <c r="G38" s="28"/>
      <c r="H38" s="10"/>
      <c r="I38" s="10">
        <f t="shared" si="8"/>
        <v>13770</v>
      </c>
      <c r="J38" s="10">
        <f t="shared" si="6"/>
        <v>58333873500.104073</v>
      </c>
      <c r="K38" s="11">
        <f t="shared" si="7"/>
        <v>3.4000000000000696E-3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4221947.0141463885</v>
      </c>
      <c r="D39" s="11">
        <v>3.8E-3</v>
      </c>
      <c r="E39" s="10">
        <f t="shared" si="2"/>
        <v>15982.664528547786</v>
      </c>
      <c r="F39" s="3"/>
      <c r="G39" s="28"/>
      <c r="H39" s="10"/>
      <c r="I39" s="10">
        <f t="shared" si="8"/>
        <v>13770</v>
      </c>
      <c r="J39" s="10">
        <f t="shared" si="6"/>
        <v>58136210384.795769</v>
      </c>
      <c r="K39" s="11">
        <f t="shared" si="7"/>
        <v>3.8000000000000256E-3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4205964.3496178407</v>
      </c>
      <c r="D40" s="11">
        <v>4.1999999999999997E-3</v>
      </c>
      <c r="E40" s="10">
        <f t="shared" si="2"/>
        <v>17591.167365459725</v>
      </c>
      <c r="F40" s="3"/>
      <c r="G40" s="28"/>
      <c r="H40" s="10"/>
      <c r="I40" s="10">
        <f t="shared" si="8"/>
        <v>13770</v>
      </c>
      <c r="J40" s="10">
        <f t="shared" si="6"/>
        <v>57916129094.237663</v>
      </c>
      <c r="K40" s="11">
        <f t="shared" si="7"/>
        <v>4.1999999999997595E-3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4188373.182252381</v>
      </c>
      <c r="D41" s="11">
        <v>4.7000000000000002E-3</v>
      </c>
      <c r="E41" s="10">
        <f t="shared" si="2"/>
        <v>19593.265608227346</v>
      </c>
      <c r="F41" s="3"/>
      <c r="G41" s="28"/>
      <c r="H41" s="10"/>
      <c r="I41" s="10">
        <f t="shared" si="8"/>
        <v>13770</v>
      </c>
      <c r="J41" s="10">
        <f t="shared" si="6"/>
        <v>57673898719.615288</v>
      </c>
      <c r="K41" s="11">
        <f t="shared" si="7"/>
        <v>4.6999999999999265E-3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4168779.9166441537</v>
      </c>
      <c r="D42" s="11">
        <v>5.4999999999999997E-3</v>
      </c>
      <c r="E42" s="10">
        <f t="shared" si="2"/>
        <v>22802.873735995032</v>
      </c>
      <c r="F42" s="3"/>
      <c r="G42" s="28"/>
      <c r="H42" s="10"/>
      <c r="I42" s="10">
        <f t="shared" si="8"/>
        <v>13770</v>
      </c>
      <c r="J42" s="10">
        <f t="shared" si="6"/>
        <v>57404099452.189995</v>
      </c>
      <c r="K42" s="11">
        <f t="shared" si="7"/>
        <v>5.5000000000000604E-3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4145977.0429081586</v>
      </c>
      <c r="D43" s="11">
        <v>6.1999999999999998E-3</v>
      </c>
      <c r="E43" s="10">
        <f t="shared" si="2"/>
        <v>25546.668322431389</v>
      </c>
      <c r="F43" s="3"/>
      <c r="G43" s="28"/>
      <c r="H43" s="10"/>
      <c r="I43" s="10">
        <f t="shared" si="8"/>
        <v>13770</v>
      </c>
      <c r="J43" s="10">
        <f t="shared" si="6"/>
        <v>57090103880.845345</v>
      </c>
      <c r="K43" s="11">
        <f t="shared" si="7"/>
        <v>6.1999999999999833E-3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4120430.3745857272</v>
      </c>
      <c r="D44" s="11">
        <v>7.0000000000000001E-3</v>
      </c>
      <c r="E44" s="10">
        <f t="shared" si="2"/>
        <v>28642.515016980935</v>
      </c>
      <c r="F44" s="3"/>
      <c r="G44" s="28"/>
      <c r="H44" s="10"/>
      <c r="I44" s="10">
        <f t="shared" si="8"/>
        <v>13770</v>
      </c>
      <c r="J44" s="10">
        <f t="shared" si="6"/>
        <v>56738326258.045464</v>
      </c>
      <c r="K44" s="11">
        <f t="shared" si="7"/>
        <v>6.9999999999998952E-3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4091787.8595687463</v>
      </c>
      <c r="D45" s="11">
        <v>7.6E-3</v>
      </c>
      <c r="E45" s="10">
        <f t="shared" si="2"/>
        <v>30863.028714492451</v>
      </c>
      <c r="F45" s="3"/>
      <c r="G45" s="28"/>
      <c r="H45" s="10"/>
      <c r="I45" s="10">
        <f t="shared" si="8"/>
        <v>13770</v>
      </c>
      <c r="J45" s="10">
        <f t="shared" si="6"/>
        <v>56343918826.261635</v>
      </c>
      <c r="K45" s="11">
        <f t="shared" si="7"/>
        <v>7.6000000000000512E-3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4060924.8308542538</v>
      </c>
      <c r="D46" s="11">
        <v>7.0000000000000001E-3</v>
      </c>
      <c r="E46" s="10">
        <f t="shared" si="2"/>
        <v>28228.871713981498</v>
      </c>
      <c r="F46" s="3"/>
      <c r="G46" s="28"/>
      <c r="H46" s="10"/>
      <c r="I46" s="10">
        <f t="shared" si="8"/>
        <v>13770</v>
      </c>
      <c r="J46" s="10">
        <f t="shared" si="6"/>
        <v>55918934920.863075</v>
      </c>
      <c r="K46" s="11">
        <f t="shared" si="7"/>
        <v>6.9999999999998952E-3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4032695.9591402723</v>
      </c>
      <c r="D47" s="11">
        <v>7.3000000000000001E-3</v>
      </c>
      <c r="E47" s="10">
        <f t="shared" si="2"/>
        <v>29225.335552193224</v>
      </c>
      <c r="F47" s="3"/>
      <c r="G47" s="28"/>
      <c r="H47" s="10"/>
      <c r="I47" s="10">
        <f t="shared" si="8"/>
        <v>13770</v>
      </c>
      <c r="J47" s="10">
        <f t="shared" si="6"/>
        <v>55530223357.361549</v>
      </c>
      <c r="K47" s="11">
        <f t="shared" si="7"/>
        <v>7.3000000000000842E-3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4003470.6235880791</v>
      </c>
      <c r="D48" s="11">
        <v>8.0999999999999996E-3</v>
      </c>
      <c r="E48" s="10">
        <f t="shared" si="2"/>
        <v>32167.554856724106</v>
      </c>
      <c r="F48" s="3"/>
      <c r="G48" s="28"/>
      <c r="H48" s="10"/>
      <c r="I48" s="10">
        <f t="shared" si="8"/>
        <v>13770</v>
      </c>
      <c r="J48" s="10">
        <f t="shared" si="6"/>
        <v>55127790486.807846</v>
      </c>
      <c r="K48" s="11">
        <f t="shared" si="7"/>
        <v>8.0999999999999961E-3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3971303.068731355</v>
      </c>
      <c r="D49" s="11">
        <v>8.3999999999999995E-3</v>
      </c>
      <c r="E49" s="10">
        <f t="shared" si="2"/>
        <v>33081.06483274838</v>
      </c>
      <c r="F49" s="3"/>
      <c r="G49" s="28"/>
      <c r="H49" s="10"/>
      <c r="I49" s="10">
        <f t="shared" si="8"/>
        <v>13770</v>
      </c>
      <c r="J49" s="10">
        <f t="shared" si="6"/>
        <v>54684843256.430756</v>
      </c>
      <c r="K49" s="11">
        <f t="shared" si="7"/>
        <v>8.3999999999999631E-3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3938222.0038986066</v>
      </c>
      <c r="D50" s="11">
        <v>8.3999999999999995E-3</v>
      </c>
      <c r="E50" s="10">
        <f t="shared" si="2"/>
        <v>32805.498644137289</v>
      </c>
      <c r="F50" s="3"/>
      <c r="G50" s="28"/>
      <c r="H50" s="10"/>
      <c r="I50" s="10">
        <f t="shared" si="8"/>
        <v>13770</v>
      </c>
      <c r="J50" s="10">
        <f t="shared" si="6"/>
        <v>54229316993.683815</v>
      </c>
      <c r="K50" s="11">
        <f t="shared" si="7"/>
        <v>8.3999999999999631E-3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3905416.5052544693</v>
      </c>
      <c r="D51" s="11">
        <v>8.0000000000000002E-3</v>
      </c>
      <c r="E51" s="10">
        <f t="shared" si="2"/>
        <v>30995.369089321233</v>
      </c>
      <c r="F51" s="3"/>
      <c r="G51" s="28"/>
      <c r="H51" s="10"/>
      <c r="I51" s="10">
        <f t="shared" si="8"/>
        <v>13770</v>
      </c>
      <c r="J51" s="10">
        <f t="shared" si="6"/>
        <v>53777585277.354042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3874421.1361651481</v>
      </c>
      <c r="D52" s="11">
        <v>7.7999999999999996E-3</v>
      </c>
      <c r="E52" s="10">
        <f t="shared" si="2"/>
        <v>29986.589464266784</v>
      </c>
      <c r="F52" s="3"/>
      <c r="G52" s="28"/>
      <c r="H52" s="10"/>
      <c r="I52" s="10">
        <f t="shared" si="8"/>
        <v>13770</v>
      </c>
      <c r="J52" s="10">
        <f t="shared" si="6"/>
        <v>53350779044.994087</v>
      </c>
      <c r="K52" s="11">
        <f t="shared" si="7"/>
        <v>7.8000000000000291E-3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3844434.5467008813</v>
      </c>
      <c r="D53" s="11">
        <v>7.6E-3</v>
      </c>
      <c r="E53" s="10">
        <f t="shared" si="2"/>
        <v>28997.322900880128</v>
      </c>
      <c r="F53" s="3"/>
      <c r="G53" s="28"/>
      <c r="H53" s="10"/>
      <c r="I53" s="10">
        <f t="shared" si="8"/>
        <v>13770</v>
      </c>
      <c r="J53" s="10">
        <f t="shared" si="6"/>
        <v>52937863708.071136</v>
      </c>
      <c r="K53" s="11">
        <f t="shared" si="7"/>
        <v>7.6000000000000512E-3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3815437.2238000012</v>
      </c>
      <c r="D54" s="11">
        <v>7.6E-3</v>
      </c>
      <c r="E54" s="10">
        <f t="shared" si="2"/>
        <v>28778.605499087367</v>
      </c>
      <c r="F54" s="3"/>
      <c r="G54" s="28"/>
      <c r="H54" s="10"/>
      <c r="I54" s="10">
        <f t="shared" si="8"/>
        <v>13770</v>
      </c>
      <c r="J54" s="10">
        <f t="shared" si="6"/>
        <v>52538570571.726013</v>
      </c>
      <c r="K54" s="11">
        <f t="shared" si="7"/>
        <v>7.6000000000000512E-3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3786658.6183009138</v>
      </c>
      <c r="D55" s="11">
        <v>8.0000000000000002E-3</v>
      </c>
      <c r="E55" s="10">
        <f t="shared" si="2"/>
        <v>30052.846176991239</v>
      </c>
      <c r="F55" s="3"/>
      <c r="G55" s="28"/>
      <c r="H55" s="10"/>
      <c r="I55" s="10">
        <f t="shared" si="8"/>
        <v>13770</v>
      </c>
      <c r="J55" s="10">
        <f t="shared" si="6"/>
        <v>52142289174.003586</v>
      </c>
      <c r="K55" s="11">
        <f t="shared" si="7"/>
        <v>8.0000000000000071E-3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3756605.7721239226</v>
      </c>
      <c r="D56" s="11">
        <v>7.9000000000000008E-3</v>
      </c>
      <c r="E56" s="10">
        <f t="shared" si="2"/>
        <v>29444.573469371069</v>
      </c>
      <c r="F56" s="3"/>
      <c r="G56" s="28"/>
      <c r="H56" s="10"/>
      <c r="I56" s="10">
        <f t="shared" si="8"/>
        <v>13770</v>
      </c>
      <c r="J56" s="10">
        <f t="shared" si="6"/>
        <v>51728461482.146416</v>
      </c>
      <c r="K56" s="11">
        <f t="shared" si="7"/>
        <v>7.9000000000000181E-3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3727161.1986545515</v>
      </c>
      <c r="D57" s="11">
        <v>8.5000000000000006E-3</v>
      </c>
      <c r="E57" s="10">
        <f t="shared" si="2"/>
        <v>31413.852442799602</v>
      </c>
      <c r="F57" s="3"/>
      <c r="G57" s="28"/>
      <c r="H57" s="10"/>
      <c r="I57" s="10">
        <f t="shared" si="8"/>
        <v>13770</v>
      </c>
      <c r="J57" s="10">
        <f t="shared" si="6"/>
        <v>51323009705.473175</v>
      </c>
      <c r="K57" s="11">
        <f t="shared" si="7"/>
        <v>8.499999999999952E-3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3695747.3462117519</v>
      </c>
      <c r="D58" s="11">
        <v>8.5000000000000006E-3</v>
      </c>
      <c r="E58" s="10">
        <f t="shared" si="2"/>
        <v>31149.08521844307</v>
      </c>
      <c r="F58" s="3"/>
      <c r="G58" s="28"/>
      <c r="H58" s="10"/>
      <c r="I58" s="10">
        <f t="shared" si="8"/>
        <v>13770</v>
      </c>
      <c r="J58" s="10">
        <f t="shared" si="6"/>
        <v>50890440957.335823</v>
      </c>
      <c r="K58" s="11">
        <f t="shared" si="7"/>
        <v>8.499999999999952E-3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3664598.2609933089</v>
      </c>
      <c r="D59" s="11">
        <v>8.5000000000000006E-3</v>
      </c>
      <c r="E59" s="10">
        <f t="shared" si="2"/>
        <v>30886.549547290895</v>
      </c>
      <c r="F59" s="3"/>
      <c r="G59" s="28"/>
      <c r="H59" s="10"/>
      <c r="I59" s="10">
        <f t="shared" si="8"/>
        <v>13770</v>
      </c>
      <c r="J59" s="10">
        <f t="shared" si="6"/>
        <v>50461518053.877861</v>
      </c>
      <c r="K59" s="11">
        <f t="shared" si="7"/>
        <v>8.499999999999952E-3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3633711.711446018</v>
      </c>
      <c r="D60" s="11">
        <v>8.5000000000000006E-3</v>
      </c>
      <c r="E60" s="10">
        <f t="shared" si="2"/>
        <v>30626.226621012203</v>
      </c>
      <c r="F60" s="3"/>
      <c r="G60" s="28"/>
      <c r="H60" s="10"/>
      <c r="I60" s="10">
        <f t="shared" si="8"/>
        <v>13770</v>
      </c>
      <c r="J60" s="10">
        <f t="shared" si="6"/>
        <v>50036210266.611664</v>
      </c>
      <c r="K60" s="11">
        <f t="shared" si="7"/>
        <v>8.49999999999973E-3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3603085.4848250058</v>
      </c>
      <c r="D61" s="11">
        <v>8.9999999999999993E-3</v>
      </c>
      <c r="E61" s="10">
        <f t="shared" si="2"/>
        <v>32138.522659489419</v>
      </c>
      <c r="F61" s="3"/>
      <c r="G61" s="28"/>
      <c r="H61" s="10"/>
      <c r="I61" s="10">
        <f t="shared" si="8"/>
        <v>13770</v>
      </c>
      <c r="J61" s="10">
        <f t="shared" si="6"/>
        <v>49614487126.040329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3570946.9621655163</v>
      </c>
      <c r="D62" s="11">
        <v>9.4999999999999998E-3</v>
      </c>
      <c r="E62" s="10">
        <f t="shared" si="2"/>
        <v>33604.751006015576</v>
      </c>
      <c r="F62" s="3"/>
      <c r="G62" s="28"/>
      <c r="H62" s="10"/>
      <c r="I62" s="10">
        <f t="shared" si="8"/>
        <v>13770</v>
      </c>
      <c r="J62" s="10">
        <f t="shared" si="6"/>
        <v>49171939669.019157</v>
      </c>
      <c r="K62" s="11">
        <f t="shared" si="7"/>
        <v>9.5000000000000639E-3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3537342.2111595008</v>
      </c>
      <c r="D63" s="11">
        <v>9.4999999999999998E-3</v>
      </c>
      <c r="E63" s="10">
        <f t="shared" si="2"/>
        <v>33288.510159500409</v>
      </c>
      <c r="F63" s="3"/>
      <c r="G63" s="28"/>
      <c r="H63" s="10"/>
      <c r="I63" s="10">
        <f t="shared" si="8"/>
        <v>13770</v>
      </c>
      <c r="J63" s="10">
        <f t="shared" si="6"/>
        <v>48709202247.666328</v>
      </c>
      <c r="K63" s="11">
        <f t="shared" si="7"/>
        <v>9.500000000000286E-3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3504053.7010000004</v>
      </c>
      <c r="D64" s="11">
        <v>0.01</v>
      </c>
      <c r="E64" s="10">
        <f t="shared" si="2"/>
        <v>34693.601000000257</v>
      </c>
      <c r="F64" s="3"/>
      <c r="G64" s="28"/>
      <c r="H64" s="10"/>
      <c r="I64" s="10">
        <f t="shared" si="8"/>
        <v>13770</v>
      </c>
      <c r="J64" s="10">
        <f t="shared" si="6"/>
        <v>48250819462.770004</v>
      </c>
      <c r="K64" s="11">
        <f t="shared" si="7"/>
        <v>1.0000000000000009E-2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3469360.1</v>
      </c>
      <c r="D65" s="11">
        <v>0.01</v>
      </c>
      <c r="E65" s="10">
        <f t="shared" si="2"/>
        <v>34350.100000000093</v>
      </c>
      <c r="F65" s="3"/>
      <c r="G65" s="28"/>
      <c r="H65" s="10"/>
      <c r="I65" s="10">
        <f t="shared" si="8"/>
        <v>13770</v>
      </c>
      <c r="J65" s="10">
        <f t="shared" si="6"/>
        <v>47773088577</v>
      </c>
      <c r="K65" s="11">
        <f t="shared" si="7"/>
        <v>1.0000000000000009E-2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3435010</v>
      </c>
      <c r="D66" s="11">
        <v>0.01</v>
      </c>
      <c r="E66" s="10">
        <f t="shared" si="2"/>
        <v>34010</v>
      </c>
      <c r="F66" s="3"/>
      <c r="G66" s="28"/>
      <c r="H66" s="10"/>
      <c r="I66" s="10">
        <f t="shared" si="8"/>
        <v>13770</v>
      </c>
      <c r="J66" s="10">
        <f t="shared" ref="J66:J67" si="9">IF(I66="","",I66*C66)</f>
        <v>47300087700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3401000</v>
      </c>
      <c r="D67" s="11">
        <v>0.01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13770</v>
      </c>
      <c r="J67" s="10">
        <f t="shared" si="9"/>
        <v>46831770000</v>
      </c>
      <c r="K67" s="11"/>
    </row>
  </sheetData>
  <dataValidations count="1">
    <dataValidation type="custom" allowBlank="1" showDropDown="1" sqref="D2:D67" xr:uid="{00000000-0002-0000-2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495256.78734733211</v>
      </c>
      <c r="D2" s="11">
        <v>4.7999999999999996E-3</v>
      </c>
      <c r="E2" s="10">
        <f t="shared" ref="E2:E66" si="2">SUM(C2-C3)</f>
        <v>2365.8763726783218</v>
      </c>
      <c r="F2" s="15">
        <v>495291</v>
      </c>
      <c r="G2" s="28"/>
      <c r="H2" s="10"/>
      <c r="I2" s="10">
        <f>IF(H2&lt;&gt;"",H2,2262)</f>
        <v>2262</v>
      </c>
      <c r="J2" s="10">
        <f t="shared" ref="J2:J33" si="3">IF(I2="","",I2*C2)</f>
        <v>1120270852.9796653</v>
      </c>
      <c r="K2" s="11">
        <f t="shared" ref="K2:K33" si="4">IFERROR(J2/J3-1,"")</f>
        <v>4.7999999999999154E-3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492890.91097465379</v>
      </c>
      <c r="D3" s="11">
        <v>5.4999999999999997E-3</v>
      </c>
      <c r="E3" s="10">
        <f t="shared" si="2"/>
        <v>2696.0716164700571</v>
      </c>
      <c r="F3" s="3"/>
      <c r="G3" s="28"/>
      <c r="H3" s="10"/>
      <c r="I3" s="10">
        <f t="shared" ref="I3:I34" si="5">IF(H3&lt;&gt;"",H3,I2/(1+IF(G2="",0,G2)/100))</f>
        <v>2262</v>
      </c>
      <c r="J3" s="10">
        <f t="shared" si="3"/>
        <v>1114919240.6246669</v>
      </c>
      <c r="K3" s="11">
        <f t="shared" si="4"/>
        <v>5.5000000000002824E-3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490194.83935818373</v>
      </c>
      <c r="D4" s="11">
        <v>7.4999999999999997E-3</v>
      </c>
      <c r="E4" s="10">
        <f t="shared" si="2"/>
        <v>3649.09309695923</v>
      </c>
      <c r="F4" s="3"/>
      <c r="G4" s="28"/>
      <c r="H4" s="10"/>
      <c r="I4" s="10">
        <f t="shared" si="5"/>
        <v>2262</v>
      </c>
      <c r="J4" s="10">
        <f t="shared" si="3"/>
        <v>1108820726.6282115</v>
      </c>
      <c r="K4" s="11">
        <f t="shared" si="4"/>
        <v>7.5000000000000622E-3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486545.7462612245</v>
      </c>
      <c r="D5" s="11">
        <v>8.9999999999999993E-3</v>
      </c>
      <c r="E5" s="10">
        <f t="shared" si="2"/>
        <v>4339.8530389999505</v>
      </c>
      <c r="F5" s="3"/>
      <c r="G5" s="28"/>
      <c r="H5" s="10"/>
      <c r="I5" s="10">
        <f t="shared" si="5"/>
        <v>2262</v>
      </c>
      <c r="J5" s="10">
        <f t="shared" si="3"/>
        <v>1100566478.0428898</v>
      </c>
      <c r="K5" s="11">
        <f t="shared" si="4"/>
        <v>8.9999999999996749E-3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482205.89322222455</v>
      </c>
      <c r="D6" s="11">
        <v>0.01</v>
      </c>
      <c r="E6" s="10">
        <f t="shared" si="2"/>
        <v>4774.3157744774944</v>
      </c>
      <c r="F6" s="3"/>
      <c r="G6" s="28"/>
      <c r="H6" s="10"/>
      <c r="I6" s="10">
        <f t="shared" si="5"/>
        <v>2262</v>
      </c>
      <c r="J6" s="10">
        <f t="shared" si="3"/>
        <v>1090749730.468672</v>
      </c>
      <c r="K6" s="11">
        <f t="shared" si="4"/>
        <v>1.0000000000000231E-2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477431.57744774705</v>
      </c>
      <c r="D7" s="11">
        <v>1.0800000000000001E-2</v>
      </c>
      <c r="E7" s="10">
        <f t="shared" si="2"/>
        <v>5101.1684175263508</v>
      </c>
      <c r="F7" s="3"/>
      <c r="G7" s="28"/>
      <c r="H7" s="10"/>
      <c r="I7" s="10">
        <f t="shared" si="5"/>
        <v>2262</v>
      </c>
      <c r="J7" s="10">
        <f t="shared" si="3"/>
        <v>1079950228.1868038</v>
      </c>
      <c r="K7" s="11">
        <f t="shared" si="4"/>
        <v>1.0799999999999921E-2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472330.4090302207</v>
      </c>
      <c r="D8" s="11">
        <v>1.0999999999999999E-2</v>
      </c>
      <c r="E8" s="10">
        <f t="shared" si="2"/>
        <v>5139.1043514662306</v>
      </c>
      <c r="F8" s="3"/>
      <c r="G8" s="28"/>
      <c r="H8" s="10"/>
      <c r="I8" s="10">
        <f t="shared" si="5"/>
        <v>2262</v>
      </c>
      <c r="J8" s="10">
        <f t="shared" si="3"/>
        <v>1068411385.2263592</v>
      </c>
      <c r="K8" s="11">
        <f t="shared" si="4"/>
        <v>1.0999999999999899E-2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467191.30467875447</v>
      </c>
      <c r="D9" s="11">
        <v>1.0999999999999999E-2</v>
      </c>
      <c r="E9" s="10">
        <f t="shared" si="2"/>
        <v>5083.1892695017159</v>
      </c>
      <c r="F9" s="3"/>
      <c r="G9" s="28"/>
      <c r="H9" s="10"/>
      <c r="I9" s="10">
        <f t="shared" si="5"/>
        <v>2262</v>
      </c>
      <c r="J9" s="10">
        <f t="shared" si="3"/>
        <v>1056786731.1833426</v>
      </c>
      <c r="K9" s="11">
        <f t="shared" si="4"/>
        <v>1.0999999999999899E-2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462108.11540925276</v>
      </c>
      <c r="D10" s="11">
        <v>1.0500000000000001E-2</v>
      </c>
      <c r="E10" s="10">
        <f t="shared" si="2"/>
        <v>4801.7171813925379</v>
      </c>
      <c r="F10" s="3"/>
      <c r="G10" s="28"/>
      <c r="H10" s="10"/>
      <c r="I10" s="10">
        <f t="shared" si="5"/>
        <v>2262</v>
      </c>
      <c r="J10" s="10">
        <f t="shared" si="3"/>
        <v>1045288557.0557297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457306.39822786022</v>
      </c>
      <c r="D11" s="11">
        <v>0.01</v>
      </c>
      <c r="E11" s="10">
        <f t="shared" si="2"/>
        <v>4527.7861210679403</v>
      </c>
      <c r="F11" s="3"/>
      <c r="G11" s="28"/>
      <c r="H11" s="10"/>
      <c r="I11" s="10">
        <f t="shared" si="5"/>
        <v>2262</v>
      </c>
      <c r="J11" s="10">
        <f t="shared" si="3"/>
        <v>1034427072.7914199</v>
      </c>
      <c r="K11" s="11">
        <f t="shared" si="4"/>
        <v>1.0000000000000009E-2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452778.61210679228</v>
      </c>
      <c r="D12" s="11">
        <v>9.4999999999999998E-3</v>
      </c>
      <c r="E12" s="10">
        <f t="shared" si="2"/>
        <v>4260.9180931298179</v>
      </c>
      <c r="F12" s="3"/>
      <c r="G12" s="28"/>
      <c r="H12" s="10"/>
      <c r="I12" s="10">
        <f t="shared" si="5"/>
        <v>2262</v>
      </c>
      <c r="J12" s="10">
        <f t="shared" si="3"/>
        <v>1024185220.5855641</v>
      </c>
      <c r="K12" s="11">
        <f t="shared" si="4"/>
        <v>9.5000000000000639E-3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448517.69401366246</v>
      </c>
      <c r="D13" s="11">
        <v>8.9999999999999993E-3</v>
      </c>
      <c r="E13" s="10">
        <f t="shared" si="2"/>
        <v>4000.6533658304252</v>
      </c>
      <c r="F13" s="3"/>
      <c r="G13" s="28"/>
      <c r="H13" s="10"/>
      <c r="I13" s="10">
        <f t="shared" si="5"/>
        <v>2262</v>
      </c>
      <c r="J13" s="10">
        <f t="shared" si="3"/>
        <v>1014547023.8589045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444517.04064783204</v>
      </c>
      <c r="D14" s="11">
        <v>0.01</v>
      </c>
      <c r="E14" s="10">
        <f t="shared" si="2"/>
        <v>4401.1588182953419</v>
      </c>
      <c r="F14" s="3"/>
      <c r="G14" s="28"/>
      <c r="H14" s="10"/>
      <c r="I14" s="10">
        <f t="shared" si="5"/>
        <v>2262</v>
      </c>
      <c r="J14" s="10">
        <f t="shared" si="3"/>
        <v>1005497545.9453961</v>
      </c>
      <c r="K14" s="11">
        <f t="shared" si="4"/>
        <v>9.9999999999997868E-3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440115.88182953669</v>
      </c>
      <c r="D15" s="11">
        <v>1.15E-2</v>
      </c>
      <c r="E15" s="10">
        <f t="shared" si="2"/>
        <v>5003.789066771802</v>
      </c>
      <c r="F15" s="3"/>
      <c r="G15" s="28"/>
      <c r="H15" s="10"/>
      <c r="I15" s="10">
        <f t="shared" si="5"/>
        <v>2262</v>
      </c>
      <c r="J15" s="10">
        <f t="shared" si="3"/>
        <v>995542124.69841206</v>
      </c>
      <c r="K15" s="11">
        <f t="shared" si="4"/>
        <v>1.1500000000000066E-2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435112.09276276489</v>
      </c>
      <c r="D16" s="11">
        <v>1.2999999999999999E-2</v>
      </c>
      <c r="E16" s="10">
        <f t="shared" si="2"/>
        <v>5583.8669357511098</v>
      </c>
      <c r="F16" s="3"/>
      <c r="G16" s="28"/>
      <c r="H16" s="10"/>
      <c r="I16" s="10">
        <f t="shared" si="5"/>
        <v>2262</v>
      </c>
      <c r="J16" s="10">
        <f t="shared" si="3"/>
        <v>984223553.82937419</v>
      </c>
      <c r="K16" s="11">
        <f t="shared" si="4"/>
        <v>1.2999999999999901E-2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429528.22582701378</v>
      </c>
      <c r="D17" s="11">
        <v>1.44E-2</v>
      </c>
      <c r="E17" s="10">
        <f t="shared" si="2"/>
        <v>6097.4038366610766</v>
      </c>
      <c r="F17" s="3"/>
      <c r="G17" s="28"/>
      <c r="H17" s="10"/>
      <c r="I17" s="10">
        <f t="shared" si="5"/>
        <v>2262</v>
      </c>
      <c r="J17" s="10">
        <f t="shared" si="3"/>
        <v>971592846.82070518</v>
      </c>
      <c r="K17" s="11">
        <f t="shared" si="4"/>
        <v>1.4399999999999968E-2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423430.82199035271</v>
      </c>
      <c r="D18" s="11">
        <v>1.4E-2</v>
      </c>
      <c r="E18" s="10">
        <f t="shared" si="2"/>
        <v>5846.1849189989734</v>
      </c>
      <c r="F18" s="3"/>
      <c r="G18" s="28"/>
      <c r="H18" s="10"/>
      <c r="I18" s="10">
        <f t="shared" si="5"/>
        <v>2262</v>
      </c>
      <c r="J18" s="10">
        <f t="shared" si="3"/>
        <v>957800519.34217787</v>
      </c>
      <c r="K18" s="11">
        <f t="shared" si="4"/>
        <v>1.4000000000000012E-2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417584.63707135373</v>
      </c>
      <c r="D19" s="11">
        <v>1.4500000000000001E-2</v>
      </c>
      <c r="E19" s="10">
        <f t="shared" si="2"/>
        <v>5968.4349310346297</v>
      </c>
      <c r="F19" s="3"/>
      <c r="G19" s="28"/>
      <c r="H19" s="10"/>
      <c r="I19" s="10">
        <f t="shared" si="5"/>
        <v>2262</v>
      </c>
      <c r="J19" s="10">
        <f t="shared" si="3"/>
        <v>944576449.05540216</v>
      </c>
      <c r="K19" s="11">
        <f t="shared" si="4"/>
        <v>1.4499999999999957E-2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411616.2021403191</v>
      </c>
      <c r="D20" s="11">
        <v>1.55E-2</v>
      </c>
      <c r="E20" s="10">
        <f t="shared" si="2"/>
        <v>6282.6697520187008</v>
      </c>
      <c r="F20" s="3"/>
      <c r="G20" s="28"/>
      <c r="H20" s="10"/>
      <c r="I20" s="10">
        <f t="shared" si="5"/>
        <v>2262</v>
      </c>
      <c r="J20" s="10">
        <f t="shared" si="3"/>
        <v>931075849.24140179</v>
      </c>
      <c r="K20" s="11">
        <f t="shared" si="4"/>
        <v>1.5500000000000069E-2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405333.5323883004</v>
      </c>
      <c r="D21" s="11">
        <v>1.6500000000000001E-2</v>
      </c>
      <c r="E21" s="10">
        <f t="shared" si="2"/>
        <v>6579.4424834303209</v>
      </c>
      <c r="F21" s="3"/>
      <c r="G21" s="28"/>
      <c r="H21" s="10"/>
      <c r="I21" s="10">
        <f t="shared" si="5"/>
        <v>2262</v>
      </c>
      <c r="J21" s="10">
        <f t="shared" si="3"/>
        <v>916864450.26233554</v>
      </c>
      <c r="K21" s="11">
        <f t="shared" si="4"/>
        <v>1.6499999999999959E-2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398754.08990487008</v>
      </c>
      <c r="D22" s="11">
        <v>1.7100000000000001E-2</v>
      </c>
      <c r="E22" s="10">
        <f t="shared" si="2"/>
        <v>6704.0555868382799</v>
      </c>
      <c r="F22" s="3"/>
      <c r="G22" s="28"/>
      <c r="H22" s="10"/>
      <c r="I22" s="10">
        <f t="shared" si="5"/>
        <v>2262</v>
      </c>
      <c r="J22" s="10">
        <f t="shared" si="3"/>
        <v>901981751.36481607</v>
      </c>
      <c r="K22" s="11">
        <f t="shared" si="4"/>
        <v>1.7099999999999893E-2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392050.0343180318</v>
      </c>
      <c r="D23" s="11">
        <v>1.7100000000000001E-2</v>
      </c>
      <c r="E23" s="10">
        <f t="shared" si="2"/>
        <v>6591.3436110886978</v>
      </c>
      <c r="F23" s="3"/>
      <c r="G23" s="28"/>
      <c r="H23" s="10"/>
      <c r="I23" s="10">
        <f t="shared" si="5"/>
        <v>2262</v>
      </c>
      <c r="J23" s="10">
        <f t="shared" si="3"/>
        <v>886817177.62738788</v>
      </c>
      <c r="K23" s="11">
        <f t="shared" si="4"/>
        <v>1.7099999999999893E-2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385458.6907069431</v>
      </c>
      <c r="D24" s="11">
        <v>1.7100000000000001E-2</v>
      </c>
      <c r="E24" s="10">
        <f t="shared" si="2"/>
        <v>6480.5266061239527</v>
      </c>
      <c r="F24" s="3"/>
      <c r="G24" s="28"/>
      <c r="H24" s="10"/>
      <c r="I24" s="10">
        <f t="shared" si="5"/>
        <v>2262</v>
      </c>
      <c r="J24" s="10">
        <f t="shared" si="3"/>
        <v>871907558.37910533</v>
      </c>
      <c r="K24" s="11">
        <f t="shared" si="4"/>
        <v>1.7099999999999893E-2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378978.16410081915</v>
      </c>
      <c r="D25" s="11">
        <v>1.7000000000000001E-2</v>
      </c>
      <c r="E25" s="10">
        <f t="shared" si="2"/>
        <v>6334.934896473831</v>
      </c>
      <c r="F25" s="3"/>
      <c r="G25" s="28"/>
      <c r="H25" s="10"/>
      <c r="I25" s="10">
        <f t="shared" si="5"/>
        <v>2262</v>
      </c>
      <c r="J25" s="10">
        <f t="shared" si="3"/>
        <v>857248607.19605291</v>
      </c>
      <c r="K25" s="11">
        <f t="shared" si="4"/>
        <v>1.6999999999999904E-2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372643.22920434532</v>
      </c>
      <c r="D26" s="11">
        <v>1.6899999999999998E-2</v>
      </c>
      <c r="E26" s="10">
        <f t="shared" si="2"/>
        <v>6193.0087260826258</v>
      </c>
      <c r="F26" s="3"/>
      <c r="G26" s="28"/>
      <c r="H26" s="10"/>
      <c r="I26" s="10">
        <f t="shared" si="5"/>
        <v>2262</v>
      </c>
      <c r="J26" s="10">
        <f t="shared" si="3"/>
        <v>842918984.46022916</v>
      </c>
      <c r="K26" s="11">
        <f t="shared" si="4"/>
        <v>1.6899999999999915E-2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366450.22047826269</v>
      </c>
      <c r="D27" s="11">
        <v>1.6799999999999999E-2</v>
      </c>
      <c r="E27" s="10">
        <f t="shared" si="2"/>
        <v>6054.6456569972215</v>
      </c>
      <c r="F27" s="3"/>
      <c r="G27" s="28"/>
      <c r="H27" s="10"/>
      <c r="I27" s="10">
        <f t="shared" si="5"/>
        <v>2262</v>
      </c>
      <c r="J27" s="10">
        <f t="shared" si="3"/>
        <v>828910398.72183025</v>
      </c>
      <c r="K27" s="11">
        <f t="shared" si="4"/>
        <v>1.6799999999999926E-2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360395.57482126547</v>
      </c>
      <c r="D28" s="11">
        <v>1.6799999999999999E-2</v>
      </c>
      <c r="E28" s="10">
        <f t="shared" si="2"/>
        <v>5954.6082385889604</v>
      </c>
      <c r="F28" s="3"/>
      <c r="G28" s="28"/>
      <c r="H28" s="10"/>
      <c r="I28" s="10">
        <f t="shared" si="5"/>
        <v>2262</v>
      </c>
      <c r="J28" s="10">
        <f t="shared" si="3"/>
        <v>815214790.24570251</v>
      </c>
      <c r="K28" s="11">
        <f t="shared" si="4"/>
        <v>1.6799999999999926E-2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354440.96658267651</v>
      </c>
      <c r="D29" s="11">
        <v>1.67E-2</v>
      </c>
      <c r="E29" s="10">
        <f t="shared" si="2"/>
        <v>5821.9377809881698</v>
      </c>
      <c r="F29" s="3"/>
      <c r="G29" s="28"/>
      <c r="H29" s="10"/>
      <c r="I29" s="10">
        <f t="shared" si="5"/>
        <v>2262</v>
      </c>
      <c r="J29" s="10">
        <f t="shared" si="3"/>
        <v>801745466.41001427</v>
      </c>
      <c r="K29" s="11">
        <f t="shared" si="4"/>
        <v>1.6699999999999937E-2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348619.02880168834</v>
      </c>
      <c r="D30" s="12">
        <v>1.66E-2</v>
      </c>
      <c r="E30" s="10">
        <f t="shared" si="2"/>
        <v>5692.5790656187455</v>
      </c>
      <c r="F30" s="3"/>
      <c r="G30" s="28"/>
      <c r="H30" s="10"/>
      <c r="I30" s="10">
        <f t="shared" si="5"/>
        <v>2262</v>
      </c>
      <c r="J30" s="10">
        <f t="shared" si="3"/>
        <v>788576243.14941907</v>
      </c>
      <c r="K30" s="11">
        <f t="shared" si="4"/>
        <v>1.6599999999999948E-2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342926.4497360696</v>
      </c>
      <c r="D31" s="13">
        <v>1.6500000000000001E-2</v>
      </c>
      <c r="E31" s="10">
        <f t="shared" si="2"/>
        <v>5566.440158037527</v>
      </c>
      <c r="F31" s="3"/>
      <c r="G31" s="28"/>
      <c r="H31" s="10"/>
      <c r="I31" s="10">
        <f t="shared" si="5"/>
        <v>2262</v>
      </c>
      <c r="J31" s="10">
        <f t="shared" si="3"/>
        <v>775699629.30298948</v>
      </c>
      <c r="K31" s="11">
        <f t="shared" si="4"/>
        <v>1.6500000000000181E-2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337360.00957803207</v>
      </c>
      <c r="D32" s="12">
        <v>1.6400000000000001E-2</v>
      </c>
      <c r="E32" s="10">
        <f t="shared" si="2"/>
        <v>5443.4318743405165</v>
      </c>
      <c r="F32" s="3"/>
      <c r="G32" s="28"/>
      <c r="H32" s="10"/>
      <c r="I32" s="10">
        <f t="shared" si="5"/>
        <v>2262</v>
      </c>
      <c r="J32" s="10">
        <f t="shared" si="3"/>
        <v>763108341.66550851</v>
      </c>
      <c r="K32" s="11">
        <f t="shared" si="4"/>
        <v>1.639999999999997E-2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331916.57770369155</v>
      </c>
      <c r="D33" s="13">
        <v>1.6299999999999999E-2</v>
      </c>
      <c r="E33" s="10">
        <f t="shared" si="2"/>
        <v>5323.4676931714639</v>
      </c>
      <c r="F33" s="3"/>
      <c r="G33" s="28"/>
      <c r="H33" s="10"/>
      <c r="I33" s="10">
        <f t="shared" si="5"/>
        <v>2262</v>
      </c>
      <c r="J33" s="10">
        <f t="shared" si="3"/>
        <v>750795298.76575029</v>
      </c>
      <c r="K33" s="11">
        <f t="shared" si="4"/>
        <v>1.6299999999999981E-2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326593.11001052009</v>
      </c>
      <c r="D34" s="12">
        <v>1.6199999999999999E-2</v>
      </c>
      <c r="E34" s="10">
        <f t="shared" si="2"/>
        <v>5206.4636707049794</v>
      </c>
      <c r="F34" s="3"/>
      <c r="G34" s="28"/>
      <c r="H34" s="10"/>
      <c r="I34" s="10">
        <f t="shared" si="5"/>
        <v>2262</v>
      </c>
      <c r="J34" s="10">
        <f t="shared" ref="J34:J65" si="6">IF(I34="","",I34*C34)</f>
        <v>738753614.84379649</v>
      </c>
      <c r="K34" s="11">
        <f t="shared" ref="K34:K65" si="7">IFERROR(J34/J35-1,"")</f>
        <v>1.6199999999999992E-2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321386.64633981511</v>
      </c>
      <c r="D35" s="11">
        <v>1.6E-2</v>
      </c>
      <c r="E35" s="10">
        <f t="shared" si="2"/>
        <v>5061.2070289734984</v>
      </c>
      <c r="F35" s="3"/>
      <c r="G35" s="28"/>
      <c r="H35" s="10"/>
      <c r="I35" s="10">
        <f t="shared" ref="I35:I66" si="8">IF(H35&lt;&gt;"",H35,I34/(1+IF(G34="",0,G34)/100))</f>
        <v>2262</v>
      </c>
      <c r="J35" s="10">
        <f t="shared" si="6"/>
        <v>726976594.02066183</v>
      </c>
      <c r="K35" s="11">
        <f t="shared" si="7"/>
        <v>1.6000000000000236E-2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316325.43931084161</v>
      </c>
      <c r="D36" s="11">
        <v>1.5900000000000001E-2</v>
      </c>
      <c r="E36" s="10">
        <f t="shared" si="2"/>
        <v>4950.8558766043861</v>
      </c>
      <c r="F36" s="3"/>
      <c r="G36" s="28"/>
      <c r="H36" s="10"/>
      <c r="I36" s="10">
        <f t="shared" si="8"/>
        <v>2262</v>
      </c>
      <c r="J36" s="10">
        <f t="shared" si="6"/>
        <v>715528143.7211237</v>
      </c>
      <c r="K36" s="11">
        <f t="shared" si="7"/>
        <v>1.5900000000000025E-2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311374.58343423723</v>
      </c>
      <c r="D37" s="11">
        <v>1.55E-2</v>
      </c>
      <c r="E37" s="10">
        <f t="shared" si="2"/>
        <v>4752.6401213497738</v>
      </c>
      <c r="F37" s="3"/>
      <c r="G37" s="28"/>
      <c r="H37" s="10"/>
      <c r="I37" s="10">
        <f t="shared" si="8"/>
        <v>2262</v>
      </c>
      <c r="J37" s="10">
        <f t="shared" si="6"/>
        <v>704329307.72824466</v>
      </c>
      <c r="K37" s="11">
        <f t="shared" si="7"/>
        <v>1.5500000000000291E-2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306621.94331288745</v>
      </c>
      <c r="D38" s="11">
        <v>1.55E-2</v>
      </c>
      <c r="E38" s="10">
        <f t="shared" si="2"/>
        <v>4680.0985931558535</v>
      </c>
      <c r="F38" s="3"/>
      <c r="G38" s="28"/>
      <c r="H38" s="10"/>
      <c r="I38" s="10">
        <f t="shared" si="8"/>
        <v>2262</v>
      </c>
      <c r="J38" s="10">
        <f t="shared" si="6"/>
        <v>693578835.77375138</v>
      </c>
      <c r="K38" s="11">
        <f t="shared" si="7"/>
        <v>1.5500000000000069E-2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301941.8447197316</v>
      </c>
      <c r="D39" s="11">
        <v>1.6E-2</v>
      </c>
      <c r="E39" s="10">
        <f t="shared" si="2"/>
        <v>4754.9896806256729</v>
      </c>
      <c r="F39" s="3"/>
      <c r="G39" s="28"/>
      <c r="H39" s="10"/>
      <c r="I39" s="10">
        <f t="shared" si="8"/>
        <v>2262</v>
      </c>
      <c r="J39" s="10">
        <f t="shared" si="6"/>
        <v>682992452.75603282</v>
      </c>
      <c r="K39" s="11">
        <f t="shared" si="7"/>
        <v>1.5999999999999792E-2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297186.85503910593</v>
      </c>
      <c r="D40" s="11">
        <v>1.7000000000000001E-2</v>
      </c>
      <c r="E40" s="10">
        <f t="shared" si="2"/>
        <v>4967.7252071433468</v>
      </c>
      <c r="F40" s="3"/>
      <c r="G40" s="28"/>
      <c r="H40" s="10"/>
      <c r="I40" s="10">
        <f t="shared" si="8"/>
        <v>2262</v>
      </c>
      <c r="J40" s="10">
        <f t="shared" si="6"/>
        <v>672236666.09845757</v>
      </c>
      <c r="K40" s="11">
        <f t="shared" si="7"/>
        <v>1.6999999999999904E-2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292219.12983196258</v>
      </c>
      <c r="D41" s="11">
        <v>1.7399999999999999E-2</v>
      </c>
      <c r="E41" s="10">
        <f t="shared" si="2"/>
        <v>4997.6536849578843</v>
      </c>
      <c r="F41" s="3"/>
      <c r="G41" s="28"/>
      <c r="H41" s="10"/>
      <c r="I41" s="10">
        <f t="shared" si="8"/>
        <v>2262</v>
      </c>
      <c r="J41" s="10">
        <f t="shared" si="6"/>
        <v>660999671.67989933</v>
      </c>
      <c r="K41" s="11">
        <f t="shared" si="7"/>
        <v>1.739999999999986E-2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287221.47614700469</v>
      </c>
      <c r="D42" s="11">
        <v>1.7000000000000001E-2</v>
      </c>
      <c r="E42" s="10">
        <f t="shared" si="2"/>
        <v>4801.1456189764431</v>
      </c>
      <c r="F42" s="3"/>
      <c r="G42" s="28"/>
      <c r="H42" s="10"/>
      <c r="I42" s="10">
        <f t="shared" si="8"/>
        <v>2262</v>
      </c>
      <c r="J42" s="10">
        <f t="shared" si="6"/>
        <v>649694979.04452467</v>
      </c>
      <c r="K42" s="11">
        <f t="shared" si="7"/>
        <v>1.6999999999999904E-2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282420.33052802825</v>
      </c>
      <c r="D43" s="11">
        <v>1.6500000000000001E-2</v>
      </c>
      <c r="E43" s="10">
        <f t="shared" si="2"/>
        <v>4584.2945929291309</v>
      </c>
      <c r="F43" s="3"/>
      <c r="G43" s="28"/>
      <c r="H43" s="10"/>
      <c r="I43" s="10">
        <f t="shared" si="8"/>
        <v>2262</v>
      </c>
      <c r="J43" s="10">
        <f t="shared" si="6"/>
        <v>638834787.65439987</v>
      </c>
      <c r="K43" s="11">
        <f t="shared" si="7"/>
        <v>1.6499999999999959E-2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277836.03593509912</v>
      </c>
      <c r="D44" s="11">
        <v>1.7000000000000001E-2</v>
      </c>
      <c r="E44" s="10">
        <f t="shared" si="2"/>
        <v>4644.2601877056877</v>
      </c>
      <c r="F44" s="3"/>
      <c r="G44" s="28"/>
      <c r="H44" s="10"/>
      <c r="I44" s="10">
        <f t="shared" si="8"/>
        <v>2262</v>
      </c>
      <c r="J44" s="10">
        <f t="shared" si="6"/>
        <v>628465113.28519416</v>
      </c>
      <c r="K44" s="11">
        <f t="shared" si="7"/>
        <v>1.6999999999999904E-2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273191.77574739343</v>
      </c>
      <c r="D45" s="11">
        <v>1.7000000000000001E-2</v>
      </c>
      <c r="E45" s="10">
        <f t="shared" si="2"/>
        <v>4566.6275198679068</v>
      </c>
      <c r="F45" s="3"/>
      <c r="G45" s="28"/>
      <c r="H45" s="10"/>
      <c r="I45" s="10">
        <f t="shared" si="8"/>
        <v>2262</v>
      </c>
      <c r="J45" s="10">
        <f t="shared" si="6"/>
        <v>617959796.74060392</v>
      </c>
      <c r="K45" s="11">
        <f t="shared" si="7"/>
        <v>1.6999999999999904E-2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268625.14822752553</v>
      </c>
      <c r="D46" s="11">
        <v>1.7999999999999999E-2</v>
      </c>
      <c r="E46" s="10">
        <f t="shared" si="2"/>
        <v>4749.7570413511712</v>
      </c>
      <c r="F46" s="3"/>
      <c r="G46" s="28"/>
      <c r="H46" s="10"/>
      <c r="I46" s="10">
        <f t="shared" si="8"/>
        <v>2262</v>
      </c>
      <c r="J46" s="10">
        <f t="shared" si="6"/>
        <v>607630085.29066277</v>
      </c>
      <c r="K46" s="11">
        <f t="shared" si="7"/>
        <v>1.8000000000000238E-2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263875.39118617435</v>
      </c>
      <c r="D47" s="11">
        <v>0.02</v>
      </c>
      <c r="E47" s="10">
        <f t="shared" si="2"/>
        <v>5174.027278160298</v>
      </c>
      <c r="F47" s="3"/>
      <c r="G47" s="28"/>
      <c r="H47" s="10"/>
      <c r="I47" s="10">
        <f t="shared" si="8"/>
        <v>2262</v>
      </c>
      <c r="J47" s="10">
        <f t="shared" si="6"/>
        <v>596886134.8631264</v>
      </c>
      <c r="K47" s="11">
        <f t="shared" si="7"/>
        <v>2.0000000000000018E-2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258701.36390801406</v>
      </c>
      <c r="D48" s="11">
        <v>2.1999999999999999E-2</v>
      </c>
      <c r="E48" s="10">
        <f t="shared" si="2"/>
        <v>5568.9139001725125</v>
      </c>
      <c r="F48" s="3"/>
      <c r="G48" s="28"/>
      <c r="H48" s="10"/>
      <c r="I48" s="10">
        <f t="shared" si="8"/>
        <v>2262</v>
      </c>
      <c r="J48" s="10">
        <f t="shared" si="6"/>
        <v>585182485.15992785</v>
      </c>
      <c r="K48" s="11">
        <f t="shared" si="7"/>
        <v>2.200000000000002E-2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253132.45000784154</v>
      </c>
      <c r="D49" s="11">
        <v>2.4E-2</v>
      </c>
      <c r="E49" s="10">
        <f t="shared" si="2"/>
        <v>5932.7917970588023</v>
      </c>
      <c r="F49" s="3"/>
      <c r="G49" s="28"/>
      <c r="H49" s="10"/>
      <c r="I49" s="10">
        <f t="shared" si="8"/>
        <v>2262</v>
      </c>
      <c r="J49" s="10">
        <f t="shared" si="6"/>
        <v>572585601.9177376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247199.65821078274</v>
      </c>
      <c r="D50" s="11">
        <v>2.5000000000000001E-2</v>
      </c>
      <c r="E50" s="10">
        <f t="shared" si="2"/>
        <v>6029.2599563605327</v>
      </c>
      <c r="F50" s="3"/>
      <c r="G50" s="28"/>
      <c r="H50" s="10"/>
      <c r="I50" s="10">
        <f t="shared" si="8"/>
        <v>2262</v>
      </c>
      <c r="J50" s="10">
        <f t="shared" si="6"/>
        <v>559165626.87279058</v>
      </c>
      <c r="K50" s="11">
        <f t="shared" si="7"/>
        <v>2.4999999999999911E-2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241170.39825442221</v>
      </c>
      <c r="D51" s="11">
        <v>2.6499999999999999E-2</v>
      </c>
      <c r="E51" s="10">
        <f t="shared" si="2"/>
        <v>6226.0258682339918</v>
      </c>
      <c r="F51" s="3"/>
      <c r="G51" s="28"/>
      <c r="H51" s="10"/>
      <c r="I51" s="10">
        <f t="shared" si="8"/>
        <v>2262</v>
      </c>
      <c r="J51" s="10">
        <f t="shared" si="6"/>
        <v>545527440.85150301</v>
      </c>
      <c r="K51" s="11">
        <f t="shared" si="7"/>
        <v>2.6499999999999968E-2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234944.37238618822</v>
      </c>
      <c r="D52" s="11">
        <v>2.9499999999999998E-2</v>
      </c>
      <c r="E52" s="10">
        <f t="shared" si="2"/>
        <v>6732.2573923191521</v>
      </c>
      <c r="F52" s="3"/>
      <c r="G52" s="28"/>
      <c r="H52" s="10"/>
      <c r="I52" s="10">
        <f t="shared" si="8"/>
        <v>2262</v>
      </c>
      <c r="J52" s="10">
        <f t="shared" si="6"/>
        <v>531444170.33755773</v>
      </c>
      <c r="K52" s="11">
        <f t="shared" si="7"/>
        <v>2.9500000000000082E-2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228212.11499386907</v>
      </c>
      <c r="D53" s="11">
        <v>2.9499999999999998E-2</v>
      </c>
      <c r="E53" s="10">
        <f t="shared" si="2"/>
        <v>6539.3466656815435</v>
      </c>
      <c r="F53" s="3"/>
      <c r="G53" s="28"/>
      <c r="H53" s="10"/>
      <c r="I53" s="10">
        <f t="shared" si="8"/>
        <v>2262</v>
      </c>
      <c r="J53" s="10">
        <f t="shared" si="6"/>
        <v>516215804.11613184</v>
      </c>
      <c r="K53" s="11">
        <f t="shared" si="7"/>
        <v>2.9500000000000082E-2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221672.76832818752</v>
      </c>
      <c r="D54" s="11">
        <v>2.9399999999999999E-2</v>
      </c>
      <c r="E54" s="10">
        <f t="shared" si="2"/>
        <v>6331.0466182715609</v>
      </c>
      <c r="F54" s="3"/>
      <c r="G54" s="28"/>
      <c r="H54" s="10"/>
      <c r="I54" s="10">
        <f t="shared" si="8"/>
        <v>2262</v>
      </c>
      <c r="J54" s="10">
        <f t="shared" si="6"/>
        <v>501423801.9583602</v>
      </c>
      <c r="K54" s="11">
        <f t="shared" si="7"/>
        <v>2.9400000000000093E-2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215341.72170991596</v>
      </c>
      <c r="D55" s="11">
        <v>3.2899999999999999E-2</v>
      </c>
      <c r="E55" s="10">
        <f t="shared" si="2"/>
        <v>6859.0789469031151</v>
      </c>
      <c r="F55" s="3"/>
      <c r="G55" s="28"/>
      <c r="H55" s="10"/>
      <c r="I55" s="10">
        <f t="shared" si="8"/>
        <v>2262</v>
      </c>
      <c r="J55" s="10">
        <f t="shared" si="6"/>
        <v>487102974.5078299</v>
      </c>
      <c r="K55" s="11">
        <f t="shared" si="7"/>
        <v>3.2899999999999929E-2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208482.64276301285</v>
      </c>
      <c r="D56" s="11">
        <v>3.56E-2</v>
      </c>
      <c r="E56" s="10">
        <f t="shared" si="2"/>
        <v>7166.8424897289369</v>
      </c>
      <c r="F56" s="3"/>
      <c r="G56" s="28"/>
      <c r="H56" s="10"/>
      <c r="I56" s="10">
        <f t="shared" si="8"/>
        <v>2262</v>
      </c>
      <c r="J56" s="10">
        <f t="shared" si="6"/>
        <v>471587737.92993504</v>
      </c>
      <c r="K56" s="11">
        <f t="shared" si="7"/>
        <v>3.5600000000000076E-2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201315.80027328391</v>
      </c>
      <c r="D57" s="11">
        <v>3.5200000000000002E-2</v>
      </c>
      <c r="E57" s="10">
        <f t="shared" si="2"/>
        <v>6845.3595147020533</v>
      </c>
      <c r="F57" s="3"/>
      <c r="G57" s="28"/>
      <c r="H57" s="10"/>
      <c r="I57" s="10">
        <f t="shared" si="8"/>
        <v>2262</v>
      </c>
      <c r="J57" s="10">
        <f t="shared" si="6"/>
        <v>455376340.2181682</v>
      </c>
      <c r="K57" s="11">
        <f t="shared" si="7"/>
        <v>3.5199999999999898E-2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194470.44075858186</v>
      </c>
      <c r="D58" s="11">
        <v>3.5099999999999999E-2</v>
      </c>
      <c r="E58" s="10">
        <f t="shared" si="2"/>
        <v>6594.4473680090741</v>
      </c>
      <c r="F58" s="3"/>
      <c r="G58" s="28"/>
      <c r="H58" s="10"/>
      <c r="I58" s="10">
        <f t="shared" si="8"/>
        <v>2262</v>
      </c>
      <c r="J58" s="10">
        <f t="shared" si="6"/>
        <v>439892136.99591213</v>
      </c>
      <c r="K58" s="11">
        <f t="shared" si="7"/>
        <v>3.5099999999999909E-2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187875.99339057278</v>
      </c>
      <c r="D59" s="11">
        <v>3.6900000000000002E-2</v>
      </c>
      <c r="E59" s="10">
        <f t="shared" si="2"/>
        <v>6685.9139320205722</v>
      </c>
      <c r="F59" s="3"/>
      <c r="G59" s="28"/>
      <c r="H59" s="10"/>
      <c r="I59" s="10">
        <f t="shared" si="8"/>
        <v>2262</v>
      </c>
      <c r="J59" s="10">
        <f t="shared" si="6"/>
        <v>424975497.04947561</v>
      </c>
      <c r="K59" s="11">
        <f t="shared" si="7"/>
        <v>3.6899999999999933E-2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181190.07945855221</v>
      </c>
      <c r="D60" s="11">
        <v>3.6400000000000002E-2</v>
      </c>
      <c r="E60" s="10">
        <f t="shared" si="2"/>
        <v>6363.6809072667966</v>
      </c>
      <c r="F60" s="3"/>
      <c r="G60" s="28"/>
      <c r="H60" s="10"/>
      <c r="I60" s="10">
        <f t="shared" si="8"/>
        <v>2262</v>
      </c>
      <c r="J60" s="10">
        <f t="shared" si="6"/>
        <v>409851959.73524511</v>
      </c>
      <c r="K60" s="11">
        <f t="shared" si="7"/>
        <v>3.6399999999999988E-2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174826.39855128541</v>
      </c>
      <c r="D61" s="11">
        <v>3.6600000000000001E-2</v>
      </c>
      <c r="E61" s="10">
        <f t="shared" si="2"/>
        <v>6172.7244713264809</v>
      </c>
      <c r="F61" s="3"/>
      <c r="G61" s="28"/>
      <c r="H61" s="10"/>
      <c r="I61" s="10">
        <f t="shared" si="8"/>
        <v>2262</v>
      </c>
      <c r="J61" s="10">
        <f t="shared" si="6"/>
        <v>395457313.52300763</v>
      </c>
      <c r="K61" s="11">
        <f t="shared" si="7"/>
        <v>3.6599999999999966E-2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168653.67407995893</v>
      </c>
      <c r="D62" s="11">
        <v>4.0099999999999997E-2</v>
      </c>
      <c r="E62" s="10">
        <f t="shared" si="2"/>
        <v>6502.2712533471349</v>
      </c>
      <c r="F62" s="3"/>
      <c r="G62" s="28"/>
      <c r="H62" s="10"/>
      <c r="I62" s="10">
        <f t="shared" si="8"/>
        <v>2262</v>
      </c>
      <c r="J62" s="10">
        <f t="shared" si="6"/>
        <v>381494610.76886708</v>
      </c>
      <c r="K62" s="11">
        <f t="shared" si="7"/>
        <v>4.0100000000000025E-2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162151.4028266118</v>
      </c>
      <c r="D63" s="11">
        <v>3.6200000000000003E-2</v>
      </c>
      <c r="E63" s="10">
        <f t="shared" si="2"/>
        <v>5664.8144975133764</v>
      </c>
      <c r="F63" s="3"/>
      <c r="G63" s="28"/>
      <c r="H63" s="10"/>
      <c r="I63" s="10">
        <f t="shared" si="8"/>
        <v>2262</v>
      </c>
      <c r="J63" s="10">
        <f t="shared" si="6"/>
        <v>366786473.19379586</v>
      </c>
      <c r="K63" s="11">
        <f t="shared" si="7"/>
        <v>3.620000000000001E-2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156486.58832909842</v>
      </c>
      <c r="D64" s="11">
        <v>3.7900000000000003E-2</v>
      </c>
      <c r="E64" s="10">
        <f t="shared" si="2"/>
        <v>5714.2708330984169</v>
      </c>
      <c r="F64" s="3"/>
      <c r="G64" s="28"/>
      <c r="H64" s="10"/>
      <c r="I64" s="10">
        <f t="shared" si="8"/>
        <v>2262</v>
      </c>
      <c r="J64" s="10">
        <f t="shared" si="6"/>
        <v>353972662.80042064</v>
      </c>
      <c r="K64" s="11">
        <f t="shared" si="7"/>
        <v>3.7900000000000045E-2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150772.317496</v>
      </c>
      <c r="D65" s="11">
        <v>3.5700000000000003E-2</v>
      </c>
      <c r="E65" s="10">
        <f t="shared" si="2"/>
        <v>5197.0374960000045</v>
      </c>
      <c r="F65" s="3"/>
      <c r="G65" s="28"/>
      <c r="H65" s="10"/>
      <c r="I65" s="10">
        <f t="shared" si="8"/>
        <v>2262</v>
      </c>
      <c r="J65" s="10">
        <f t="shared" si="6"/>
        <v>341046982.17595202</v>
      </c>
      <c r="K65" s="11">
        <f t="shared" si="7"/>
        <v>3.5700000000000065E-2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145575.28</v>
      </c>
      <c r="D66" s="11">
        <v>3.7600000000000001E-2</v>
      </c>
      <c r="E66" s="10">
        <f t="shared" si="2"/>
        <v>5275.2799999999988</v>
      </c>
      <c r="F66" s="3"/>
      <c r="G66" s="28"/>
      <c r="H66" s="10"/>
      <c r="I66" s="10">
        <f t="shared" si="8"/>
        <v>2262</v>
      </c>
      <c r="J66" s="10">
        <f t="shared" ref="J66:J67" si="9">IF(I66="","",I66*C66)</f>
        <v>329291283.36000001</v>
      </c>
      <c r="K66" s="11">
        <f t="shared" ref="K66" si="10">IFERROR(J66/J67-1,"")</f>
        <v>3.7600000000000078E-2</v>
      </c>
    </row>
    <row r="67" spans="1:11" ht="22.5" customHeight="1">
      <c r="A67" s="3">
        <f t="shared" si="0"/>
        <v>1950</v>
      </c>
      <c r="B67" s="3">
        <v>1700</v>
      </c>
      <c r="C67" s="10">
        <v>140300</v>
      </c>
      <c r="D67" s="11">
        <v>3.7600000000000001E-2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2262</v>
      </c>
      <c r="J67" s="10">
        <f t="shared" si="9"/>
        <v>317358600</v>
      </c>
      <c r="K67" s="11"/>
    </row>
  </sheetData>
  <dataValidations count="1">
    <dataValidation type="custom" allowBlank="1" showDropDown="1" sqref="D2:D67" xr:uid="{00000000-0002-0000-2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67"/>
  <sheetViews>
    <sheetView tabSelected="1" workbookViewId="0">
      <selection activeCell="K26" sqref="K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90792000.595898971</v>
      </c>
      <c r="D2" s="11">
        <v>1.12E-2</v>
      </c>
      <c r="E2" s="10">
        <f t="shared" ref="E2:E66" si="2">SUM(C2-C3)</f>
        <v>1005607.60153687</v>
      </c>
      <c r="F2" s="15">
        <v>90861040</v>
      </c>
      <c r="G2" s="29">
        <v>1.07</v>
      </c>
      <c r="H2" s="10"/>
      <c r="I2" s="10">
        <f>IF(H2&lt;&gt;"",H2,23214)</f>
        <v>23214</v>
      </c>
      <c r="J2" s="10">
        <f t="shared" ref="J2:J33" si="3">IF(I2="","",I2*C2)</f>
        <v>2107645501833.1987</v>
      </c>
      <c r="K2" s="11">
        <f t="shared" ref="K2:K33" si="4">IFERROR(J2/J3-1,"")</f>
        <v>2.2019840000000013E-2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89786392.994362101</v>
      </c>
      <c r="D3" s="11">
        <v>7.7999999999999996E-3</v>
      </c>
      <c r="E3" s="10">
        <f t="shared" si="2"/>
        <v>694913.53974600136</v>
      </c>
      <c r="F3" s="3"/>
      <c r="G3" s="29">
        <v>1</v>
      </c>
      <c r="H3" s="10"/>
      <c r="I3" s="10">
        <f t="shared" ref="I3:I34" si="5">IF(H3&lt;&gt;"",H3,I2/(1+IF(G2="",0,G2)/100))</f>
        <v>22968.239833778571</v>
      </c>
      <c r="J3" s="10">
        <f t="shared" si="3"/>
        <v>2062235408104.4048</v>
      </c>
      <c r="K3" s="11">
        <f t="shared" si="4"/>
        <v>1.7878000000000061E-2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89091479.4546161</v>
      </c>
      <c r="D4" s="11">
        <v>5.8999999999999999E-3</v>
      </c>
      <c r="E4" s="10">
        <f t="shared" si="2"/>
        <v>522556.64457921684</v>
      </c>
      <c r="F4" s="3"/>
      <c r="G4" s="29">
        <v>0.78</v>
      </c>
      <c r="H4" s="10"/>
      <c r="I4" s="10">
        <f t="shared" si="5"/>
        <v>22740.831518592644</v>
      </c>
      <c r="J4" s="10">
        <f t="shared" si="3"/>
        <v>2026014324019.5828</v>
      </c>
      <c r="K4" s="11">
        <f t="shared" si="4"/>
        <v>1.3746019999999914E-2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88568922.810036883</v>
      </c>
      <c r="D5" s="11">
        <v>4.5999999999999999E-3</v>
      </c>
      <c r="E5" s="10">
        <f t="shared" si="2"/>
        <v>405551.50798940659</v>
      </c>
      <c r="F5" s="3"/>
      <c r="G5" s="29">
        <v>0.18</v>
      </c>
      <c r="H5" s="10"/>
      <c r="I5" s="10">
        <f t="shared" si="5"/>
        <v>22564.825876753963</v>
      </c>
      <c r="J5" s="10">
        <f t="shared" si="3"/>
        <v>1998542321300.1445</v>
      </c>
      <c r="K5" s="11">
        <f t="shared" si="4"/>
        <v>6.4082799999998219E-3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88163371.302047476</v>
      </c>
      <c r="D6" s="11">
        <v>3.3999999999999998E-3</v>
      </c>
      <c r="E6" s="10">
        <f t="shared" si="2"/>
        <v>298739.74728620052</v>
      </c>
      <c r="F6" s="3"/>
      <c r="G6" s="29">
        <v>2.44</v>
      </c>
      <c r="H6" s="10"/>
      <c r="I6" s="10">
        <f t="shared" si="5"/>
        <v>22524.282168850033</v>
      </c>
      <c r="J6" s="10">
        <f t="shared" si="3"/>
        <v>1985816652164.4128</v>
      </c>
      <c r="K6" s="11">
        <f t="shared" si="4"/>
        <v>2.7882960000000345E-2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87864631.554761276</v>
      </c>
      <c r="D7" s="11">
        <v>2.3999999999999998E-3</v>
      </c>
      <c r="E7" s="10">
        <f t="shared" si="2"/>
        <v>210370.2271861732</v>
      </c>
      <c r="F7" s="3"/>
      <c r="G7" s="29">
        <v>2</v>
      </c>
      <c r="H7" s="10"/>
      <c r="I7" s="10">
        <f t="shared" si="5"/>
        <v>21987.780328826662</v>
      </c>
      <c r="J7" s="10">
        <f t="shared" si="3"/>
        <v>1931948217299.3823</v>
      </c>
      <c r="K7" s="11">
        <f t="shared" si="4"/>
        <v>2.2447999999999801E-2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87654261.327575102</v>
      </c>
      <c r="D8" s="11">
        <v>2.5999999999999999E-3</v>
      </c>
      <c r="E8" s="10">
        <f t="shared" si="2"/>
        <v>227310.07326121628</v>
      </c>
      <c r="F8" s="3"/>
      <c r="G8" s="29">
        <v>-2.82</v>
      </c>
      <c r="H8" s="10"/>
      <c r="I8" s="10">
        <f t="shared" si="5"/>
        <v>21556.647381202609</v>
      </c>
      <c r="J8" s="10">
        <f t="shared" si="3"/>
        <v>1889532002898.321</v>
      </c>
      <c r="K8" s="11">
        <f t="shared" si="4"/>
        <v>-2.5673319999999999E-2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87426951.254313886</v>
      </c>
      <c r="D9" s="11">
        <v>3.0999999999999999E-3</v>
      </c>
      <c r="E9" s="10">
        <f t="shared" si="2"/>
        <v>270185.97237402201</v>
      </c>
      <c r="F9" s="3"/>
      <c r="G9" s="29">
        <v>0.38</v>
      </c>
      <c r="H9" s="10"/>
      <c r="I9" s="10">
        <f t="shared" si="5"/>
        <v>22182.184998150453</v>
      </c>
      <c r="J9" s="10">
        <f t="shared" si="3"/>
        <v>1939320806547.4724</v>
      </c>
      <c r="K9" s="11">
        <f t="shared" si="4"/>
        <v>6.9117800000002561E-3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87156765.281939864</v>
      </c>
      <c r="D10" s="11">
        <v>3.2000000000000002E-3</v>
      </c>
      <c r="E10" s="10">
        <f t="shared" si="2"/>
        <v>278012.01046872139</v>
      </c>
      <c r="F10" s="3"/>
      <c r="G10" s="29">
        <v>2.5299999999999998</v>
      </c>
      <c r="H10" s="10"/>
      <c r="I10" s="10">
        <f t="shared" si="5"/>
        <v>22098.211793335777</v>
      </c>
      <c r="J10" s="10">
        <f t="shared" si="3"/>
        <v>1926008658422.3616</v>
      </c>
      <c r="K10" s="11">
        <f t="shared" si="4"/>
        <v>2.8580960000000211E-2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86878753.271471143</v>
      </c>
      <c r="D11" s="11">
        <v>4.8999999999999998E-3</v>
      </c>
      <c r="E11" s="10">
        <f t="shared" si="2"/>
        <v>423630.10352294147</v>
      </c>
      <c r="F11" s="3"/>
      <c r="G11" s="29">
        <v>2.71</v>
      </c>
      <c r="H11" s="10"/>
      <c r="I11" s="10">
        <f t="shared" si="5"/>
        <v>21552.922845348457</v>
      </c>
      <c r="J11" s="10">
        <f t="shared" si="3"/>
        <v>1872491066160.0825</v>
      </c>
      <c r="K11" s="11">
        <f t="shared" si="4"/>
        <v>3.2132789999999911E-2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86455123.167948201</v>
      </c>
      <c r="D12" s="11">
        <v>6.7999999999999996E-3</v>
      </c>
      <c r="E12" s="10">
        <f t="shared" si="2"/>
        <v>583924.15329959989</v>
      </c>
      <c r="F12" s="3"/>
      <c r="G12" s="29">
        <v>1.89</v>
      </c>
      <c r="H12" s="10"/>
      <c r="I12" s="10">
        <f t="shared" si="5"/>
        <v>20984.249679046305</v>
      </c>
      <c r="J12" s="10">
        <f t="shared" si="3"/>
        <v>1814195890588.9258</v>
      </c>
      <c r="K12" s="11">
        <f t="shared" si="4"/>
        <v>2.582851999999991E-2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85871199.014648601</v>
      </c>
      <c r="D13" s="11">
        <v>6.1999999999999998E-3</v>
      </c>
      <c r="E13" s="10">
        <f t="shared" si="2"/>
        <v>529120.88440749049</v>
      </c>
      <c r="F13" s="3"/>
      <c r="G13" s="29">
        <v>2.87</v>
      </c>
      <c r="H13" s="10"/>
      <c r="I13" s="10">
        <f t="shared" si="5"/>
        <v>20595.004101527436</v>
      </c>
      <c r="J13" s="10">
        <f t="shared" si="3"/>
        <v>1768517695909.7666</v>
      </c>
      <c r="K13" s="11">
        <f t="shared" si="4"/>
        <v>3.5077939999999863E-2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85342078.130241111</v>
      </c>
      <c r="D14" s="11">
        <v>4.8999999999999998E-3</v>
      </c>
      <c r="E14" s="10">
        <f t="shared" si="2"/>
        <v>416137.11099429429</v>
      </c>
      <c r="F14" s="3"/>
      <c r="G14" s="29">
        <v>0.97</v>
      </c>
      <c r="H14" s="10"/>
      <c r="I14" s="10">
        <f t="shared" si="5"/>
        <v>20020.418102000036</v>
      </c>
      <c r="J14" s="10">
        <f t="shared" si="3"/>
        <v>1708584085860.9805</v>
      </c>
      <c r="K14" s="11">
        <f t="shared" si="4"/>
        <v>1.4647529999999742E-2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84925941.019246817</v>
      </c>
      <c r="D15" s="11">
        <v>4.8999999999999998E-3</v>
      </c>
      <c r="E15" s="10">
        <f t="shared" si="2"/>
        <v>414107.98188307881</v>
      </c>
      <c r="F15" s="3"/>
      <c r="G15" s="29">
        <v>1.07</v>
      </c>
      <c r="H15" s="10"/>
      <c r="I15" s="10">
        <f t="shared" si="5"/>
        <v>19828.085670991419</v>
      </c>
      <c r="J15" s="10">
        <f t="shared" si="3"/>
        <v>1683918834219.1902</v>
      </c>
      <c r="K15" s="11">
        <f t="shared" si="4"/>
        <v>1.5652429999999828E-2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84511833.037363738</v>
      </c>
      <c r="D16" s="11">
        <v>3.8E-3</v>
      </c>
      <c r="E16" s="10">
        <f t="shared" si="2"/>
        <v>319929.23445107043</v>
      </c>
      <c r="F16" s="3"/>
      <c r="G16" s="29">
        <v>1.9</v>
      </c>
      <c r="H16" s="10"/>
      <c r="I16" s="10">
        <f t="shared" si="5"/>
        <v>19618.171238736933</v>
      </c>
      <c r="J16" s="10">
        <f t="shared" si="3"/>
        <v>1657967612226.5471</v>
      </c>
      <c r="K16" s="11">
        <f t="shared" si="4"/>
        <v>2.287220000000012E-2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84191903.802912667</v>
      </c>
      <c r="D17" s="11">
        <v>2.3999999999999998E-3</v>
      </c>
      <c r="E17" s="10">
        <f t="shared" si="2"/>
        <v>201576.78484335542</v>
      </c>
      <c r="F17" s="3"/>
      <c r="G17" s="29">
        <v>4.1399999999999997</v>
      </c>
      <c r="H17" s="10"/>
      <c r="I17" s="10">
        <f t="shared" si="5"/>
        <v>19252.376092970495</v>
      </c>
      <c r="J17" s="10">
        <f t="shared" si="3"/>
        <v>1620894195996.8674</v>
      </c>
      <c r="K17" s="11">
        <f t="shared" si="4"/>
        <v>4.3899359999999943E-2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83990327.018069312</v>
      </c>
      <c r="D18" s="11">
        <v>1.9E-3</v>
      </c>
      <c r="E18" s="10">
        <f t="shared" si="2"/>
        <v>159278.99125096202</v>
      </c>
      <c r="F18" s="3"/>
      <c r="G18" s="29">
        <v>3.4</v>
      </c>
      <c r="H18" s="10"/>
      <c r="I18" s="10">
        <f t="shared" si="5"/>
        <v>18487.013724765213</v>
      </c>
      <c r="J18" s="10">
        <f t="shared" si="3"/>
        <v>1552730328330.5659</v>
      </c>
      <c r="K18" s="11">
        <f t="shared" si="4"/>
        <v>3.5964600000000235E-2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83831048.02681835</v>
      </c>
      <c r="D19" s="11">
        <v>1.1000000000000001E-3</v>
      </c>
      <c r="E19" s="10">
        <f t="shared" si="2"/>
        <v>92112.828717917204</v>
      </c>
      <c r="F19" s="3"/>
      <c r="G19" s="29">
        <v>3.45</v>
      </c>
      <c r="H19" s="10"/>
      <c r="I19" s="10">
        <f t="shared" si="5"/>
        <v>17879.123524917999</v>
      </c>
      <c r="J19" s="10">
        <f t="shared" si="3"/>
        <v>1498825662894.8186</v>
      </c>
      <c r="K19" s="11">
        <f t="shared" si="4"/>
        <v>3.563795000000014E-2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83738935.198100433</v>
      </c>
      <c r="D20" s="11">
        <v>1.1000000000000001E-3</v>
      </c>
      <c r="E20" s="10">
        <f t="shared" si="2"/>
        <v>92011.615940377116</v>
      </c>
      <c r="F20" s="3"/>
      <c r="G20" s="29">
        <v>2.5299999999999998</v>
      </c>
      <c r="H20" s="10"/>
      <c r="I20" s="10">
        <f t="shared" si="5"/>
        <v>17282.864693009182</v>
      </c>
      <c r="J20" s="10">
        <f t="shared" si="3"/>
        <v>1447248686565.4338</v>
      </c>
      <c r="K20" s="11">
        <f t="shared" si="4"/>
        <v>2.6427830000000041E-2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83646923.582160056</v>
      </c>
      <c r="D21" s="11">
        <v>1.4E-3</v>
      </c>
      <c r="E21" s="10">
        <f t="shared" si="2"/>
        <v>116941.97425107658</v>
      </c>
      <c r="F21" s="3"/>
      <c r="G21" s="29">
        <v>1.4</v>
      </c>
      <c r="H21" s="10"/>
      <c r="I21" s="10">
        <f t="shared" si="5"/>
        <v>16856.397827961748</v>
      </c>
      <c r="J21" s="10">
        <f t="shared" si="3"/>
        <v>1409985820986.0051</v>
      </c>
      <c r="K21" s="11">
        <f t="shared" si="4"/>
        <v>1.54196000000002E-2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83529981.607908979</v>
      </c>
      <c r="D22" s="11">
        <v>1.5E-3</v>
      </c>
      <c r="E22" s="10">
        <f t="shared" si="2"/>
        <v>125107.31144469976</v>
      </c>
      <c r="F22" s="3"/>
      <c r="G22" s="29">
        <v>2.2999999999999998</v>
      </c>
      <c r="H22" s="10"/>
      <c r="I22" s="10">
        <f t="shared" si="5"/>
        <v>16623.666497003695</v>
      </c>
      <c r="J22" s="10">
        <f t="shared" si="3"/>
        <v>1388574556750.7312</v>
      </c>
      <c r="K22" s="11">
        <f t="shared" si="4"/>
        <v>2.4534499999999904E-2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83404874.296464279</v>
      </c>
      <c r="D23" s="11">
        <v>3.8E-3</v>
      </c>
      <c r="E23" s="10">
        <f t="shared" si="2"/>
        <v>315738.71520876884</v>
      </c>
      <c r="F23" s="3"/>
      <c r="G23" s="29">
        <v>2.38</v>
      </c>
      <c r="H23" s="10"/>
      <c r="I23" s="10">
        <f t="shared" si="5"/>
        <v>16249.918374392664</v>
      </c>
      <c r="J23" s="10">
        <f t="shared" si="3"/>
        <v>1355322399344.0254</v>
      </c>
      <c r="K23" s="11">
        <f t="shared" si="4"/>
        <v>2.7690439999999983E-2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83089135.58125551</v>
      </c>
      <c r="D24" s="11">
        <v>8.2000000000000007E-3</v>
      </c>
      <c r="E24" s="10">
        <f t="shared" si="2"/>
        <v>675789.43837164342</v>
      </c>
      <c r="F24" s="3"/>
      <c r="G24" s="29">
        <v>-0.36</v>
      </c>
      <c r="H24" s="10"/>
      <c r="I24" s="10">
        <f t="shared" si="5"/>
        <v>15872.160943927196</v>
      </c>
      <c r="J24" s="10">
        <f t="shared" si="3"/>
        <v>1318804132637.4753</v>
      </c>
      <c r="K24" s="11">
        <f t="shared" si="4"/>
        <v>4.5704800000001544E-3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82413346.142883867</v>
      </c>
      <c r="D25" s="11">
        <v>1.0999999999999999E-2</v>
      </c>
      <c r="E25" s="10">
        <f t="shared" si="2"/>
        <v>896683.29136668146</v>
      </c>
      <c r="F25" s="3"/>
      <c r="G25" s="29">
        <v>1.52</v>
      </c>
      <c r="H25" s="10"/>
      <c r="I25" s="10">
        <f t="shared" si="5"/>
        <v>15929.507169738254</v>
      </c>
      <c r="J25" s="10">
        <f t="shared" si="3"/>
        <v>1312803988265.189</v>
      </c>
      <c r="K25" s="11">
        <f t="shared" si="4"/>
        <v>2.6367200000000146E-2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81516662.851517186</v>
      </c>
      <c r="D26" s="11">
        <v>0.01</v>
      </c>
      <c r="E26" s="10">
        <f t="shared" si="2"/>
        <v>807095.67179720104</v>
      </c>
      <c r="F26" s="3"/>
      <c r="G26" s="29">
        <v>1.24</v>
      </c>
      <c r="H26" s="10"/>
      <c r="I26" s="10">
        <f t="shared" si="5"/>
        <v>15691.003910301666</v>
      </c>
      <c r="J26" s="10">
        <f t="shared" si="3"/>
        <v>1279078275557.8987</v>
      </c>
      <c r="K26" s="11">
        <f t="shared" si="4"/>
        <v>2.2523999999999766E-2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80709567.179719985</v>
      </c>
      <c r="D27" s="11">
        <v>7.6E-3</v>
      </c>
      <c r="E27" s="10">
        <f t="shared" si="2"/>
        <v>608766.0882948339</v>
      </c>
      <c r="F27" s="3"/>
      <c r="G27" s="29">
        <v>2.83</v>
      </c>
      <c r="H27" s="10"/>
      <c r="I27" s="10">
        <f t="shared" si="5"/>
        <v>15498.818560155736</v>
      </c>
      <c r="J27" s="10">
        <f t="shared" si="3"/>
        <v>1250902937787.1804</v>
      </c>
      <c r="K27" s="11">
        <f t="shared" si="4"/>
        <v>3.6115080000000077E-2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80100801.091425151</v>
      </c>
      <c r="D28" s="11">
        <v>4.4999999999999997E-3</v>
      </c>
      <c r="E28" s="10">
        <f t="shared" si="2"/>
        <v>358838.8301756233</v>
      </c>
      <c r="F28" s="3"/>
      <c r="G28" s="29">
        <v>4.41</v>
      </c>
      <c r="H28" s="10"/>
      <c r="I28" s="10">
        <f t="shared" si="5"/>
        <v>15072.273227808748</v>
      </c>
      <c r="J28" s="10">
        <f t="shared" si="3"/>
        <v>1207301159816.321</v>
      </c>
      <c r="K28" s="11">
        <f t="shared" si="4"/>
        <v>4.8798450000000271E-2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79741962.261249527</v>
      </c>
      <c r="D29" s="11">
        <v>1.4E-3</v>
      </c>
      <c r="E29" s="10">
        <f t="shared" si="2"/>
        <v>111482.67142575979</v>
      </c>
      <c r="F29" s="3"/>
      <c r="G29" s="29">
        <v>4.8099999999999996</v>
      </c>
      <c r="H29" s="10"/>
      <c r="I29" s="10">
        <f t="shared" si="5"/>
        <v>14435.660595545203</v>
      </c>
      <c r="J29" s="10">
        <f t="shared" si="3"/>
        <v>1151127902426.1724</v>
      </c>
      <c r="K29" s="11">
        <f t="shared" si="4"/>
        <v>4.9567340000000071E-2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79630479.589823768</v>
      </c>
      <c r="D30" s="12">
        <v>5.9999999999999995E-4</v>
      </c>
      <c r="E30" s="10">
        <f t="shared" si="2"/>
        <v>47749.637971103191</v>
      </c>
      <c r="F30" s="3"/>
      <c r="G30" s="29">
        <v>2.5499999999999998</v>
      </c>
      <c r="H30" s="10"/>
      <c r="I30" s="10">
        <f t="shared" si="5"/>
        <v>13773.171067212292</v>
      </c>
      <c r="J30" s="10">
        <f t="shared" si="3"/>
        <v>1096764217554.7997</v>
      </c>
      <c r="K30" s="11">
        <f t="shared" si="4"/>
        <v>2.6115299999999841E-2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79582729.951852664</v>
      </c>
      <c r="D31" s="13">
        <v>5.9999999999999995E-4</v>
      </c>
      <c r="E31" s="10">
        <f t="shared" si="2"/>
        <v>47721.00536789</v>
      </c>
      <c r="F31" s="3"/>
      <c r="G31" s="29">
        <v>2.39</v>
      </c>
      <c r="H31" s="10"/>
      <c r="I31" s="10">
        <f t="shared" si="5"/>
        <v>13430.688510202137</v>
      </c>
      <c r="J31" s="10">
        <f t="shared" si="3"/>
        <v>1068850856774.8671</v>
      </c>
      <c r="K31" s="11">
        <f t="shared" si="4"/>
        <v>2.4514340000000079E-2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79535008.946484774</v>
      </c>
      <c r="D32" s="12">
        <v>5.0000000000000001E-4</v>
      </c>
      <c r="E32" s="10">
        <f t="shared" si="2"/>
        <v>39747.630657911301</v>
      </c>
      <c r="F32" s="3"/>
      <c r="G32" s="29">
        <v>1.57</v>
      </c>
      <c r="H32" s="10"/>
      <c r="I32" s="10">
        <f t="shared" si="5"/>
        <v>13117.187723607907</v>
      </c>
      <c r="J32" s="10">
        <f t="shared" si="3"/>
        <v>1043275642949.8751</v>
      </c>
      <c r="K32" s="11">
        <f t="shared" si="4"/>
        <v>1.6207850000000024E-2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79495261.315826863</v>
      </c>
      <c r="D33" s="13">
        <v>-1E-4</v>
      </c>
      <c r="E33" s="10">
        <f t="shared" si="2"/>
        <v>-7950.3211636990309</v>
      </c>
      <c r="F33" s="3"/>
      <c r="G33" s="29">
        <v>1.61</v>
      </c>
      <c r="H33" s="10"/>
      <c r="I33" s="10">
        <f t="shared" si="5"/>
        <v>12914.43115448253</v>
      </c>
      <c r="J33" s="10">
        <f t="shared" si="3"/>
        <v>1026636079370.8444</v>
      </c>
      <c r="K33" s="11">
        <f t="shared" si="4"/>
        <v>1.5998390000000029E-2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79503211.636990562</v>
      </c>
      <c r="D34" s="12">
        <v>-1.6000000000000001E-3</v>
      </c>
      <c r="E34" s="10">
        <f t="shared" si="2"/>
        <v>-127408.99300800264</v>
      </c>
      <c r="F34" s="3"/>
      <c r="G34" s="29">
        <v>1.26</v>
      </c>
      <c r="H34" s="10"/>
      <c r="I34" s="10">
        <f t="shared" si="5"/>
        <v>12709.803321014202</v>
      </c>
      <c r="J34" s="10">
        <f t="shared" ref="J34:J65" si="6">IF(I34="","",I34*C34)</f>
        <v>1010470183295.1176</v>
      </c>
      <c r="K34" s="11">
        <f t="shared" ref="K34:K65" si="7">IFERROR(J34/J35-1,"")</f>
        <v>1.0979839999999852E-2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79630620.629998565</v>
      </c>
      <c r="D35" s="11">
        <v>6.9999999999999999E-4</v>
      </c>
      <c r="E35" s="10">
        <f t="shared" si="2"/>
        <v>55702.442731082439</v>
      </c>
      <c r="F35" s="3"/>
      <c r="G35" s="29">
        <v>2.44</v>
      </c>
      <c r="H35" s="10"/>
      <c r="I35" s="10">
        <f t="shared" ref="I35:I66" si="8">IF(H35&lt;&gt;"",H35,I34/(1+IF(G34="",0,G34)/100))</f>
        <v>12551.652499520247</v>
      </c>
      <c r="J35" s="10">
        <f t="shared" si="6"/>
        <v>999495878468.87</v>
      </c>
      <c r="K35" s="11">
        <f t="shared" si="7"/>
        <v>2.5117079999999792E-2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79574918.187267482</v>
      </c>
      <c r="D36" s="11">
        <v>2.5999999999999999E-3</v>
      </c>
      <c r="E36" s="10">
        <f t="shared" si="2"/>
        <v>206358.25582174957</v>
      </c>
      <c r="F36" s="3"/>
      <c r="G36" s="29">
        <v>1.19</v>
      </c>
      <c r="H36" s="10"/>
      <c r="I36" s="10">
        <f t="shared" si="8"/>
        <v>12252.686938227496</v>
      </c>
      <c r="J36" s="10">
        <f t="shared" si="6"/>
        <v>975006560683.65393</v>
      </c>
      <c r="K36" s="11">
        <f t="shared" si="7"/>
        <v>1.4530939999999992E-2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79368559.931445733</v>
      </c>
      <c r="D37" s="11">
        <v>0</v>
      </c>
      <c r="E37" s="10">
        <f t="shared" si="2"/>
        <v>0</v>
      </c>
      <c r="F37" s="3"/>
      <c r="G37" s="29">
        <v>1.68</v>
      </c>
      <c r="H37" s="10"/>
      <c r="I37" s="10">
        <f t="shared" si="8"/>
        <v>12108.594661752639</v>
      </c>
      <c r="J37" s="10">
        <f t="shared" si="6"/>
        <v>961041721096.89819</v>
      </c>
      <c r="K37" s="11">
        <f t="shared" si="7"/>
        <v>1.6799999999999926E-2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79368559.931445733</v>
      </c>
      <c r="D38" s="11">
        <v>-1.6999999999999999E-3</v>
      </c>
      <c r="E38" s="10">
        <f t="shared" si="2"/>
        <v>-135156.31762342155</v>
      </c>
      <c r="F38" s="3"/>
      <c r="G38" s="29">
        <v>3.7</v>
      </c>
      <c r="H38" s="10"/>
      <c r="I38" s="10">
        <f t="shared" si="8"/>
        <v>11908.531335319276</v>
      </c>
      <c r="J38" s="10">
        <f t="shared" si="6"/>
        <v>945162982982.78748</v>
      </c>
      <c r="K38" s="11">
        <f t="shared" si="7"/>
        <v>3.5237099999999799E-2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79503716.249069154</v>
      </c>
      <c r="D39" s="11">
        <v>-8.0000000000000004E-4</v>
      </c>
      <c r="E39" s="10">
        <f t="shared" si="2"/>
        <v>-63653.896116152406</v>
      </c>
      <c r="F39" s="3"/>
      <c r="G39" s="29">
        <v>3.95</v>
      </c>
      <c r="H39" s="10"/>
      <c r="I39" s="10">
        <f t="shared" si="8"/>
        <v>11483.636774656969</v>
      </c>
      <c r="J39" s="10">
        <f t="shared" si="6"/>
        <v>912991799639.70337</v>
      </c>
      <c r="K39" s="11">
        <f t="shared" si="7"/>
        <v>3.8668400000000158E-2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79567370.145185307</v>
      </c>
      <c r="D40" s="11">
        <v>4.0000000000000002E-4</v>
      </c>
      <c r="E40" s="10">
        <f t="shared" si="2"/>
        <v>31814.222369119525</v>
      </c>
      <c r="F40" s="3"/>
      <c r="G40" s="29">
        <v>3.55</v>
      </c>
      <c r="H40" s="10"/>
      <c r="I40" s="10">
        <f t="shared" si="8"/>
        <v>11047.269624489627</v>
      </c>
      <c r="J40" s="10">
        <f t="shared" si="6"/>
        <v>879002191305.42847</v>
      </c>
      <c r="K40" s="11">
        <f t="shared" si="7"/>
        <v>3.5914200000000118E-2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79535555.922816187</v>
      </c>
      <c r="D41" s="11">
        <v>-1.8E-3</v>
      </c>
      <c r="E41" s="10">
        <f t="shared" si="2"/>
        <v>-143422.16055005789</v>
      </c>
      <c r="F41" s="3"/>
      <c r="G41" s="29">
        <v>4.34</v>
      </c>
      <c r="H41" s="10"/>
      <c r="I41" s="10">
        <f t="shared" si="8"/>
        <v>10668.536576040198</v>
      </c>
      <c r="J41" s="10">
        <f t="shared" si="6"/>
        <v>848527987458.25513</v>
      </c>
      <c r="K41" s="11">
        <f t="shared" si="7"/>
        <v>4.1521880000000344E-2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79678978.083366245</v>
      </c>
      <c r="D42" s="11">
        <v>-2.7000000000000001E-3</v>
      </c>
      <c r="E42" s="10">
        <f t="shared" si="2"/>
        <v>-215715.67314258218</v>
      </c>
      <c r="F42" s="3"/>
      <c r="G42" s="29">
        <v>-0.95</v>
      </c>
      <c r="H42" s="10"/>
      <c r="I42" s="10">
        <f t="shared" si="8"/>
        <v>10224.781077285985</v>
      </c>
      <c r="J42" s="10">
        <f t="shared" si="6"/>
        <v>814700107364.28784</v>
      </c>
      <c r="K42" s="11">
        <f t="shared" si="7"/>
        <v>-1.2174350000000111E-2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79894693.756508827</v>
      </c>
      <c r="D43" s="11">
        <v>1.6999999999999999E-3</v>
      </c>
      <c r="E43" s="10">
        <f t="shared" si="2"/>
        <v>135590.47557759285</v>
      </c>
      <c r="F43" s="3"/>
      <c r="G43" s="29">
        <v>4.41</v>
      </c>
      <c r="H43" s="10"/>
      <c r="I43" s="10">
        <f t="shared" si="8"/>
        <v>10322.848134564345</v>
      </c>
      <c r="J43" s="10">
        <f t="shared" si="6"/>
        <v>824740790405.9668</v>
      </c>
      <c r="K43" s="11">
        <f t="shared" si="7"/>
        <v>4.5874970000000292E-2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79759103.280931234</v>
      </c>
      <c r="D44" s="11">
        <v>5.4999999999999997E-3</v>
      </c>
      <c r="E44" s="10">
        <f t="shared" si="2"/>
        <v>436275.55250634253</v>
      </c>
      <c r="F44" s="3"/>
      <c r="G44" s="29">
        <v>6.19</v>
      </c>
      <c r="H44" s="10"/>
      <c r="I44" s="10">
        <f t="shared" si="8"/>
        <v>9886.8385543188815</v>
      </c>
      <c r="J44" s="10">
        <f t="shared" si="6"/>
        <v>788565377375.8125</v>
      </c>
      <c r="K44" s="11">
        <f t="shared" si="7"/>
        <v>6.7740450000000063E-2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79322827.728424892</v>
      </c>
      <c r="D45" s="11">
        <v>5.7999999999999996E-3</v>
      </c>
      <c r="E45" s="10">
        <f t="shared" si="2"/>
        <v>457419.36848764122</v>
      </c>
      <c r="F45" s="3"/>
      <c r="G45" s="29">
        <v>4.51</v>
      </c>
      <c r="H45" s="10"/>
      <c r="I45" s="10">
        <f t="shared" si="8"/>
        <v>9310.5175198407396</v>
      </c>
      <c r="J45" s="10">
        <f t="shared" si="6"/>
        <v>738536577288.80872</v>
      </c>
      <c r="K45" s="11">
        <f t="shared" si="7"/>
        <v>5.116158000000004E-2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78865408.359937251</v>
      </c>
      <c r="D46" s="11">
        <v>4.4999999999999997E-3</v>
      </c>
      <c r="E46" s="10">
        <f t="shared" si="2"/>
        <v>353304.46751588583</v>
      </c>
      <c r="F46" s="3"/>
      <c r="G46" s="29">
        <v>5.29</v>
      </c>
      <c r="H46" s="10"/>
      <c r="I46" s="10">
        <f t="shared" si="8"/>
        <v>8908.7336329927657</v>
      </c>
      <c r="J46" s="10">
        <f t="shared" si="6"/>
        <v>702590915935.88184</v>
      </c>
      <c r="K46" s="11">
        <f t="shared" si="7"/>
        <v>5.7638049999999774E-2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78512103.892421365</v>
      </c>
      <c r="D47" s="11">
        <v>3.5000000000000001E-3</v>
      </c>
      <c r="E47" s="10">
        <f t="shared" si="2"/>
        <v>273833.94481661916</v>
      </c>
      <c r="F47" s="3"/>
      <c r="G47" s="29">
        <v>6.2</v>
      </c>
      <c r="H47" s="10"/>
      <c r="I47" s="10">
        <f t="shared" si="8"/>
        <v>8461.1393608061226</v>
      </c>
      <c r="J47" s="10">
        <f t="shared" si="6"/>
        <v>664301852543.86597</v>
      </c>
      <c r="K47" s="11">
        <f t="shared" si="7"/>
        <v>6.5717000000000025E-2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78238269.947604746</v>
      </c>
      <c r="D48" s="11">
        <v>3.5000000000000001E-3</v>
      </c>
      <c r="E48" s="10">
        <f t="shared" si="2"/>
        <v>272878.86877590418</v>
      </c>
      <c r="F48" s="3"/>
      <c r="G48" s="29">
        <v>7.09</v>
      </c>
      <c r="H48" s="10"/>
      <c r="I48" s="10">
        <f t="shared" si="8"/>
        <v>7967.1745393654637</v>
      </c>
      <c r="J48" s="10">
        <f t="shared" si="6"/>
        <v>623337952330.55859</v>
      </c>
      <c r="K48" s="11">
        <f t="shared" si="7"/>
        <v>7.4648150000000024E-2</v>
      </c>
      <c r="L48" t="s">
        <v>118</v>
      </c>
      <c r="M48" t="s">
        <v>119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77965391.078828841</v>
      </c>
      <c r="D49" s="11">
        <v>5.1999999999999998E-3</v>
      </c>
      <c r="E49" s="10">
        <f t="shared" si="2"/>
        <v>403322.75528244674</v>
      </c>
      <c r="F49" s="3"/>
      <c r="G49" s="29">
        <v>4.54</v>
      </c>
      <c r="H49" s="10"/>
      <c r="I49" s="10">
        <f t="shared" si="8"/>
        <v>7439.6998219866127</v>
      </c>
      <c r="J49" s="10">
        <f t="shared" si="6"/>
        <v>580039106130.27954</v>
      </c>
      <c r="K49" s="11">
        <f t="shared" si="7"/>
        <v>5.0836080000000061E-2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77562068.323546395</v>
      </c>
      <c r="D50" s="11">
        <v>7.4999999999999997E-3</v>
      </c>
      <c r="E50" s="10">
        <f t="shared" si="2"/>
        <v>577385.12399663031</v>
      </c>
      <c r="F50" s="3"/>
      <c r="G50" s="29">
        <v>4.8</v>
      </c>
      <c r="H50" s="10"/>
      <c r="I50" s="10">
        <f t="shared" si="8"/>
        <v>7116.6059135131163</v>
      </c>
      <c r="J50" s="10">
        <f t="shared" si="6"/>
        <v>551978674095.65869</v>
      </c>
      <c r="K50" s="11">
        <f t="shared" si="7"/>
        <v>5.5860000000000243E-2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76984683.199549764</v>
      </c>
      <c r="D51" s="11">
        <v>7.0000000000000001E-3</v>
      </c>
      <c r="E51" s="10">
        <f t="shared" si="2"/>
        <v>535146.75511106849</v>
      </c>
      <c r="F51" s="3"/>
      <c r="G51" s="29">
        <v>5.16</v>
      </c>
      <c r="H51" s="10"/>
      <c r="I51" s="10">
        <f t="shared" si="8"/>
        <v>6790.6544976270188</v>
      </c>
      <c r="J51" s="10">
        <f t="shared" si="6"/>
        <v>522776385217.41382</v>
      </c>
      <c r="K51" s="11">
        <f t="shared" si="7"/>
        <v>5.8961200000000158E-2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76449536.444438696</v>
      </c>
      <c r="D52" s="11">
        <v>6.4999999999999997E-3</v>
      </c>
      <c r="E52" s="10">
        <f t="shared" si="2"/>
        <v>493712.85334213078</v>
      </c>
      <c r="F52" s="3"/>
      <c r="G52" s="29">
        <v>4.84</v>
      </c>
      <c r="H52" s="10"/>
      <c r="I52" s="10">
        <f t="shared" si="8"/>
        <v>6457.4500738180086</v>
      </c>
      <c r="J52" s="10">
        <f t="shared" si="6"/>
        <v>493669064756.49323</v>
      </c>
      <c r="K52" s="11">
        <f t="shared" si="7"/>
        <v>5.5214600000000225E-2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75955823.591096565</v>
      </c>
      <c r="D53" s="11">
        <v>6.7000000000000002E-3</v>
      </c>
      <c r="E53" s="10">
        <f t="shared" si="2"/>
        <v>505517.05379988253</v>
      </c>
      <c r="F53" s="3"/>
      <c r="G53" s="29">
        <v>6.58</v>
      </c>
      <c r="H53" s="10"/>
      <c r="I53" s="10">
        <f t="shared" si="8"/>
        <v>6159.3381093266007</v>
      </c>
      <c r="J53" s="10">
        <f t="shared" si="6"/>
        <v>467837598869.9295</v>
      </c>
      <c r="K53" s="11">
        <f t="shared" si="7"/>
        <v>7.2940859999999885E-2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75450306.537296683</v>
      </c>
      <c r="D54" s="11">
        <v>6.4000000000000003E-3</v>
      </c>
      <c r="E54" s="10">
        <f t="shared" si="2"/>
        <v>479811.17034846544</v>
      </c>
      <c r="F54" s="3"/>
      <c r="G54" s="29">
        <v>6.1</v>
      </c>
      <c r="H54" s="10"/>
      <c r="I54" s="10">
        <f t="shared" si="8"/>
        <v>5779.0749759116161</v>
      </c>
      <c r="J54" s="10">
        <f t="shared" si="6"/>
        <v>436032978434.55188</v>
      </c>
      <c r="K54" s="11">
        <f t="shared" si="7"/>
        <v>6.7790399999999806E-2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74970495.366948217</v>
      </c>
      <c r="D55" s="11">
        <v>6.1000000000000004E-3</v>
      </c>
      <c r="E55" s="10">
        <f t="shared" si="2"/>
        <v>454547.28331018984</v>
      </c>
      <c r="F55" s="3"/>
      <c r="G55" s="29">
        <v>6.86</v>
      </c>
      <c r="H55" s="10"/>
      <c r="I55" s="10">
        <f t="shared" si="8"/>
        <v>5446.819015939318</v>
      </c>
      <c r="J55" s="10">
        <f t="shared" si="6"/>
        <v>408350719799.08411</v>
      </c>
      <c r="K55" s="11">
        <f t="shared" si="7"/>
        <v>7.5118459999999887E-2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74515948.083638027</v>
      </c>
      <c r="D56" s="11">
        <v>5.4999999999999997E-3</v>
      </c>
      <c r="E56" s="10">
        <f t="shared" si="2"/>
        <v>407595.93680757284</v>
      </c>
      <c r="F56" s="3"/>
      <c r="G56" s="29">
        <v>4.95</v>
      </c>
      <c r="H56" s="10"/>
      <c r="I56" s="10">
        <f t="shared" si="8"/>
        <v>5097.1542353914638</v>
      </c>
      <c r="J56" s="10">
        <f t="shared" si="6"/>
        <v>379819280378.72601</v>
      </c>
      <c r="K56" s="11">
        <f t="shared" si="7"/>
        <v>5.5272250000000245E-2</v>
      </c>
      <c r="L56" t="s">
        <v>120</v>
      </c>
      <c r="M56" t="s">
        <v>121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74108352.146830454</v>
      </c>
      <c r="D57" s="11">
        <v>5.0000000000000001E-3</v>
      </c>
      <c r="E57" s="10">
        <f t="shared" si="2"/>
        <v>368698.26938721538</v>
      </c>
      <c r="F57" s="3"/>
      <c r="G57" s="30">
        <v>7.05</v>
      </c>
      <c r="H57" s="10"/>
      <c r="I57" s="10">
        <f t="shared" si="8"/>
        <v>4856.7453410113994</v>
      </c>
      <c r="J57" s="10">
        <f t="shared" si="6"/>
        <v>359925394019.15094</v>
      </c>
      <c r="K57" s="11">
        <f t="shared" si="7"/>
        <v>7.58525000000001E-2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73739653.877443239</v>
      </c>
      <c r="D58" s="11">
        <v>4.0000000000000001E-3</v>
      </c>
      <c r="E58" s="10">
        <f t="shared" si="2"/>
        <v>293783.48158344626</v>
      </c>
      <c r="F58" s="3"/>
      <c r="G58" s="30">
        <v>2.86</v>
      </c>
      <c r="H58" s="10"/>
      <c r="I58" s="10">
        <f t="shared" si="8"/>
        <v>4536.8942933315266</v>
      </c>
      <c r="J58" s="10">
        <f t="shared" si="6"/>
        <v>334549014868.81421</v>
      </c>
      <c r="K58" s="11">
        <f t="shared" si="7"/>
        <v>3.2714399999999921E-2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73445870.395859793</v>
      </c>
      <c r="D59" s="11">
        <v>4.0000000000000001E-3</v>
      </c>
      <c r="E59" s="10">
        <f t="shared" si="2"/>
        <v>292613.02946557105</v>
      </c>
      <c r="F59" s="3"/>
      <c r="G59" s="30">
        <v>2.5</v>
      </c>
      <c r="H59" s="10"/>
      <c r="I59" s="10">
        <f t="shared" si="8"/>
        <v>4410.7469311020095</v>
      </c>
      <c r="J59" s="10">
        <f t="shared" si="6"/>
        <v>323951147450.65454</v>
      </c>
      <c r="K59" s="11">
        <f t="shared" si="7"/>
        <v>2.9099999999999904E-2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73153257.366394222</v>
      </c>
      <c r="D60" s="11">
        <v>3.0000000000000001E-3</v>
      </c>
      <c r="E60" s="10">
        <f t="shared" si="2"/>
        <v>218803.36201313138</v>
      </c>
      <c r="F60" s="3"/>
      <c r="G60" s="30">
        <v>6.04</v>
      </c>
      <c r="H60" s="10"/>
      <c r="I60" s="10">
        <f t="shared" si="8"/>
        <v>4303.1677376604976</v>
      </c>
      <c r="J60" s="10">
        <f t="shared" si="6"/>
        <v>314790737003.84277</v>
      </c>
      <c r="K60" s="11">
        <f t="shared" si="7"/>
        <v>6.3581200000000004E-2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72934454.00438109</v>
      </c>
      <c r="D61" s="11">
        <v>3.0000000000000001E-3</v>
      </c>
      <c r="E61" s="10">
        <f t="shared" si="2"/>
        <v>218148.91526733339</v>
      </c>
      <c r="F61" s="3"/>
      <c r="G61" s="30">
        <v>5.05</v>
      </c>
      <c r="H61" s="10"/>
      <c r="I61" s="10">
        <f t="shared" si="8"/>
        <v>4058.0608616187264</v>
      </c>
      <c r="J61" s="10">
        <f t="shared" si="6"/>
        <v>295972453258.71008</v>
      </c>
      <c r="K61" s="11">
        <f t="shared" si="7"/>
        <v>5.3651499999999741E-2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72716305.089113757</v>
      </c>
      <c r="D62" s="11">
        <v>2E-3</v>
      </c>
      <c r="E62" s="10">
        <f t="shared" si="2"/>
        <v>145142.32552717626</v>
      </c>
      <c r="F62" s="3"/>
      <c r="G62" s="30">
        <v>5.75</v>
      </c>
      <c r="H62" s="10"/>
      <c r="I62" s="10">
        <f t="shared" si="8"/>
        <v>3862.9803537541425</v>
      </c>
      <c r="J62" s="10">
        <f t="shared" si="6"/>
        <v>280901657956.83881</v>
      </c>
      <c r="K62" s="11">
        <f t="shared" si="7"/>
        <v>5.9615000000000196E-2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72571162.763586581</v>
      </c>
      <c r="D63" s="11">
        <v>2E-3</v>
      </c>
      <c r="E63" s="10">
        <f t="shared" si="2"/>
        <v>144852.6202865988</v>
      </c>
      <c r="F63" s="3"/>
      <c r="G63" s="30">
        <v>4.84</v>
      </c>
      <c r="H63" s="10"/>
      <c r="I63" s="10">
        <f t="shared" si="8"/>
        <v>3652.9365047320493</v>
      </c>
      <c r="J63" s="10">
        <f t="shared" si="6"/>
        <v>265097849649.9566</v>
      </c>
      <c r="K63" s="11">
        <f t="shared" si="7"/>
        <v>5.0496799999999897E-2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72426310.143299982</v>
      </c>
      <c r="D64" s="11">
        <v>2E-3</v>
      </c>
      <c r="E64" s="10">
        <f t="shared" si="2"/>
        <v>144563.49330000579</v>
      </c>
      <c r="F64" s="3"/>
      <c r="G64" s="30">
        <v>2.89</v>
      </c>
      <c r="H64" s="10"/>
      <c r="I64" s="10">
        <f t="shared" si="8"/>
        <v>3484.2965516330114</v>
      </c>
      <c r="J64" s="10">
        <f t="shared" si="6"/>
        <v>252354742679.80313</v>
      </c>
      <c r="K64" s="11">
        <f t="shared" si="7"/>
        <v>3.0957799999999924E-2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72281746.649999976</v>
      </c>
      <c r="D65" s="11">
        <v>3.0000000000000001E-3</v>
      </c>
      <c r="E65" s="10">
        <f t="shared" si="2"/>
        <v>216196.64999999106</v>
      </c>
      <c r="F65" s="3"/>
      <c r="G65" s="30">
        <v>2.65</v>
      </c>
      <c r="H65" s="10"/>
      <c r="I65" s="10">
        <f t="shared" si="8"/>
        <v>3386.4287604558381</v>
      </c>
      <c r="J65" s="10">
        <f t="shared" si="6"/>
        <v>244776985711.54236</v>
      </c>
      <c r="K65" s="11">
        <f t="shared" si="7"/>
        <v>2.957949999999987E-2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72065549.999999985</v>
      </c>
      <c r="D66" s="11">
        <v>3.0000000000000001E-3</v>
      </c>
      <c r="E66" s="10">
        <f t="shared" si="2"/>
        <v>215549.9999999851</v>
      </c>
      <c r="F66" s="3"/>
      <c r="G66" s="30">
        <v>6.16</v>
      </c>
      <c r="H66" s="10"/>
      <c r="I66" s="10">
        <f t="shared" si="8"/>
        <v>3299.0051246525459</v>
      </c>
      <c r="J66" s="10">
        <f t="shared" ref="J66:J67" si="9">IF(I66="","",I66*C66)</f>
        <v>237744618760.90424</v>
      </c>
      <c r="K66" s="11">
        <f t="shared" ref="K66" si="10">IFERROR(J66/J67-1,"")</f>
        <v>6.4784799999999976E-2</v>
      </c>
    </row>
    <row r="67" spans="1:11" ht="22.5" customHeight="1">
      <c r="A67" s="3">
        <f t="shared" si="0"/>
        <v>1950</v>
      </c>
      <c r="B67" s="3">
        <v>1700</v>
      </c>
      <c r="C67" s="10">
        <v>71850000</v>
      </c>
      <c r="D67" s="11">
        <v>4.0000000000000001E-3</v>
      </c>
      <c r="E67" s="3" t="s">
        <v>72</v>
      </c>
      <c r="F67" s="3"/>
      <c r="G67" s="30">
        <v>7.47</v>
      </c>
      <c r="H67" s="10"/>
      <c r="I67" s="10">
        <f t="shared" ref="I67" si="11">IF(H67&lt;&gt;"",H67,I66/(1+IF(G66="",0,G66)/100))</f>
        <v>3107.5783012929028</v>
      </c>
      <c r="J67" s="10">
        <f t="shared" si="9"/>
        <v>223279500947.89505</v>
      </c>
      <c r="K67" s="11"/>
    </row>
  </sheetData>
  <dataValidations count="1">
    <dataValidation type="custom" allowBlank="1" showDropDown="1" sqref="D2:D67" xr:uid="{00000000-0002-0000-2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51674.313193890892</v>
      </c>
      <c r="D2" s="11">
        <v>-8.0000000000000002E-3</v>
      </c>
      <c r="E2" s="10">
        <f t="shared" ref="E2:E66" si="2">SUM(C2-C3)</f>
        <v>-416.72833220879693</v>
      </c>
      <c r="F2" s="15">
        <v>51690</v>
      </c>
      <c r="G2" s="28"/>
      <c r="H2" s="10"/>
      <c r="I2" s="10">
        <f>IF(H2&lt;&gt;"",H2,4881)</f>
        <v>4881</v>
      </c>
      <c r="J2" s="10">
        <f t="shared" ref="J2:J33" si="3">IF(I2="","",I2*C2)</f>
        <v>252222322.69938144</v>
      </c>
      <c r="K2" s="11">
        <f t="shared" ref="K2:K33" si="4">IFERROR(J2/J3-1,"")</f>
        <v>-8.0000000000000071E-3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52091.041526099689</v>
      </c>
      <c r="D3" s="11">
        <v>-5.3E-3</v>
      </c>
      <c r="E3" s="10">
        <f t="shared" si="2"/>
        <v>-277.55355392412457</v>
      </c>
      <c r="F3" s="3"/>
      <c r="G3" s="28"/>
      <c r="H3" s="10"/>
      <c r="I3" s="10">
        <f t="shared" ref="I3:I34" si="5">IF(H3&lt;&gt;"",H3,I2/(1+IF(G2="",0,G2)/100))</f>
        <v>4881</v>
      </c>
      <c r="J3" s="10">
        <f t="shared" si="3"/>
        <v>254256373.68889257</v>
      </c>
      <c r="K3" s="11">
        <f t="shared" si="4"/>
        <v>-5.2999999999999714E-3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52368.595080023813</v>
      </c>
      <c r="D4" s="11">
        <v>-3.2000000000000002E-3</v>
      </c>
      <c r="E4" s="10">
        <f t="shared" si="2"/>
        <v>-168.11748019268998</v>
      </c>
      <c r="F4" s="3"/>
      <c r="G4" s="28"/>
      <c r="H4" s="10"/>
      <c r="I4" s="10">
        <f t="shared" si="5"/>
        <v>4881</v>
      </c>
      <c r="J4" s="10">
        <f t="shared" si="3"/>
        <v>255611112.58559623</v>
      </c>
      <c r="K4" s="11">
        <f t="shared" si="4"/>
        <v>-3.1999999999998696E-3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52536.712560216503</v>
      </c>
      <c r="D5" s="11">
        <v>-6.9999999999999999E-4</v>
      </c>
      <c r="E5" s="10">
        <f t="shared" si="2"/>
        <v>-36.801459814021655</v>
      </c>
      <c r="F5" s="3"/>
      <c r="G5" s="28"/>
      <c r="H5" s="10"/>
      <c r="I5" s="10">
        <f t="shared" si="5"/>
        <v>4881</v>
      </c>
      <c r="J5" s="10">
        <f t="shared" si="3"/>
        <v>256431694.00641674</v>
      </c>
      <c r="K5" s="11">
        <f t="shared" si="4"/>
        <v>-7.0000000000003393E-4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52573.514020030525</v>
      </c>
      <c r="D6" s="11">
        <v>1.1999999999999999E-3</v>
      </c>
      <c r="E6" s="10">
        <f t="shared" si="2"/>
        <v>63.01260170200112</v>
      </c>
      <c r="F6" s="3"/>
      <c r="G6" s="28"/>
      <c r="H6" s="10"/>
      <c r="I6" s="10">
        <f t="shared" si="5"/>
        <v>4881</v>
      </c>
      <c r="J6" s="10">
        <f t="shared" si="3"/>
        <v>256611321.93176898</v>
      </c>
      <c r="K6" s="11">
        <f t="shared" si="4"/>
        <v>1.2000000000000899E-3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52510.501418328524</v>
      </c>
      <c r="D7" s="11">
        <v>0</v>
      </c>
      <c r="E7" s="10">
        <f t="shared" si="2"/>
        <v>0</v>
      </c>
      <c r="F7" s="3"/>
      <c r="G7" s="28"/>
      <c r="H7" s="10"/>
      <c r="I7" s="10">
        <f t="shared" si="5"/>
        <v>4881</v>
      </c>
      <c r="J7" s="10">
        <f t="shared" si="3"/>
        <v>256303757.42286152</v>
      </c>
      <c r="K7" s="11">
        <f t="shared" si="4"/>
        <v>0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52510.501418328524</v>
      </c>
      <c r="D8" s="11">
        <v>-8.9999999999999998E-4</v>
      </c>
      <c r="E8" s="10">
        <f t="shared" si="2"/>
        <v>-47.302023097283382</v>
      </c>
      <c r="F8" s="3"/>
      <c r="G8" s="28"/>
      <c r="H8" s="10"/>
      <c r="I8" s="10">
        <f t="shared" si="5"/>
        <v>4881</v>
      </c>
      <c r="J8" s="10">
        <f t="shared" si="3"/>
        <v>256303757.42286152</v>
      </c>
      <c r="K8" s="11">
        <f t="shared" si="4"/>
        <v>-9.000000000000119E-4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52557.803441425807</v>
      </c>
      <c r="D9" s="11">
        <v>8.9999999999999998E-4</v>
      </c>
      <c r="E9" s="10">
        <f t="shared" si="2"/>
        <v>47.25948955667991</v>
      </c>
      <c r="F9" s="3"/>
      <c r="G9" s="28"/>
      <c r="H9" s="10"/>
      <c r="I9" s="10">
        <f t="shared" si="5"/>
        <v>4881</v>
      </c>
      <c r="J9" s="10">
        <f t="shared" si="3"/>
        <v>256534638.59759936</v>
      </c>
      <c r="K9" s="11">
        <f t="shared" si="4"/>
        <v>8.9999999999990088E-4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52510.543951869127</v>
      </c>
      <c r="D10" s="11">
        <v>2.3999999999999998E-3</v>
      </c>
      <c r="E10" s="10">
        <f t="shared" si="2"/>
        <v>125.72356891907839</v>
      </c>
      <c r="F10" s="3"/>
      <c r="G10" s="28"/>
      <c r="H10" s="10"/>
      <c r="I10" s="10">
        <f t="shared" si="5"/>
        <v>4881</v>
      </c>
      <c r="J10" s="10">
        <f t="shared" si="3"/>
        <v>256303965.02907321</v>
      </c>
      <c r="K10" s="11">
        <f t="shared" si="4"/>
        <v>2.3999999999999577E-3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52384.820382950049</v>
      </c>
      <c r="D11" s="11">
        <v>2.8999999999999998E-3</v>
      </c>
      <c r="E11" s="10">
        <f t="shared" si="2"/>
        <v>151.47669669015158</v>
      </c>
      <c r="F11" s="3"/>
      <c r="G11" s="28"/>
      <c r="H11" s="10"/>
      <c r="I11" s="10">
        <f t="shared" si="5"/>
        <v>4881</v>
      </c>
      <c r="J11" s="10">
        <f t="shared" si="3"/>
        <v>255690308.28917918</v>
      </c>
      <c r="K11" s="11">
        <f t="shared" si="4"/>
        <v>2.8999999999999027E-3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52233.343686259897</v>
      </c>
      <c r="D12" s="11">
        <v>-7.1000000000000004E-3</v>
      </c>
      <c r="E12" s="10">
        <f t="shared" si="2"/>
        <v>-373.50865159879322</v>
      </c>
      <c r="F12" s="3"/>
      <c r="G12" s="28"/>
      <c r="H12" s="10"/>
      <c r="I12" s="10">
        <f t="shared" si="5"/>
        <v>4881</v>
      </c>
      <c r="J12" s="10">
        <f t="shared" si="3"/>
        <v>254950950.53263456</v>
      </c>
      <c r="K12" s="11">
        <f t="shared" si="4"/>
        <v>-7.0999999999999952E-3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52606.852337858691</v>
      </c>
      <c r="D13" s="11">
        <v>-6.4999999999999997E-3</v>
      </c>
      <c r="E13" s="10">
        <f t="shared" si="2"/>
        <v>-344.18172138508089</v>
      </c>
      <c r="F13" s="3"/>
      <c r="G13" s="28"/>
      <c r="H13" s="10"/>
      <c r="I13" s="10">
        <f t="shared" si="5"/>
        <v>4881</v>
      </c>
      <c r="J13" s="10">
        <f t="shared" si="3"/>
        <v>256774046.26108828</v>
      </c>
      <c r="K13" s="11">
        <f t="shared" si="4"/>
        <v>-6.4999999999999503E-3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52951.034059243771</v>
      </c>
      <c r="D14" s="11">
        <v>-6.0000000000000001E-3</v>
      </c>
      <c r="E14" s="10">
        <f t="shared" si="2"/>
        <v>-319.62394804372889</v>
      </c>
      <c r="F14" s="3"/>
      <c r="G14" s="28"/>
      <c r="H14" s="10"/>
      <c r="I14" s="10">
        <f t="shared" si="5"/>
        <v>4881</v>
      </c>
      <c r="J14" s="10">
        <f t="shared" si="3"/>
        <v>258453997.24316886</v>
      </c>
      <c r="K14" s="11">
        <f t="shared" si="4"/>
        <v>-6.0000000000000053E-3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53270.6580072875</v>
      </c>
      <c r="D15" s="11">
        <v>-5.3E-3</v>
      </c>
      <c r="E15" s="10">
        <f t="shared" si="2"/>
        <v>-283.83883325487113</v>
      </c>
      <c r="F15" s="3"/>
      <c r="G15" s="28"/>
      <c r="H15" s="10"/>
      <c r="I15" s="10">
        <f t="shared" si="5"/>
        <v>4881</v>
      </c>
      <c r="J15" s="10">
        <f t="shared" si="3"/>
        <v>260014081.73357028</v>
      </c>
      <c r="K15" s="11">
        <f t="shared" si="4"/>
        <v>-5.2999999999999714E-3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53554.496840542372</v>
      </c>
      <c r="D16" s="11">
        <v>-4.5999999999999999E-3</v>
      </c>
      <c r="E16" s="10">
        <f t="shared" si="2"/>
        <v>-247.48913548974815</v>
      </c>
      <c r="F16" s="3"/>
      <c r="G16" s="28"/>
      <c r="H16" s="10"/>
      <c r="I16" s="10">
        <f t="shared" si="5"/>
        <v>4881</v>
      </c>
      <c r="J16" s="10">
        <f t="shared" si="3"/>
        <v>261399499.07868731</v>
      </c>
      <c r="K16" s="11">
        <f t="shared" si="4"/>
        <v>-4.6000000000000485E-3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53801.98597603212</v>
      </c>
      <c r="D17" s="11">
        <v>-3.7000000000000002E-3</v>
      </c>
      <c r="E17" s="10">
        <f t="shared" si="2"/>
        <v>-199.80663265213661</v>
      </c>
      <c r="F17" s="3"/>
      <c r="G17" s="28"/>
      <c r="H17" s="10"/>
      <c r="I17" s="10">
        <f t="shared" si="5"/>
        <v>4881</v>
      </c>
      <c r="J17" s="10">
        <f t="shared" si="3"/>
        <v>262607493.54901278</v>
      </c>
      <c r="K17" s="11">
        <f t="shared" si="4"/>
        <v>-3.7000000000001476E-3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54001.792608684256</v>
      </c>
      <c r="D18" s="11">
        <v>-2.8999999999999998E-3</v>
      </c>
      <c r="E18" s="10">
        <f t="shared" si="2"/>
        <v>-157.06067452129355</v>
      </c>
      <c r="F18" s="3"/>
      <c r="G18" s="28"/>
      <c r="H18" s="10"/>
      <c r="I18" s="10">
        <f t="shared" si="5"/>
        <v>4881</v>
      </c>
      <c r="J18" s="10">
        <f t="shared" si="3"/>
        <v>263582749.72298786</v>
      </c>
      <c r="K18" s="11">
        <f t="shared" si="4"/>
        <v>-2.8999999999999027E-3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54158.85328320555</v>
      </c>
      <c r="D19" s="11">
        <v>5.1000000000000004E-3</v>
      </c>
      <c r="E19" s="10">
        <f t="shared" si="2"/>
        <v>274.80862774286652</v>
      </c>
      <c r="F19" s="3"/>
      <c r="G19" s="28"/>
      <c r="H19" s="10"/>
      <c r="I19" s="10">
        <f t="shared" si="5"/>
        <v>4881</v>
      </c>
      <c r="J19" s="10">
        <f t="shared" si="3"/>
        <v>264349362.87532628</v>
      </c>
      <c r="K19" s="11">
        <f t="shared" si="4"/>
        <v>5.1000000000001044E-3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53884.044655462683</v>
      </c>
      <c r="D20" s="11">
        <v>8.6999999999999994E-3</v>
      </c>
      <c r="E20" s="10">
        <f t="shared" si="2"/>
        <v>464.7478819297321</v>
      </c>
      <c r="F20" s="3"/>
      <c r="G20" s="28"/>
      <c r="H20" s="10"/>
      <c r="I20" s="10">
        <f t="shared" si="5"/>
        <v>4881</v>
      </c>
      <c r="J20" s="10">
        <f t="shared" si="3"/>
        <v>263008021.96331337</v>
      </c>
      <c r="K20" s="11">
        <f t="shared" si="4"/>
        <v>8.69999999999993E-3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53419.296773532951</v>
      </c>
      <c r="D21" s="11">
        <v>8.8999999999999999E-3</v>
      </c>
      <c r="E21" s="10">
        <f t="shared" si="2"/>
        <v>471.23772552724404</v>
      </c>
      <c r="F21" s="3"/>
      <c r="G21" s="28"/>
      <c r="H21" s="10"/>
      <c r="I21" s="10">
        <f t="shared" si="5"/>
        <v>4881</v>
      </c>
      <c r="J21" s="10">
        <f t="shared" si="3"/>
        <v>260739587.55161434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52948.059048005707</v>
      </c>
      <c r="D22" s="11">
        <v>9.1999999999999998E-3</v>
      </c>
      <c r="E22" s="10">
        <f t="shared" si="2"/>
        <v>482.68147368376958</v>
      </c>
      <c r="F22" s="3"/>
      <c r="G22" s="28"/>
      <c r="H22" s="10"/>
      <c r="I22" s="10">
        <f t="shared" si="5"/>
        <v>4881</v>
      </c>
      <c r="J22" s="10">
        <f t="shared" si="3"/>
        <v>258439476.21331584</v>
      </c>
      <c r="K22" s="11">
        <f t="shared" si="4"/>
        <v>9.200000000000097E-3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52465.377574321938</v>
      </c>
      <c r="D23" s="11">
        <v>9.7000000000000003E-3</v>
      </c>
      <c r="E23" s="10">
        <f t="shared" si="2"/>
        <v>504.02511881839018</v>
      </c>
      <c r="F23" s="3"/>
      <c r="G23" s="28"/>
      <c r="H23" s="10"/>
      <c r="I23" s="10">
        <f t="shared" si="5"/>
        <v>4881</v>
      </c>
      <c r="J23" s="10">
        <f t="shared" si="3"/>
        <v>256083507.94026539</v>
      </c>
      <c r="K23" s="11">
        <f t="shared" si="4"/>
        <v>9.700000000000264E-3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51961.352455503547</v>
      </c>
      <c r="D24" s="11">
        <v>1.01E-2</v>
      </c>
      <c r="E24" s="10">
        <f t="shared" si="2"/>
        <v>519.5620827646635</v>
      </c>
      <c r="F24" s="3"/>
      <c r="G24" s="28"/>
      <c r="H24" s="10"/>
      <c r="I24" s="10">
        <f t="shared" si="5"/>
        <v>4881</v>
      </c>
      <c r="J24" s="10">
        <f t="shared" si="3"/>
        <v>253623361.33531281</v>
      </c>
      <c r="K24" s="11">
        <f t="shared" si="4"/>
        <v>1.0099999999999998E-2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51441.790372738884</v>
      </c>
      <c r="D25" s="11">
        <v>1.0699999999999999E-2</v>
      </c>
      <c r="E25" s="10">
        <f t="shared" si="2"/>
        <v>544.5999376553882</v>
      </c>
      <c r="F25" s="3"/>
      <c r="G25" s="28"/>
      <c r="H25" s="10"/>
      <c r="I25" s="10">
        <f t="shared" si="5"/>
        <v>4881</v>
      </c>
      <c r="J25" s="10">
        <f t="shared" si="3"/>
        <v>251087378.80933848</v>
      </c>
      <c r="K25" s="11">
        <f t="shared" si="4"/>
        <v>1.069999999999971E-2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50897.190435083496</v>
      </c>
      <c r="D26" s="11">
        <v>1.14E-2</v>
      </c>
      <c r="E26" s="10">
        <f t="shared" si="2"/>
        <v>573.68792857421067</v>
      </c>
      <c r="F26" s="3"/>
      <c r="G26" s="28"/>
      <c r="H26" s="10"/>
      <c r="I26" s="10">
        <f t="shared" si="5"/>
        <v>4881</v>
      </c>
      <c r="J26" s="10">
        <f t="shared" si="3"/>
        <v>248429186.51364255</v>
      </c>
      <c r="K26" s="11">
        <f t="shared" si="4"/>
        <v>1.1400000000000077E-2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50323.502506509285</v>
      </c>
      <c r="D27" s="11">
        <v>1.4E-2</v>
      </c>
      <c r="E27" s="10">
        <f t="shared" si="2"/>
        <v>694.8018097545646</v>
      </c>
      <c r="F27" s="3"/>
      <c r="G27" s="28"/>
      <c r="H27" s="10"/>
      <c r="I27" s="10">
        <f t="shared" si="5"/>
        <v>4881</v>
      </c>
      <c r="J27" s="10">
        <f t="shared" si="3"/>
        <v>245629015.73427182</v>
      </c>
      <c r="K27" s="11">
        <f t="shared" si="4"/>
        <v>1.4000000000000012E-2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49628.70069675472</v>
      </c>
      <c r="D28" s="11">
        <v>1.72E-2</v>
      </c>
      <c r="E28" s="10">
        <f t="shared" si="2"/>
        <v>839.17976011028804</v>
      </c>
      <c r="F28" s="3"/>
      <c r="G28" s="28"/>
      <c r="H28" s="10"/>
      <c r="I28" s="10">
        <f t="shared" si="5"/>
        <v>4881</v>
      </c>
      <c r="J28" s="10">
        <f t="shared" si="3"/>
        <v>242237688.10085979</v>
      </c>
      <c r="K28" s="11">
        <f t="shared" si="4"/>
        <v>1.7200000000000104E-2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48789.520936644432</v>
      </c>
      <c r="D29" s="11">
        <v>1.8700000000000001E-2</v>
      </c>
      <c r="E29" s="10">
        <f t="shared" si="2"/>
        <v>895.61602190561098</v>
      </c>
      <c r="F29" s="3"/>
      <c r="G29" s="28"/>
      <c r="H29" s="10"/>
      <c r="I29" s="10">
        <f t="shared" si="5"/>
        <v>4881</v>
      </c>
      <c r="J29" s="10">
        <f t="shared" si="3"/>
        <v>238141651.69176146</v>
      </c>
      <c r="K29" s="11">
        <f t="shared" si="4"/>
        <v>1.8699999999999717E-2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47893.904914738821</v>
      </c>
      <c r="D30" s="12">
        <v>1.9099999999999999E-2</v>
      </c>
      <c r="E30" s="10">
        <f t="shared" si="2"/>
        <v>897.6288724085025</v>
      </c>
      <c r="F30" s="3"/>
      <c r="G30" s="28"/>
      <c r="H30" s="10"/>
      <c r="I30" s="10">
        <f t="shared" si="5"/>
        <v>4881</v>
      </c>
      <c r="J30" s="10">
        <f t="shared" si="3"/>
        <v>233770149.8888402</v>
      </c>
      <c r="K30" s="11">
        <f t="shared" si="4"/>
        <v>1.9099999999999895E-2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46996.276042330319</v>
      </c>
      <c r="D31" s="13">
        <v>1.95E-2</v>
      </c>
      <c r="E31" s="10">
        <f t="shared" si="2"/>
        <v>898.89885515002243</v>
      </c>
      <c r="F31" s="3"/>
      <c r="G31" s="28"/>
      <c r="H31" s="10"/>
      <c r="I31" s="10">
        <f t="shared" si="5"/>
        <v>4881</v>
      </c>
      <c r="J31" s="10">
        <f t="shared" si="3"/>
        <v>229388823.36261427</v>
      </c>
      <c r="K31" s="11">
        <f t="shared" si="4"/>
        <v>1.9500000000000073E-2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46097.377187180296</v>
      </c>
      <c r="D32" s="12">
        <v>1.9699999999999999E-2</v>
      </c>
      <c r="E32" s="10">
        <f t="shared" si="2"/>
        <v>890.57402234721667</v>
      </c>
      <c r="F32" s="3"/>
      <c r="G32" s="28"/>
      <c r="H32" s="10"/>
      <c r="I32" s="10">
        <f t="shared" si="5"/>
        <v>4881</v>
      </c>
      <c r="J32" s="10">
        <f t="shared" si="3"/>
        <v>225001298.05062702</v>
      </c>
      <c r="K32" s="11">
        <f t="shared" si="4"/>
        <v>1.9700000000000051E-2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45206.80316483308</v>
      </c>
      <c r="D33" s="13">
        <v>1.9599999999999999E-2</v>
      </c>
      <c r="E33" s="10">
        <f t="shared" si="2"/>
        <v>869.02053945736407</v>
      </c>
      <c r="F33" s="3"/>
      <c r="G33" s="28"/>
      <c r="H33" s="10"/>
      <c r="I33" s="10">
        <f t="shared" si="5"/>
        <v>4881</v>
      </c>
      <c r="J33" s="10">
        <f t="shared" si="3"/>
        <v>220654406.24755025</v>
      </c>
      <c r="K33" s="11">
        <f t="shared" si="4"/>
        <v>1.9600000000000062E-2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44337.782625375716</v>
      </c>
      <c r="D34" s="12">
        <v>1.8800000000000001E-2</v>
      </c>
      <c r="E34" s="10">
        <f t="shared" si="2"/>
        <v>818.16874102577276</v>
      </c>
      <c r="F34" s="3"/>
      <c r="G34" s="28"/>
      <c r="H34" s="10"/>
      <c r="I34" s="10">
        <f t="shared" si="5"/>
        <v>4881</v>
      </c>
      <c r="J34" s="10">
        <f t="shared" ref="J34:J65" si="6">IF(I34="","",I34*C34)</f>
        <v>216412716.99445885</v>
      </c>
      <c r="K34" s="11">
        <f t="shared" ref="K34:K65" si="7">IFERROR(J34/J35-1,"")</f>
        <v>1.8799999999999706E-2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43519.613884349943</v>
      </c>
      <c r="D35" s="11">
        <v>1.41E-2</v>
      </c>
      <c r="E35" s="10">
        <f t="shared" si="2"/>
        <v>605.09472021431429</v>
      </c>
      <c r="F35" s="3"/>
      <c r="G35" s="28"/>
      <c r="H35" s="10"/>
      <c r="I35" s="10">
        <f t="shared" ref="I35:I66" si="8">IF(H35&lt;&gt;"",H35,I34/(1+IF(G34="",0,G34)/100))</f>
        <v>4881</v>
      </c>
      <c r="J35" s="10">
        <f t="shared" si="6"/>
        <v>212419235.36951208</v>
      </c>
      <c r="K35" s="11">
        <f t="shared" si="7"/>
        <v>1.4100000000000223E-2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42914.519164135629</v>
      </c>
      <c r="D36" s="11">
        <v>5.7000000000000002E-3</v>
      </c>
      <c r="E36" s="10">
        <f t="shared" si="2"/>
        <v>243.22636893265735</v>
      </c>
      <c r="F36" s="3"/>
      <c r="G36" s="28"/>
      <c r="H36" s="10"/>
      <c r="I36" s="10">
        <f t="shared" si="8"/>
        <v>4881</v>
      </c>
      <c r="J36" s="10">
        <f t="shared" si="6"/>
        <v>209465768.04014599</v>
      </c>
      <c r="K36" s="11">
        <f t="shared" si="7"/>
        <v>5.6999999999998163E-3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42671.292795202971</v>
      </c>
      <c r="D37" s="11">
        <v>2.0999999999999999E-3</v>
      </c>
      <c r="E37" s="10">
        <f t="shared" si="2"/>
        <v>89.421928819407185</v>
      </c>
      <c r="F37" s="3"/>
      <c r="G37" s="28"/>
      <c r="H37" s="10"/>
      <c r="I37" s="10">
        <f t="shared" si="8"/>
        <v>4881</v>
      </c>
      <c r="J37" s="10">
        <f t="shared" si="6"/>
        <v>208278580.13338572</v>
      </c>
      <c r="K37" s="11">
        <f t="shared" si="7"/>
        <v>2.1000000000002128E-3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42581.870866383564</v>
      </c>
      <c r="D38" s="11">
        <v>2.8999999999999998E-3</v>
      </c>
      <c r="E38" s="10">
        <f t="shared" si="2"/>
        <v>123.13034750474617</v>
      </c>
      <c r="F38" s="3"/>
      <c r="G38" s="28"/>
      <c r="H38" s="10"/>
      <c r="I38" s="10">
        <f t="shared" si="8"/>
        <v>4881</v>
      </c>
      <c r="J38" s="10">
        <f t="shared" si="6"/>
        <v>207842111.69881818</v>
      </c>
      <c r="K38" s="11">
        <f t="shared" si="7"/>
        <v>2.8999999999999027E-3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42458.740518878818</v>
      </c>
      <c r="D39" s="11">
        <v>3.7000000000000002E-3</v>
      </c>
      <c r="E39" s="10">
        <f t="shared" si="2"/>
        <v>156.51822249661927</v>
      </c>
      <c r="F39" s="3"/>
      <c r="G39" s="28"/>
      <c r="H39" s="10"/>
      <c r="I39" s="10">
        <f t="shared" si="8"/>
        <v>4881</v>
      </c>
      <c r="J39" s="10">
        <f t="shared" si="6"/>
        <v>207241112.47264752</v>
      </c>
      <c r="K39" s="11">
        <f t="shared" si="7"/>
        <v>3.7000000000000366E-3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42302.222296382199</v>
      </c>
      <c r="D40" s="11">
        <v>6.0000000000000001E-3</v>
      </c>
      <c r="E40" s="10">
        <f t="shared" si="2"/>
        <v>252.29953655893769</v>
      </c>
      <c r="F40" s="3"/>
      <c r="G40" s="28"/>
      <c r="H40" s="10"/>
      <c r="I40" s="10">
        <f t="shared" si="8"/>
        <v>4881</v>
      </c>
      <c r="J40" s="10">
        <f t="shared" si="6"/>
        <v>206477147.02864152</v>
      </c>
      <c r="K40" s="11">
        <f t="shared" si="7"/>
        <v>6.0000000000000053E-3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42049.922759823261</v>
      </c>
      <c r="D41" s="11">
        <v>8.6999999999999994E-3</v>
      </c>
      <c r="E41" s="10">
        <f t="shared" si="2"/>
        <v>362.67902053183207</v>
      </c>
      <c r="F41" s="3"/>
      <c r="G41" s="28"/>
      <c r="H41" s="10"/>
      <c r="I41" s="10">
        <f t="shared" si="8"/>
        <v>4881</v>
      </c>
      <c r="J41" s="10">
        <f t="shared" si="6"/>
        <v>205245672.99069732</v>
      </c>
      <c r="K41" s="11">
        <f t="shared" si="7"/>
        <v>8.69999999999993E-3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41687.243739291429</v>
      </c>
      <c r="D42" s="11">
        <v>8.8999999999999999E-3</v>
      </c>
      <c r="E42" s="10">
        <f t="shared" si="2"/>
        <v>367.7435516698315</v>
      </c>
      <c r="F42" s="3"/>
      <c r="G42" s="28"/>
      <c r="H42" s="10"/>
      <c r="I42" s="10">
        <f t="shared" si="8"/>
        <v>4881</v>
      </c>
      <c r="J42" s="10">
        <f t="shared" si="6"/>
        <v>203475436.69148147</v>
      </c>
      <c r="K42" s="11">
        <f t="shared" si="7"/>
        <v>8.899999999999908E-3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41319.500187621597</v>
      </c>
      <c r="D43" s="11">
        <v>2.8999999999999998E-3</v>
      </c>
      <c r="E43" s="10">
        <f t="shared" si="2"/>
        <v>119.48005837481469</v>
      </c>
      <c r="F43" s="3"/>
      <c r="G43" s="28"/>
      <c r="H43" s="10"/>
      <c r="I43" s="10">
        <f t="shared" si="8"/>
        <v>4881</v>
      </c>
      <c r="J43" s="10">
        <f t="shared" si="6"/>
        <v>201680480.41578102</v>
      </c>
      <c r="K43" s="11">
        <f t="shared" si="7"/>
        <v>2.9000000000001247E-3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41200.020129246783</v>
      </c>
      <c r="D44" s="11">
        <v>6.9999999999999999E-4</v>
      </c>
      <c r="E44" s="10">
        <f t="shared" si="2"/>
        <v>28.819840202326304</v>
      </c>
      <c r="F44" s="3"/>
      <c r="G44" s="28"/>
      <c r="H44" s="10"/>
      <c r="I44" s="10">
        <f t="shared" si="8"/>
        <v>4881</v>
      </c>
      <c r="J44" s="10">
        <f t="shared" si="6"/>
        <v>201097298.25085354</v>
      </c>
      <c r="K44" s="11">
        <f t="shared" si="7"/>
        <v>6.9999999999992291E-4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41171.200289044456</v>
      </c>
      <c r="D45" s="11">
        <v>1.2999999999999999E-3</v>
      </c>
      <c r="E45" s="10">
        <f t="shared" si="2"/>
        <v>53.4530713829663</v>
      </c>
      <c r="F45" s="3"/>
      <c r="G45" s="28"/>
      <c r="H45" s="10"/>
      <c r="I45" s="10">
        <f t="shared" si="8"/>
        <v>4881</v>
      </c>
      <c r="J45" s="10">
        <f t="shared" si="6"/>
        <v>200956628.61082599</v>
      </c>
      <c r="K45" s="11">
        <f t="shared" si="7"/>
        <v>1.3000000000000789E-3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41117.74721766149</v>
      </c>
      <c r="D46" s="11">
        <v>2.3999999999999998E-3</v>
      </c>
      <c r="E46" s="10">
        <f t="shared" si="2"/>
        <v>98.446322149226035</v>
      </c>
      <c r="F46" s="3"/>
      <c r="G46" s="28"/>
      <c r="H46" s="10"/>
      <c r="I46" s="10">
        <f t="shared" si="8"/>
        <v>4881</v>
      </c>
      <c r="J46" s="10">
        <f t="shared" si="6"/>
        <v>200695724.16940573</v>
      </c>
      <c r="K46" s="11">
        <f t="shared" si="7"/>
        <v>2.3999999999999577E-3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41019.300895512264</v>
      </c>
      <c r="D47" s="11">
        <v>3.5999999999999999E-3</v>
      </c>
      <c r="E47" s="10">
        <f t="shared" si="2"/>
        <v>147.13978001578653</v>
      </c>
      <c r="F47" s="3"/>
      <c r="G47" s="28"/>
      <c r="H47" s="10"/>
      <c r="I47" s="10">
        <f t="shared" si="8"/>
        <v>4881</v>
      </c>
      <c r="J47" s="10">
        <f t="shared" si="6"/>
        <v>200215207.67099535</v>
      </c>
      <c r="K47" s="11">
        <f t="shared" si="7"/>
        <v>3.6000000000000476E-3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40872.161115496478</v>
      </c>
      <c r="D48" s="11">
        <v>5.0000000000000001E-3</v>
      </c>
      <c r="E48" s="10">
        <f t="shared" si="2"/>
        <v>203.34408515172254</v>
      </c>
      <c r="F48" s="3"/>
      <c r="G48" s="28"/>
      <c r="H48" s="10"/>
      <c r="I48" s="10">
        <f t="shared" si="8"/>
        <v>4881</v>
      </c>
      <c r="J48" s="10">
        <f t="shared" si="6"/>
        <v>199497018.40473831</v>
      </c>
      <c r="K48" s="11">
        <f t="shared" si="7"/>
        <v>4.9999999999998934E-3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40668.817030344755</v>
      </c>
      <c r="D49" s="11">
        <v>6.7000000000000002E-3</v>
      </c>
      <c r="E49" s="10">
        <f t="shared" si="2"/>
        <v>270.66760117543163</v>
      </c>
      <c r="F49" s="3"/>
      <c r="G49" s="28"/>
      <c r="H49" s="10"/>
      <c r="I49" s="10">
        <f t="shared" si="8"/>
        <v>4881</v>
      </c>
      <c r="J49" s="10">
        <f t="shared" si="6"/>
        <v>198504495.92511275</v>
      </c>
      <c r="K49" s="11">
        <f t="shared" si="7"/>
        <v>6.6999999999999282E-3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40398.149429169323</v>
      </c>
      <c r="D50" s="11">
        <v>1.09E-2</v>
      </c>
      <c r="E50" s="10">
        <f t="shared" si="2"/>
        <v>435.59187731520797</v>
      </c>
      <c r="F50" s="3"/>
      <c r="G50" s="28"/>
      <c r="H50" s="10"/>
      <c r="I50" s="10">
        <f t="shared" si="8"/>
        <v>4881</v>
      </c>
      <c r="J50" s="10">
        <f t="shared" si="6"/>
        <v>197183367.36377546</v>
      </c>
      <c r="K50" s="11">
        <f t="shared" si="7"/>
        <v>1.089999999999991E-2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39962.557551854115</v>
      </c>
      <c r="D51" s="11">
        <v>1.2699999999999999E-2</v>
      </c>
      <c r="E51" s="10">
        <f t="shared" si="2"/>
        <v>501.15975205741415</v>
      </c>
      <c r="F51" s="3"/>
      <c r="G51" s="28"/>
      <c r="H51" s="10"/>
      <c r="I51" s="10">
        <f t="shared" si="8"/>
        <v>4881</v>
      </c>
      <c r="J51" s="10">
        <f t="shared" si="6"/>
        <v>195057243.41059995</v>
      </c>
      <c r="K51" s="11">
        <f t="shared" si="7"/>
        <v>1.2699999999999934E-2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39461.397799796701</v>
      </c>
      <c r="D52" s="11">
        <v>1.2999999999999999E-2</v>
      </c>
      <c r="E52" s="10">
        <f t="shared" si="2"/>
        <v>506.41477926688094</v>
      </c>
      <c r="F52" s="3"/>
      <c r="G52" s="28"/>
      <c r="H52" s="10"/>
      <c r="I52" s="10">
        <f t="shared" si="8"/>
        <v>4881</v>
      </c>
      <c r="J52" s="10">
        <f t="shared" si="6"/>
        <v>192611082.6608077</v>
      </c>
      <c r="K52" s="11">
        <f t="shared" si="7"/>
        <v>1.2999999999999901E-2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38954.98302052982</v>
      </c>
      <c r="D53" s="11">
        <v>1.3100000000000001E-2</v>
      </c>
      <c r="E53" s="10">
        <f t="shared" si="2"/>
        <v>503.71165488988481</v>
      </c>
      <c r="F53" s="3"/>
      <c r="G53" s="28"/>
      <c r="H53" s="10"/>
      <c r="I53" s="10">
        <f t="shared" si="8"/>
        <v>4881</v>
      </c>
      <c r="J53" s="10">
        <f t="shared" si="6"/>
        <v>190139272.12320605</v>
      </c>
      <c r="K53" s="11">
        <f t="shared" si="7"/>
        <v>1.3100000000000112E-2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38451.271365639936</v>
      </c>
      <c r="D54" s="11">
        <v>1.43E-2</v>
      </c>
      <c r="E54" s="10">
        <f t="shared" si="2"/>
        <v>542.10113430804631</v>
      </c>
      <c r="F54" s="3"/>
      <c r="G54" s="28"/>
      <c r="H54" s="10"/>
      <c r="I54" s="10">
        <f t="shared" si="8"/>
        <v>4881</v>
      </c>
      <c r="J54" s="10">
        <f t="shared" si="6"/>
        <v>187680655.53568852</v>
      </c>
      <c r="K54" s="11">
        <f t="shared" si="7"/>
        <v>1.4299999999999979E-2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37909.170231331889</v>
      </c>
      <c r="D55" s="11">
        <v>1.6500000000000001E-2</v>
      </c>
      <c r="E55" s="10">
        <f t="shared" si="2"/>
        <v>615.34806573238893</v>
      </c>
      <c r="F55" s="3"/>
      <c r="G55" s="28"/>
      <c r="H55" s="10"/>
      <c r="I55" s="10">
        <f t="shared" si="8"/>
        <v>4881</v>
      </c>
      <c r="J55" s="10">
        <f t="shared" si="6"/>
        <v>185034659.89913094</v>
      </c>
      <c r="K55" s="11">
        <f t="shared" si="7"/>
        <v>1.6499999999999959E-2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37293.8221655995</v>
      </c>
      <c r="D56" s="11">
        <v>2.24E-2</v>
      </c>
      <c r="E56" s="10">
        <f t="shared" si="2"/>
        <v>817.0790458816773</v>
      </c>
      <c r="F56" s="3"/>
      <c r="G56" s="28"/>
      <c r="H56" s="10"/>
      <c r="I56" s="10">
        <f t="shared" si="8"/>
        <v>4881</v>
      </c>
      <c r="J56" s="10">
        <f t="shared" si="6"/>
        <v>182031145.99029115</v>
      </c>
      <c r="K56" s="11">
        <f t="shared" si="7"/>
        <v>2.2399999999999975E-2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36476.743119717823</v>
      </c>
      <c r="D57" s="11">
        <v>2.69E-2</v>
      </c>
      <c r="E57" s="10">
        <f t="shared" si="2"/>
        <v>955.52087829429365</v>
      </c>
      <c r="F57" s="3"/>
      <c r="G57" s="28"/>
      <c r="H57" s="10"/>
      <c r="I57" s="10">
        <f t="shared" si="8"/>
        <v>4881</v>
      </c>
      <c r="J57" s="10">
        <f t="shared" si="6"/>
        <v>178042983.16734269</v>
      </c>
      <c r="K57" s="11">
        <f t="shared" si="7"/>
        <v>2.6899999999999924E-2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35521.222241423529</v>
      </c>
      <c r="D58" s="11">
        <v>2.6800000000000001E-2</v>
      </c>
      <c r="E58" s="10">
        <f t="shared" si="2"/>
        <v>927.12188943333604</v>
      </c>
      <c r="F58" s="3"/>
      <c r="G58" s="28"/>
      <c r="H58" s="10"/>
      <c r="I58" s="10">
        <f t="shared" si="8"/>
        <v>4881</v>
      </c>
      <c r="J58" s="10">
        <f t="shared" si="6"/>
        <v>173379085.76038826</v>
      </c>
      <c r="K58" s="11">
        <f t="shared" si="7"/>
        <v>2.6800000000000157E-2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34594.100351990193</v>
      </c>
      <c r="D59" s="11">
        <v>2.6599999999999999E-2</v>
      </c>
      <c r="E59" s="10">
        <f t="shared" si="2"/>
        <v>896.35989612598496</v>
      </c>
      <c r="F59" s="3"/>
      <c r="G59" s="28"/>
      <c r="H59" s="10"/>
      <c r="I59" s="10">
        <f t="shared" si="8"/>
        <v>4881</v>
      </c>
      <c r="J59" s="10">
        <f t="shared" si="6"/>
        <v>168853803.81806412</v>
      </c>
      <c r="K59" s="11">
        <f t="shared" si="7"/>
        <v>2.6599999999999957E-2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33697.740455864208</v>
      </c>
      <c r="D60" s="11">
        <v>2.63E-2</v>
      </c>
      <c r="E60" s="10">
        <f t="shared" si="2"/>
        <v>863.53948552005022</v>
      </c>
      <c r="F60" s="3"/>
      <c r="G60" s="28"/>
      <c r="H60" s="10"/>
      <c r="I60" s="10">
        <f t="shared" si="8"/>
        <v>4881</v>
      </c>
      <c r="J60" s="10">
        <f t="shared" si="6"/>
        <v>164478671.16507319</v>
      </c>
      <c r="K60" s="11">
        <f t="shared" si="7"/>
        <v>2.629999999999999E-2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32834.200970344158</v>
      </c>
      <c r="D61" s="11">
        <v>2.6200000000000001E-2</v>
      </c>
      <c r="E61" s="10">
        <f t="shared" si="2"/>
        <v>838.29279421459432</v>
      </c>
      <c r="F61" s="3"/>
      <c r="G61" s="28"/>
      <c r="H61" s="10"/>
      <c r="I61" s="10">
        <f t="shared" si="8"/>
        <v>4881</v>
      </c>
      <c r="J61" s="10">
        <f t="shared" si="6"/>
        <v>160263734.93624982</v>
      </c>
      <c r="K61" s="11">
        <f t="shared" si="7"/>
        <v>2.6199999999999779E-2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31995.908176129564</v>
      </c>
      <c r="D62" s="11">
        <v>2.6100000000000002E-2</v>
      </c>
      <c r="E62" s="10">
        <f t="shared" si="2"/>
        <v>813.85167468763393</v>
      </c>
      <c r="F62" s="3"/>
      <c r="G62" s="28"/>
      <c r="H62" s="10"/>
      <c r="I62" s="10">
        <f t="shared" si="8"/>
        <v>4881</v>
      </c>
      <c r="J62" s="10">
        <f t="shared" si="6"/>
        <v>156172027.80768842</v>
      </c>
      <c r="K62" s="11">
        <f t="shared" si="7"/>
        <v>2.6100000000000012E-2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31182.05650144193</v>
      </c>
      <c r="D63" s="11">
        <v>2.6800000000000001E-2</v>
      </c>
      <c r="E63" s="10">
        <f t="shared" si="2"/>
        <v>813.86746614592994</v>
      </c>
      <c r="F63" s="3"/>
      <c r="G63" s="28"/>
      <c r="H63" s="10"/>
      <c r="I63" s="10">
        <f t="shared" si="8"/>
        <v>4881</v>
      </c>
      <c r="J63" s="10">
        <f t="shared" si="6"/>
        <v>152199617.78353807</v>
      </c>
      <c r="K63" s="11">
        <f t="shared" si="7"/>
        <v>2.6799999999999935E-2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30368.189035296</v>
      </c>
      <c r="D64" s="11">
        <v>2.7799999999999998E-2</v>
      </c>
      <c r="E64" s="10">
        <f t="shared" si="2"/>
        <v>821.40071529600027</v>
      </c>
      <c r="F64" s="3"/>
      <c r="G64" s="28"/>
      <c r="H64" s="10"/>
      <c r="I64" s="10">
        <f t="shared" si="8"/>
        <v>4881</v>
      </c>
      <c r="J64" s="10">
        <f t="shared" si="6"/>
        <v>148227130.68127978</v>
      </c>
      <c r="K64" s="11">
        <f t="shared" si="7"/>
        <v>2.7800000000000047E-2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29546.78832</v>
      </c>
      <c r="D65" s="11">
        <v>2.76E-2</v>
      </c>
      <c r="E65" s="10">
        <f t="shared" si="2"/>
        <v>793.58832000000257</v>
      </c>
      <c r="F65" s="3"/>
      <c r="G65" s="28"/>
      <c r="H65" s="10"/>
      <c r="I65" s="10">
        <f t="shared" si="8"/>
        <v>4881</v>
      </c>
      <c r="J65" s="10">
        <f t="shared" si="6"/>
        <v>144217873.78992</v>
      </c>
      <c r="K65" s="11">
        <f t="shared" si="7"/>
        <v>2.7600000000000069E-2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28753.199999999997</v>
      </c>
      <c r="D66" s="11">
        <v>2.69E-2</v>
      </c>
      <c r="E66" s="10">
        <f t="shared" si="2"/>
        <v>753.19999999999709</v>
      </c>
      <c r="F66" s="3"/>
      <c r="G66" s="28"/>
      <c r="H66" s="10"/>
      <c r="I66" s="10">
        <f t="shared" si="8"/>
        <v>4881</v>
      </c>
      <c r="J66" s="10">
        <f t="shared" ref="J66:J67" si="9">IF(I66="","",I66*C66)</f>
        <v>140344369.19999999</v>
      </c>
      <c r="K66" s="11">
        <f t="shared" ref="K66" si="10">IFERROR(J66/J67-1,"")</f>
        <v>2.6899999999999924E-2</v>
      </c>
    </row>
    <row r="67" spans="1:11" ht="22.5" customHeight="1">
      <c r="A67" s="3">
        <f t="shared" si="0"/>
        <v>1950</v>
      </c>
      <c r="B67" s="3">
        <v>1700</v>
      </c>
      <c r="C67" s="10">
        <v>28000</v>
      </c>
      <c r="D67" s="11">
        <v>1.0200000000000001E-2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4881</v>
      </c>
      <c r="J67" s="10">
        <f t="shared" si="9"/>
        <v>136668000</v>
      </c>
      <c r="K67" s="11"/>
    </row>
  </sheetData>
  <dataValidations count="1">
    <dataValidation type="custom" allowBlank="1" showDropDown="1" sqref="D2:D67" xr:uid="{00000000-0002-0000-2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4071240.0298750438</v>
      </c>
      <c r="D2" s="11">
        <v>1.46E-2</v>
      </c>
      <c r="E2" s="10">
        <f t="shared" ref="E2:E66" si="2">SUM(C2-C3)</f>
        <v>58584.766840307042</v>
      </c>
      <c r="F2" s="15">
        <v>4070555</v>
      </c>
      <c r="G2" s="28"/>
      <c r="H2" s="10"/>
      <c r="I2" s="10">
        <f>IF(H2&lt;&gt;"",H2,2111)</f>
        <v>2111</v>
      </c>
      <c r="J2" s="10">
        <f t="shared" ref="J2:J33" si="3">IF(I2="","",I2*C2)</f>
        <v>8594387703.0662174</v>
      </c>
      <c r="K2" s="11">
        <f t="shared" ref="K2:K33" si="4">IFERROR(J2/J3-1,"")</f>
        <v>1.4599999999999946E-2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4012655.2630347367</v>
      </c>
      <c r="D3" s="11">
        <v>1.4800000000000001E-2</v>
      </c>
      <c r="E3" s="10">
        <f t="shared" si="2"/>
        <v>58521.184364321642</v>
      </c>
      <c r="F3" s="3"/>
      <c r="G3" s="28"/>
      <c r="H3" s="10"/>
      <c r="I3" s="10">
        <f t="shared" ref="I3:I34" si="5">IF(H3&lt;&gt;"",H3,I2/(1+IF(G2="",0,G2)/100))</f>
        <v>2111</v>
      </c>
      <c r="J3" s="10">
        <f t="shared" si="3"/>
        <v>8470715260.2663288</v>
      </c>
      <c r="K3" s="11">
        <f t="shared" si="4"/>
        <v>1.4799999999999924E-2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3954134.0786704151</v>
      </c>
      <c r="D4" s="11">
        <v>1.4999999999999999E-2</v>
      </c>
      <c r="E4" s="10">
        <f t="shared" si="2"/>
        <v>58435.478995129</v>
      </c>
      <c r="F4" s="3"/>
      <c r="G4" s="28"/>
      <c r="H4" s="10"/>
      <c r="I4" s="10">
        <f t="shared" si="5"/>
        <v>2111</v>
      </c>
      <c r="J4" s="10">
        <f t="shared" si="3"/>
        <v>8347177040.073246</v>
      </c>
      <c r="K4" s="11">
        <f t="shared" si="4"/>
        <v>1.4999999999999902E-2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3895698.5996752861</v>
      </c>
      <c r="D5" s="11">
        <v>1.4999999999999999E-2</v>
      </c>
      <c r="E5" s="10">
        <f t="shared" si="2"/>
        <v>57571.90048781177</v>
      </c>
      <c r="F5" s="3"/>
      <c r="G5" s="28"/>
      <c r="H5" s="10"/>
      <c r="I5" s="10">
        <f t="shared" si="5"/>
        <v>2111</v>
      </c>
      <c r="J5" s="10">
        <f t="shared" si="3"/>
        <v>8223819743.9145288</v>
      </c>
      <c r="K5" s="11">
        <f t="shared" si="4"/>
        <v>1.4999999999999902E-2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3838126.6991874743</v>
      </c>
      <c r="D6" s="11">
        <v>1.52E-2</v>
      </c>
      <c r="E6" s="10">
        <f t="shared" si="2"/>
        <v>57466.041989410762</v>
      </c>
      <c r="F6" s="3"/>
      <c r="G6" s="28"/>
      <c r="H6" s="10"/>
      <c r="I6" s="10">
        <f t="shared" si="5"/>
        <v>2111</v>
      </c>
      <c r="J6" s="10">
        <f t="shared" si="3"/>
        <v>8102285461.9847584</v>
      </c>
      <c r="K6" s="11">
        <f t="shared" si="4"/>
        <v>1.5200000000000102E-2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3780660.6571980636</v>
      </c>
      <c r="D7" s="11">
        <v>1.5599999999999999E-2</v>
      </c>
      <c r="E7" s="10">
        <f t="shared" si="2"/>
        <v>58072.377168462146</v>
      </c>
      <c r="F7" s="3"/>
      <c r="G7" s="28"/>
      <c r="H7" s="10"/>
      <c r="I7" s="10">
        <f t="shared" si="5"/>
        <v>2111</v>
      </c>
      <c r="J7" s="10">
        <f t="shared" si="3"/>
        <v>7980974647.3451118</v>
      </c>
      <c r="K7" s="11">
        <f t="shared" si="4"/>
        <v>1.5600000000000058E-2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3722588.2800296014</v>
      </c>
      <c r="D8" s="11">
        <v>1.5800000000000002E-2</v>
      </c>
      <c r="E8" s="10">
        <f t="shared" si="2"/>
        <v>57902.042552143801</v>
      </c>
      <c r="F8" s="3"/>
      <c r="G8" s="28"/>
      <c r="H8" s="10"/>
      <c r="I8" s="10">
        <f t="shared" si="5"/>
        <v>2111</v>
      </c>
      <c r="J8" s="10">
        <f t="shared" si="3"/>
        <v>7858383859.1424885</v>
      </c>
      <c r="K8" s="11">
        <f t="shared" si="4"/>
        <v>1.5800000000000036E-2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3664686.2374774576</v>
      </c>
      <c r="D9" s="11">
        <v>1.52E-2</v>
      </c>
      <c r="E9" s="10">
        <f t="shared" si="2"/>
        <v>54869.218685635831</v>
      </c>
      <c r="F9" s="3"/>
      <c r="G9" s="28"/>
      <c r="H9" s="10"/>
      <c r="I9" s="10">
        <f t="shared" si="5"/>
        <v>2111</v>
      </c>
      <c r="J9" s="10">
        <f t="shared" si="3"/>
        <v>7736152647.3149128</v>
      </c>
      <c r="K9" s="11">
        <f t="shared" si="4"/>
        <v>1.5200000000000102E-2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3609817.0187918218</v>
      </c>
      <c r="D10" s="11">
        <v>1.4800000000000001E-2</v>
      </c>
      <c r="E10" s="10">
        <f t="shared" si="2"/>
        <v>52646.129166455008</v>
      </c>
      <c r="F10" s="3"/>
      <c r="G10" s="28"/>
      <c r="H10" s="10"/>
      <c r="I10" s="10">
        <f t="shared" si="5"/>
        <v>2111</v>
      </c>
      <c r="J10" s="10">
        <f t="shared" si="3"/>
        <v>7620323726.6695356</v>
      </c>
      <c r="K10" s="11">
        <f t="shared" si="4"/>
        <v>1.4799999999999924E-2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3557170.8896253668</v>
      </c>
      <c r="D11" s="11">
        <v>1.4800000000000001E-2</v>
      </c>
      <c r="E11" s="10">
        <f t="shared" si="2"/>
        <v>51878.329884169623</v>
      </c>
      <c r="F11" s="3"/>
      <c r="G11" s="28"/>
      <c r="H11" s="10"/>
      <c r="I11" s="10">
        <f t="shared" si="5"/>
        <v>2111</v>
      </c>
      <c r="J11" s="10">
        <f t="shared" si="3"/>
        <v>7509187747.9991493</v>
      </c>
      <c r="K11" s="11">
        <f t="shared" si="4"/>
        <v>1.4799999999999924E-2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3505292.5597411972</v>
      </c>
      <c r="D12" s="11">
        <v>1.46E-2</v>
      </c>
      <c r="E12" s="10">
        <f t="shared" si="2"/>
        <v>50440.835178613663</v>
      </c>
      <c r="F12" s="3"/>
      <c r="G12" s="28"/>
      <c r="H12" s="10"/>
      <c r="I12" s="10">
        <f t="shared" si="5"/>
        <v>2111</v>
      </c>
      <c r="J12" s="10">
        <f t="shared" si="3"/>
        <v>7399672593.6136675</v>
      </c>
      <c r="K12" s="11">
        <f t="shared" si="4"/>
        <v>1.4599999999999946E-2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3454851.7245625835</v>
      </c>
      <c r="D13" s="11">
        <v>1.47E-2</v>
      </c>
      <c r="E13" s="10">
        <f t="shared" si="2"/>
        <v>50050.576871064957</v>
      </c>
      <c r="F13" s="3"/>
      <c r="G13" s="28"/>
      <c r="H13" s="10"/>
      <c r="I13" s="10">
        <f t="shared" si="5"/>
        <v>2111</v>
      </c>
      <c r="J13" s="10">
        <f t="shared" si="3"/>
        <v>7293191990.5516138</v>
      </c>
      <c r="K13" s="11">
        <f t="shared" si="4"/>
        <v>1.4699999999999935E-2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3404801.1476915185</v>
      </c>
      <c r="D14" s="11">
        <v>1.5100000000000001E-2</v>
      </c>
      <c r="E14" s="10">
        <f t="shared" si="2"/>
        <v>50647.716806365643</v>
      </c>
      <c r="F14" s="3"/>
      <c r="G14" s="28"/>
      <c r="H14" s="10"/>
      <c r="I14" s="10">
        <f t="shared" si="5"/>
        <v>2111</v>
      </c>
      <c r="J14" s="10">
        <f t="shared" si="3"/>
        <v>7187535222.7767954</v>
      </c>
      <c r="K14" s="11">
        <f t="shared" si="4"/>
        <v>1.5099999999999891E-2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3354153.4308851529</v>
      </c>
      <c r="D15" s="11">
        <v>1.54E-2</v>
      </c>
      <c r="E15" s="10">
        <f t="shared" si="2"/>
        <v>50870.556269087829</v>
      </c>
      <c r="F15" s="3"/>
      <c r="G15" s="28"/>
      <c r="H15" s="10"/>
      <c r="I15" s="10">
        <f t="shared" si="5"/>
        <v>2111</v>
      </c>
      <c r="J15" s="10">
        <f t="shared" si="3"/>
        <v>7080617892.5985575</v>
      </c>
      <c r="K15" s="11">
        <f t="shared" si="4"/>
        <v>1.540000000000008E-2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3303282.8746160651</v>
      </c>
      <c r="D16" s="11">
        <v>1.5599999999999999E-2</v>
      </c>
      <c r="E16" s="10">
        <f t="shared" si="2"/>
        <v>50739.673930692021</v>
      </c>
      <c r="F16" s="3"/>
      <c r="G16" s="28"/>
      <c r="H16" s="10"/>
      <c r="I16" s="10">
        <f t="shared" si="5"/>
        <v>2111</v>
      </c>
      <c r="J16" s="10">
        <f t="shared" si="3"/>
        <v>6973230148.3145132</v>
      </c>
      <c r="K16" s="11">
        <f t="shared" si="4"/>
        <v>1.5600000000000058E-2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3252543.200685373</v>
      </c>
      <c r="D17" s="11">
        <v>1.5900000000000001E-2</v>
      </c>
      <c r="E17" s="10">
        <f t="shared" si="2"/>
        <v>50906.030998028815</v>
      </c>
      <c r="F17" s="3"/>
      <c r="G17" s="28"/>
      <c r="H17" s="10"/>
      <c r="I17" s="10">
        <f t="shared" si="5"/>
        <v>2111</v>
      </c>
      <c r="J17" s="10">
        <f t="shared" si="3"/>
        <v>6866118696.6468229</v>
      </c>
      <c r="K17" s="11">
        <f t="shared" si="4"/>
        <v>1.5900000000000025E-2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3201637.1696873442</v>
      </c>
      <c r="D18" s="11">
        <v>1.7100000000000001E-2</v>
      </c>
      <c r="E18" s="10">
        <f t="shared" si="2"/>
        <v>53827.544589178171</v>
      </c>
      <c r="F18" s="3"/>
      <c r="G18" s="28"/>
      <c r="H18" s="10"/>
      <c r="I18" s="10">
        <f t="shared" si="5"/>
        <v>2111</v>
      </c>
      <c r="J18" s="10">
        <f t="shared" si="3"/>
        <v>6758656065.2099838</v>
      </c>
      <c r="K18" s="11">
        <f t="shared" si="4"/>
        <v>1.7099999999999893E-2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3147809.6250981661</v>
      </c>
      <c r="D19" s="11">
        <v>4.1200000000000001E-2</v>
      </c>
      <c r="E19" s="10">
        <f t="shared" si="2"/>
        <v>124557.9682616638</v>
      </c>
      <c r="F19" s="3"/>
      <c r="G19" s="28"/>
      <c r="H19" s="10"/>
      <c r="I19" s="10">
        <f t="shared" si="5"/>
        <v>2111</v>
      </c>
      <c r="J19" s="10">
        <f t="shared" si="3"/>
        <v>6645026118.5822287</v>
      </c>
      <c r="K19" s="11">
        <f t="shared" si="4"/>
        <v>4.1199999999999903E-2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3023251.6568365023</v>
      </c>
      <c r="D20" s="11">
        <v>6.88E-2</v>
      </c>
      <c r="E20" s="10">
        <f t="shared" si="2"/>
        <v>194610.51084426558</v>
      </c>
      <c r="F20" s="3"/>
      <c r="G20" s="28"/>
      <c r="H20" s="10"/>
      <c r="I20" s="10">
        <f t="shared" si="5"/>
        <v>2111</v>
      </c>
      <c r="J20" s="10">
        <f t="shared" si="3"/>
        <v>6382084247.5818567</v>
      </c>
      <c r="K20" s="11">
        <f t="shared" si="4"/>
        <v>6.8799999999999972E-2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2828641.1459922367</v>
      </c>
      <c r="D21" s="11">
        <v>7.5200000000000003E-2</v>
      </c>
      <c r="E21" s="10">
        <f t="shared" si="2"/>
        <v>197836.50872267131</v>
      </c>
      <c r="F21" s="3"/>
      <c r="G21" s="28"/>
      <c r="H21" s="10"/>
      <c r="I21" s="10">
        <f t="shared" si="5"/>
        <v>2111</v>
      </c>
      <c r="J21" s="10">
        <f t="shared" si="3"/>
        <v>5971261459.1896114</v>
      </c>
      <c r="K21" s="11">
        <f t="shared" si="4"/>
        <v>7.5199999999999934E-2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2630804.6372695654</v>
      </c>
      <c r="D22" s="11">
        <v>8.1000000000000003E-2</v>
      </c>
      <c r="E22" s="10">
        <f t="shared" si="2"/>
        <v>197127.82203407446</v>
      </c>
      <c r="F22" s="3"/>
      <c r="G22" s="28"/>
      <c r="H22" s="10"/>
      <c r="I22" s="10">
        <f t="shared" si="5"/>
        <v>2111</v>
      </c>
      <c r="J22" s="10">
        <f t="shared" si="3"/>
        <v>5553628589.2760525</v>
      </c>
      <c r="K22" s="11">
        <f t="shared" si="4"/>
        <v>8.0999999999999961E-2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2433676.8152354909</v>
      </c>
      <c r="D23" s="11">
        <v>6.9800000000000001E-2</v>
      </c>
      <c r="E23" s="10">
        <f t="shared" si="2"/>
        <v>158787.28893572371</v>
      </c>
      <c r="F23" s="3"/>
      <c r="G23" s="28"/>
      <c r="H23" s="10"/>
      <c r="I23" s="10">
        <f t="shared" si="5"/>
        <v>2111</v>
      </c>
      <c r="J23" s="10">
        <f t="shared" si="3"/>
        <v>5137491756.962121</v>
      </c>
      <c r="K23" s="11">
        <f t="shared" si="4"/>
        <v>6.9799999999999862E-2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2274889.5262997672</v>
      </c>
      <c r="D24" s="11">
        <v>6.0199999999999997E-2</v>
      </c>
      <c r="E24" s="10">
        <f t="shared" si="2"/>
        <v>129172.18400608003</v>
      </c>
      <c r="F24" s="3"/>
      <c r="G24" s="28"/>
      <c r="H24" s="10"/>
      <c r="I24" s="10">
        <f t="shared" si="5"/>
        <v>2111</v>
      </c>
      <c r="J24" s="10">
        <f t="shared" si="3"/>
        <v>4802291790.0188084</v>
      </c>
      <c r="K24" s="11">
        <f t="shared" si="4"/>
        <v>6.0199999999999809E-2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2145717.3422936872</v>
      </c>
      <c r="D25" s="11">
        <v>5.3999999999999999E-2</v>
      </c>
      <c r="E25" s="10">
        <f t="shared" si="2"/>
        <v>109932.38755584345</v>
      </c>
      <c r="F25" s="3"/>
      <c r="G25" s="28"/>
      <c r="H25" s="10"/>
      <c r="I25" s="10">
        <f t="shared" si="5"/>
        <v>2111</v>
      </c>
      <c r="J25" s="10">
        <f t="shared" si="3"/>
        <v>4529609309.581974</v>
      </c>
      <c r="K25" s="11">
        <f t="shared" si="4"/>
        <v>5.4000000000000048E-2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2035784.9547378437</v>
      </c>
      <c r="D26" s="11">
        <v>4.1399999999999999E-2</v>
      </c>
      <c r="E26" s="10">
        <f t="shared" si="2"/>
        <v>80930.955565725919</v>
      </c>
      <c r="F26" s="3"/>
      <c r="G26" s="28"/>
      <c r="H26" s="10"/>
      <c r="I26" s="10">
        <f t="shared" si="5"/>
        <v>2111</v>
      </c>
      <c r="J26" s="10">
        <f t="shared" si="3"/>
        <v>4297542039.4515877</v>
      </c>
      <c r="K26" s="11">
        <f t="shared" si="4"/>
        <v>4.1400000000000103E-2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1954853.9991721178</v>
      </c>
      <c r="D27" s="11">
        <v>4.1700000000000001E-2</v>
      </c>
      <c r="E27" s="10">
        <f t="shared" si="2"/>
        <v>78254.211160101229</v>
      </c>
      <c r="F27" s="3"/>
      <c r="G27" s="28"/>
      <c r="H27" s="10"/>
      <c r="I27" s="10">
        <f t="shared" si="5"/>
        <v>2111</v>
      </c>
      <c r="J27" s="10">
        <f t="shared" si="3"/>
        <v>4126696792.2523408</v>
      </c>
      <c r="K27" s="11">
        <f t="shared" si="4"/>
        <v>4.170000000000007E-2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1876599.7880120166</v>
      </c>
      <c r="D28" s="11">
        <v>3.7699999999999997E-2</v>
      </c>
      <c r="E28" s="10">
        <f t="shared" si="2"/>
        <v>68177.519522071118</v>
      </c>
      <c r="F28" s="3"/>
      <c r="G28" s="28"/>
      <c r="H28" s="10"/>
      <c r="I28" s="10">
        <f t="shared" si="5"/>
        <v>2111</v>
      </c>
      <c r="J28" s="10">
        <f t="shared" si="3"/>
        <v>3961502152.4933672</v>
      </c>
      <c r="K28" s="11">
        <f t="shared" si="4"/>
        <v>3.7700000000000289E-2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1808422.2684899454</v>
      </c>
      <c r="D29" s="11">
        <v>3.7999999999999999E-2</v>
      </c>
      <c r="E29" s="10">
        <f t="shared" si="2"/>
        <v>66204.283432194497</v>
      </c>
      <c r="F29" s="3"/>
      <c r="G29" s="28"/>
      <c r="H29" s="10"/>
      <c r="I29" s="10">
        <f t="shared" si="5"/>
        <v>2111</v>
      </c>
      <c r="J29" s="10">
        <f t="shared" si="3"/>
        <v>3817579408.7822747</v>
      </c>
      <c r="K29" s="11">
        <f t="shared" si="4"/>
        <v>3.8000000000000034E-2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1742217.9850577509</v>
      </c>
      <c r="D30" s="12">
        <v>4.24E-2</v>
      </c>
      <c r="E30" s="10">
        <f t="shared" si="2"/>
        <v>70865.351656224811</v>
      </c>
      <c r="F30" s="3"/>
      <c r="G30" s="28"/>
      <c r="H30" s="10"/>
      <c r="I30" s="10">
        <f t="shared" si="5"/>
        <v>2111</v>
      </c>
      <c r="J30" s="10">
        <f t="shared" si="3"/>
        <v>3677822166.456912</v>
      </c>
      <c r="K30" s="11">
        <f t="shared" si="4"/>
        <v>4.2399999999999993E-2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1671352.6334015261</v>
      </c>
      <c r="D31" s="13">
        <v>3.9199999999999999E-2</v>
      </c>
      <c r="E31" s="10">
        <f t="shared" si="2"/>
        <v>63045.634362336015</v>
      </c>
      <c r="F31" s="3"/>
      <c r="G31" s="28"/>
      <c r="H31" s="10"/>
      <c r="I31" s="10">
        <f t="shared" si="5"/>
        <v>2111</v>
      </c>
      <c r="J31" s="10">
        <f t="shared" si="3"/>
        <v>3528225409.1106215</v>
      </c>
      <c r="K31" s="11">
        <f t="shared" si="4"/>
        <v>3.9199999999999902E-2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1608306.9990391901</v>
      </c>
      <c r="D32" s="12">
        <v>3.3399999999999999E-2</v>
      </c>
      <c r="E32" s="10">
        <f t="shared" si="2"/>
        <v>51981.279047715478</v>
      </c>
      <c r="F32" s="3"/>
      <c r="G32" s="28"/>
      <c r="H32" s="10"/>
      <c r="I32" s="10">
        <f t="shared" si="5"/>
        <v>2111</v>
      </c>
      <c r="J32" s="10">
        <f t="shared" si="3"/>
        <v>3395136074.9717302</v>
      </c>
      <c r="K32" s="11">
        <f t="shared" si="4"/>
        <v>3.3400000000000096E-2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1556325.7199914746</v>
      </c>
      <c r="D33" s="13">
        <v>3.6400000000000002E-2</v>
      </c>
      <c r="E33" s="10">
        <f t="shared" si="2"/>
        <v>54660.610003560083</v>
      </c>
      <c r="F33" s="3"/>
      <c r="G33" s="28"/>
      <c r="H33" s="10"/>
      <c r="I33" s="10">
        <f t="shared" si="5"/>
        <v>2111</v>
      </c>
      <c r="J33" s="10">
        <f t="shared" si="3"/>
        <v>3285403594.9020028</v>
      </c>
      <c r="K33" s="11">
        <f t="shared" si="4"/>
        <v>3.6399999999999988E-2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1501665.1099879146</v>
      </c>
      <c r="D34" s="11">
        <v>6.4000000000000003E-3</v>
      </c>
      <c r="E34" s="10">
        <f t="shared" si="2"/>
        <v>9549.5396501615178</v>
      </c>
      <c r="F34" s="3"/>
      <c r="G34" s="28"/>
      <c r="H34" s="10"/>
      <c r="I34" s="10">
        <f t="shared" si="5"/>
        <v>2111</v>
      </c>
      <c r="J34" s="10">
        <f t="shared" ref="J34:J65" si="6">IF(I34="","",I34*C34)</f>
        <v>3170015047.1844878</v>
      </c>
      <c r="K34" s="11">
        <f t="shared" ref="K34:K65" si="7">IFERROR(J34/J35-1,"")</f>
        <v>6.3999999999999613E-3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1492115.570337753</v>
      </c>
      <c r="D35" s="11">
        <v>9.7999999999999997E-3</v>
      </c>
      <c r="E35" s="10">
        <f t="shared" si="2"/>
        <v>14480.82054794021</v>
      </c>
      <c r="F35" s="3"/>
      <c r="G35" s="28"/>
      <c r="H35" s="10"/>
      <c r="I35" s="10">
        <f t="shared" ref="I35:I66" si="8">IF(H35&lt;&gt;"",H35,I34/(1+IF(G34="",0,G34)/100))</f>
        <v>2111</v>
      </c>
      <c r="J35" s="10">
        <f t="shared" si="6"/>
        <v>3149855968.9829965</v>
      </c>
      <c r="K35" s="11">
        <f t="shared" si="7"/>
        <v>9.8000000000000309E-3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1477634.7497898128</v>
      </c>
      <c r="D36" s="11">
        <v>8.0000000000000002E-3</v>
      </c>
      <c r="E36" s="10">
        <f t="shared" si="2"/>
        <v>11727.259918966796</v>
      </c>
      <c r="F36" s="3"/>
      <c r="G36" s="28"/>
      <c r="H36" s="10"/>
      <c r="I36" s="10">
        <f t="shared" si="8"/>
        <v>2111</v>
      </c>
      <c r="J36" s="10">
        <f t="shared" si="6"/>
        <v>3119286956.8062949</v>
      </c>
      <c r="K36" s="11">
        <f t="shared" si="7"/>
        <v>8.0000000000000071E-3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1465907.489870846</v>
      </c>
      <c r="D37" s="11">
        <v>-2.8E-3</v>
      </c>
      <c r="E37" s="10">
        <f t="shared" si="2"/>
        <v>-4116.0659563161898</v>
      </c>
      <c r="F37" s="3"/>
      <c r="G37" s="28"/>
      <c r="H37" s="10"/>
      <c r="I37" s="10">
        <f t="shared" si="8"/>
        <v>2111</v>
      </c>
      <c r="J37" s="10">
        <f t="shared" si="6"/>
        <v>3094530711.1173558</v>
      </c>
      <c r="K37" s="11">
        <f t="shared" si="7"/>
        <v>-2.8000000000001357E-3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1470023.5558271622</v>
      </c>
      <c r="D38" s="11">
        <v>5.1999999999999998E-3</v>
      </c>
      <c r="E38" s="10">
        <f t="shared" si="2"/>
        <v>7604.5786811592989</v>
      </c>
      <c r="F38" s="3"/>
      <c r="G38" s="28"/>
      <c r="H38" s="10"/>
      <c r="I38" s="10">
        <f t="shared" si="8"/>
        <v>2111</v>
      </c>
      <c r="J38" s="10">
        <f t="shared" si="6"/>
        <v>3103219726.3511395</v>
      </c>
      <c r="K38" s="11">
        <f t="shared" si="7"/>
        <v>5.2000000000000934E-3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1462418.9771460029</v>
      </c>
      <c r="D39" s="11">
        <v>2.1000000000000001E-2</v>
      </c>
      <c r="E39" s="10">
        <f t="shared" si="2"/>
        <v>30079.136650407454</v>
      </c>
      <c r="F39" s="3"/>
      <c r="G39" s="28"/>
      <c r="H39" s="10"/>
      <c r="I39" s="10">
        <f t="shared" si="8"/>
        <v>2111</v>
      </c>
      <c r="J39" s="10">
        <f t="shared" si="6"/>
        <v>3087166460.7552123</v>
      </c>
      <c r="K39" s="11">
        <f t="shared" si="7"/>
        <v>2.100000000000013E-2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1432339.8404955955</v>
      </c>
      <c r="D40" s="11">
        <v>2.1000000000000001E-2</v>
      </c>
      <c r="E40" s="10">
        <f t="shared" si="2"/>
        <v>29460.466846628115</v>
      </c>
      <c r="F40" s="3"/>
      <c r="G40" s="28"/>
      <c r="H40" s="10"/>
      <c r="I40" s="10">
        <f t="shared" si="8"/>
        <v>2111</v>
      </c>
      <c r="J40" s="10">
        <f t="shared" si="6"/>
        <v>3023669403.286202</v>
      </c>
      <c r="K40" s="11">
        <f t="shared" si="7"/>
        <v>2.0999999999999686E-2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1402879.3736489674</v>
      </c>
      <c r="D41" s="11">
        <v>2.1000000000000001E-2</v>
      </c>
      <c r="E41" s="10">
        <f t="shared" si="2"/>
        <v>28854.521887001116</v>
      </c>
      <c r="F41" s="3"/>
      <c r="G41" s="28"/>
      <c r="H41" s="10"/>
      <c r="I41" s="10">
        <f t="shared" si="8"/>
        <v>2111</v>
      </c>
      <c r="J41" s="10">
        <f t="shared" si="6"/>
        <v>2961478357.7729702</v>
      </c>
      <c r="K41" s="11">
        <f t="shared" si="7"/>
        <v>2.0999999999999908E-2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1374024.8517619662</v>
      </c>
      <c r="D42" s="11">
        <v>2.1600000000000001E-2</v>
      </c>
      <c r="E42" s="10">
        <f t="shared" si="2"/>
        <v>29051.425996533362</v>
      </c>
      <c r="F42" s="3"/>
      <c r="G42" s="28"/>
      <c r="H42" s="10"/>
      <c r="I42" s="10">
        <f t="shared" si="8"/>
        <v>2111</v>
      </c>
      <c r="J42" s="10">
        <f t="shared" si="6"/>
        <v>2900566462.0695109</v>
      </c>
      <c r="K42" s="11">
        <f t="shared" si="7"/>
        <v>2.1600000000000064E-2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1344973.4257654329</v>
      </c>
      <c r="D43" s="11">
        <v>-2.3900000000000001E-2</v>
      </c>
      <c r="E43" s="10">
        <f t="shared" si="2"/>
        <v>-32931.938198743854</v>
      </c>
      <c r="F43" s="3"/>
      <c r="G43" s="28"/>
      <c r="H43" s="10"/>
      <c r="I43" s="10">
        <f t="shared" si="8"/>
        <v>2111</v>
      </c>
      <c r="J43" s="10">
        <f t="shared" si="6"/>
        <v>2839238901.7908287</v>
      </c>
      <c r="K43" s="11">
        <f t="shared" si="7"/>
        <v>-2.3900000000000143E-2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1377905.3639641767</v>
      </c>
      <c r="D44" s="11">
        <v>-8.4000000000000005E-2</v>
      </c>
      <c r="E44" s="10">
        <f t="shared" si="2"/>
        <v>-126358.13381330878</v>
      </c>
      <c r="F44" s="3"/>
      <c r="G44" s="28"/>
      <c r="H44" s="10"/>
      <c r="I44" s="10">
        <f t="shared" si="8"/>
        <v>2111</v>
      </c>
      <c r="J44" s="10">
        <f t="shared" si="6"/>
        <v>2908758223.3283772</v>
      </c>
      <c r="K44" s="11">
        <f t="shared" si="7"/>
        <v>-8.3999999999999964E-2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1504263.4977774855</v>
      </c>
      <c r="D45" s="11">
        <v>-7.9100000000000004E-2</v>
      </c>
      <c r="E45" s="10">
        <f t="shared" si="2"/>
        <v>-129207.56072776532</v>
      </c>
      <c r="F45" s="3"/>
      <c r="G45" s="28"/>
      <c r="H45" s="10"/>
      <c r="I45" s="10">
        <f t="shared" si="8"/>
        <v>2111</v>
      </c>
      <c r="J45" s="10">
        <f t="shared" si="6"/>
        <v>3175500243.8082719</v>
      </c>
      <c r="K45" s="11">
        <f t="shared" si="7"/>
        <v>-7.9099999999999948E-2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1633471.0585052508</v>
      </c>
      <c r="D46" s="11">
        <v>-7.0199999999999999E-2</v>
      </c>
      <c r="E46" s="10">
        <f t="shared" si="2"/>
        <v>-123327.24059697636</v>
      </c>
      <c r="F46" s="3"/>
      <c r="G46" s="28"/>
      <c r="H46" s="10"/>
      <c r="I46" s="10">
        <f t="shared" si="8"/>
        <v>2111</v>
      </c>
      <c r="J46" s="10">
        <f t="shared" si="6"/>
        <v>3448257404.5045843</v>
      </c>
      <c r="K46" s="11">
        <f t="shared" si="7"/>
        <v>-7.0200000000000151E-2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1756798.2991022272</v>
      </c>
      <c r="D47" s="11">
        <v>-3.0200000000000001E-2</v>
      </c>
      <c r="E47" s="10">
        <f t="shared" si="2"/>
        <v>-54707.474358514417</v>
      </c>
      <c r="F47" s="3"/>
      <c r="G47" s="28"/>
      <c r="H47" s="10"/>
      <c r="I47" s="10">
        <f t="shared" si="8"/>
        <v>2111</v>
      </c>
      <c r="J47" s="10">
        <f t="shared" si="6"/>
        <v>3708601209.4048018</v>
      </c>
      <c r="K47" s="11">
        <f t="shared" si="7"/>
        <v>-3.0200000000000005E-2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1811505.7734607416</v>
      </c>
      <c r="D48" s="11">
        <v>6.4000000000000003E-3</v>
      </c>
      <c r="E48" s="10">
        <f t="shared" si="2"/>
        <v>11519.909529162105</v>
      </c>
      <c r="F48" s="3"/>
      <c r="G48" s="28"/>
      <c r="H48" s="10"/>
      <c r="I48" s="10">
        <f t="shared" si="8"/>
        <v>2111</v>
      </c>
      <c r="J48" s="10">
        <f t="shared" si="6"/>
        <v>3824088687.7756257</v>
      </c>
      <c r="K48" s="11">
        <f t="shared" si="7"/>
        <v>6.3999999999999613E-3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1799985.8639315795</v>
      </c>
      <c r="D49" s="11">
        <v>2.1000000000000001E-2</v>
      </c>
      <c r="E49" s="10">
        <f t="shared" si="2"/>
        <v>37022.236182725755</v>
      </c>
      <c r="F49" s="3"/>
      <c r="G49" s="28"/>
      <c r="H49" s="10"/>
      <c r="I49" s="10">
        <f t="shared" si="8"/>
        <v>2111</v>
      </c>
      <c r="J49" s="10">
        <f t="shared" si="6"/>
        <v>3799770158.7595644</v>
      </c>
      <c r="K49" s="11">
        <f t="shared" si="7"/>
        <v>2.0999999999999908E-2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1762963.6277488538</v>
      </c>
      <c r="D50" s="11">
        <v>2.1000000000000001E-2</v>
      </c>
      <c r="E50" s="10">
        <f t="shared" si="2"/>
        <v>36260.760218144627</v>
      </c>
      <c r="F50" s="3"/>
      <c r="G50" s="28"/>
      <c r="H50" s="10"/>
      <c r="I50" s="10">
        <f t="shared" si="8"/>
        <v>2111</v>
      </c>
      <c r="J50" s="10">
        <f t="shared" si="6"/>
        <v>3721616218.1778302</v>
      </c>
      <c r="K50" s="11">
        <f t="shared" si="7"/>
        <v>2.0999999999999908E-2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1726702.8675307091</v>
      </c>
      <c r="D51" s="11">
        <v>2.1000000000000001E-2</v>
      </c>
      <c r="E51" s="10">
        <f t="shared" si="2"/>
        <v>35514.946344901808</v>
      </c>
      <c r="F51" s="3"/>
      <c r="G51" s="28"/>
      <c r="H51" s="10"/>
      <c r="I51" s="10">
        <f t="shared" si="8"/>
        <v>2111</v>
      </c>
      <c r="J51" s="10">
        <f t="shared" si="6"/>
        <v>3645069753.357327</v>
      </c>
      <c r="K51" s="11">
        <f t="shared" si="7"/>
        <v>2.0999999999999908E-2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1691187.9211858073</v>
      </c>
      <c r="D52" s="11">
        <v>2.1000000000000001E-2</v>
      </c>
      <c r="E52" s="10">
        <f t="shared" si="2"/>
        <v>34784.47242399794</v>
      </c>
      <c r="F52" s="3"/>
      <c r="G52" s="28"/>
      <c r="H52" s="10"/>
      <c r="I52" s="10">
        <f t="shared" si="8"/>
        <v>2111</v>
      </c>
      <c r="J52" s="10">
        <f t="shared" si="6"/>
        <v>3570097701.623239</v>
      </c>
      <c r="K52" s="11">
        <f t="shared" si="7"/>
        <v>2.0999999999999908E-2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1656403.4487618094</v>
      </c>
      <c r="D53" s="11">
        <v>2.0899999999999998E-2</v>
      </c>
      <c r="E53" s="10">
        <f t="shared" si="2"/>
        <v>33910.110764150973</v>
      </c>
      <c r="F53" s="3"/>
      <c r="G53" s="28"/>
      <c r="H53" s="10"/>
      <c r="I53" s="10">
        <f t="shared" si="8"/>
        <v>2111</v>
      </c>
      <c r="J53" s="10">
        <f t="shared" si="6"/>
        <v>3496667680.3361797</v>
      </c>
      <c r="K53" s="11">
        <f t="shared" si="7"/>
        <v>2.0899999999999919E-2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1622493.3379976584</v>
      </c>
      <c r="D54" s="11">
        <v>2.18E-2</v>
      </c>
      <c r="E54" s="10">
        <f t="shared" si="2"/>
        <v>34615.731814786559</v>
      </c>
      <c r="F54" s="3"/>
      <c r="G54" s="28"/>
      <c r="H54" s="10"/>
      <c r="I54" s="10">
        <f t="shared" si="8"/>
        <v>2111</v>
      </c>
      <c r="J54" s="10">
        <f t="shared" si="6"/>
        <v>3425083436.5130568</v>
      </c>
      <c r="K54" s="11">
        <f t="shared" si="7"/>
        <v>2.1800000000000042E-2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1587877.6061828719</v>
      </c>
      <c r="D55" s="11">
        <v>2.24E-2</v>
      </c>
      <c r="E55" s="10">
        <f t="shared" si="2"/>
        <v>34789.180730141234</v>
      </c>
      <c r="F55" s="3"/>
      <c r="G55" s="28"/>
      <c r="H55" s="10"/>
      <c r="I55" s="10">
        <f t="shared" si="8"/>
        <v>2111</v>
      </c>
      <c r="J55" s="10">
        <f t="shared" si="6"/>
        <v>3352009626.6520424</v>
      </c>
      <c r="K55" s="11">
        <f t="shared" si="7"/>
        <v>2.2399999999999975E-2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1553088.4254527306</v>
      </c>
      <c r="D56" s="11">
        <v>2.1999999999999999E-2</v>
      </c>
      <c r="E56" s="10">
        <f t="shared" si="2"/>
        <v>33432.431859060656</v>
      </c>
      <c r="F56" s="3"/>
      <c r="G56" s="28"/>
      <c r="H56" s="10"/>
      <c r="I56" s="10">
        <f t="shared" si="8"/>
        <v>2111</v>
      </c>
      <c r="J56" s="10">
        <f t="shared" si="6"/>
        <v>3278569666.1307144</v>
      </c>
      <c r="K56" s="11">
        <f t="shared" si="7"/>
        <v>2.200000000000002E-2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1519655.99359367</v>
      </c>
      <c r="D57" s="11">
        <v>2.3E-2</v>
      </c>
      <c r="E57" s="10">
        <f t="shared" si="2"/>
        <v>34166.263785585761</v>
      </c>
      <c r="F57" s="3"/>
      <c r="G57" s="28"/>
      <c r="H57" s="10"/>
      <c r="I57" s="10">
        <f t="shared" si="8"/>
        <v>2111</v>
      </c>
      <c r="J57" s="10">
        <f t="shared" si="6"/>
        <v>3207993802.4762373</v>
      </c>
      <c r="K57" s="11">
        <f t="shared" si="7"/>
        <v>2.2999999999999909E-2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1485489.7298080842</v>
      </c>
      <c r="D58" s="11">
        <v>2.4E-2</v>
      </c>
      <c r="E58" s="10">
        <f t="shared" si="2"/>
        <v>34816.165542376926</v>
      </c>
      <c r="F58" s="3"/>
      <c r="G58" s="28"/>
      <c r="H58" s="10"/>
      <c r="I58" s="10">
        <f t="shared" si="8"/>
        <v>2111</v>
      </c>
      <c r="J58" s="10">
        <f t="shared" si="6"/>
        <v>3135868819.6248655</v>
      </c>
      <c r="K58" s="11">
        <f t="shared" si="7"/>
        <v>2.4000000000000021E-2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1450673.5642657073</v>
      </c>
      <c r="D59" s="11">
        <v>2.5000000000000001E-2</v>
      </c>
      <c r="E59" s="10">
        <f t="shared" si="2"/>
        <v>35382.282055261079</v>
      </c>
      <c r="F59" s="3"/>
      <c r="G59" s="28"/>
      <c r="H59" s="10"/>
      <c r="I59" s="10">
        <f t="shared" si="8"/>
        <v>2111</v>
      </c>
      <c r="J59" s="10">
        <f t="shared" si="6"/>
        <v>3062371894.1649079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1415291.2822104462</v>
      </c>
      <c r="D60" s="11">
        <v>2.5499999999999998E-2</v>
      </c>
      <c r="E60" s="10">
        <f t="shared" si="2"/>
        <v>35192.51847524778</v>
      </c>
      <c r="F60" s="3"/>
      <c r="G60" s="28"/>
      <c r="H60" s="10"/>
      <c r="I60" s="10">
        <f t="shared" si="8"/>
        <v>2111</v>
      </c>
      <c r="J60" s="10">
        <f t="shared" si="6"/>
        <v>2987679896.7462521</v>
      </c>
      <c r="K60" s="11">
        <f t="shared" si="7"/>
        <v>2.55000000000003E-2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1380098.7637351984</v>
      </c>
      <c r="D61" s="11">
        <v>2.5999999999999999E-2</v>
      </c>
      <c r="E61" s="10">
        <f t="shared" si="2"/>
        <v>34973.263018630678</v>
      </c>
      <c r="F61" s="3"/>
      <c r="G61" s="28"/>
      <c r="H61" s="10"/>
      <c r="I61" s="10">
        <f t="shared" si="8"/>
        <v>2111</v>
      </c>
      <c r="J61" s="10">
        <f t="shared" si="6"/>
        <v>2913388490.2450037</v>
      </c>
      <c r="K61" s="11">
        <f t="shared" si="7"/>
        <v>2.6000000000000023E-2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1345125.5007165677</v>
      </c>
      <c r="D62" s="11">
        <v>2.5999999999999999E-2</v>
      </c>
      <c r="E62" s="10">
        <f t="shared" si="2"/>
        <v>34087.000992817571</v>
      </c>
      <c r="F62" s="3"/>
      <c r="G62" s="28"/>
      <c r="H62" s="10"/>
      <c r="I62" s="10">
        <f t="shared" si="8"/>
        <v>2111</v>
      </c>
      <c r="J62" s="10">
        <f t="shared" si="6"/>
        <v>2839559932.0126743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1311038.4997237502</v>
      </c>
      <c r="D63" s="11">
        <v>2.5999999999999999E-2</v>
      </c>
      <c r="E63" s="10">
        <f t="shared" si="2"/>
        <v>33223.197848750046</v>
      </c>
      <c r="F63" s="3"/>
      <c r="G63" s="28"/>
      <c r="H63" s="10"/>
      <c r="I63" s="10">
        <f t="shared" si="8"/>
        <v>2111</v>
      </c>
      <c r="J63" s="10">
        <f t="shared" si="6"/>
        <v>2767602272.9168367</v>
      </c>
      <c r="K63" s="11">
        <f t="shared" si="7"/>
        <v>2.6000000000000023E-2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1277815.3018750001</v>
      </c>
      <c r="D64" s="11">
        <v>2.5499999999999998E-2</v>
      </c>
      <c r="E64" s="10">
        <f t="shared" si="2"/>
        <v>31774.051875000121</v>
      </c>
      <c r="F64" s="3"/>
      <c r="G64" s="28"/>
      <c r="H64" s="10"/>
      <c r="I64" s="10">
        <f t="shared" si="8"/>
        <v>2111</v>
      </c>
      <c r="J64" s="10">
        <f t="shared" si="6"/>
        <v>2697468102.2581253</v>
      </c>
      <c r="K64" s="11">
        <f t="shared" si="7"/>
        <v>2.5500000000000078E-2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1246041.25</v>
      </c>
      <c r="D65" s="11">
        <v>2.5000000000000001E-2</v>
      </c>
      <c r="E65" s="10">
        <f t="shared" si="2"/>
        <v>30391.25</v>
      </c>
      <c r="F65" s="3"/>
      <c r="G65" s="28"/>
      <c r="H65" s="10"/>
      <c r="I65" s="10">
        <f t="shared" si="8"/>
        <v>2111</v>
      </c>
      <c r="J65" s="10">
        <f t="shared" si="6"/>
        <v>2630393078.75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1215650</v>
      </c>
      <c r="D66" s="11">
        <v>2.5000000000000001E-2</v>
      </c>
      <c r="E66" s="10">
        <f t="shared" si="2"/>
        <v>29650</v>
      </c>
      <c r="F66" s="3"/>
      <c r="G66" s="28"/>
      <c r="H66" s="10"/>
      <c r="I66" s="10">
        <f t="shared" si="8"/>
        <v>2111</v>
      </c>
      <c r="J66" s="10">
        <f t="shared" ref="J66:J67" si="9">IF(I66="","",I66*C66)</f>
        <v>2566237150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1186000</v>
      </c>
      <c r="D67" s="11">
        <v>2.5000000000000001E-2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2111</v>
      </c>
      <c r="J67" s="10">
        <f t="shared" si="9"/>
        <v>2503646000</v>
      </c>
      <c r="K67" s="11"/>
    </row>
  </sheetData>
  <dataValidations count="1">
    <dataValidation type="custom" allowBlank="1" showDropDown="1" sqref="D2:D67" xr:uid="{00000000-0002-0000-2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90943580.102137834</v>
      </c>
      <c r="D2" s="11">
        <v>1.1900000000000001E-2</v>
      </c>
      <c r="E2" s="10">
        <f t="shared" ref="E2:E66" si="2">SUM(C2-C3)</f>
        <v>1069501.5349495411</v>
      </c>
      <c r="F2" s="15">
        <v>90945636</v>
      </c>
      <c r="G2" s="28"/>
      <c r="H2" s="10"/>
      <c r="I2" s="10">
        <f>IF(H2&lt;&gt;"",H2,1817)</f>
        <v>1817</v>
      </c>
      <c r="J2" s="10">
        <f t="shared" ref="J2:J33" si="3">IF(I2="","",I2*C2)</f>
        <v>165244485045.58444</v>
      </c>
      <c r="K2" s="11">
        <f t="shared" ref="K2:K33" si="4">IFERROR(J2/J3-1,"")</f>
        <v>1.1900000000000022E-2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89874078.567188293</v>
      </c>
      <c r="D3" s="11">
        <v>1.26E-2</v>
      </c>
      <c r="E3" s="10">
        <f t="shared" si="2"/>
        <v>1118322.5261174887</v>
      </c>
      <c r="F3" s="3"/>
      <c r="G3" s="28"/>
      <c r="H3" s="10"/>
      <c r="I3" s="10">
        <f t="shared" ref="I3:I34" si="5">IF(H3&lt;&gt;"",H3,I2/(1+IF(G2="",0,G2)/100))</f>
        <v>1817</v>
      </c>
      <c r="J3" s="10">
        <f t="shared" si="3"/>
        <v>163301200756.58112</v>
      </c>
      <c r="K3" s="11">
        <f t="shared" si="4"/>
        <v>1.2599999999999945E-2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88755756.041070804</v>
      </c>
      <c r="D4" s="11">
        <v>1.3299999999999999E-2</v>
      </c>
      <c r="E4" s="10">
        <f t="shared" si="2"/>
        <v>1164957.6190133691</v>
      </c>
      <c r="F4" s="3"/>
      <c r="G4" s="28"/>
      <c r="H4" s="10"/>
      <c r="I4" s="10">
        <f t="shared" si="5"/>
        <v>1817</v>
      </c>
      <c r="J4" s="10">
        <f t="shared" si="3"/>
        <v>161269208726.62564</v>
      </c>
      <c r="K4" s="11">
        <f t="shared" si="4"/>
        <v>1.330000000000009E-2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87590798.422057435</v>
      </c>
      <c r="D5" s="11">
        <v>1.37E-2</v>
      </c>
      <c r="E5" s="10">
        <f t="shared" si="2"/>
        <v>1183776.2043821514</v>
      </c>
      <c r="F5" s="3"/>
      <c r="G5" s="28"/>
      <c r="H5" s="10"/>
      <c r="I5" s="10">
        <f t="shared" si="5"/>
        <v>1817</v>
      </c>
      <c r="J5" s="10">
        <f t="shared" si="3"/>
        <v>159152480732.87836</v>
      </c>
      <c r="K5" s="11">
        <f t="shared" si="4"/>
        <v>1.3700000000000045E-2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86407022.217675284</v>
      </c>
      <c r="D6" s="11">
        <v>1.4200000000000001E-2</v>
      </c>
      <c r="E6" s="10">
        <f t="shared" si="2"/>
        <v>1209800.5477134585</v>
      </c>
      <c r="F6" s="3"/>
      <c r="G6" s="28"/>
      <c r="H6" s="10"/>
      <c r="I6" s="10">
        <f t="shared" si="5"/>
        <v>1817</v>
      </c>
      <c r="J6" s="10">
        <f t="shared" si="3"/>
        <v>157001559369.51599</v>
      </c>
      <c r="K6" s="11">
        <f t="shared" si="4"/>
        <v>1.419999999999999E-2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85197221.669961825</v>
      </c>
      <c r="D7" s="11">
        <v>1.4500000000000001E-2</v>
      </c>
      <c r="E7" s="10">
        <f t="shared" si="2"/>
        <v>1217703.0204183757</v>
      </c>
      <c r="F7" s="3"/>
      <c r="G7" s="28"/>
      <c r="H7" s="10"/>
      <c r="I7" s="10">
        <f t="shared" si="5"/>
        <v>1817</v>
      </c>
      <c r="J7" s="10">
        <f t="shared" si="3"/>
        <v>154803351774.32065</v>
      </c>
      <c r="K7" s="11">
        <f t="shared" si="4"/>
        <v>1.4499999999999957E-2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83979518.649543449</v>
      </c>
      <c r="D8" s="11">
        <v>1.4500000000000001E-2</v>
      </c>
      <c r="E8" s="10">
        <f t="shared" si="2"/>
        <v>1200298.6894217581</v>
      </c>
      <c r="F8" s="3"/>
      <c r="G8" s="28"/>
      <c r="H8" s="10"/>
      <c r="I8" s="10">
        <f t="shared" si="5"/>
        <v>1817</v>
      </c>
      <c r="J8" s="10">
        <f t="shared" si="3"/>
        <v>152590785386.22046</v>
      </c>
      <c r="K8" s="11">
        <f t="shared" si="4"/>
        <v>1.4499999999999957E-2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82779219.960121691</v>
      </c>
      <c r="D9" s="11">
        <v>1.44E-2</v>
      </c>
      <c r="E9" s="10">
        <f t="shared" si="2"/>
        <v>1175099.3369733393</v>
      </c>
      <c r="F9" s="3"/>
      <c r="G9" s="28"/>
      <c r="H9" s="10"/>
      <c r="I9" s="10">
        <f t="shared" si="5"/>
        <v>1817</v>
      </c>
      <c r="J9" s="10">
        <f t="shared" si="3"/>
        <v>150409842667.54111</v>
      </c>
      <c r="K9" s="11">
        <f t="shared" si="4"/>
        <v>1.4399999999999968E-2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81604120.623148352</v>
      </c>
      <c r="D10" s="11">
        <v>1.5100000000000001E-2</v>
      </c>
      <c r="E10" s="10">
        <f t="shared" si="2"/>
        <v>1213892.4454827458</v>
      </c>
      <c r="F10" s="3"/>
      <c r="G10" s="28"/>
      <c r="H10" s="10"/>
      <c r="I10" s="10">
        <f t="shared" si="5"/>
        <v>1817</v>
      </c>
      <c r="J10" s="10">
        <f t="shared" si="3"/>
        <v>148274687172.26056</v>
      </c>
      <c r="K10" s="11">
        <f t="shared" si="4"/>
        <v>1.5099999999999891E-2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80390228.177665606</v>
      </c>
      <c r="D11" s="11">
        <v>1.5599999999999999E-2</v>
      </c>
      <c r="E11" s="10">
        <f t="shared" si="2"/>
        <v>1234824.3004840314</v>
      </c>
      <c r="F11" s="3"/>
      <c r="G11" s="28"/>
      <c r="H11" s="10"/>
      <c r="I11" s="10">
        <f t="shared" si="5"/>
        <v>1817</v>
      </c>
      <c r="J11" s="10">
        <f t="shared" si="3"/>
        <v>146069044598.81842</v>
      </c>
      <c r="K11" s="11">
        <f t="shared" si="4"/>
        <v>1.5600000000000058E-2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79155403.877181575</v>
      </c>
      <c r="D12" s="11">
        <v>1.6299999999999999E-2</v>
      </c>
      <c r="E12" s="10">
        <f t="shared" si="2"/>
        <v>1269539.587915048</v>
      </c>
      <c r="F12" s="3"/>
      <c r="G12" s="28"/>
      <c r="H12" s="10"/>
      <c r="I12" s="10">
        <f t="shared" si="5"/>
        <v>1817</v>
      </c>
      <c r="J12" s="10">
        <f t="shared" si="3"/>
        <v>143825368844.83893</v>
      </c>
      <c r="K12" s="11">
        <f t="shared" si="4"/>
        <v>1.6299999999999981E-2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77885864.289266527</v>
      </c>
      <c r="D13" s="11">
        <v>1.7000000000000001E-2</v>
      </c>
      <c r="E13" s="10">
        <f t="shared" si="2"/>
        <v>1301926.9350221455</v>
      </c>
      <c r="F13" s="3"/>
      <c r="G13" s="28"/>
      <c r="H13" s="10"/>
      <c r="I13" s="10">
        <f t="shared" si="5"/>
        <v>1817</v>
      </c>
      <c r="J13" s="10">
        <f t="shared" si="3"/>
        <v>141518615413.59729</v>
      </c>
      <c r="K13" s="11">
        <f t="shared" si="4"/>
        <v>1.6999999999999904E-2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76583937.354244381</v>
      </c>
      <c r="D14" s="11">
        <v>1.7299999999999999E-2</v>
      </c>
      <c r="E14" s="10">
        <f t="shared" si="2"/>
        <v>1302371.0962630808</v>
      </c>
      <c r="F14" s="3"/>
      <c r="G14" s="28"/>
      <c r="H14" s="10"/>
      <c r="I14" s="10">
        <f t="shared" si="5"/>
        <v>1817</v>
      </c>
      <c r="J14" s="10">
        <f t="shared" si="3"/>
        <v>139153014172.66205</v>
      </c>
      <c r="K14" s="11">
        <f t="shared" si="4"/>
        <v>1.7300000000000093E-2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75281566.2579813</v>
      </c>
      <c r="D15" s="11">
        <v>1.8100000000000002E-2</v>
      </c>
      <c r="E15" s="10">
        <f t="shared" si="2"/>
        <v>1338371.8193394244</v>
      </c>
      <c r="F15" s="3"/>
      <c r="G15" s="28"/>
      <c r="H15" s="10"/>
      <c r="I15" s="10">
        <f t="shared" si="5"/>
        <v>1817</v>
      </c>
      <c r="J15" s="10">
        <f t="shared" si="3"/>
        <v>136786605890.75203</v>
      </c>
      <c r="K15" s="11">
        <f t="shared" si="4"/>
        <v>1.8100000000000227E-2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73943194.438641876</v>
      </c>
      <c r="D16" s="11">
        <v>1.8700000000000001E-2</v>
      </c>
      <c r="E16" s="10">
        <f t="shared" si="2"/>
        <v>1357355.1938771009</v>
      </c>
      <c r="F16" s="3"/>
      <c r="G16" s="28"/>
      <c r="H16" s="10"/>
      <c r="I16" s="10">
        <f t="shared" si="5"/>
        <v>1817</v>
      </c>
      <c r="J16" s="10">
        <f t="shared" si="3"/>
        <v>134354784295.01228</v>
      </c>
      <c r="K16" s="11">
        <f t="shared" si="4"/>
        <v>1.8699999999999939E-2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72585839.244764775</v>
      </c>
      <c r="D17" s="11">
        <v>1.8800000000000001E-2</v>
      </c>
      <c r="E17" s="10">
        <f t="shared" si="2"/>
        <v>1339432.4477832466</v>
      </c>
      <c r="F17" s="3"/>
      <c r="G17" s="28"/>
      <c r="H17" s="10"/>
      <c r="I17" s="10">
        <f t="shared" si="5"/>
        <v>1817</v>
      </c>
      <c r="J17" s="10">
        <f t="shared" si="3"/>
        <v>131888469907.73759</v>
      </c>
      <c r="K17" s="11">
        <f t="shared" si="4"/>
        <v>1.8799999999999928E-2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71246406.796981528</v>
      </c>
      <c r="D18" s="11">
        <v>1.9E-2</v>
      </c>
      <c r="E18" s="10">
        <f t="shared" si="2"/>
        <v>1328441.3436139822</v>
      </c>
      <c r="F18" s="3"/>
      <c r="G18" s="28"/>
      <c r="H18" s="10"/>
      <c r="I18" s="10">
        <f t="shared" si="5"/>
        <v>1817</v>
      </c>
      <c r="J18" s="10">
        <f t="shared" si="3"/>
        <v>129454721150.11543</v>
      </c>
      <c r="K18" s="11">
        <f t="shared" si="4"/>
        <v>1.8999999999999906E-2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69917965.453367546</v>
      </c>
      <c r="D19" s="11">
        <v>1.9400000000000001E-2</v>
      </c>
      <c r="E19" s="10">
        <f t="shared" si="2"/>
        <v>1330594.9870466292</v>
      </c>
      <c r="F19" s="3"/>
      <c r="G19" s="28"/>
      <c r="H19" s="10"/>
      <c r="I19" s="10">
        <f t="shared" si="5"/>
        <v>1817</v>
      </c>
      <c r="J19" s="10">
        <f t="shared" si="3"/>
        <v>127040943228.76883</v>
      </c>
      <c r="K19" s="11">
        <f t="shared" si="4"/>
        <v>1.9400000000000084E-2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68587370.466320917</v>
      </c>
      <c r="D20" s="11">
        <v>1.9699999999999999E-2</v>
      </c>
      <c r="E20" s="10">
        <f t="shared" si="2"/>
        <v>1325067.3709782511</v>
      </c>
      <c r="F20" s="3"/>
      <c r="G20" s="28"/>
      <c r="H20" s="10"/>
      <c r="I20" s="10">
        <f t="shared" si="5"/>
        <v>1817</v>
      </c>
      <c r="J20" s="10">
        <f t="shared" si="3"/>
        <v>124623252137.3051</v>
      </c>
      <c r="K20" s="11">
        <f t="shared" si="4"/>
        <v>1.9700000000000051E-2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67262303.095342666</v>
      </c>
      <c r="D21" s="11">
        <v>0.02</v>
      </c>
      <c r="E21" s="10">
        <f t="shared" si="2"/>
        <v>1318868.688143976</v>
      </c>
      <c r="F21" s="3"/>
      <c r="G21" s="28"/>
      <c r="H21" s="10"/>
      <c r="I21" s="10">
        <f t="shared" si="5"/>
        <v>1817</v>
      </c>
      <c r="J21" s="10">
        <f t="shared" si="3"/>
        <v>122215604724.23763</v>
      </c>
      <c r="K21" s="11">
        <f t="shared" si="4"/>
        <v>2.0000000000000018E-2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65943434.40719869</v>
      </c>
      <c r="D22" s="11">
        <v>2.01E-2</v>
      </c>
      <c r="E22" s="10">
        <f t="shared" si="2"/>
        <v>1299346.1734973937</v>
      </c>
      <c r="F22" s="3"/>
      <c r="G22" s="28"/>
      <c r="H22" s="10"/>
      <c r="I22" s="10">
        <f t="shared" si="5"/>
        <v>1817</v>
      </c>
      <c r="J22" s="10">
        <f t="shared" si="3"/>
        <v>119819220317.88002</v>
      </c>
      <c r="K22" s="11">
        <f t="shared" si="4"/>
        <v>2.0100000000000007E-2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64644088.233701296</v>
      </c>
      <c r="D23" s="11">
        <v>2.0400000000000001E-2</v>
      </c>
      <c r="E23" s="10">
        <f t="shared" si="2"/>
        <v>1292374.9509677589</v>
      </c>
      <c r="F23" s="3"/>
      <c r="G23" s="28"/>
      <c r="H23" s="10"/>
      <c r="I23" s="10">
        <f t="shared" si="5"/>
        <v>1817</v>
      </c>
      <c r="J23" s="10">
        <f t="shared" si="3"/>
        <v>117458308320.63525</v>
      </c>
      <c r="K23" s="11">
        <f t="shared" si="4"/>
        <v>2.0399999999999974E-2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63351713.282733537</v>
      </c>
      <c r="D24" s="11">
        <v>2.1000000000000001E-2</v>
      </c>
      <c r="E24" s="10">
        <f t="shared" si="2"/>
        <v>1303022.5063049942</v>
      </c>
      <c r="F24" s="3"/>
      <c r="G24" s="28"/>
      <c r="H24" s="10"/>
      <c r="I24" s="10">
        <f t="shared" si="5"/>
        <v>1817</v>
      </c>
      <c r="J24" s="10">
        <f t="shared" si="3"/>
        <v>115110063034.72684</v>
      </c>
      <c r="K24" s="11">
        <f t="shared" si="4"/>
        <v>2.0999999999999908E-2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62048690.776428543</v>
      </c>
      <c r="D25" s="11">
        <v>2.1299999999999999E-2</v>
      </c>
      <c r="E25" s="10">
        <f t="shared" si="2"/>
        <v>1294073.3511582613</v>
      </c>
      <c r="F25" s="3"/>
      <c r="G25" s="28"/>
      <c r="H25" s="10"/>
      <c r="I25" s="10">
        <f t="shared" si="5"/>
        <v>1817</v>
      </c>
      <c r="J25" s="10">
        <f t="shared" si="3"/>
        <v>112742471140.77066</v>
      </c>
      <c r="K25" s="11">
        <f t="shared" si="4"/>
        <v>2.1300000000000097E-2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60754617.425270282</v>
      </c>
      <c r="D26" s="11">
        <v>2.1700000000000001E-2</v>
      </c>
      <c r="E26" s="10">
        <f t="shared" si="2"/>
        <v>1290374.0805797875</v>
      </c>
      <c r="F26" s="3"/>
      <c r="G26" s="28"/>
      <c r="H26" s="10"/>
      <c r="I26" s="10">
        <f t="shared" si="5"/>
        <v>1817</v>
      </c>
      <c r="J26" s="10">
        <f t="shared" si="3"/>
        <v>110391139861.71609</v>
      </c>
      <c r="K26" s="11">
        <f t="shared" si="4"/>
        <v>2.1700000000000053E-2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59464243.344690494</v>
      </c>
      <c r="D27" s="11">
        <v>2.2100000000000002E-2</v>
      </c>
      <c r="E27" s="10">
        <f t="shared" si="2"/>
        <v>1285744.8174519688</v>
      </c>
      <c r="F27" s="3"/>
      <c r="G27" s="28"/>
      <c r="H27" s="10"/>
      <c r="I27" s="10">
        <f t="shared" si="5"/>
        <v>1817</v>
      </c>
      <c r="J27" s="10">
        <f t="shared" si="3"/>
        <v>108046530157.30263</v>
      </c>
      <c r="K27" s="11">
        <f t="shared" si="4"/>
        <v>2.2100000000000009E-2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58178498.527238525</v>
      </c>
      <c r="D28" s="11">
        <v>2.23E-2</v>
      </c>
      <c r="E28" s="10">
        <f t="shared" si="2"/>
        <v>1269080.0324341357</v>
      </c>
      <c r="F28" s="3"/>
      <c r="G28" s="28"/>
      <c r="H28" s="10"/>
      <c r="I28" s="10">
        <f t="shared" si="5"/>
        <v>1817</v>
      </c>
      <c r="J28" s="10">
        <f t="shared" si="3"/>
        <v>105710331823.9924</v>
      </c>
      <c r="K28" s="11">
        <f t="shared" si="4"/>
        <v>2.2299999999999986E-2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56909418.49480439</v>
      </c>
      <c r="D29" s="11">
        <v>2.2499999999999999E-2</v>
      </c>
      <c r="E29" s="10">
        <f t="shared" si="2"/>
        <v>1252285.4925507084</v>
      </c>
      <c r="F29" s="3"/>
      <c r="G29" s="28"/>
      <c r="H29" s="10"/>
      <c r="I29" s="10">
        <f t="shared" si="5"/>
        <v>1817</v>
      </c>
      <c r="J29" s="10">
        <f t="shared" si="3"/>
        <v>103404413405.05957</v>
      </c>
      <c r="K29" s="11">
        <f t="shared" si="4"/>
        <v>2.2499999999999964E-2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55657133.002253681</v>
      </c>
      <c r="D30" s="12">
        <v>2.2800000000000001E-2</v>
      </c>
      <c r="E30" s="10">
        <f t="shared" si="2"/>
        <v>1240694.7912117541</v>
      </c>
      <c r="F30" s="3"/>
      <c r="G30" s="28"/>
      <c r="H30" s="10"/>
      <c r="I30" s="10">
        <f t="shared" si="5"/>
        <v>1817</v>
      </c>
      <c r="J30" s="10">
        <f t="shared" si="3"/>
        <v>101129010665.09494</v>
      </c>
      <c r="K30" s="11">
        <f t="shared" si="4"/>
        <v>2.2799999999999931E-2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54416438.211041927</v>
      </c>
      <c r="D31" s="13">
        <v>2.3099999999999999E-2</v>
      </c>
      <c r="E31" s="10">
        <f t="shared" si="2"/>
        <v>1228638.1807008758</v>
      </c>
      <c r="F31" s="3"/>
      <c r="G31" s="28"/>
      <c r="H31" s="10"/>
      <c r="I31" s="10">
        <f t="shared" si="5"/>
        <v>1817</v>
      </c>
      <c r="J31" s="10">
        <f t="shared" si="3"/>
        <v>98874668229.463181</v>
      </c>
      <c r="K31" s="11">
        <f t="shared" si="4"/>
        <v>2.3099999999999898E-2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53187800.030341052</v>
      </c>
      <c r="D32" s="12">
        <v>2.3300000000000001E-2</v>
      </c>
      <c r="E32" s="10">
        <f t="shared" si="2"/>
        <v>1211058.0872734785</v>
      </c>
      <c r="F32" s="3"/>
      <c r="G32" s="28"/>
      <c r="H32" s="10"/>
      <c r="I32" s="10">
        <f t="shared" si="5"/>
        <v>1817</v>
      </c>
      <c r="J32" s="10">
        <f t="shared" si="3"/>
        <v>96642232655.129684</v>
      </c>
      <c r="K32" s="11">
        <f t="shared" si="4"/>
        <v>2.3299999999999876E-2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51976741.943067573</v>
      </c>
      <c r="D33" s="13">
        <v>2.35E-2</v>
      </c>
      <c r="E33" s="10">
        <f t="shared" si="2"/>
        <v>1193408.3396796212</v>
      </c>
      <c r="F33" s="3"/>
      <c r="G33" s="28"/>
      <c r="H33" s="10"/>
      <c r="I33" s="10">
        <f t="shared" si="5"/>
        <v>1817</v>
      </c>
      <c r="J33" s="10">
        <f t="shared" si="3"/>
        <v>94441740110.553787</v>
      </c>
      <c r="K33" s="11">
        <f t="shared" si="4"/>
        <v>2.3500000000000076E-2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50783333.603387952</v>
      </c>
      <c r="D34" s="11">
        <v>2.3400000000000001E-2</v>
      </c>
      <c r="E34" s="10">
        <f t="shared" si="2"/>
        <v>1161158.8883323073</v>
      </c>
      <c r="F34" s="3"/>
      <c r="G34" s="28"/>
      <c r="H34" s="10"/>
      <c r="I34" s="10">
        <f t="shared" si="5"/>
        <v>1817</v>
      </c>
      <c r="J34" s="10">
        <f t="shared" ref="J34:J65" si="6">IF(I34="","",I34*C34)</f>
        <v>92273317157.355911</v>
      </c>
      <c r="K34" s="11">
        <f t="shared" ref="K34:K65" si="7">IFERROR(J34/J35-1,"")</f>
        <v>2.3400000000000087E-2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49622174.715055645</v>
      </c>
      <c r="D35" s="11">
        <v>2.3300000000000001E-2</v>
      </c>
      <c r="E35" s="10">
        <f t="shared" si="2"/>
        <v>1129870.6839253381</v>
      </c>
      <c r="F35" s="3"/>
      <c r="G35" s="28"/>
      <c r="H35" s="10"/>
      <c r="I35" s="10">
        <f t="shared" ref="I35:I66" si="8">IF(H35&lt;&gt;"",H35,I34/(1+IF(G34="",0,G34)/100))</f>
        <v>1817</v>
      </c>
      <c r="J35" s="10">
        <f t="shared" si="6"/>
        <v>90163491457.256104</v>
      </c>
      <c r="K35" s="11">
        <f t="shared" si="7"/>
        <v>2.3300000000000098E-2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48492304.031130306</v>
      </c>
      <c r="D36" s="11">
        <v>2.35E-2</v>
      </c>
      <c r="E36" s="10">
        <f t="shared" si="2"/>
        <v>1113404.1472707018</v>
      </c>
      <c r="F36" s="3"/>
      <c r="G36" s="28"/>
      <c r="H36" s="10"/>
      <c r="I36" s="10">
        <f t="shared" si="8"/>
        <v>1817</v>
      </c>
      <c r="J36" s="10">
        <f t="shared" si="6"/>
        <v>88110516424.563766</v>
      </c>
      <c r="K36" s="11">
        <f t="shared" si="7"/>
        <v>2.3500000000000076E-2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47378899.883859605</v>
      </c>
      <c r="D37" s="11">
        <v>2.3800000000000002E-2</v>
      </c>
      <c r="E37" s="10">
        <f t="shared" si="2"/>
        <v>1101404.392689839</v>
      </c>
      <c r="F37" s="3"/>
      <c r="G37" s="28"/>
      <c r="H37" s="10"/>
      <c r="I37" s="10">
        <f t="shared" si="8"/>
        <v>1817</v>
      </c>
      <c r="J37" s="10">
        <f t="shared" si="6"/>
        <v>86087461088.9729</v>
      </c>
      <c r="K37" s="11">
        <f t="shared" si="7"/>
        <v>2.3800000000000043E-2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46277495.491169766</v>
      </c>
      <c r="D38" s="11">
        <v>2.3300000000000001E-2</v>
      </c>
      <c r="E38" s="10">
        <f t="shared" si="2"/>
        <v>1053714.1062682122</v>
      </c>
      <c r="F38" s="3"/>
      <c r="G38" s="28"/>
      <c r="H38" s="10"/>
      <c r="I38" s="10">
        <f t="shared" si="8"/>
        <v>1817</v>
      </c>
      <c r="J38" s="10">
        <f t="shared" si="6"/>
        <v>84086209307.45546</v>
      </c>
      <c r="K38" s="11">
        <f t="shared" si="7"/>
        <v>2.3300000000000098E-2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45223781.384901553</v>
      </c>
      <c r="D39" s="11">
        <v>2.3E-2</v>
      </c>
      <c r="E39" s="10">
        <f t="shared" si="2"/>
        <v>1016761.4583115652</v>
      </c>
      <c r="F39" s="3"/>
      <c r="G39" s="28"/>
      <c r="H39" s="10"/>
      <c r="I39" s="10">
        <f t="shared" si="8"/>
        <v>1817</v>
      </c>
      <c r="J39" s="10">
        <f t="shared" si="6"/>
        <v>82171610776.366119</v>
      </c>
      <c r="K39" s="11">
        <f t="shared" si="7"/>
        <v>2.2999999999999687E-2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44207019.926589988</v>
      </c>
      <c r="D40" s="11">
        <v>2.3599999999999999E-2</v>
      </c>
      <c r="E40" s="10">
        <f t="shared" si="2"/>
        <v>1019231.7997924238</v>
      </c>
      <c r="F40" s="3"/>
      <c r="G40" s="28"/>
      <c r="H40" s="10"/>
      <c r="I40" s="10">
        <f t="shared" si="8"/>
        <v>1817</v>
      </c>
      <c r="J40" s="10">
        <f t="shared" si="6"/>
        <v>80324155206.614014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43187788.126797564</v>
      </c>
      <c r="D41" s="11">
        <v>2.35E-2</v>
      </c>
      <c r="E41" s="10">
        <f t="shared" si="2"/>
        <v>991610.18170957267</v>
      </c>
      <c r="F41" s="3"/>
      <c r="G41" s="28"/>
      <c r="H41" s="10"/>
      <c r="I41" s="10">
        <f t="shared" si="8"/>
        <v>1817</v>
      </c>
      <c r="J41" s="10">
        <f t="shared" si="6"/>
        <v>78472211026.391174</v>
      </c>
      <c r="K41" s="11">
        <f t="shared" si="7"/>
        <v>2.3500000000000076E-2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42196177.945087992</v>
      </c>
      <c r="D42" s="11">
        <v>2.3599999999999999E-2</v>
      </c>
      <c r="E42" s="10">
        <f t="shared" si="2"/>
        <v>972870.06594771147</v>
      </c>
      <c r="F42" s="3"/>
      <c r="G42" s="28"/>
      <c r="H42" s="10"/>
      <c r="I42" s="10">
        <f t="shared" si="8"/>
        <v>1817</v>
      </c>
      <c r="J42" s="10">
        <f t="shared" si="6"/>
        <v>76670455326.224884</v>
      </c>
      <c r="K42" s="11">
        <f t="shared" si="7"/>
        <v>2.3600000000000065E-2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41223307.87914028</v>
      </c>
      <c r="D43" s="11">
        <v>2.3E-2</v>
      </c>
      <c r="E43" s="10">
        <f t="shared" si="2"/>
        <v>926819.23872944713</v>
      </c>
      <c r="F43" s="11"/>
      <c r="G43" s="28"/>
      <c r="H43" s="10"/>
      <c r="I43" s="10">
        <f t="shared" si="8"/>
        <v>1817</v>
      </c>
      <c r="J43" s="10">
        <f t="shared" si="6"/>
        <v>74902750416.397888</v>
      </c>
      <c r="K43" s="11">
        <f t="shared" si="7"/>
        <v>2.2999999999999909E-2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40296488.640410833</v>
      </c>
      <c r="D44" s="11">
        <v>2.2499999999999999E-2</v>
      </c>
      <c r="E44" s="10">
        <f t="shared" si="2"/>
        <v>886719.79893324524</v>
      </c>
      <c r="F44" s="11"/>
      <c r="G44" s="28"/>
      <c r="H44" s="10"/>
      <c r="I44" s="10">
        <f t="shared" si="8"/>
        <v>1817</v>
      </c>
      <c r="J44" s="10">
        <f t="shared" si="6"/>
        <v>73218719859.62648</v>
      </c>
      <c r="K44" s="11">
        <f t="shared" si="7"/>
        <v>2.2499999999999964E-2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39409768.841477588</v>
      </c>
      <c r="D45" s="11">
        <v>2.1999999999999999E-2</v>
      </c>
      <c r="E45" s="10">
        <f t="shared" si="2"/>
        <v>848351.18836840242</v>
      </c>
      <c r="F45" s="11"/>
      <c r="G45" s="28"/>
      <c r="H45" s="10"/>
      <c r="I45" s="10">
        <f t="shared" si="8"/>
        <v>1817</v>
      </c>
      <c r="J45" s="10">
        <f t="shared" si="6"/>
        <v>71607549984.964783</v>
      </c>
      <c r="K45" s="11">
        <f t="shared" si="7"/>
        <v>2.2000000000000242E-2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38561417.653109185</v>
      </c>
      <c r="D46" s="11">
        <v>2.2200000000000001E-2</v>
      </c>
      <c r="E46" s="10">
        <f t="shared" si="2"/>
        <v>837471.60232735425</v>
      </c>
      <c r="F46" s="11"/>
      <c r="G46" s="28"/>
      <c r="H46" s="10"/>
      <c r="I46" s="10">
        <f t="shared" si="8"/>
        <v>1817</v>
      </c>
      <c r="J46" s="10">
        <f t="shared" si="6"/>
        <v>70066095875.699387</v>
      </c>
      <c r="K46" s="11">
        <f t="shared" si="7"/>
        <v>2.2199999999999998E-2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37723946.050781831</v>
      </c>
      <c r="D47" s="11">
        <v>2.2200000000000001E-2</v>
      </c>
      <c r="E47" s="10">
        <f t="shared" si="2"/>
        <v>819283.5084399879</v>
      </c>
      <c r="F47" s="11"/>
      <c r="G47" s="28"/>
      <c r="H47" s="10"/>
      <c r="I47" s="10">
        <f t="shared" si="8"/>
        <v>1817</v>
      </c>
      <c r="J47" s="10">
        <f t="shared" si="6"/>
        <v>68544409974.270584</v>
      </c>
      <c r="K47" s="11">
        <f t="shared" si="7"/>
        <v>2.2199999999999998E-2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36904662.542341843</v>
      </c>
      <c r="D48" s="11">
        <v>2.1100000000000001E-2</v>
      </c>
      <c r="E48" s="10">
        <f t="shared" si="2"/>
        <v>762597.57089747488</v>
      </c>
      <c r="F48" s="11"/>
      <c r="G48" s="28"/>
      <c r="H48" s="10"/>
      <c r="I48" s="10">
        <f t="shared" si="8"/>
        <v>1817</v>
      </c>
      <c r="J48" s="10">
        <f t="shared" si="6"/>
        <v>67055771839.435127</v>
      </c>
      <c r="K48" s="11">
        <f t="shared" si="7"/>
        <v>2.1099999999999897E-2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36142064.971444368</v>
      </c>
      <c r="D49" s="11">
        <v>2.1499999999999998E-2</v>
      </c>
      <c r="E49" s="10">
        <f t="shared" si="2"/>
        <v>760699.36063245684</v>
      </c>
      <c r="F49" s="11"/>
      <c r="G49" s="28"/>
      <c r="H49" s="10"/>
      <c r="I49" s="10">
        <f t="shared" si="8"/>
        <v>1817</v>
      </c>
      <c r="J49" s="10">
        <f t="shared" si="6"/>
        <v>65670132053.114418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35381365.610811912</v>
      </c>
      <c r="D50" s="11">
        <v>2.1499999999999998E-2</v>
      </c>
      <c r="E50" s="10">
        <f t="shared" si="2"/>
        <v>744688.55666417629</v>
      </c>
      <c r="F50" s="11"/>
      <c r="G50" s="28"/>
      <c r="H50" s="10"/>
      <c r="I50" s="10">
        <f t="shared" si="8"/>
        <v>1817</v>
      </c>
      <c r="J50" s="10">
        <f t="shared" si="6"/>
        <v>64287941314.845245</v>
      </c>
      <c r="K50" s="11">
        <f t="shared" si="7"/>
        <v>2.1500000000000075E-2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34636677.054147735</v>
      </c>
      <c r="D51" s="11">
        <v>2.1399999999999999E-2</v>
      </c>
      <c r="E51" s="10">
        <f t="shared" si="2"/>
        <v>725695.01562440395</v>
      </c>
      <c r="F51" s="3"/>
      <c r="G51" s="28"/>
      <c r="H51" s="10"/>
      <c r="I51" s="10">
        <f t="shared" si="8"/>
        <v>1817</v>
      </c>
      <c r="J51" s="10">
        <f t="shared" si="6"/>
        <v>62934842207.386436</v>
      </c>
      <c r="K51" s="11">
        <f t="shared" si="7"/>
        <v>2.1400000000000086E-2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33910982.038523331</v>
      </c>
      <c r="D52" s="11">
        <v>2.2499999999999999E-2</v>
      </c>
      <c r="E52" s="10">
        <f t="shared" si="2"/>
        <v>746207.42872056365</v>
      </c>
      <c r="F52" s="3"/>
      <c r="G52" s="28"/>
      <c r="H52" s="10"/>
      <c r="I52" s="10">
        <f t="shared" si="8"/>
        <v>1817</v>
      </c>
      <c r="J52" s="10">
        <f t="shared" si="6"/>
        <v>61616254363.996895</v>
      </c>
      <c r="K52" s="11">
        <f t="shared" si="7"/>
        <v>2.2500000000000187E-2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33164774.609802768</v>
      </c>
      <c r="D53" s="11">
        <v>2.3400000000000001E-2</v>
      </c>
      <c r="E53" s="10">
        <f t="shared" si="2"/>
        <v>758311.24278814346</v>
      </c>
      <c r="F53" s="3"/>
      <c r="G53" s="28"/>
      <c r="H53" s="10"/>
      <c r="I53" s="10">
        <f t="shared" si="8"/>
        <v>1817</v>
      </c>
      <c r="J53" s="10">
        <f t="shared" si="6"/>
        <v>60260395466.011627</v>
      </c>
      <c r="K53" s="11">
        <f t="shared" si="7"/>
        <v>2.3400000000000087E-2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32406463.367014624</v>
      </c>
      <c r="D54" s="11">
        <v>2.35E-2</v>
      </c>
      <c r="E54" s="10">
        <f t="shared" si="2"/>
        <v>744066.3303613551</v>
      </c>
      <c r="F54" s="3"/>
      <c r="G54" s="28"/>
      <c r="H54" s="10"/>
      <c r="I54" s="10">
        <f t="shared" si="8"/>
        <v>1817</v>
      </c>
      <c r="J54" s="10">
        <f t="shared" si="6"/>
        <v>58882543937.86557</v>
      </c>
      <c r="K54" s="11">
        <f t="shared" si="7"/>
        <v>2.3500000000000076E-2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31662397.036653269</v>
      </c>
      <c r="D55" s="11">
        <v>2.3699999999999999E-2</v>
      </c>
      <c r="E55" s="10">
        <f t="shared" si="2"/>
        <v>733026.09140244499</v>
      </c>
      <c r="F55" s="3"/>
      <c r="G55" s="28"/>
      <c r="H55" s="10"/>
      <c r="I55" s="10">
        <f t="shared" si="8"/>
        <v>1817</v>
      </c>
      <c r="J55" s="10">
        <f t="shared" si="6"/>
        <v>57530575415.598991</v>
      </c>
      <c r="K55" s="11">
        <f t="shared" si="7"/>
        <v>2.3700000000000054E-2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30929370.945250824</v>
      </c>
      <c r="D56" s="11">
        <v>2.4E-2</v>
      </c>
      <c r="E56" s="10">
        <f t="shared" si="2"/>
        <v>724907.13152931631</v>
      </c>
      <c r="F56" s="3"/>
      <c r="G56" s="28"/>
      <c r="H56" s="10"/>
      <c r="I56" s="10">
        <f t="shared" si="8"/>
        <v>1817</v>
      </c>
      <c r="J56" s="10">
        <f t="shared" si="6"/>
        <v>56198667007.520744</v>
      </c>
      <c r="K56" s="11">
        <f t="shared" si="7"/>
        <v>2.3999999999999799E-2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30204463.813721508</v>
      </c>
      <c r="D57" s="11">
        <v>2.3E-2</v>
      </c>
      <c r="E57" s="10">
        <f t="shared" si="2"/>
        <v>679083.74165746942</v>
      </c>
      <c r="F57" s="3"/>
      <c r="G57" s="28"/>
      <c r="H57" s="10"/>
      <c r="I57" s="10">
        <f t="shared" si="8"/>
        <v>1817</v>
      </c>
      <c r="J57" s="10">
        <f t="shared" si="6"/>
        <v>54881510749.531982</v>
      </c>
      <c r="K57" s="11">
        <f t="shared" si="7"/>
        <v>2.2999999999999909E-2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29525380.072064038</v>
      </c>
      <c r="D58" s="11">
        <v>2.1999999999999999E-2</v>
      </c>
      <c r="E58" s="10">
        <f t="shared" si="2"/>
        <v>635575.69626752287</v>
      </c>
      <c r="F58" s="3"/>
      <c r="G58" s="28"/>
      <c r="H58" s="10"/>
      <c r="I58" s="10">
        <f t="shared" si="8"/>
        <v>1817</v>
      </c>
      <c r="J58" s="10">
        <f t="shared" si="6"/>
        <v>53647615590.940361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28889804.375796515</v>
      </c>
      <c r="D59" s="11">
        <v>2.1000000000000001E-2</v>
      </c>
      <c r="E59" s="10">
        <f t="shared" si="2"/>
        <v>594207.53368435428</v>
      </c>
      <c r="F59" s="3"/>
      <c r="G59" s="28"/>
      <c r="H59" s="10"/>
      <c r="I59" s="10">
        <f t="shared" si="8"/>
        <v>1817</v>
      </c>
      <c r="J59" s="10">
        <f t="shared" si="6"/>
        <v>52492774550.822266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28295596.842112161</v>
      </c>
      <c r="D60" s="11">
        <v>2.1000000000000001E-2</v>
      </c>
      <c r="E60" s="10">
        <f t="shared" si="2"/>
        <v>581985.83122855425</v>
      </c>
      <c r="F60" s="3"/>
      <c r="G60" s="28"/>
      <c r="H60" s="10"/>
      <c r="I60" s="10">
        <f t="shared" si="8"/>
        <v>1817</v>
      </c>
      <c r="J60" s="10">
        <f t="shared" si="6"/>
        <v>51413099462.117798</v>
      </c>
      <c r="K60" s="11">
        <f t="shared" si="7"/>
        <v>2.0999999999999908E-2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27713611.010883607</v>
      </c>
      <c r="D61" s="11">
        <v>2.1000000000000001E-2</v>
      </c>
      <c r="E61" s="10">
        <f t="shared" si="2"/>
        <v>570015.50561072677</v>
      </c>
      <c r="F61" s="3"/>
      <c r="G61" s="28"/>
      <c r="H61" s="10"/>
      <c r="I61" s="10">
        <f t="shared" si="8"/>
        <v>1817</v>
      </c>
      <c r="J61" s="10">
        <f t="shared" si="6"/>
        <v>50355631206.775513</v>
      </c>
      <c r="K61" s="11">
        <f t="shared" si="7"/>
        <v>2.0999999999999686E-2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27143595.50527288</v>
      </c>
      <c r="D62" s="11">
        <v>0.02</v>
      </c>
      <c r="E62" s="10">
        <f t="shared" si="2"/>
        <v>532227.36284848675</v>
      </c>
      <c r="F62" s="3"/>
      <c r="G62" s="28"/>
      <c r="H62" s="10"/>
      <c r="I62" s="10">
        <f t="shared" si="8"/>
        <v>1817</v>
      </c>
      <c r="J62" s="10">
        <f t="shared" si="6"/>
        <v>49319913033.080826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26611368.142424393</v>
      </c>
      <c r="D63" s="11">
        <v>0.02</v>
      </c>
      <c r="E63" s="10">
        <f t="shared" si="2"/>
        <v>521791.53220440075</v>
      </c>
      <c r="F63" s="3"/>
      <c r="G63" s="28"/>
      <c r="H63" s="10"/>
      <c r="I63" s="10">
        <f t="shared" si="8"/>
        <v>1817</v>
      </c>
      <c r="J63" s="10">
        <f t="shared" si="6"/>
        <v>48352855914.785126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26089576.610219993</v>
      </c>
      <c r="D64" s="11">
        <v>1.9E-2</v>
      </c>
      <c r="E64" s="10">
        <f t="shared" si="2"/>
        <v>486459.23021999747</v>
      </c>
      <c r="F64" s="3"/>
      <c r="G64" s="28"/>
      <c r="H64" s="10"/>
      <c r="I64" s="10">
        <f t="shared" si="8"/>
        <v>1817</v>
      </c>
      <c r="J64" s="10">
        <f t="shared" si="6"/>
        <v>47404760700.76973</v>
      </c>
      <c r="K64" s="11">
        <f t="shared" si="7"/>
        <v>1.8999999999999906E-2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25603117.379999995</v>
      </c>
      <c r="D65" s="11">
        <v>1.7999999999999999E-2</v>
      </c>
      <c r="E65" s="10">
        <f t="shared" si="2"/>
        <v>452707.37999999896</v>
      </c>
      <c r="F65" s="3"/>
      <c r="G65" s="28"/>
      <c r="H65" s="10"/>
      <c r="I65" s="10">
        <f t="shared" si="8"/>
        <v>1817</v>
      </c>
      <c r="J65" s="10">
        <f t="shared" si="6"/>
        <v>46520864279.459991</v>
      </c>
      <c r="K65" s="11">
        <f t="shared" si="7"/>
        <v>1.8000000000000016E-2</v>
      </c>
      <c r="L65" t="s">
        <v>122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25150409.999999996</v>
      </c>
      <c r="D66" s="11">
        <v>1.7000000000000001E-2</v>
      </c>
      <c r="E66" s="10">
        <f t="shared" si="2"/>
        <v>420409.99999999627</v>
      </c>
      <c r="F66" s="3"/>
      <c r="G66" s="28"/>
      <c r="H66" s="10"/>
      <c r="I66" s="10">
        <f t="shared" si="8"/>
        <v>1817</v>
      </c>
      <c r="J66" s="10">
        <f t="shared" ref="J66:J67" si="9">IF(I66="","",I66*C66)</f>
        <v>45698294969.999992</v>
      </c>
      <c r="K66" s="11">
        <f t="shared" ref="K66" si="10">IFERROR(J66/J67-1,"")</f>
        <v>1.6999999999999904E-2</v>
      </c>
    </row>
    <row r="67" spans="1:13" ht="22.5" customHeight="1">
      <c r="A67" s="3">
        <f t="shared" si="0"/>
        <v>1950</v>
      </c>
      <c r="B67" s="3">
        <v>1700</v>
      </c>
      <c r="C67" s="10">
        <v>24730000</v>
      </c>
      <c r="D67" s="11">
        <v>1.6E-2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1817</v>
      </c>
      <c r="J67" s="10">
        <f t="shared" si="9"/>
        <v>44934410000</v>
      </c>
      <c r="K67" s="11"/>
    </row>
  </sheetData>
  <dataValidations count="1">
    <dataValidation type="custom" allowBlank="1" showDropDown="1" sqref="D2:D67" xr:uid="{00000000-0002-0000-2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260856406.4317582</v>
      </c>
      <c r="D2" s="11">
        <v>1.06E-2</v>
      </c>
      <c r="E2" s="10">
        <f t="shared" ref="E2:E66" si="2">SUM(C2-C3)</f>
        <v>2736075.5077939928</v>
      </c>
      <c r="F2" s="15">
        <v>260844816</v>
      </c>
      <c r="G2" s="28"/>
      <c r="H2" s="10"/>
      <c r="I2" s="10">
        <f>IF(H2&lt;&gt;"",H2,10754)</f>
        <v>10754</v>
      </c>
      <c r="J2" s="10">
        <f t="shared" ref="J2:J33" si="3">IF(I2="","",I2*C2)</f>
        <v>2805249794767.1274</v>
      </c>
      <c r="K2" s="11">
        <f t="shared" ref="K2:K33" si="4">IFERROR(J2/J3-1,"")</f>
        <v>1.0599999999999721E-2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258120330.9239642</v>
      </c>
      <c r="D3" s="11">
        <v>1.0699999999999999E-2</v>
      </c>
      <c r="E3" s="10">
        <f t="shared" si="2"/>
        <v>2732648.2050919235</v>
      </c>
      <c r="F3" s="3"/>
      <c r="G3" s="28"/>
      <c r="H3" s="10"/>
      <c r="I3" s="10">
        <f t="shared" ref="I3:I34" si="5">IF(H3&lt;&gt;"",H3,I2/(1+IF(G2="",0,G2)/100))</f>
        <v>10754</v>
      </c>
      <c r="J3" s="10">
        <f t="shared" si="3"/>
        <v>2775826038756.311</v>
      </c>
      <c r="K3" s="11">
        <f t="shared" si="4"/>
        <v>1.0699999999999932E-2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255387682.71887228</v>
      </c>
      <c r="D4" s="11">
        <v>1.04E-2</v>
      </c>
      <c r="E4" s="10">
        <f t="shared" si="2"/>
        <v>2628693.4880010486</v>
      </c>
      <c r="F4" s="3"/>
      <c r="G4" s="28"/>
      <c r="H4" s="10"/>
      <c r="I4" s="10">
        <f t="shared" si="5"/>
        <v>10754</v>
      </c>
      <c r="J4" s="10">
        <f t="shared" si="3"/>
        <v>2746439139958.7524</v>
      </c>
      <c r="K4" s="11">
        <f t="shared" si="4"/>
        <v>1.0399999999999965E-2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252758989.23087123</v>
      </c>
      <c r="D5" s="11">
        <v>1.11E-2</v>
      </c>
      <c r="E5" s="10">
        <f t="shared" si="2"/>
        <v>2774824.2314931154</v>
      </c>
      <c r="F5" s="3"/>
      <c r="G5" s="28"/>
      <c r="H5" s="10"/>
      <c r="I5" s="10">
        <f t="shared" si="5"/>
        <v>10754</v>
      </c>
      <c r="J5" s="10">
        <f t="shared" si="3"/>
        <v>2718170170188.7891</v>
      </c>
      <c r="K5" s="11">
        <f t="shared" si="4"/>
        <v>1.110000000000011E-2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249984164.99937811</v>
      </c>
      <c r="D6" s="11">
        <v>1.1299999999999999E-2</v>
      </c>
      <c r="E6" s="10">
        <f t="shared" si="2"/>
        <v>2793257.2574834228</v>
      </c>
      <c r="F6" s="3"/>
      <c r="G6" s="28"/>
      <c r="H6" s="10"/>
      <c r="I6" s="10">
        <f t="shared" si="5"/>
        <v>10754</v>
      </c>
      <c r="J6" s="10">
        <f t="shared" si="3"/>
        <v>2688329710403.312</v>
      </c>
      <c r="K6" s="11">
        <f t="shared" si="4"/>
        <v>1.1300000000000088E-2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247190907.74189469</v>
      </c>
      <c r="D7" s="11">
        <v>1.14E-2</v>
      </c>
      <c r="E7" s="10">
        <f t="shared" si="2"/>
        <v>2786213.5141957998</v>
      </c>
      <c r="F7" s="3"/>
      <c r="G7" s="28"/>
      <c r="H7" s="10"/>
      <c r="I7" s="10">
        <f t="shared" si="5"/>
        <v>10754</v>
      </c>
      <c r="J7" s="10">
        <f t="shared" si="3"/>
        <v>2658291021856.3354</v>
      </c>
      <c r="K7" s="11">
        <f t="shared" si="4"/>
        <v>1.1400000000000077E-2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244404694.22769889</v>
      </c>
      <c r="D8" s="11">
        <v>1.23E-2</v>
      </c>
      <c r="E8" s="10">
        <f t="shared" si="2"/>
        <v>2969651.0313155055</v>
      </c>
      <c r="F8" s="3"/>
      <c r="G8" s="28"/>
      <c r="H8" s="10"/>
      <c r="I8" s="10">
        <f t="shared" si="5"/>
        <v>10754</v>
      </c>
      <c r="J8" s="10">
        <f t="shared" si="3"/>
        <v>2628328081724.6738</v>
      </c>
      <c r="K8" s="11">
        <f t="shared" si="4"/>
        <v>1.2299999999999978E-2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241435043.19638339</v>
      </c>
      <c r="D9" s="11">
        <v>1.24E-2</v>
      </c>
      <c r="E9" s="10">
        <f t="shared" si="2"/>
        <v>2957126.171113342</v>
      </c>
      <c r="F9" s="3"/>
      <c r="G9" s="28"/>
      <c r="H9" s="10"/>
      <c r="I9" s="10">
        <f t="shared" si="5"/>
        <v>10754</v>
      </c>
      <c r="J9" s="10">
        <f t="shared" si="3"/>
        <v>2596392454533.9067</v>
      </c>
      <c r="K9" s="11">
        <f t="shared" si="4"/>
        <v>1.2399999999999967E-2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238477917.02527004</v>
      </c>
      <c r="D10" s="11">
        <v>1.24E-2</v>
      </c>
      <c r="E10" s="10">
        <f t="shared" si="2"/>
        <v>2920906.9252403677</v>
      </c>
      <c r="F10" s="3"/>
      <c r="G10" s="28"/>
      <c r="H10" s="10"/>
      <c r="I10" s="10">
        <f t="shared" si="5"/>
        <v>10754</v>
      </c>
      <c r="J10" s="10">
        <f t="shared" si="3"/>
        <v>2564591519689.7539</v>
      </c>
      <c r="K10" s="11">
        <f t="shared" si="4"/>
        <v>1.2399999999999967E-2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235557010.10002968</v>
      </c>
      <c r="D11" s="11">
        <v>1.3599999999999999E-2</v>
      </c>
      <c r="E11" s="10">
        <f t="shared" si="2"/>
        <v>3160591.2957383692</v>
      </c>
      <c r="F11" s="3"/>
      <c r="G11" s="28"/>
      <c r="H11" s="10"/>
      <c r="I11" s="10">
        <f t="shared" si="5"/>
        <v>10754</v>
      </c>
      <c r="J11" s="10">
        <f t="shared" si="3"/>
        <v>2533180086615.7192</v>
      </c>
      <c r="K11" s="11">
        <f t="shared" si="4"/>
        <v>1.3600000000000056E-2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232396418.80429131</v>
      </c>
      <c r="D12" s="11">
        <v>1.26E-2</v>
      </c>
      <c r="E12" s="10">
        <f t="shared" si="2"/>
        <v>2891758.7170986235</v>
      </c>
      <c r="F12" s="3"/>
      <c r="G12" s="28"/>
      <c r="H12" s="10"/>
      <c r="I12" s="10">
        <f t="shared" si="5"/>
        <v>10754</v>
      </c>
      <c r="J12" s="10">
        <f t="shared" si="3"/>
        <v>2499191087821.3486</v>
      </c>
      <c r="K12" s="11">
        <f t="shared" si="4"/>
        <v>1.2599999999999945E-2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229504660.08719268</v>
      </c>
      <c r="D13" s="11">
        <v>1.17E-2</v>
      </c>
      <c r="E13" s="10">
        <f t="shared" si="2"/>
        <v>2654150.956825316</v>
      </c>
      <c r="F13" s="3"/>
      <c r="G13" s="28"/>
      <c r="H13" s="10"/>
      <c r="I13" s="10">
        <f t="shared" si="5"/>
        <v>10754</v>
      </c>
      <c r="J13" s="10">
        <f t="shared" si="3"/>
        <v>2468093114577.6699</v>
      </c>
      <c r="K13" s="11">
        <f t="shared" si="4"/>
        <v>1.1700000000000044E-2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226850509.13036737</v>
      </c>
      <c r="D14" s="11">
        <v>1.1299999999999999E-2</v>
      </c>
      <c r="E14" s="10">
        <f t="shared" si="2"/>
        <v>2534767.8761724234</v>
      </c>
      <c r="F14" s="3"/>
      <c r="G14" s="28"/>
      <c r="H14" s="10"/>
      <c r="I14" s="10">
        <f t="shared" si="5"/>
        <v>10754</v>
      </c>
      <c r="J14" s="10">
        <f t="shared" si="3"/>
        <v>2439550375187.9707</v>
      </c>
      <c r="K14" s="11">
        <f t="shared" si="4"/>
        <v>1.1300000000000088E-2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224315741.25419495</v>
      </c>
      <c r="D15" s="11">
        <v>1.11E-2</v>
      </c>
      <c r="E15" s="10">
        <f t="shared" si="2"/>
        <v>2462570.1987158358</v>
      </c>
      <c r="F15" s="3"/>
      <c r="G15" s="28"/>
      <c r="H15" s="10"/>
      <c r="I15" s="10">
        <f t="shared" si="5"/>
        <v>10754</v>
      </c>
      <c r="J15" s="10">
        <f t="shared" si="3"/>
        <v>2412291481447.6123</v>
      </c>
      <c r="K15" s="11">
        <f t="shared" si="4"/>
        <v>1.1099999999999888E-2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221853171.05547911</v>
      </c>
      <c r="D16" s="11">
        <v>1.09E-2</v>
      </c>
      <c r="E16" s="10">
        <f t="shared" si="2"/>
        <v>2392125.3976700902</v>
      </c>
      <c r="F16" s="3"/>
      <c r="G16" s="28"/>
      <c r="H16" s="10"/>
      <c r="I16" s="10">
        <f t="shared" si="5"/>
        <v>10754</v>
      </c>
      <c r="J16" s="10">
        <f t="shared" si="3"/>
        <v>2385809001530.6226</v>
      </c>
      <c r="K16" s="11">
        <f t="shared" si="4"/>
        <v>1.089999999999991E-2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219461045.65780902</v>
      </c>
      <c r="D17" s="11">
        <v>1.09E-2</v>
      </c>
      <c r="E17" s="10">
        <f t="shared" si="2"/>
        <v>2366332.3747849464</v>
      </c>
      <c r="F17" s="3"/>
      <c r="G17" s="28"/>
      <c r="H17" s="10"/>
      <c r="I17" s="10">
        <f t="shared" si="5"/>
        <v>10754</v>
      </c>
      <c r="J17" s="10">
        <f t="shared" si="3"/>
        <v>2360084085004.0781</v>
      </c>
      <c r="K17" s="11">
        <f t="shared" si="4"/>
        <v>1.0899999999999688E-2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217094713.28302407</v>
      </c>
      <c r="D18" s="11">
        <v>1.0800000000000001E-2</v>
      </c>
      <c r="E18" s="10">
        <f t="shared" si="2"/>
        <v>2319571.5309226811</v>
      </c>
      <c r="F18" s="3"/>
      <c r="G18" s="28"/>
      <c r="H18" s="10"/>
      <c r="I18" s="10">
        <f t="shared" si="5"/>
        <v>10754</v>
      </c>
      <c r="J18" s="10">
        <f t="shared" si="3"/>
        <v>2334636546645.6411</v>
      </c>
      <c r="K18" s="11">
        <f t="shared" si="4"/>
        <v>1.0800000000000143E-2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214775141.75210139</v>
      </c>
      <c r="D19" s="11">
        <v>9.2999999999999992E-3</v>
      </c>
      <c r="E19" s="10">
        <f t="shared" si="2"/>
        <v>1979004.0803473294</v>
      </c>
      <c r="F19" s="3"/>
      <c r="G19" s="28"/>
      <c r="H19" s="10"/>
      <c r="I19" s="10">
        <f t="shared" si="5"/>
        <v>10754</v>
      </c>
      <c r="J19" s="10">
        <f t="shared" si="3"/>
        <v>2309691874402.0981</v>
      </c>
      <c r="K19" s="11">
        <f t="shared" si="4"/>
        <v>9.300000000000086E-3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212796137.67175406</v>
      </c>
      <c r="D20" s="11">
        <v>8.3999999999999995E-3</v>
      </c>
      <c r="E20" s="10">
        <f t="shared" si="2"/>
        <v>1772597.7354648113</v>
      </c>
      <c r="F20" s="3"/>
      <c r="G20" s="28"/>
      <c r="H20" s="10"/>
      <c r="I20" s="10">
        <f t="shared" si="5"/>
        <v>10754</v>
      </c>
      <c r="J20" s="10">
        <f t="shared" si="3"/>
        <v>2288409664522.043</v>
      </c>
      <c r="K20" s="11">
        <f t="shared" si="4"/>
        <v>8.3999999999999631E-3</v>
      </c>
      <c r="L20" t="s">
        <v>124</v>
      </c>
      <c r="M20" t="s">
        <v>125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211023539.93628925</v>
      </c>
      <c r="D21" s="11">
        <v>6.8999999999999999E-3</v>
      </c>
      <c r="E21" s="10">
        <f t="shared" si="2"/>
        <v>1446084.4429043233</v>
      </c>
      <c r="F21" s="3"/>
      <c r="G21" s="28"/>
      <c r="H21" s="10"/>
      <c r="I21" s="10">
        <f t="shared" si="5"/>
        <v>10754</v>
      </c>
      <c r="J21" s="10">
        <f t="shared" si="3"/>
        <v>2269347148474.8545</v>
      </c>
      <c r="K21" s="11">
        <f t="shared" si="4"/>
        <v>6.8999999999999062E-3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209577455.49338493</v>
      </c>
      <c r="D22" s="11">
        <v>5.3E-3</v>
      </c>
      <c r="E22" s="10">
        <f t="shared" si="2"/>
        <v>1104904.520158112</v>
      </c>
      <c r="F22" s="3"/>
      <c r="G22" s="28"/>
      <c r="H22" s="10"/>
      <c r="I22" s="10">
        <f t="shared" si="5"/>
        <v>10754</v>
      </c>
      <c r="J22" s="10">
        <f t="shared" si="3"/>
        <v>2253795956375.8613</v>
      </c>
      <c r="K22" s="11">
        <f t="shared" si="4"/>
        <v>5.3000000000000824E-3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208472550.97322682</v>
      </c>
      <c r="D23" s="11">
        <v>2.8999999999999998E-3</v>
      </c>
      <c r="E23" s="10">
        <f t="shared" si="2"/>
        <v>602822.21340346336</v>
      </c>
      <c r="F23" s="3"/>
      <c r="G23" s="28"/>
      <c r="H23" s="10"/>
      <c r="I23" s="10">
        <f t="shared" si="5"/>
        <v>10754</v>
      </c>
      <c r="J23" s="10">
        <f t="shared" si="3"/>
        <v>2241913813166.0811</v>
      </c>
      <c r="K23" s="11">
        <f t="shared" si="4"/>
        <v>2.8999999999999027E-3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207869728.75982335</v>
      </c>
      <c r="D24" s="11">
        <v>-1.6000000000000001E-3</v>
      </c>
      <c r="E24" s="10">
        <f t="shared" si="2"/>
        <v>-333124.56532025337</v>
      </c>
      <c r="F24" s="3"/>
      <c r="G24" s="28"/>
      <c r="H24" s="10"/>
      <c r="I24" s="10">
        <f t="shared" si="5"/>
        <v>10754</v>
      </c>
      <c r="J24" s="10">
        <f t="shared" si="3"/>
        <v>2235431063083.1401</v>
      </c>
      <c r="K24" s="11">
        <f t="shared" si="4"/>
        <v>-1.6000000000001569E-3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208202853.32514361</v>
      </c>
      <c r="D25" s="11">
        <v>-1.1000000000000001E-3</v>
      </c>
      <c r="E25" s="10">
        <f t="shared" si="2"/>
        <v>-229275.34153333306</v>
      </c>
      <c r="F25" s="3"/>
      <c r="G25" s="28"/>
      <c r="H25" s="10"/>
      <c r="I25" s="10">
        <f t="shared" si="5"/>
        <v>10754</v>
      </c>
      <c r="J25" s="10">
        <f t="shared" si="3"/>
        <v>2239013484658.5942</v>
      </c>
      <c r="K25" s="11">
        <f t="shared" si="4"/>
        <v>-1.0999999999999899E-3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208432128.66667694</v>
      </c>
      <c r="D26" s="11">
        <v>2.3E-3</v>
      </c>
      <c r="E26" s="10">
        <f t="shared" si="2"/>
        <v>478293.8201470077</v>
      </c>
      <c r="F26" s="3"/>
      <c r="G26" s="28"/>
      <c r="H26" s="10"/>
      <c r="I26" s="10">
        <f t="shared" si="5"/>
        <v>10754</v>
      </c>
      <c r="J26" s="10">
        <f t="shared" si="3"/>
        <v>2241479111681.4438</v>
      </c>
      <c r="K26" s="11">
        <f t="shared" si="4"/>
        <v>2.2999999999999687E-3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207953834.84652993</v>
      </c>
      <c r="D27" s="11">
        <v>6.0000000000000001E-3</v>
      </c>
      <c r="E27" s="10">
        <f t="shared" si="2"/>
        <v>1240281.3211522698</v>
      </c>
      <c r="F27" s="3"/>
      <c r="G27" s="28"/>
      <c r="H27" s="10"/>
      <c r="I27" s="10">
        <f t="shared" si="5"/>
        <v>10754</v>
      </c>
      <c r="J27" s="10">
        <f t="shared" si="3"/>
        <v>2236335539939.583</v>
      </c>
      <c r="K27" s="11">
        <f t="shared" si="4"/>
        <v>6.0000000000002274E-3</v>
      </c>
      <c r="L27" t="s">
        <v>126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206713553.52537766</v>
      </c>
      <c r="D28" s="11">
        <v>1.11E-2</v>
      </c>
      <c r="E28" s="10">
        <f t="shared" si="2"/>
        <v>2269330.8714585304</v>
      </c>
      <c r="F28" s="3"/>
      <c r="G28" s="28"/>
      <c r="H28" s="10"/>
      <c r="I28" s="10">
        <f t="shared" si="5"/>
        <v>10754</v>
      </c>
      <c r="J28" s="10">
        <f t="shared" si="3"/>
        <v>2222997554611.9111</v>
      </c>
      <c r="K28" s="11">
        <f t="shared" si="4"/>
        <v>1.110000000000011E-2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204444222.65391913</v>
      </c>
      <c r="D29" s="11">
        <v>1.2E-2</v>
      </c>
      <c r="E29" s="10">
        <f t="shared" si="2"/>
        <v>2424239.7943152487</v>
      </c>
      <c r="F29" s="3"/>
      <c r="G29" s="28"/>
      <c r="H29" s="10"/>
      <c r="I29" s="10">
        <f t="shared" si="5"/>
        <v>10754</v>
      </c>
      <c r="J29" s="10">
        <f t="shared" si="3"/>
        <v>2198593170420.2463</v>
      </c>
      <c r="K29" s="11">
        <f t="shared" si="4"/>
        <v>1.2000000000000011E-2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202019982.85960388</v>
      </c>
      <c r="D30" s="12">
        <v>1.21E-2</v>
      </c>
      <c r="E30" s="10">
        <f t="shared" si="2"/>
        <v>2415217.6589281857</v>
      </c>
      <c r="F30" s="3"/>
      <c r="G30" s="28"/>
      <c r="H30" s="10"/>
      <c r="I30" s="10">
        <f t="shared" si="5"/>
        <v>10754</v>
      </c>
      <c r="J30" s="10">
        <f t="shared" si="3"/>
        <v>2172522895672.1802</v>
      </c>
      <c r="K30" s="11">
        <f t="shared" si="4"/>
        <v>1.21E-2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199604765.2006757</v>
      </c>
      <c r="D31" s="13">
        <v>1.38E-2</v>
      </c>
      <c r="E31" s="10">
        <f t="shared" si="2"/>
        <v>2717050.4633747637</v>
      </c>
      <c r="F31" s="3"/>
      <c r="G31" s="28"/>
      <c r="H31" s="10"/>
      <c r="I31" s="10">
        <f t="shared" si="5"/>
        <v>10754</v>
      </c>
      <c r="J31" s="10">
        <f t="shared" si="3"/>
        <v>2146549644968.0664</v>
      </c>
      <c r="K31" s="11">
        <f t="shared" si="4"/>
        <v>1.3800000000000034E-2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196887714.73730093</v>
      </c>
      <c r="D32" s="12">
        <v>1.2399999999999998E-2</v>
      </c>
      <c r="E32" s="10">
        <f t="shared" si="2"/>
        <v>2411505.0007334352</v>
      </c>
      <c r="F32" s="3"/>
      <c r="G32" s="28"/>
      <c r="H32" s="10"/>
      <c r="I32" s="10">
        <f t="shared" si="5"/>
        <v>10754</v>
      </c>
      <c r="J32" s="10">
        <f t="shared" si="3"/>
        <v>2117330484284.9343</v>
      </c>
      <c r="K32" s="11">
        <f t="shared" si="4"/>
        <v>1.2399999999999967E-2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194476209.7365675</v>
      </c>
      <c r="D33" s="13">
        <v>1.21E-2</v>
      </c>
      <c r="E33" s="10">
        <f t="shared" si="2"/>
        <v>2325029.283482343</v>
      </c>
      <c r="F33" s="3"/>
      <c r="G33" s="28"/>
      <c r="H33" s="10"/>
      <c r="I33" s="10">
        <f t="shared" si="5"/>
        <v>10754</v>
      </c>
      <c r="J33" s="10">
        <f t="shared" si="3"/>
        <v>2091397159507.0469</v>
      </c>
      <c r="K33" s="11">
        <f t="shared" si="4"/>
        <v>1.21E-2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192151180.45308515</v>
      </c>
      <c r="D34" s="12">
        <v>1.21E-2</v>
      </c>
      <c r="E34" s="10">
        <f t="shared" si="2"/>
        <v>2297232.7670015991</v>
      </c>
      <c r="F34" s="3"/>
      <c r="G34" s="28"/>
      <c r="H34" s="10"/>
      <c r="I34" s="10">
        <f t="shared" si="5"/>
        <v>10754</v>
      </c>
      <c r="J34" s="10">
        <f t="shared" ref="J34:J65" si="6">IF(I34="","",I34*C34)</f>
        <v>2066393794592.4778</v>
      </c>
      <c r="K34" s="11">
        <f t="shared" ref="K34:K65" si="7">IFERROR(J34/J35-1,"")</f>
        <v>1.21E-2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189853947.68608356</v>
      </c>
      <c r="D35" s="11">
        <v>1.1299999999999998E-2</v>
      </c>
      <c r="E35" s="10">
        <f t="shared" si="2"/>
        <v>2121378.0370342731</v>
      </c>
      <c r="F35" s="3"/>
      <c r="G35" s="28"/>
      <c r="H35" s="10"/>
      <c r="I35" s="10">
        <f t="shared" ref="I35:I66" si="8">IF(H35&lt;&gt;"",H35,I34/(1+IF(G34="",0,G34)/100))</f>
        <v>10754</v>
      </c>
      <c r="J35" s="10">
        <f t="shared" si="6"/>
        <v>2041689353416.1426</v>
      </c>
      <c r="K35" s="11">
        <f t="shared" si="7"/>
        <v>1.1300000000000088E-2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187732569.64904928</v>
      </c>
      <c r="D36" s="11">
        <v>1.0699999999999998E-2</v>
      </c>
      <c r="E36" s="10">
        <f t="shared" si="2"/>
        <v>1987472.5390766859</v>
      </c>
      <c r="F36" s="3"/>
      <c r="G36" s="28"/>
      <c r="H36" s="10"/>
      <c r="I36" s="10">
        <f t="shared" si="8"/>
        <v>10754</v>
      </c>
      <c r="J36" s="10">
        <f t="shared" si="6"/>
        <v>2018876054005.876</v>
      </c>
      <c r="K36" s="11">
        <f t="shared" si="7"/>
        <v>1.0699999999999932E-2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185745097.1099726</v>
      </c>
      <c r="D37" s="11">
        <v>1.03E-2</v>
      </c>
      <c r="E37" s="10">
        <f t="shared" si="2"/>
        <v>1893669.7022990286</v>
      </c>
      <c r="F37" s="3"/>
      <c r="G37" s="28"/>
      <c r="H37" s="10"/>
      <c r="I37" s="10">
        <f t="shared" si="8"/>
        <v>10754</v>
      </c>
      <c r="J37" s="10">
        <f t="shared" si="6"/>
        <v>1997502774320.6453</v>
      </c>
      <c r="K37" s="11">
        <f t="shared" si="7"/>
        <v>1.0299999999999976E-2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183851427.40767357</v>
      </c>
      <c r="D38" s="11">
        <v>9.9999999999999985E-3</v>
      </c>
      <c r="E38" s="10">
        <f t="shared" si="2"/>
        <v>1820311.1624522209</v>
      </c>
      <c r="F38" s="3"/>
      <c r="G38" s="28"/>
      <c r="H38" s="10"/>
      <c r="I38" s="10">
        <f t="shared" si="8"/>
        <v>10754</v>
      </c>
      <c r="J38" s="10">
        <f t="shared" si="6"/>
        <v>1977138250342.1216</v>
      </c>
      <c r="K38" s="11">
        <f t="shared" si="7"/>
        <v>1.0000000000000009E-2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182031116.24522135</v>
      </c>
      <c r="D39" s="11">
        <v>1.0200000000000001E-2</v>
      </c>
      <c r="E39" s="10">
        <f t="shared" si="2"/>
        <v>1837970.0907753408</v>
      </c>
      <c r="F39" s="3"/>
      <c r="G39" s="28"/>
      <c r="H39" s="10"/>
      <c r="I39" s="10">
        <f t="shared" si="8"/>
        <v>10754</v>
      </c>
      <c r="J39" s="10">
        <f t="shared" si="6"/>
        <v>1957562624101.1104</v>
      </c>
      <c r="K39" s="11">
        <f t="shared" si="7"/>
        <v>1.0199999999999987E-2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180193146.15444601</v>
      </c>
      <c r="D40" s="11">
        <v>9.7000000000000003E-3</v>
      </c>
      <c r="E40" s="10">
        <f t="shared" si="2"/>
        <v>1731082.0220839083</v>
      </c>
      <c r="F40" s="3"/>
      <c r="G40" s="28"/>
      <c r="H40" s="10"/>
      <c r="I40" s="10">
        <f t="shared" si="8"/>
        <v>10754</v>
      </c>
      <c r="J40" s="10">
        <f t="shared" si="6"/>
        <v>1937797093744.9124</v>
      </c>
      <c r="K40" s="11">
        <f t="shared" si="7"/>
        <v>9.7000000000000419E-3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178462064.1323621</v>
      </c>
      <c r="D41" s="11">
        <v>9.1000000000000004E-3</v>
      </c>
      <c r="E41" s="10">
        <f t="shared" si="2"/>
        <v>1609359.6111431122</v>
      </c>
      <c r="F41" s="3"/>
      <c r="G41" s="28"/>
      <c r="H41" s="10"/>
      <c r="I41" s="10">
        <f t="shared" si="8"/>
        <v>10754</v>
      </c>
      <c r="J41" s="10">
        <f t="shared" si="6"/>
        <v>1919181037679.4219</v>
      </c>
      <c r="K41" s="11">
        <f t="shared" si="7"/>
        <v>9.100000000000108E-3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176852704.52121899</v>
      </c>
      <c r="D42" s="11">
        <v>9.2999999999999992E-3</v>
      </c>
      <c r="E42" s="10">
        <f t="shared" si="2"/>
        <v>1629575.1035840213</v>
      </c>
      <c r="F42" s="3"/>
      <c r="G42" s="28"/>
      <c r="H42" s="10"/>
      <c r="I42" s="10">
        <f t="shared" si="8"/>
        <v>10754</v>
      </c>
      <c r="J42" s="10">
        <f t="shared" si="6"/>
        <v>1901873984421.189</v>
      </c>
      <c r="K42" s="11">
        <f t="shared" si="7"/>
        <v>9.300000000000086E-3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175223129.41763496</v>
      </c>
      <c r="D43" s="11">
        <v>9.1999999999999998E-3</v>
      </c>
      <c r="E43" s="10">
        <f t="shared" si="2"/>
        <v>1597357.1052737534</v>
      </c>
      <c r="F43" s="3"/>
      <c r="G43" s="28"/>
      <c r="H43" s="10"/>
      <c r="I43" s="10">
        <f t="shared" si="8"/>
        <v>10754</v>
      </c>
      <c r="J43" s="10">
        <f t="shared" si="6"/>
        <v>1884349533757.2463</v>
      </c>
      <c r="K43" s="11">
        <f t="shared" si="7"/>
        <v>9.200000000000097E-3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173625772.31236121</v>
      </c>
      <c r="D44" s="11">
        <v>9.0000000000000011E-3</v>
      </c>
      <c r="E44" s="10">
        <f t="shared" si="2"/>
        <v>1548693.7074442208</v>
      </c>
      <c r="F44" s="3"/>
      <c r="G44" s="28"/>
      <c r="H44" s="10"/>
      <c r="I44" s="10">
        <f t="shared" si="8"/>
        <v>10754</v>
      </c>
      <c r="J44" s="10">
        <f t="shared" si="6"/>
        <v>1867171555447.1326</v>
      </c>
      <c r="K44" s="11">
        <f t="shared" si="7"/>
        <v>8.999999999999897E-3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172077078.60491699</v>
      </c>
      <c r="D45" s="11">
        <v>8.4000000000000012E-3</v>
      </c>
      <c r="E45" s="10">
        <f t="shared" si="2"/>
        <v>1433406.8428017497</v>
      </c>
      <c r="F45" s="3"/>
      <c r="G45" s="28"/>
      <c r="H45" s="10"/>
      <c r="I45" s="10">
        <f t="shared" si="8"/>
        <v>10754</v>
      </c>
      <c r="J45" s="10">
        <f t="shared" si="6"/>
        <v>1850516903317.2773</v>
      </c>
      <c r="K45" s="11">
        <f t="shared" si="7"/>
        <v>8.3999999999999631E-3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170643671.76211524</v>
      </c>
      <c r="D46" s="11">
        <v>9.5000000000000015E-3</v>
      </c>
      <c r="E46" s="10">
        <f t="shared" si="2"/>
        <v>1605859.219158113</v>
      </c>
      <c r="F46" s="3"/>
      <c r="G46" s="28"/>
      <c r="H46" s="10"/>
      <c r="I46" s="10">
        <f t="shared" si="8"/>
        <v>10754</v>
      </c>
      <c r="J46" s="10">
        <f t="shared" si="6"/>
        <v>1835102046129.7874</v>
      </c>
      <c r="K46" s="11">
        <f t="shared" si="7"/>
        <v>9.5000000000000639E-3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169037812.54295713</v>
      </c>
      <c r="D47" s="11">
        <v>1.3299999999999999E-2</v>
      </c>
      <c r="E47" s="10">
        <f t="shared" si="2"/>
        <v>2218694.2729905844</v>
      </c>
      <c r="F47" s="3"/>
      <c r="G47" s="28"/>
      <c r="H47" s="10"/>
      <c r="I47" s="10">
        <f t="shared" si="8"/>
        <v>10754</v>
      </c>
      <c r="J47" s="10">
        <f t="shared" si="6"/>
        <v>1817832636086.9609</v>
      </c>
      <c r="K47" s="11">
        <f t="shared" si="7"/>
        <v>1.330000000000009E-2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166819118.26996654</v>
      </c>
      <c r="D48" s="11">
        <v>1.2200000000000001E-2</v>
      </c>
      <c r="E48" s="10">
        <f t="shared" si="2"/>
        <v>2010663.152433902</v>
      </c>
      <c r="F48" s="3"/>
      <c r="G48" s="28"/>
      <c r="H48" s="10"/>
      <c r="I48" s="10">
        <f t="shared" si="8"/>
        <v>10754</v>
      </c>
      <c r="J48" s="10">
        <f t="shared" si="6"/>
        <v>1793972797875.2202</v>
      </c>
      <c r="K48" s="11">
        <f t="shared" si="7"/>
        <v>1.2199999999999989E-2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164808455.11753264</v>
      </c>
      <c r="D49" s="11">
        <v>1.46E-2</v>
      </c>
      <c r="E49" s="10">
        <f t="shared" si="2"/>
        <v>2371578.4000748694</v>
      </c>
      <c r="F49" s="3"/>
      <c r="G49" s="28"/>
      <c r="H49" s="10"/>
      <c r="I49" s="10">
        <f t="shared" si="8"/>
        <v>10754</v>
      </c>
      <c r="J49" s="10">
        <f t="shared" si="6"/>
        <v>1772350126333.946</v>
      </c>
      <c r="K49" s="11">
        <f t="shared" si="7"/>
        <v>1.4599999999999946E-2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162436876.71745777</v>
      </c>
      <c r="D50" s="11">
        <v>1.5899999999999997E-2</v>
      </c>
      <c r="E50" s="10">
        <f t="shared" si="2"/>
        <v>2542323.3977828324</v>
      </c>
      <c r="F50" s="3"/>
      <c r="G50" s="28"/>
      <c r="H50" s="10"/>
      <c r="I50" s="10">
        <f t="shared" si="8"/>
        <v>10754</v>
      </c>
      <c r="J50" s="10">
        <f t="shared" si="6"/>
        <v>1746846172219.5408</v>
      </c>
      <c r="K50" s="11">
        <f t="shared" si="7"/>
        <v>1.5900000000000025E-2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159894553.31967494</v>
      </c>
      <c r="D51" s="11">
        <v>1.7099999999999997E-2</v>
      </c>
      <c r="E51" s="10">
        <f t="shared" si="2"/>
        <v>2688228.1602265537</v>
      </c>
      <c r="F51" s="3"/>
      <c r="G51" s="28"/>
      <c r="H51" s="10"/>
      <c r="I51" s="10">
        <f t="shared" si="8"/>
        <v>10754</v>
      </c>
      <c r="J51" s="10">
        <f t="shared" si="6"/>
        <v>1719506026399.7842</v>
      </c>
      <c r="K51" s="11">
        <f t="shared" si="7"/>
        <v>1.7099999999999893E-2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157206325.15944839</v>
      </c>
      <c r="D52" s="11">
        <v>1.8500000000000003E-2</v>
      </c>
      <c r="E52" s="10">
        <f t="shared" si="2"/>
        <v>2855490.4422678351</v>
      </c>
      <c r="F52" s="3"/>
      <c r="G52" s="28"/>
      <c r="H52" s="10"/>
      <c r="I52" s="10">
        <f t="shared" si="8"/>
        <v>10754</v>
      </c>
      <c r="J52" s="10">
        <f t="shared" si="6"/>
        <v>1690596820764.708</v>
      </c>
      <c r="K52" s="11">
        <f t="shared" si="7"/>
        <v>1.8499999999999961E-2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154350834.71718055</v>
      </c>
      <c r="D53" s="11">
        <v>1.9999999999999997E-2</v>
      </c>
      <c r="E53" s="10">
        <f t="shared" si="2"/>
        <v>3026486.9552388489</v>
      </c>
      <c r="F53" s="3"/>
      <c r="G53" s="28"/>
      <c r="H53" s="10"/>
      <c r="I53" s="10">
        <f t="shared" si="8"/>
        <v>10754</v>
      </c>
      <c r="J53" s="10">
        <f t="shared" si="6"/>
        <v>1659888876548.5596</v>
      </c>
      <c r="K53" s="11">
        <f t="shared" si="7"/>
        <v>2.0000000000000018E-2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151324347.7619417</v>
      </c>
      <c r="D54" s="11">
        <v>2.1499999999999998E-2</v>
      </c>
      <c r="E54" s="10">
        <f t="shared" si="2"/>
        <v>3184996.0615582466</v>
      </c>
      <c r="F54" s="3"/>
      <c r="G54" s="28"/>
      <c r="H54" s="10"/>
      <c r="I54" s="10">
        <f t="shared" si="8"/>
        <v>10754</v>
      </c>
      <c r="J54" s="10">
        <f t="shared" si="6"/>
        <v>1627342035831.9211</v>
      </c>
      <c r="K54" s="11">
        <f t="shared" si="7"/>
        <v>2.1500000000000075E-2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148139351.70038345</v>
      </c>
      <c r="D55" s="11">
        <v>2.2699999999999998E-2</v>
      </c>
      <c r="E55" s="10">
        <f t="shared" si="2"/>
        <v>3288122.8939070106</v>
      </c>
      <c r="F55" s="3"/>
      <c r="G55" s="28"/>
      <c r="H55" s="10"/>
      <c r="I55" s="10">
        <f t="shared" si="8"/>
        <v>10754</v>
      </c>
      <c r="J55" s="10">
        <f t="shared" si="6"/>
        <v>1593090588185.9236</v>
      </c>
      <c r="K55" s="11">
        <f t="shared" si="7"/>
        <v>2.2699999999999942E-2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144851228.80647644</v>
      </c>
      <c r="D56" s="11">
        <v>2.3799999999999995E-2</v>
      </c>
      <c r="E56" s="10">
        <f t="shared" si="2"/>
        <v>3367317.0986463726</v>
      </c>
      <c r="F56" s="3"/>
      <c r="G56" s="28"/>
      <c r="H56" s="10"/>
      <c r="I56" s="10">
        <f t="shared" si="8"/>
        <v>10754</v>
      </c>
      <c r="J56" s="10">
        <f t="shared" si="6"/>
        <v>1557730114584.8477</v>
      </c>
      <c r="K56" s="11">
        <f t="shared" si="7"/>
        <v>2.3800000000000043E-2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141483911.70783007</v>
      </c>
      <c r="D57" s="11">
        <v>2.5000000000000001E-2</v>
      </c>
      <c r="E57" s="10">
        <f t="shared" si="2"/>
        <v>3450827.1148250997</v>
      </c>
      <c r="F57" s="3"/>
      <c r="G57" s="28"/>
      <c r="H57" s="10"/>
      <c r="I57" s="10">
        <f t="shared" si="8"/>
        <v>10754</v>
      </c>
      <c r="J57" s="10">
        <f t="shared" si="6"/>
        <v>1521517986506.0046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138033084.59300497</v>
      </c>
      <c r="D58" s="11">
        <v>2.5999999999999995E-2</v>
      </c>
      <c r="E58" s="10">
        <f t="shared" si="2"/>
        <v>3497914.4243841469</v>
      </c>
      <c r="F58" s="3"/>
      <c r="G58" s="28"/>
      <c r="H58" s="10"/>
      <c r="I58" s="10">
        <f t="shared" si="8"/>
        <v>10754</v>
      </c>
      <c r="J58" s="10">
        <f t="shared" si="6"/>
        <v>1484407791713.1755</v>
      </c>
      <c r="K58" s="11">
        <f t="shared" si="7"/>
        <v>2.6000000000000023E-2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134535170.16862082</v>
      </c>
      <c r="D59" s="11">
        <v>2.7999999999999997E-2</v>
      </c>
      <c r="E59" s="10">
        <f t="shared" si="2"/>
        <v>3664382.0668495893</v>
      </c>
      <c r="F59" s="3"/>
      <c r="G59" s="28"/>
      <c r="H59" s="10"/>
      <c r="I59" s="10">
        <f t="shared" si="8"/>
        <v>10754</v>
      </c>
      <c r="J59" s="10">
        <f t="shared" si="6"/>
        <v>1446791219993.3484</v>
      </c>
      <c r="K59" s="11">
        <f t="shared" si="7"/>
        <v>2.8000000000000025E-2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130870788.10177124</v>
      </c>
      <c r="D60" s="11">
        <v>0.03</v>
      </c>
      <c r="E60" s="10">
        <f t="shared" si="2"/>
        <v>3811770.5272360593</v>
      </c>
      <c r="F60" s="3"/>
      <c r="G60" s="28"/>
      <c r="H60" s="10"/>
      <c r="I60" s="10">
        <f t="shared" si="8"/>
        <v>10754</v>
      </c>
      <c r="J60" s="10">
        <f t="shared" si="6"/>
        <v>1407384455246.4478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127059017.57453518</v>
      </c>
      <c r="D61" s="11">
        <v>3.2000000000000001E-2</v>
      </c>
      <c r="E61" s="10">
        <f t="shared" si="2"/>
        <v>3939814.4984351993</v>
      </c>
      <c r="F61" s="3"/>
      <c r="G61" s="28"/>
      <c r="H61" s="10"/>
      <c r="I61" s="10">
        <f t="shared" si="8"/>
        <v>10754</v>
      </c>
      <c r="J61" s="10">
        <f t="shared" si="6"/>
        <v>1366392674996.5513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123119203.07609998</v>
      </c>
      <c r="D62" s="11">
        <v>0.03</v>
      </c>
      <c r="E62" s="10">
        <f t="shared" si="2"/>
        <v>3585996.2061000019</v>
      </c>
      <c r="F62" s="3"/>
      <c r="G62" s="28"/>
      <c r="H62" s="10"/>
      <c r="I62" s="10">
        <f t="shared" si="8"/>
        <v>10754</v>
      </c>
      <c r="J62" s="10">
        <f t="shared" si="6"/>
        <v>1324023909880.3792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119533206.86999997</v>
      </c>
      <c r="D63" s="11">
        <v>2.5000000000000001E-2</v>
      </c>
      <c r="E63" s="10">
        <f t="shared" si="2"/>
        <v>2915444.0699999928</v>
      </c>
      <c r="F63" s="3"/>
      <c r="G63" s="28"/>
      <c r="H63" s="10"/>
      <c r="I63" s="10">
        <f t="shared" si="8"/>
        <v>10754</v>
      </c>
      <c r="J63" s="10">
        <f t="shared" si="6"/>
        <v>1285460106679.9797</v>
      </c>
      <c r="K63" s="11">
        <f t="shared" si="7"/>
        <v>2.5000000000000133E-2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116617762.79999998</v>
      </c>
      <c r="D64" s="11">
        <v>2.1999999999999999E-2</v>
      </c>
      <c r="E64" s="10">
        <f t="shared" si="2"/>
        <v>2510362.799999997</v>
      </c>
      <c r="F64" s="3"/>
      <c r="G64" s="28"/>
      <c r="H64" s="10"/>
      <c r="I64" s="10">
        <f t="shared" si="8"/>
        <v>10754</v>
      </c>
      <c r="J64" s="10">
        <f t="shared" si="6"/>
        <v>1254107421151.1997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114107399.99999999</v>
      </c>
      <c r="D65" s="11">
        <v>1.9999999999999997E-2</v>
      </c>
      <c r="E65" s="10">
        <f t="shared" si="2"/>
        <v>2237400</v>
      </c>
      <c r="F65" s="3"/>
      <c r="G65" s="28"/>
      <c r="H65" s="10"/>
      <c r="I65" s="10">
        <f t="shared" si="8"/>
        <v>10754</v>
      </c>
      <c r="J65" s="10">
        <f t="shared" si="6"/>
        <v>1227110979599.9998</v>
      </c>
      <c r="K65" s="11">
        <f t="shared" si="7"/>
        <v>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111869999.99999999</v>
      </c>
      <c r="D66" s="11">
        <v>1.7000000000000001E-2</v>
      </c>
      <c r="E66" s="10">
        <f t="shared" si="2"/>
        <v>1869999.9999999851</v>
      </c>
      <c r="F66" s="3"/>
      <c r="G66" s="28"/>
      <c r="H66" s="10"/>
      <c r="I66" s="10">
        <f t="shared" si="8"/>
        <v>10754</v>
      </c>
      <c r="J66" s="10">
        <f t="shared" ref="J66:J67" si="9">IF(I66="","",I66*C66)</f>
        <v>1203049979999.9998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110000000</v>
      </c>
      <c r="D67" s="11">
        <v>1.5000000000000001E-2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10754</v>
      </c>
      <c r="J67" s="10">
        <f t="shared" si="9"/>
        <v>1182940000000</v>
      </c>
      <c r="K67" s="11"/>
    </row>
  </sheetData>
  <dataValidations count="1">
    <dataValidation type="custom" allowBlank="1" showDropDown="1" sqref="D2:D67" xr:uid="{00000000-0002-0000-2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74668534.21618323</v>
      </c>
      <c r="D2" s="11">
        <v>1.2999999999999999E-3</v>
      </c>
      <c r="E2" s="10">
        <f t="shared" ref="E2:E66" si="2">SUM(C2-C3)</f>
        <v>96943.068492010236</v>
      </c>
      <c r="F2" s="15">
        <v>74667447</v>
      </c>
      <c r="G2" s="28"/>
      <c r="H2" s="10"/>
      <c r="I2" s="10">
        <f>IF(H2&lt;&gt;"",H2,35397)</f>
        <v>35397</v>
      </c>
      <c r="J2" s="10">
        <f t="shared" ref="J2:J33" si="3">IF(I2="","",I2*C2)</f>
        <v>2643042105650.2378</v>
      </c>
      <c r="K2" s="11">
        <f t="shared" ref="K2:K33" si="4">IFERROR(J2/J3-1,"")</f>
        <v>1.3000000000000789E-3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74571591.14769122</v>
      </c>
      <c r="D3" s="11">
        <v>1.8E-3</v>
      </c>
      <c r="E3" s="10">
        <f t="shared" si="2"/>
        <v>133987.68623062968</v>
      </c>
      <c r="F3" s="3"/>
      <c r="G3" s="28"/>
      <c r="H3" s="10"/>
      <c r="I3" s="10">
        <f t="shared" ref="I3:I34" si="5">IF(H3&lt;&gt;"",H3,I2/(1+IF(G2="",0,G2)/100))</f>
        <v>35397</v>
      </c>
      <c r="J3" s="10">
        <f t="shared" si="3"/>
        <v>2639610611854.8262</v>
      </c>
      <c r="K3" s="11">
        <f t="shared" si="4"/>
        <v>1.8000000000000238E-3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74437603.46146059</v>
      </c>
      <c r="D4" s="11">
        <v>2.3999999999999998E-3</v>
      </c>
      <c r="E4" s="10">
        <f t="shared" si="2"/>
        <v>178222.51427324116</v>
      </c>
      <c r="F4" s="3"/>
      <c r="G4" s="28"/>
      <c r="H4" s="10"/>
      <c r="I4" s="10">
        <f t="shared" si="5"/>
        <v>35397</v>
      </c>
      <c r="J4" s="10">
        <f t="shared" si="3"/>
        <v>2634867849725.3203</v>
      </c>
      <c r="K4" s="11">
        <f t="shared" si="4"/>
        <v>2.3999999999997357E-3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74259380.947187349</v>
      </c>
      <c r="D5" s="11">
        <v>2.8E-3</v>
      </c>
      <c r="E5" s="10">
        <f t="shared" si="2"/>
        <v>207345.69869576395</v>
      </c>
      <c r="F5" s="3"/>
      <c r="G5" s="28"/>
      <c r="H5" s="10"/>
      <c r="I5" s="10">
        <f t="shared" si="5"/>
        <v>35397</v>
      </c>
      <c r="J5" s="10">
        <f t="shared" si="3"/>
        <v>2628559307387.5908</v>
      </c>
      <c r="K5" s="11">
        <f t="shared" si="4"/>
        <v>2.7999999999999137E-3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74052035.248491585</v>
      </c>
      <c r="D6" s="11">
        <v>1.6000000000000001E-3</v>
      </c>
      <c r="E6" s="10">
        <f t="shared" si="2"/>
        <v>118293.98601995409</v>
      </c>
      <c r="F6" s="3"/>
      <c r="G6" s="28"/>
      <c r="H6" s="10"/>
      <c r="I6" s="10">
        <f t="shared" si="5"/>
        <v>35397</v>
      </c>
      <c r="J6" s="10">
        <f t="shared" si="3"/>
        <v>2621219891690.8564</v>
      </c>
      <c r="K6" s="11">
        <f t="shared" si="4"/>
        <v>1.5999999999998238E-3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73933741.262471631</v>
      </c>
      <c r="D7" s="11">
        <v>2.3999999999999998E-3</v>
      </c>
      <c r="E7" s="10">
        <f t="shared" si="2"/>
        <v>177016.14029322565</v>
      </c>
      <c r="F7" s="3"/>
      <c r="G7" s="28"/>
      <c r="H7" s="10"/>
      <c r="I7" s="10">
        <f t="shared" si="5"/>
        <v>35397</v>
      </c>
      <c r="J7" s="10">
        <f t="shared" si="3"/>
        <v>2617032639467.7085</v>
      </c>
      <c r="K7" s="11">
        <f t="shared" si="4"/>
        <v>2.3999999999999577E-3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73756725.122178406</v>
      </c>
      <c r="D8" s="11">
        <v>2.7000000000000001E-3</v>
      </c>
      <c r="E8" s="10">
        <f t="shared" si="2"/>
        <v>198606.91914817691</v>
      </c>
      <c r="F8" s="3"/>
      <c r="G8" s="28"/>
      <c r="H8" s="10"/>
      <c r="I8" s="10">
        <f t="shared" si="5"/>
        <v>35397</v>
      </c>
      <c r="J8" s="10">
        <f t="shared" si="3"/>
        <v>2610766799149.749</v>
      </c>
      <c r="K8" s="11">
        <f t="shared" si="4"/>
        <v>2.6999999999999247E-3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73558118.203030229</v>
      </c>
      <c r="D9" s="11">
        <v>3.5999999999999999E-3</v>
      </c>
      <c r="E9" s="10">
        <f t="shared" si="2"/>
        <v>263859.33193594217</v>
      </c>
      <c r="F9" s="3"/>
      <c r="G9" s="28"/>
      <c r="H9" s="10"/>
      <c r="I9" s="10">
        <f t="shared" si="5"/>
        <v>35397</v>
      </c>
      <c r="J9" s="10">
        <f t="shared" si="3"/>
        <v>2603736710032.6611</v>
      </c>
      <c r="K9" s="11">
        <f t="shared" si="4"/>
        <v>3.6000000000000476E-3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73294258.871094286</v>
      </c>
      <c r="D10" s="11">
        <v>4.5999999999999999E-3</v>
      </c>
      <c r="E10" s="10">
        <f t="shared" si="2"/>
        <v>335609.78579238057</v>
      </c>
      <c r="F10" s="3"/>
      <c r="G10" s="28"/>
      <c r="H10" s="10"/>
      <c r="I10" s="10">
        <f t="shared" si="5"/>
        <v>35397</v>
      </c>
      <c r="J10" s="10">
        <f t="shared" si="3"/>
        <v>2594396881260.1245</v>
      </c>
      <c r="K10" s="11">
        <f t="shared" si="4"/>
        <v>4.5999999999999375E-3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72958649.085301906</v>
      </c>
      <c r="D11" s="11">
        <v>4.7000000000000002E-3</v>
      </c>
      <c r="E11" s="10">
        <f t="shared" si="2"/>
        <v>341301.53349348903</v>
      </c>
      <c r="F11" s="3"/>
      <c r="G11" s="28"/>
      <c r="H11" s="10"/>
      <c r="I11" s="10">
        <f t="shared" si="5"/>
        <v>35397</v>
      </c>
      <c r="J11" s="10">
        <f t="shared" si="3"/>
        <v>2582517301672.4316</v>
      </c>
      <c r="K11" s="11">
        <f t="shared" si="4"/>
        <v>4.6999999999999265E-3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72617347.551808417</v>
      </c>
      <c r="D12" s="11">
        <v>5.8999999999999999E-3</v>
      </c>
      <c r="E12" s="10">
        <f t="shared" si="2"/>
        <v>425929.36728866398</v>
      </c>
      <c r="F12" s="3"/>
      <c r="G12" s="28"/>
      <c r="H12" s="10"/>
      <c r="I12" s="10">
        <f t="shared" si="5"/>
        <v>35397</v>
      </c>
      <c r="J12" s="10">
        <f t="shared" si="3"/>
        <v>2570436251291.3623</v>
      </c>
      <c r="K12" s="11">
        <f t="shared" si="4"/>
        <v>5.8999999999997943E-3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72191418.184519753</v>
      </c>
      <c r="D13" s="11">
        <v>6.3E-3</v>
      </c>
      <c r="E13" s="10">
        <f t="shared" si="2"/>
        <v>451958.59541137516</v>
      </c>
      <c r="F13" s="3"/>
      <c r="G13" s="28"/>
      <c r="H13" s="10"/>
      <c r="I13" s="10">
        <f t="shared" si="5"/>
        <v>35397</v>
      </c>
      <c r="J13" s="10">
        <f t="shared" si="3"/>
        <v>2555359629477.4458</v>
      </c>
      <c r="K13" s="11">
        <f t="shared" si="4"/>
        <v>6.2999999999999723E-3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71739459.589108378</v>
      </c>
      <c r="D14" s="11">
        <v>7.1999999999999998E-3</v>
      </c>
      <c r="E14" s="10">
        <f t="shared" si="2"/>
        <v>512831.72065289319</v>
      </c>
      <c r="F14" s="3"/>
      <c r="G14" s="28"/>
      <c r="H14" s="10"/>
      <c r="I14" s="10">
        <f t="shared" si="5"/>
        <v>35397</v>
      </c>
      <c r="J14" s="10">
        <f t="shared" si="3"/>
        <v>2539361651075.6694</v>
      </c>
      <c r="K14" s="11">
        <f t="shared" si="4"/>
        <v>7.2000000000003173E-3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71226627.868455485</v>
      </c>
      <c r="D15" s="11">
        <v>6.8999999999999999E-3</v>
      </c>
      <c r="E15" s="10">
        <f t="shared" si="2"/>
        <v>488095.87078392506</v>
      </c>
      <c r="F15" s="3"/>
      <c r="G15" s="28"/>
      <c r="H15" s="10"/>
      <c r="I15" s="10">
        <f t="shared" si="5"/>
        <v>35397</v>
      </c>
      <c r="J15" s="10">
        <f t="shared" si="3"/>
        <v>2521208946659.7188</v>
      </c>
      <c r="K15" s="11">
        <f t="shared" si="4"/>
        <v>6.8999999999999062E-3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70738531.997671559</v>
      </c>
      <c r="D16" s="11">
        <v>7.9000000000000008E-3</v>
      </c>
      <c r="E16" s="10">
        <f t="shared" si="2"/>
        <v>554454.21448716521</v>
      </c>
      <c r="F16" s="3"/>
      <c r="G16" s="28"/>
      <c r="H16" s="10"/>
      <c r="I16" s="10">
        <f t="shared" si="5"/>
        <v>35397</v>
      </c>
      <c r="J16" s="10">
        <f t="shared" si="3"/>
        <v>2503931817121.5801</v>
      </c>
      <c r="K16" s="11">
        <f t="shared" si="4"/>
        <v>7.9000000000000181E-3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70184077.783184394</v>
      </c>
      <c r="D17" s="11">
        <v>9.7999999999999997E-3</v>
      </c>
      <c r="E17" s="10">
        <f t="shared" si="2"/>
        <v>681128.89906437695</v>
      </c>
      <c r="F17" s="3"/>
      <c r="G17" s="28"/>
      <c r="H17" s="10"/>
      <c r="I17" s="10">
        <f t="shared" si="5"/>
        <v>35397</v>
      </c>
      <c r="J17" s="10">
        <f t="shared" si="3"/>
        <v>2484305801291.3779</v>
      </c>
      <c r="K17" s="11">
        <f t="shared" si="4"/>
        <v>9.8000000000000309E-3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69502948.884120017</v>
      </c>
      <c r="D18" s="11">
        <v>1.2699999999999999E-2</v>
      </c>
      <c r="E18" s="10">
        <f t="shared" si="2"/>
        <v>871617.90345445275</v>
      </c>
      <c r="F18" s="3"/>
      <c r="G18" s="28"/>
      <c r="H18" s="10"/>
      <c r="I18" s="10">
        <f t="shared" si="5"/>
        <v>35397</v>
      </c>
      <c r="J18" s="10">
        <f t="shared" si="3"/>
        <v>2460195881651.1963</v>
      </c>
      <c r="K18" s="11">
        <f t="shared" si="4"/>
        <v>1.2699999999999934E-2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68631330.980665565</v>
      </c>
      <c r="D19" s="11">
        <v>1.0500000000000001E-2</v>
      </c>
      <c r="E19" s="10">
        <f t="shared" si="2"/>
        <v>713140.99485105276</v>
      </c>
      <c r="F19" s="3"/>
      <c r="G19" s="28"/>
      <c r="H19" s="10"/>
      <c r="I19" s="10">
        <f t="shared" si="5"/>
        <v>35397</v>
      </c>
      <c r="J19" s="10">
        <f t="shared" si="3"/>
        <v>2429343222722.6191</v>
      </c>
      <c r="K19" s="11">
        <f t="shared" si="4"/>
        <v>1.0499999999999954E-2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67918189.985814512</v>
      </c>
      <c r="D20" s="11">
        <v>1.2500000000000001E-2</v>
      </c>
      <c r="E20" s="10">
        <f t="shared" si="2"/>
        <v>838496.17266436666</v>
      </c>
      <c r="F20" s="3"/>
      <c r="G20" s="28"/>
      <c r="H20" s="10"/>
      <c r="I20" s="10">
        <f t="shared" si="5"/>
        <v>35397</v>
      </c>
      <c r="J20" s="10">
        <f t="shared" si="3"/>
        <v>2404100170927.8765</v>
      </c>
      <c r="K20" s="11">
        <f t="shared" si="4"/>
        <v>1.2499999999999956E-2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67079693.813150145</v>
      </c>
      <c r="D21" s="11">
        <v>1.0200000000000001E-2</v>
      </c>
      <c r="E21" s="10">
        <f t="shared" si="2"/>
        <v>677304.37229670584</v>
      </c>
      <c r="F21" s="3"/>
      <c r="G21" s="28"/>
      <c r="H21" s="10"/>
      <c r="I21" s="10">
        <f t="shared" si="5"/>
        <v>35397</v>
      </c>
      <c r="J21" s="10">
        <f t="shared" si="3"/>
        <v>2374419921904.0757</v>
      </c>
      <c r="K21" s="11">
        <f t="shared" si="4"/>
        <v>1.0199999999999987E-2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66402389.440853439</v>
      </c>
      <c r="D22" s="11">
        <v>8.6E-3</v>
      </c>
      <c r="E22" s="10">
        <f t="shared" si="2"/>
        <v>566191.30397713184</v>
      </c>
      <c r="F22" s="3"/>
      <c r="G22" s="28"/>
      <c r="H22" s="10"/>
      <c r="I22" s="10">
        <f t="shared" si="5"/>
        <v>35397</v>
      </c>
      <c r="J22" s="10">
        <f t="shared" si="3"/>
        <v>2350445379037.8892</v>
      </c>
      <c r="K22" s="11">
        <f t="shared" si="4"/>
        <v>8.599999999999941E-3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65836198.136876307</v>
      </c>
      <c r="D23" s="11">
        <v>1.4E-2</v>
      </c>
      <c r="E23" s="10">
        <f t="shared" si="2"/>
        <v>908981.03936515749</v>
      </c>
      <c r="F23" s="3"/>
      <c r="G23" s="28"/>
      <c r="H23" s="10"/>
      <c r="I23" s="10">
        <f t="shared" si="5"/>
        <v>35397</v>
      </c>
      <c r="J23" s="10">
        <f t="shared" si="3"/>
        <v>2330403905451.0107</v>
      </c>
      <c r="K23" s="11">
        <f t="shared" si="4"/>
        <v>1.4000000000000012E-2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64927217.09751115</v>
      </c>
      <c r="D24" s="11">
        <v>1.1900000000000001E-2</v>
      </c>
      <c r="E24" s="10">
        <f t="shared" si="2"/>
        <v>763547.66623222083</v>
      </c>
      <c r="F24" s="3"/>
      <c r="G24" s="28"/>
      <c r="H24" s="10"/>
      <c r="I24" s="10">
        <f t="shared" si="5"/>
        <v>35397</v>
      </c>
      <c r="J24" s="10">
        <f t="shared" si="3"/>
        <v>2298228703600.6021</v>
      </c>
      <c r="K24" s="11">
        <f t="shared" si="4"/>
        <v>1.18999999999998E-2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64163669.431278929</v>
      </c>
      <c r="D25" s="11">
        <v>1.32E-2</v>
      </c>
      <c r="E25" s="10">
        <f t="shared" si="2"/>
        <v>835926.21051409841</v>
      </c>
      <c r="F25" s="3"/>
      <c r="G25" s="28"/>
      <c r="H25" s="10"/>
      <c r="I25" s="10">
        <f t="shared" si="5"/>
        <v>35397</v>
      </c>
      <c r="J25" s="10">
        <f t="shared" si="3"/>
        <v>2271201406858.9805</v>
      </c>
      <c r="K25" s="11">
        <f t="shared" si="4"/>
        <v>1.3200000000000101E-2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63327743.220764831</v>
      </c>
      <c r="D26" s="11">
        <v>1.0800000000000001E-2</v>
      </c>
      <c r="E26" s="10">
        <f t="shared" si="2"/>
        <v>676632.0011716038</v>
      </c>
      <c r="F26" s="3"/>
      <c r="G26" s="28"/>
      <c r="H26" s="10"/>
      <c r="I26" s="10">
        <f t="shared" si="5"/>
        <v>35397</v>
      </c>
      <c r="J26" s="10">
        <f t="shared" si="3"/>
        <v>2241612126785.4126</v>
      </c>
      <c r="K26" s="11">
        <f t="shared" si="4"/>
        <v>1.0799999999999921E-2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62651111.219593227</v>
      </c>
      <c r="D27" s="11">
        <v>7.1000000000000004E-3</v>
      </c>
      <c r="E27" s="10">
        <f t="shared" si="2"/>
        <v>441686.91257980466</v>
      </c>
      <c r="F27" s="3"/>
      <c r="G27" s="28"/>
      <c r="H27" s="10"/>
      <c r="I27" s="10">
        <f t="shared" si="5"/>
        <v>35397</v>
      </c>
      <c r="J27" s="10">
        <f t="shared" si="3"/>
        <v>2217661383839.9414</v>
      </c>
      <c r="K27" s="11">
        <f t="shared" si="4"/>
        <v>7.1000000000001062E-3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62209424.307013422</v>
      </c>
      <c r="D28" s="11">
        <v>7.7000000000000002E-3</v>
      </c>
      <c r="E28" s="10">
        <f t="shared" si="2"/>
        <v>475352.3540379107</v>
      </c>
      <c r="F28" s="3"/>
      <c r="G28" s="28"/>
      <c r="H28" s="10"/>
      <c r="I28" s="10">
        <f t="shared" si="5"/>
        <v>35397</v>
      </c>
      <c r="J28" s="10">
        <f t="shared" si="3"/>
        <v>2202026992195.354</v>
      </c>
      <c r="K28" s="11">
        <f t="shared" si="4"/>
        <v>7.7000000000000401E-3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61734071.952975512</v>
      </c>
      <c r="D29" s="11">
        <v>6.8999999999999999E-3</v>
      </c>
      <c r="E29" s="10">
        <f t="shared" si="2"/>
        <v>423046.07853364199</v>
      </c>
      <c r="F29" s="3"/>
      <c r="G29" s="28"/>
      <c r="H29" s="10"/>
      <c r="I29" s="10">
        <f t="shared" si="5"/>
        <v>35397</v>
      </c>
      <c r="J29" s="10">
        <f t="shared" si="3"/>
        <v>2185200944919.4741</v>
      </c>
      <c r="K29" s="11">
        <f t="shared" si="4"/>
        <v>6.8999999999999062E-3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61311025.87444187</v>
      </c>
      <c r="D30" s="12">
        <v>7.4999999999999997E-3</v>
      </c>
      <c r="E30" s="10">
        <f t="shared" si="2"/>
        <v>456409.62189411372</v>
      </c>
      <c r="F30" s="3"/>
      <c r="G30" s="28"/>
      <c r="H30" s="10"/>
      <c r="I30" s="10">
        <f t="shared" si="5"/>
        <v>35397</v>
      </c>
      <c r="J30" s="10">
        <f t="shared" si="3"/>
        <v>2170226382877.6189</v>
      </c>
      <c r="K30" s="11">
        <f t="shared" si="4"/>
        <v>7.5000000000000622E-3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60854616.252547756</v>
      </c>
      <c r="D31" s="13">
        <v>7.6E-3</v>
      </c>
      <c r="E31" s="10">
        <f t="shared" si="2"/>
        <v>459006.63310774416</v>
      </c>
      <c r="F31" s="3"/>
      <c r="G31" s="28"/>
      <c r="H31" s="10"/>
      <c r="I31" s="10">
        <f t="shared" si="5"/>
        <v>35397</v>
      </c>
      <c r="J31" s="10">
        <f t="shared" si="3"/>
        <v>2154070851491.4329</v>
      </c>
      <c r="K31" s="11">
        <f t="shared" si="4"/>
        <v>7.6000000000000512E-3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60395609.619440012</v>
      </c>
      <c r="D32" s="12">
        <v>8.2000000000000007E-3</v>
      </c>
      <c r="E32" s="10">
        <f t="shared" si="2"/>
        <v>491216.02745427936</v>
      </c>
      <c r="F32" s="3"/>
      <c r="G32" s="28"/>
      <c r="H32" s="10"/>
      <c r="I32" s="10">
        <f t="shared" si="5"/>
        <v>35397</v>
      </c>
      <c r="J32" s="10">
        <f t="shared" si="3"/>
        <v>2137823393699.3181</v>
      </c>
      <c r="K32" s="11">
        <f t="shared" si="4"/>
        <v>8.1999999999999851E-3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59904393.591985732</v>
      </c>
      <c r="D33" s="13">
        <v>1.0500000000000001E-2</v>
      </c>
      <c r="E33" s="10">
        <f t="shared" si="2"/>
        <v>622460.29957035929</v>
      </c>
      <c r="F33" s="3"/>
      <c r="G33" s="28"/>
      <c r="H33" s="10"/>
      <c r="I33" s="10">
        <f t="shared" si="5"/>
        <v>35397</v>
      </c>
      <c r="J33" s="10">
        <f t="shared" si="3"/>
        <v>2120435819975.519</v>
      </c>
      <c r="K33" s="11">
        <f t="shared" si="4"/>
        <v>1.0499999999999954E-2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59281933.292415373</v>
      </c>
      <c r="D34" s="12">
        <v>9.1999999999999998E-3</v>
      </c>
      <c r="E34" s="10">
        <f t="shared" si="2"/>
        <v>540421.90476637334</v>
      </c>
      <c r="F34" s="3"/>
      <c r="G34" s="28"/>
      <c r="H34" s="10"/>
      <c r="I34" s="10">
        <f t="shared" si="5"/>
        <v>35397</v>
      </c>
      <c r="J34" s="10">
        <f t="shared" ref="J34:J65" si="6">IF(I34="","",I34*C34)</f>
        <v>2098402592751.627</v>
      </c>
      <c r="K34" s="11">
        <f t="shared" ref="K34:K65" si="7">IFERROR(J34/J35-1,"")</f>
        <v>9.200000000000097E-3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58741511.387649</v>
      </c>
      <c r="D35" s="11">
        <v>1.2200000000000001E-2</v>
      </c>
      <c r="E35" s="10">
        <f t="shared" si="2"/>
        <v>708008.73239410669</v>
      </c>
      <c r="F35" s="3"/>
      <c r="G35" s="28"/>
      <c r="H35" s="10"/>
      <c r="I35" s="10">
        <f t="shared" ref="I35:I66" si="8">IF(H35&lt;&gt;"",H35,I34/(1+IF(G34="",0,G34)/100))</f>
        <v>35397</v>
      </c>
      <c r="J35" s="10">
        <f t="shared" si="6"/>
        <v>2079273278588.6116</v>
      </c>
      <c r="K35" s="11">
        <f t="shared" si="7"/>
        <v>1.2199999999999989E-2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58033502.655254893</v>
      </c>
      <c r="D36" s="11">
        <v>1.4800000000000001E-2</v>
      </c>
      <c r="E36" s="10">
        <f t="shared" si="2"/>
        <v>846369.56966669858</v>
      </c>
      <c r="F36" s="3"/>
      <c r="G36" s="28"/>
      <c r="H36" s="10"/>
      <c r="I36" s="10">
        <f t="shared" si="8"/>
        <v>35397</v>
      </c>
      <c r="J36" s="10">
        <f t="shared" si="6"/>
        <v>2054211893488.0574</v>
      </c>
      <c r="K36" s="11">
        <f t="shared" si="7"/>
        <v>1.4799999999999702E-2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57187133.085588194</v>
      </c>
      <c r="D37" s="11">
        <v>1.6899999999999998E-2</v>
      </c>
      <c r="E37" s="10">
        <f t="shared" si="2"/>
        <v>950400.77603150159</v>
      </c>
      <c r="F37" s="3"/>
      <c r="G37" s="28"/>
      <c r="H37" s="10"/>
      <c r="I37" s="10">
        <f t="shared" si="8"/>
        <v>35397</v>
      </c>
      <c r="J37" s="10">
        <f t="shared" si="6"/>
        <v>2024252949830.5654</v>
      </c>
      <c r="K37" s="11">
        <f t="shared" si="7"/>
        <v>1.6899999999999915E-2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56236732.309556693</v>
      </c>
      <c r="D38" s="11">
        <v>1.7399999999999999E-2</v>
      </c>
      <c r="E38" s="10">
        <f t="shared" si="2"/>
        <v>961784.09886602312</v>
      </c>
      <c r="F38" s="3"/>
      <c r="G38" s="28"/>
      <c r="H38" s="10"/>
      <c r="I38" s="10">
        <f t="shared" si="8"/>
        <v>35397</v>
      </c>
      <c r="J38" s="10">
        <f t="shared" si="6"/>
        <v>1990611613561.3782</v>
      </c>
      <c r="K38" s="11">
        <f t="shared" si="7"/>
        <v>1.7400000000000082E-2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55274948.21069067</v>
      </c>
      <c r="D39" s="11">
        <v>1.3100000000000001E-2</v>
      </c>
      <c r="E39" s="10">
        <f t="shared" si="2"/>
        <v>714738.74401348084</v>
      </c>
      <c r="F39" s="3"/>
      <c r="G39" s="28"/>
      <c r="H39" s="10"/>
      <c r="I39" s="10">
        <f t="shared" si="8"/>
        <v>35397</v>
      </c>
      <c r="J39" s="10">
        <f t="shared" si="6"/>
        <v>1956567341813.8176</v>
      </c>
      <c r="K39" s="11">
        <f t="shared" si="7"/>
        <v>1.3100000000000112E-2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54560209.466677189</v>
      </c>
      <c r="D40" s="11">
        <v>1.6299999999999999E-2</v>
      </c>
      <c r="E40" s="10">
        <f t="shared" si="2"/>
        <v>875067.80901981145</v>
      </c>
      <c r="F40" s="3"/>
      <c r="G40" s="28"/>
      <c r="H40" s="10"/>
      <c r="I40" s="10">
        <f t="shared" si="8"/>
        <v>35397</v>
      </c>
      <c r="J40" s="10">
        <f t="shared" si="6"/>
        <v>1931267734491.9724</v>
      </c>
      <c r="K40" s="11">
        <f t="shared" si="7"/>
        <v>1.6299999999999981E-2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53685141.657657377</v>
      </c>
      <c r="D41" s="11">
        <v>1.61E-2</v>
      </c>
      <c r="E41" s="10">
        <f t="shared" si="2"/>
        <v>850635.5483596921</v>
      </c>
      <c r="F41" s="3"/>
      <c r="G41" s="28"/>
      <c r="H41" s="10"/>
      <c r="I41" s="10">
        <f t="shared" si="8"/>
        <v>35397</v>
      </c>
      <c r="J41" s="10">
        <f t="shared" si="6"/>
        <v>1900292959256.0981</v>
      </c>
      <c r="K41" s="11">
        <f t="shared" si="7"/>
        <v>1.6100000000000003E-2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52834506.109297685</v>
      </c>
      <c r="D42" s="11">
        <v>1.5800000000000002E-2</v>
      </c>
      <c r="E42" s="10">
        <f t="shared" si="2"/>
        <v>821800.74475970119</v>
      </c>
      <c r="F42" s="3"/>
      <c r="G42" s="28"/>
      <c r="H42" s="10"/>
      <c r="I42" s="10">
        <f t="shared" si="8"/>
        <v>35397</v>
      </c>
      <c r="J42" s="10">
        <f t="shared" si="6"/>
        <v>1870183012750.8101</v>
      </c>
      <c r="K42" s="11">
        <f t="shared" si="7"/>
        <v>1.5800000000000036E-2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52012705.364537984</v>
      </c>
      <c r="D43" s="11">
        <v>1.52E-2</v>
      </c>
      <c r="E43" s="10">
        <f t="shared" si="2"/>
        <v>778756.02988670766</v>
      </c>
      <c r="F43" s="3"/>
      <c r="G43" s="28"/>
      <c r="H43" s="10"/>
      <c r="I43" s="10">
        <f t="shared" si="8"/>
        <v>35397</v>
      </c>
      <c r="J43" s="10">
        <f t="shared" si="6"/>
        <v>1841093731788.551</v>
      </c>
      <c r="K43" s="11">
        <f t="shared" si="7"/>
        <v>1.5200000000000324E-2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51233949.334651276</v>
      </c>
      <c r="D44" s="11">
        <v>1.49E-2</v>
      </c>
      <c r="E44" s="10">
        <f t="shared" si="2"/>
        <v>752178.38711823523</v>
      </c>
      <c r="F44" s="3"/>
      <c r="G44" s="28"/>
      <c r="H44" s="10"/>
      <c r="I44" s="10">
        <f t="shared" si="8"/>
        <v>35397</v>
      </c>
      <c r="J44" s="10">
        <f t="shared" si="6"/>
        <v>1813528104598.6511</v>
      </c>
      <c r="K44" s="11">
        <f t="shared" si="7"/>
        <v>1.4899999999999691E-2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50481770.947533041</v>
      </c>
      <c r="D45" s="11">
        <v>1.52E-2</v>
      </c>
      <c r="E45" s="10">
        <f t="shared" si="2"/>
        <v>755834.23798513412</v>
      </c>
      <c r="F45" s="3"/>
      <c r="G45" s="28"/>
      <c r="H45" s="10"/>
      <c r="I45" s="10">
        <f t="shared" si="8"/>
        <v>35397</v>
      </c>
      <c r="J45" s="10">
        <f t="shared" si="6"/>
        <v>1786903246229.8271</v>
      </c>
      <c r="K45" s="11">
        <f t="shared" si="7"/>
        <v>1.5200000000000324E-2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49725936.709547907</v>
      </c>
      <c r="D46" s="11">
        <v>1.5900000000000001E-2</v>
      </c>
      <c r="E46" s="10">
        <f t="shared" si="2"/>
        <v>778267.93353854865</v>
      </c>
      <c r="F46" s="3"/>
      <c r="G46" s="28"/>
      <c r="H46" s="10"/>
      <c r="I46" s="10">
        <f t="shared" si="8"/>
        <v>35397</v>
      </c>
      <c r="J46" s="10">
        <f t="shared" si="6"/>
        <v>1760148981707.8672</v>
      </c>
      <c r="K46" s="11">
        <f t="shared" si="7"/>
        <v>1.5900000000000025E-2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48947668.776009358</v>
      </c>
      <c r="D47" s="11">
        <v>1.66E-2</v>
      </c>
      <c r="E47" s="10">
        <f t="shared" si="2"/>
        <v>799263.5271313712</v>
      </c>
      <c r="F47" s="3"/>
      <c r="G47" s="28"/>
      <c r="H47" s="10"/>
      <c r="I47" s="10">
        <f t="shared" si="8"/>
        <v>35397</v>
      </c>
      <c r="J47" s="10">
        <f t="shared" si="6"/>
        <v>1732600631664.4033</v>
      </c>
      <c r="K47" s="11">
        <f t="shared" si="7"/>
        <v>1.6599999999999948E-2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48148405.248877987</v>
      </c>
      <c r="D48" s="11">
        <v>1.7399999999999999E-2</v>
      </c>
      <c r="E48" s="10">
        <f t="shared" si="2"/>
        <v>823454.14913552254</v>
      </c>
      <c r="F48" s="3"/>
      <c r="G48" s="28"/>
      <c r="H48" s="10"/>
      <c r="I48" s="10">
        <f t="shared" si="8"/>
        <v>35397</v>
      </c>
      <c r="J48" s="10">
        <f t="shared" si="6"/>
        <v>1704309100594.5342</v>
      </c>
      <c r="K48" s="11">
        <f t="shared" si="7"/>
        <v>1.7400000000000082E-2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47324951.099742465</v>
      </c>
      <c r="D49" s="11">
        <v>1.83E-2</v>
      </c>
      <c r="E49" s="10">
        <f t="shared" si="2"/>
        <v>850482.77042648196</v>
      </c>
      <c r="F49" s="3"/>
      <c r="G49" s="28"/>
      <c r="H49" s="10"/>
      <c r="I49" s="10">
        <f t="shared" si="8"/>
        <v>35397</v>
      </c>
      <c r="J49" s="10">
        <f t="shared" si="6"/>
        <v>1675161294077.584</v>
      </c>
      <c r="K49" s="11">
        <f t="shared" si="7"/>
        <v>1.8299999999999983E-2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46474468.329315983</v>
      </c>
      <c r="D50" s="11">
        <v>1.95E-2</v>
      </c>
      <c r="E50" s="10">
        <f t="shared" si="2"/>
        <v>888918.22699525952</v>
      </c>
      <c r="F50" s="3"/>
      <c r="G50" s="28"/>
      <c r="H50" s="10"/>
      <c r="I50" s="10">
        <f t="shared" si="8"/>
        <v>35397</v>
      </c>
      <c r="J50" s="10">
        <f t="shared" si="6"/>
        <v>1645056755452.7979</v>
      </c>
      <c r="K50" s="11">
        <f t="shared" si="7"/>
        <v>1.9500000000000073E-2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45585550.102320723</v>
      </c>
      <c r="D51" s="11">
        <v>2.0799999999999999E-2</v>
      </c>
      <c r="E51" s="10">
        <f t="shared" si="2"/>
        <v>928859.17136389762</v>
      </c>
      <c r="F51" s="3"/>
      <c r="G51" s="28"/>
      <c r="H51" s="10"/>
      <c r="I51" s="10">
        <f t="shared" si="8"/>
        <v>35397</v>
      </c>
      <c r="J51" s="10">
        <f t="shared" si="6"/>
        <v>1613591716971.8467</v>
      </c>
      <c r="K51" s="11">
        <f t="shared" si="7"/>
        <v>2.079999999999993E-2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44656690.930956826</v>
      </c>
      <c r="D52" s="11">
        <v>1.6299999999999999E-2</v>
      </c>
      <c r="E52" s="10">
        <f t="shared" si="2"/>
        <v>716229.5209825784</v>
      </c>
      <c r="F52" s="3"/>
      <c r="G52" s="28"/>
      <c r="H52" s="10"/>
      <c r="I52" s="10">
        <f t="shared" si="8"/>
        <v>35397</v>
      </c>
      <c r="J52" s="10">
        <f t="shared" si="6"/>
        <v>1580712888883.0789</v>
      </c>
      <c r="K52" s="11">
        <f t="shared" si="7"/>
        <v>1.6299999999999981E-2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43940461.409974247</v>
      </c>
      <c r="D53" s="11">
        <v>1.41E-2</v>
      </c>
      <c r="E53" s="10">
        <f t="shared" si="2"/>
        <v>610946.16495477408</v>
      </c>
      <c r="F53" s="3"/>
      <c r="G53" s="28"/>
      <c r="H53" s="10"/>
      <c r="I53" s="10">
        <f t="shared" si="8"/>
        <v>35397</v>
      </c>
      <c r="J53" s="10">
        <f t="shared" si="6"/>
        <v>1555360512528.8584</v>
      </c>
      <c r="K53" s="11">
        <f t="shared" si="7"/>
        <v>1.4100000000000001E-2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43329515.245019473</v>
      </c>
      <c r="D54" s="11">
        <v>1.61E-2</v>
      </c>
      <c r="E54" s="10">
        <f t="shared" si="2"/>
        <v>686551.71286764741</v>
      </c>
      <c r="F54" s="3"/>
      <c r="G54" s="28"/>
      <c r="H54" s="10"/>
      <c r="I54" s="10">
        <f t="shared" si="8"/>
        <v>35397</v>
      </c>
      <c r="J54" s="10">
        <f t="shared" si="6"/>
        <v>1533734851127.9543</v>
      </c>
      <c r="K54" s="11">
        <f t="shared" si="7"/>
        <v>1.6100000000000225E-2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42642963.532151826</v>
      </c>
      <c r="D55" s="11">
        <v>1.84E-2</v>
      </c>
      <c r="E55" s="10">
        <f t="shared" si="2"/>
        <v>770454.17222269624</v>
      </c>
      <c r="F55" s="3"/>
      <c r="G55" s="28"/>
      <c r="H55" s="10"/>
      <c r="I55" s="10">
        <f t="shared" si="8"/>
        <v>35397</v>
      </c>
      <c r="J55" s="10">
        <f t="shared" si="6"/>
        <v>1509432980147.5781</v>
      </c>
      <c r="K55" s="11">
        <f t="shared" si="7"/>
        <v>1.8399999999999972E-2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41872509.359929129</v>
      </c>
      <c r="D56" s="11">
        <v>5.9999999999999995E-4</v>
      </c>
      <c r="E56" s="10">
        <f t="shared" si="2"/>
        <v>25108.440551623702</v>
      </c>
      <c r="F56" s="3"/>
      <c r="G56" s="28"/>
      <c r="H56" s="10"/>
      <c r="I56" s="10">
        <f t="shared" si="8"/>
        <v>35397</v>
      </c>
      <c r="J56" s="10">
        <f t="shared" si="6"/>
        <v>1482161213813.4114</v>
      </c>
      <c r="K56" s="11">
        <f t="shared" si="7"/>
        <v>5.9999999999993392E-4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41847400.919377506</v>
      </c>
      <c r="D57" s="11">
        <v>2.5000000000000001E-2</v>
      </c>
      <c r="E57" s="10">
        <f t="shared" si="2"/>
        <v>1020668.3151067644</v>
      </c>
      <c r="F57" s="3"/>
      <c r="G57" s="28"/>
      <c r="H57" s="10"/>
      <c r="I57" s="10">
        <f t="shared" si="8"/>
        <v>35397</v>
      </c>
      <c r="J57" s="10">
        <f t="shared" si="6"/>
        <v>1481272450343.2056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40826732.604270741</v>
      </c>
      <c r="D58" s="11">
        <v>1.9999999999999997E-2</v>
      </c>
      <c r="E58" s="10">
        <f t="shared" si="2"/>
        <v>800524.16871119291</v>
      </c>
      <c r="F58" s="3"/>
      <c r="G58" s="28"/>
      <c r="H58" s="10"/>
      <c r="I58" s="10">
        <f t="shared" si="8"/>
        <v>35397</v>
      </c>
      <c r="J58" s="10">
        <f t="shared" si="6"/>
        <v>1445143853993.3713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40026208.435559548</v>
      </c>
      <c r="D59" s="11">
        <v>2.0999999999999998E-2</v>
      </c>
      <c r="E59" s="10">
        <f t="shared" si="2"/>
        <v>823261.87771473825</v>
      </c>
      <c r="F59" s="3"/>
      <c r="G59" s="28"/>
      <c r="H59" s="10"/>
      <c r="I59" s="10">
        <f t="shared" si="8"/>
        <v>35397</v>
      </c>
      <c r="J59" s="10">
        <f t="shared" si="6"/>
        <v>1416807699993.5012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39202946.55784481</v>
      </c>
      <c r="D60" s="11">
        <v>2.1999999999999999E-2</v>
      </c>
      <c r="E60" s="10">
        <f t="shared" si="2"/>
        <v>843899.04527650028</v>
      </c>
      <c r="F60" s="3"/>
      <c r="G60" s="28"/>
      <c r="H60" s="10"/>
      <c r="I60" s="10">
        <f t="shared" si="8"/>
        <v>35397</v>
      </c>
      <c r="J60" s="10">
        <f t="shared" si="6"/>
        <v>1387666699308.0327</v>
      </c>
      <c r="K60" s="11">
        <f t="shared" si="7"/>
        <v>2.200000000000002E-2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38359047.51256831</v>
      </c>
      <c r="D61" s="11">
        <v>2.3E-2</v>
      </c>
      <c r="E61" s="10">
        <f t="shared" si="2"/>
        <v>862422.37809292972</v>
      </c>
      <c r="F61" s="3"/>
      <c r="G61" s="28"/>
      <c r="H61" s="10"/>
      <c r="I61" s="10">
        <f t="shared" si="8"/>
        <v>35397</v>
      </c>
      <c r="J61" s="10">
        <f t="shared" si="6"/>
        <v>1357795204802.3804</v>
      </c>
      <c r="K61" s="11">
        <f t="shared" si="7"/>
        <v>2.2999999999999687E-2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37496625.13447538</v>
      </c>
      <c r="D62" s="11">
        <v>1.9999999999999997E-2</v>
      </c>
      <c r="E62" s="10">
        <f t="shared" si="2"/>
        <v>735227.94381324202</v>
      </c>
      <c r="F62" s="3"/>
      <c r="G62" s="28"/>
      <c r="H62" s="10"/>
      <c r="I62" s="10">
        <f t="shared" si="8"/>
        <v>35397</v>
      </c>
      <c r="J62" s="10">
        <f t="shared" si="6"/>
        <v>1327268039885.0251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36761397.190662138</v>
      </c>
      <c r="D63" s="11">
        <v>2.0999999999999998E-2</v>
      </c>
      <c r="E63" s="10">
        <f t="shared" si="2"/>
        <v>756111.00979813933</v>
      </c>
      <c r="F63" s="3"/>
      <c r="G63" s="28"/>
      <c r="H63" s="10"/>
      <c r="I63" s="10">
        <f t="shared" si="8"/>
        <v>35397</v>
      </c>
      <c r="J63" s="10">
        <f t="shared" si="6"/>
        <v>1301243176357.8677</v>
      </c>
      <c r="K63" s="11">
        <f t="shared" si="7"/>
        <v>2.0999999999999908E-2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36005286.180863999</v>
      </c>
      <c r="D64" s="11">
        <v>2.1999999999999999E-2</v>
      </c>
      <c r="E64" s="10">
        <f t="shared" si="2"/>
        <v>775064.86886399984</v>
      </c>
      <c r="F64" s="3"/>
      <c r="G64" s="28"/>
      <c r="H64" s="10"/>
      <c r="I64" s="10">
        <f t="shared" si="8"/>
        <v>35397</v>
      </c>
      <c r="J64" s="10">
        <f t="shared" si="6"/>
        <v>1274479114944.043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35230221.311999999</v>
      </c>
      <c r="D65" s="11">
        <v>2.3E-2</v>
      </c>
      <c r="E65" s="10">
        <f t="shared" si="2"/>
        <v>792077.31199999899</v>
      </c>
      <c r="F65" s="3"/>
      <c r="G65" s="28"/>
      <c r="H65" s="10"/>
      <c r="I65" s="10">
        <f t="shared" si="8"/>
        <v>35397</v>
      </c>
      <c r="J65" s="10">
        <f t="shared" si="6"/>
        <v>1247044143780.864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34438144</v>
      </c>
      <c r="D66" s="11">
        <v>2.4E-2</v>
      </c>
      <c r="E66" s="10">
        <f t="shared" si="2"/>
        <v>807144</v>
      </c>
      <c r="F66" s="3"/>
      <c r="G66" s="28"/>
      <c r="H66" s="10"/>
      <c r="I66" s="10">
        <f t="shared" si="8"/>
        <v>35397</v>
      </c>
      <c r="J66" s="10">
        <f t="shared" ref="J66:J67" si="9">IF(I66="","",I66*C66)</f>
        <v>1219006983168</v>
      </c>
      <c r="K66" s="11">
        <f t="shared" ref="K66" si="10">IFERROR(J66/J67-1,"")</f>
        <v>2.4000000000000021E-2</v>
      </c>
    </row>
    <row r="67" spans="1:11" ht="22.5" customHeight="1">
      <c r="A67" s="3">
        <f t="shared" si="0"/>
        <v>1950</v>
      </c>
      <c r="B67" s="3">
        <v>1700</v>
      </c>
      <c r="C67" s="10">
        <v>33631000</v>
      </c>
      <c r="D67" s="11">
        <v>2.4E-2</v>
      </c>
      <c r="E67" s="3" t="s">
        <v>72</v>
      </c>
      <c r="F67" s="10"/>
      <c r="G67" s="28"/>
      <c r="H67" s="10"/>
      <c r="I67" s="10">
        <f t="shared" ref="I67" si="11">IF(H67&lt;&gt;"",H67,I66/(1+IF(G66="",0,G66)/100))</f>
        <v>35397</v>
      </c>
      <c r="J67" s="10">
        <f t="shared" si="9"/>
        <v>1190436507000</v>
      </c>
      <c r="K67" s="11"/>
    </row>
  </sheetData>
  <dataValidations count="1">
    <dataValidation type="custom" allowBlank="1" showDropDown="1" sqref="D2:D67" xr:uid="{00000000-0002-0000-2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21372715.598931681</v>
      </c>
      <c r="D2" s="11">
        <v>9.8000000000000014E-3</v>
      </c>
      <c r="E2" s="10">
        <f t="shared" ref="E2:E66" si="2">SUM(C2-C3)</f>
        <v>207419.89787040278</v>
      </c>
      <c r="F2" s="15">
        <v>21374692</v>
      </c>
      <c r="G2" s="28"/>
      <c r="H2" s="10"/>
      <c r="I2" s="10">
        <f>IF(H2&lt;&gt;"",H2,22897)</f>
        <v>22897</v>
      </c>
      <c r="J2" s="10">
        <f t="shared" ref="J2:J33" si="3">IF(I2="","",I2*C2)</f>
        <v>489371069068.73871</v>
      </c>
      <c r="K2" s="11">
        <f t="shared" ref="K2:K33" si="4">IFERROR(J2/J3-1,"")</f>
        <v>9.800000000000253E-3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21165295.701061279</v>
      </c>
      <c r="D3" s="11">
        <v>9.1999999999999981E-3</v>
      </c>
      <c r="E3" s="10">
        <f t="shared" si="2"/>
        <v>192945.62073896825</v>
      </c>
      <c r="F3" s="3"/>
      <c r="G3" s="28"/>
      <c r="H3" s="10"/>
      <c r="I3" s="10">
        <f t="shared" ref="I3:I34" si="5">IF(H3&lt;&gt;"",H3,I2/(1+IF(G2="",0,G2)/100))</f>
        <v>22897</v>
      </c>
      <c r="J3" s="10">
        <f t="shared" si="3"/>
        <v>484621775667.20007</v>
      </c>
      <c r="K3" s="11">
        <f t="shared" si="4"/>
        <v>9.200000000000097E-3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20972350.08032231</v>
      </c>
      <c r="D4" s="11">
        <v>8.7000000000000011E-3</v>
      </c>
      <c r="E4" s="10">
        <f t="shared" si="2"/>
        <v>180885.73976286501</v>
      </c>
      <c r="F4" s="3"/>
      <c r="G4" s="28"/>
      <c r="H4" s="10"/>
      <c r="I4" s="10">
        <f t="shared" si="5"/>
        <v>22897</v>
      </c>
      <c r="J4" s="10">
        <f t="shared" si="3"/>
        <v>480203899789.13995</v>
      </c>
      <c r="K4" s="11">
        <f t="shared" si="4"/>
        <v>8.69999999999993E-3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20791464.340559445</v>
      </c>
      <c r="D5" s="11">
        <v>8.4999999999999989E-3</v>
      </c>
      <c r="E5" s="10">
        <f t="shared" si="2"/>
        <v>175237.92453619838</v>
      </c>
      <c r="F5" s="3"/>
      <c r="G5" s="28"/>
      <c r="H5" s="10"/>
      <c r="I5" s="10">
        <f t="shared" si="5"/>
        <v>22897</v>
      </c>
      <c r="J5" s="10">
        <f t="shared" si="3"/>
        <v>476062159005.78961</v>
      </c>
      <c r="K5" s="11">
        <f t="shared" si="4"/>
        <v>8.5000000000001741E-3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20616226.416023247</v>
      </c>
      <c r="D6" s="11">
        <v>8.4999999999999989E-3</v>
      </c>
      <c r="E6" s="10">
        <f t="shared" si="2"/>
        <v>173760.95640673861</v>
      </c>
      <c r="F6" s="3"/>
      <c r="G6" s="28"/>
      <c r="H6" s="10"/>
      <c r="I6" s="10">
        <f t="shared" si="5"/>
        <v>22897</v>
      </c>
      <c r="J6" s="10">
        <f t="shared" si="3"/>
        <v>472049736247.68427</v>
      </c>
      <c r="K6" s="11">
        <f t="shared" si="4"/>
        <v>8.499999999999952E-3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20442465.459616508</v>
      </c>
      <c r="D7" s="11">
        <v>8.3000000000000001E-3</v>
      </c>
      <c r="E7" s="10">
        <f t="shared" si="2"/>
        <v>168275.7743874006</v>
      </c>
      <c r="F7" s="3"/>
      <c r="G7" s="28"/>
      <c r="H7" s="10"/>
      <c r="I7" s="10">
        <f t="shared" si="5"/>
        <v>22897</v>
      </c>
      <c r="J7" s="10">
        <f t="shared" si="3"/>
        <v>468071131628.83917</v>
      </c>
      <c r="K7" s="11">
        <f t="shared" si="4"/>
        <v>8.2999999999999741E-3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20274189.685229108</v>
      </c>
      <c r="D8" s="11">
        <v>1.3900000000000001E-2</v>
      </c>
      <c r="E8" s="10">
        <f t="shared" si="2"/>
        <v>277947.76272283867</v>
      </c>
      <c r="F8" s="3"/>
      <c r="G8" s="28"/>
      <c r="H8" s="10"/>
      <c r="I8" s="10">
        <f t="shared" si="5"/>
        <v>22897</v>
      </c>
      <c r="J8" s="10">
        <f t="shared" si="3"/>
        <v>464218121222.69086</v>
      </c>
      <c r="K8" s="11">
        <f t="shared" si="4"/>
        <v>1.3900000000000023E-2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19996241.922506269</v>
      </c>
      <c r="D9" s="11">
        <v>7.7999999999999996E-3</v>
      </c>
      <c r="E9" s="10">
        <f t="shared" si="2"/>
        <v>154763.53145023808</v>
      </c>
      <c r="F9" s="3"/>
      <c r="G9" s="28"/>
      <c r="H9" s="10"/>
      <c r="I9" s="10">
        <f t="shared" si="5"/>
        <v>22897</v>
      </c>
      <c r="J9" s="10">
        <f t="shared" si="3"/>
        <v>457853951299.62604</v>
      </c>
      <c r="K9" s="11">
        <f t="shared" si="4"/>
        <v>7.8000000000000291E-3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19841478.391056031</v>
      </c>
      <c r="D10" s="11">
        <v>7.7999999999999996E-3</v>
      </c>
      <c r="E10" s="10">
        <f t="shared" si="2"/>
        <v>153565.71884325892</v>
      </c>
      <c r="F10" s="3"/>
      <c r="G10" s="28"/>
      <c r="H10" s="10"/>
      <c r="I10" s="10">
        <f t="shared" si="5"/>
        <v>22897</v>
      </c>
      <c r="J10" s="10">
        <f t="shared" si="3"/>
        <v>454310330720.00995</v>
      </c>
      <c r="K10" s="11">
        <f t="shared" si="4"/>
        <v>7.8000000000000291E-3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19687912.672212772</v>
      </c>
      <c r="D11" s="11">
        <v>7.7000000000000002E-3</v>
      </c>
      <c r="E11" s="10">
        <f t="shared" si="2"/>
        <v>150438.55073537678</v>
      </c>
      <c r="F11" s="3"/>
      <c r="G11" s="28"/>
      <c r="H11" s="10"/>
      <c r="I11" s="10">
        <f t="shared" si="5"/>
        <v>22897</v>
      </c>
      <c r="J11" s="10">
        <f t="shared" si="3"/>
        <v>450794136455.65582</v>
      </c>
      <c r="K11" s="11">
        <f t="shared" si="4"/>
        <v>7.7000000000000401E-3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19537474.121477395</v>
      </c>
      <c r="D12" s="11">
        <v>7.6000000000000009E-3</v>
      </c>
      <c r="E12" s="10">
        <f t="shared" si="2"/>
        <v>147364.83061058819</v>
      </c>
      <c r="F12" s="3"/>
      <c r="G12" s="28"/>
      <c r="H12" s="10"/>
      <c r="I12" s="10">
        <f t="shared" si="5"/>
        <v>22897</v>
      </c>
      <c r="J12" s="10">
        <f t="shared" si="3"/>
        <v>447349544959.4679</v>
      </c>
      <c r="K12" s="11">
        <f t="shared" si="4"/>
        <v>7.5999999999998291E-3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19390109.290866807</v>
      </c>
      <c r="D13" s="11">
        <v>7.7000000000000002E-3</v>
      </c>
      <c r="E13" s="10">
        <f t="shared" si="2"/>
        <v>148162.98654329032</v>
      </c>
      <c r="F13" s="3"/>
      <c r="G13" s="28"/>
      <c r="H13" s="10"/>
      <c r="I13" s="10">
        <f t="shared" si="5"/>
        <v>22897</v>
      </c>
      <c r="J13" s="10">
        <f t="shared" si="3"/>
        <v>443975332432.97729</v>
      </c>
      <c r="K13" s="11">
        <f t="shared" si="4"/>
        <v>7.7000000000000401E-3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19241946.304323517</v>
      </c>
      <c r="D14" s="11">
        <v>8.1000000000000013E-3</v>
      </c>
      <c r="E14" s="10">
        <f t="shared" si="2"/>
        <v>154607.44476244599</v>
      </c>
      <c r="F14" s="3"/>
      <c r="G14" s="28"/>
      <c r="H14" s="10"/>
      <c r="I14" s="10">
        <f t="shared" si="5"/>
        <v>22897</v>
      </c>
      <c r="J14" s="10">
        <f t="shared" si="3"/>
        <v>440582844530.09558</v>
      </c>
      <c r="K14" s="11">
        <f t="shared" si="4"/>
        <v>8.1000000000002181E-3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19087338.859561071</v>
      </c>
      <c r="D15" s="11">
        <v>1.01E-2</v>
      </c>
      <c r="E15" s="10">
        <f t="shared" si="2"/>
        <v>190854.49211124331</v>
      </c>
      <c r="F15" s="3"/>
      <c r="G15" s="28"/>
      <c r="H15" s="10"/>
      <c r="I15" s="10">
        <f t="shared" si="5"/>
        <v>22897</v>
      </c>
      <c r="J15" s="10">
        <f t="shared" si="3"/>
        <v>437042797867.36981</v>
      </c>
      <c r="K15" s="11">
        <f t="shared" si="4"/>
        <v>1.0099999999999998E-2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18896484.367449827</v>
      </c>
      <c r="D16" s="11">
        <v>1.3599999999999999E-2</v>
      </c>
      <c r="E16" s="10">
        <f t="shared" si="2"/>
        <v>253543.98914494738</v>
      </c>
      <c r="F16" s="3"/>
      <c r="G16" s="28"/>
      <c r="H16" s="10"/>
      <c r="I16" s="10">
        <f t="shared" si="5"/>
        <v>22897</v>
      </c>
      <c r="J16" s="10">
        <f t="shared" si="3"/>
        <v>432672802561.49872</v>
      </c>
      <c r="K16" s="11">
        <f t="shared" si="4"/>
        <v>1.3600000000000056E-2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18642940.37830488</v>
      </c>
      <c r="D17" s="11">
        <v>1.6399999999999998E-2</v>
      </c>
      <c r="E17" s="10">
        <f t="shared" si="2"/>
        <v>300810.92306591943</v>
      </c>
      <c r="F17" s="3"/>
      <c r="G17" s="28"/>
      <c r="H17" s="10"/>
      <c r="I17" s="10">
        <f t="shared" si="5"/>
        <v>22897</v>
      </c>
      <c r="J17" s="10">
        <f t="shared" si="3"/>
        <v>426867405842.04681</v>
      </c>
      <c r="K17" s="11">
        <f t="shared" si="4"/>
        <v>1.639999999999997E-2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18342129.455238961</v>
      </c>
      <c r="D18" s="11">
        <v>1.5499999999999998E-2</v>
      </c>
      <c r="E18" s="10">
        <f t="shared" si="2"/>
        <v>279963.57120256498</v>
      </c>
      <c r="F18" s="3"/>
      <c r="G18" s="28"/>
      <c r="H18" s="10"/>
      <c r="I18" s="10">
        <f t="shared" si="5"/>
        <v>22897</v>
      </c>
      <c r="J18" s="10">
        <f t="shared" si="3"/>
        <v>419979738136.60651</v>
      </c>
      <c r="K18" s="11">
        <f t="shared" si="4"/>
        <v>1.5500000000000069E-2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18062165.884036396</v>
      </c>
      <c r="D19" s="11">
        <v>1.29E-2</v>
      </c>
      <c r="E19" s="10">
        <f t="shared" si="2"/>
        <v>230034.49491960555</v>
      </c>
      <c r="F19" s="3"/>
      <c r="G19" s="28"/>
      <c r="H19" s="10"/>
      <c r="I19" s="10">
        <f t="shared" si="5"/>
        <v>22897</v>
      </c>
      <c r="J19" s="10">
        <f t="shared" si="3"/>
        <v>413569412246.78137</v>
      </c>
      <c r="K19" s="11">
        <f t="shared" si="4"/>
        <v>1.2900000000000134E-2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17832131.38911679</v>
      </c>
      <c r="D20" s="11">
        <v>1.5000000000000001E-2</v>
      </c>
      <c r="E20" s="10">
        <f t="shared" si="2"/>
        <v>263529.03530714288</v>
      </c>
      <c r="F20" s="3"/>
      <c r="G20" s="28"/>
      <c r="H20" s="10"/>
      <c r="I20" s="10">
        <f t="shared" si="5"/>
        <v>22897</v>
      </c>
      <c r="J20" s="10">
        <f t="shared" si="3"/>
        <v>408302312416.60712</v>
      </c>
      <c r="K20" s="11">
        <f t="shared" si="4"/>
        <v>1.4999999999999902E-2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17568602.353809647</v>
      </c>
      <c r="D21" s="11">
        <v>1.6199999999999999E-2</v>
      </c>
      <c r="E21" s="10">
        <f t="shared" si="2"/>
        <v>280074.15679169074</v>
      </c>
      <c r="F21" s="3"/>
      <c r="G21" s="28"/>
      <c r="H21" s="10"/>
      <c r="I21" s="10">
        <f t="shared" si="5"/>
        <v>22897</v>
      </c>
      <c r="J21" s="10">
        <f t="shared" si="3"/>
        <v>402268288095.1795</v>
      </c>
      <c r="K21" s="11">
        <f t="shared" si="4"/>
        <v>1.6199999999999992E-2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17288528.197017957</v>
      </c>
      <c r="D22" s="11">
        <v>1.67E-2</v>
      </c>
      <c r="E22" s="10">
        <f t="shared" si="2"/>
        <v>283976.0213339217</v>
      </c>
      <c r="F22" s="3"/>
      <c r="G22" s="28"/>
      <c r="H22" s="10"/>
      <c r="I22" s="10">
        <f t="shared" si="5"/>
        <v>22897</v>
      </c>
      <c r="J22" s="10">
        <f t="shared" si="3"/>
        <v>395855430127.12018</v>
      </c>
      <c r="K22" s="11">
        <f t="shared" si="4"/>
        <v>1.6699999999999937E-2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17004552.175684035</v>
      </c>
      <c r="D23" s="11">
        <v>1.5899999999999997E-2</v>
      </c>
      <c r="E23" s="10">
        <f t="shared" si="2"/>
        <v>266140.74179877713</v>
      </c>
      <c r="F23" s="3"/>
      <c r="G23" s="28"/>
      <c r="H23" s="10"/>
      <c r="I23" s="10">
        <f t="shared" si="5"/>
        <v>22897</v>
      </c>
      <c r="J23" s="10">
        <f t="shared" si="3"/>
        <v>389353231166.63733</v>
      </c>
      <c r="K23" s="11">
        <f t="shared" si="4"/>
        <v>1.5900000000000025E-2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16738411.433885258</v>
      </c>
      <c r="D24" s="11">
        <v>1.6599999999999997E-2</v>
      </c>
      <c r="E24" s="10">
        <f t="shared" si="2"/>
        <v>273320.50934732892</v>
      </c>
      <c r="F24" s="3"/>
      <c r="G24" s="28"/>
      <c r="H24" s="10"/>
      <c r="I24" s="10">
        <f t="shared" si="5"/>
        <v>22897</v>
      </c>
      <c r="J24" s="10">
        <f t="shared" si="3"/>
        <v>383259406601.67072</v>
      </c>
      <c r="K24" s="11">
        <f t="shared" si="4"/>
        <v>1.6599999999999948E-2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16465090.924537929</v>
      </c>
      <c r="D25" s="11">
        <v>2.4599999999999997E-2</v>
      </c>
      <c r="E25" s="10">
        <f t="shared" si="2"/>
        <v>395316.45202384517</v>
      </c>
      <c r="F25" s="3"/>
      <c r="G25" s="28"/>
      <c r="H25" s="10"/>
      <c r="I25" s="10">
        <f t="shared" si="5"/>
        <v>22897</v>
      </c>
      <c r="J25" s="10">
        <f t="shared" si="3"/>
        <v>377001186899.14496</v>
      </c>
      <c r="K25" s="11">
        <f t="shared" si="4"/>
        <v>2.4599999999999955E-2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16069774.472514084</v>
      </c>
      <c r="D26" s="11">
        <v>5.0199999999999995E-2</v>
      </c>
      <c r="E26" s="10">
        <f t="shared" si="2"/>
        <v>768141.95250448212</v>
      </c>
      <c r="F26" s="3"/>
      <c r="G26" s="28"/>
      <c r="H26" s="10"/>
      <c r="I26" s="10">
        <f t="shared" si="5"/>
        <v>22897</v>
      </c>
      <c r="J26" s="10">
        <f t="shared" si="3"/>
        <v>367949626097.15497</v>
      </c>
      <c r="K26" s="11">
        <f t="shared" si="4"/>
        <v>5.0200000000000022E-2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15301632.520009601</v>
      </c>
      <c r="D27" s="11">
        <v>2.0900000000000002E-2</v>
      </c>
      <c r="E27" s="10">
        <f t="shared" si="2"/>
        <v>313257.04737799987</v>
      </c>
      <c r="F27" s="3"/>
      <c r="G27" s="28"/>
      <c r="H27" s="10"/>
      <c r="I27" s="10">
        <f t="shared" si="5"/>
        <v>22897</v>
      </c>
      <c r="J27" s="10">
        <f t="shared" si="3"/>
        <v>350361479810.65985</v>
      </c>
      <c r="K27" s="11">
        <f t="shared" si="4"/>
        <v>2.0900000000000141E-2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14988375.472631602</v>
      </c>
      <c r="D28" s="11">
        <v>7.000000000000001E-3</v>
      </c>
      <c r="E28" s="10">
        <f t="shared" si="2"/>
        <v>104189.30318611674</v>
      </c>
      <c r="F28" s="3"/>
      <c r="G28" s="28"/>
      <c r="H28" s="10"/>
      <c r="I28" s="10">
        <f t="shared" si="5"/>
        <v>22897</v>
      </c>
      <c r="J28" s="10">
        <f t="shared" si="3"/>
        <v>343188833196.84576</v>
      </c>
      <c r="K28" s="11">
        <f t="shared" si="4"/>
        <v>6.9999999999998952E-3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14884186.169445485</v>
      </c>
      <c r="D29" s="11">
        <v>6.6E-3</v>
      </c>
      <c r="E29" s="10">
        <f t="shared" si="2"/>
        <v>97591.524655612186</v>
      </c>
      <c r="F29" s="3"/>
      <c r="G29" s="28"/>
      <c r="H29" s="10"/>
      <c r="I29" s="10">
        <f t="shared" si="5"/>
        <v>22897</v>
      </c>
      <c r="J29" s="10">
        <f t="shared" si="3"/>
        <v>340803210721.79327</v>
      </c>
      <c r="K29" s="11">
        <f t="shared" si="4"/>
        <v>6.5999999999999392E-3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14786594.644789873</v>
      </c>
      <c r="D30" s="12">
        <v>6.1999999999999989E-3</v>
      </c>
      <c r="E30" s="10">
        <f t="shared" si="2"/>
        <v>91111.992444541305</v>
      </c>
      <c r="F30" s="3"/>
      <c r="G30" s="28"/>
      <c r="H30" s="10"/>
      <c r="I30" s="10">
        <f t="shared" si="5"/>
        <v>22897</v>
      </c>
      <c r="J30" s="10">
        <f t="shared" si="3"/>
        <v>338568657581.75372</v>
      </c>
      <c r="K30" s="11">
        <f t="shared" si="4"/>
        <v>6.1999999999999833E-3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14695482.652345331</v>
      </c>
      <c r="D31" s="13">
        <v>5.4999999999999997E-3</v>
      </c>
      <c r="E31" s="10">
        <f t="shared" si="2"/>
        <v>80383.047824863344</v>
      </c>
      <c r="F31" s="3"/>
      <c r="G31" s="28"/>
      <c r="H31" s="10"/>
      <c r="I31" s="10">
        <f t="shared" si="5"/>
        <v>22897</v>
      </c>
      <c r="J31" s="10">
        <f t="shared" si="3"/>
        <v>336482466290.75104</v>
      </c>
      <c r="K31" s="11">
        <f t="shared" si="4"/>
        <v>5.5000000000000604E-3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14615099.604520468</v>
      </c>
      <c r="D32" s="12">
        <v>7.6000000000000009E-3</v>
      </c>
      <c r="E32" s="10">
        <f t="shared" si="2"/>
        <v>110236.95612778515</v>
      </c>
      <c r="F32" s="3"/>
      <c r="G32" s="28"/>
      <c r="H32" s="10"/>
      <c r="I32" s="10">
        <f t="shared" si="5"/>
        <v>22897</v>
      </c>
      <c r="J32" s="10">
        <f t="shared" si="3"/>
        <v>334641935644.70514</v>
      </c>
      <c r="K32" s="11">
        <f t="shared" si="4"/>
        <v>7.6000000000000512E-3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14504862.648392683</v>
      </c>
      <c r="D33" s="13">
        <v>3.1000000000000003E-3</v>
      </c>
      <c r="E33" s="10">
        <f t="shared" si="2"/>
        <v>44826.113258916885</v>
      </c>
      <c r="F33" s="3"/>
      <c r="G33" s="28"/>
      <c r="H33" s="10"/>
      <c r="I33" s="10">
        <f t="shared" si="5"/>
        <v>22897</v>
      </c>
      <c r="J33" s="10">
        <f t="shared" si="3"/>
        <v>332117840060.24725</v>
      </c>
      <c r="K33" s="11">
        <f t="shared" si="4"/>
        <v>3.1000000000001027E-3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14460036.535133766</v>
      </c>
      <c r="D34" s="12">
        <v>8.2000000000000007E-3</v>
      </c>
      <c r="E34" s="10">
        <f t="shared" si="2"/>
        <v>117607.91468765773</v>
      </c>
      <c r="F34" s="3"/>
      <c r="G34" s="28"/>
      <c r="H34" s="10"/>
      <c r="I34" s="10">
        <f t="shared" si="5"/>
        <v>22897</v>
      </c>
      <c r="J34" s="10">
        <f t="shared" ref="J34:J65" si="6">IF(I34="","",I34*C34)</f>
        <v>331091456544.95782</v>
      </c>
      <c r="K34" s="11">
        <f t="shared" ref="K34:K65" si="7">IFERROR(J34/J35-1,"")</f>
        <v>8.1999999999999851E-3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14342428.620446108</v>
      </c>
      <c r="D35" s="11">
        <v>8.8000000000000005E-3</v>
      </c>
      <c r="E35" s="10">
        <f t="shared" si="2"/>
        <v>125112.38289048895</v>
      </c>
      <c r="F35" s="3"/>
      <c r="G35" s="28"/>
      <c r="H35" s="10"/>
      <c r="I35" s="10">
        <f t="shared" ref="I35:I66" si="8">IF(H35&lt;&gt;"",H35,I34/(1+IF(G34="",0,G34)/100))</f>
        <v>22897</v>
      </c>
      <c r="J35" s="10">
        <f t="shared" si="6"/>
        <v>328398588122.35455</v>
      </c>
      <c r="K35" s="11">
        <f t="shared" si="7"/>
        <v>8.799999999999919E-3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14217316.237555619</v>
      </c>
      <c r="D36" s="11">
        <v>9.9000000000000008E-3</v>
      </c>
      <c r="E36" s="10">
        <f t="shared" si="2"/>
        <v>139371.65140291117</v>
      </c>
      <c r="F36" s="3"/>
      <c r="G36" s="28"/>
      <c r="H36" s="10"/>
      <c r="I36" s="10">
        <f t="shared" si="8"/>
        <v>22897</v>
      </c>
      <c r="J36" s="10">
        <f t="shared" si="6"/>
        <v>325533889891.31104</v>
      </c>
      <c r="K36" s="11">
        <f t="shared" si="7"/>
        <v>9.9000000000000199E-3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14077944.586152708</v>
      </c>
      <c r="D37" s="11">
        <v>1.4E-2</v>
      </c>
      <c r="E37" s="10">
        <f t="shared" si="2"/>
        <v>194370.04359579645</v>
      </c>
      <c r="F37" s="3"/>
      <c r="G37" s="28"/>
      <c r="H37" s="10"/>
      <c r="I37" s="10">
        <f t="shared" si="8"/>
        <v>22897</v>
      </c>
      <c r="J37" s="10">
        <f t="shared" si="6"/>
        <v>322342697189.13855</v>
      </c>
      <c r="K37" s="11">
        <f t="shared" si="7"/>
        <v>1.4000000000000012E-2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13883574.542556912</v>
      </c>
      <c r="D38" s="11">
        <v>1.5699999999999999E-2</v>
      </c>
      <c r="E38" s="10">
        <f t="shared" si="2"/>
        <v>214602.85548699833</v>
      </c>
      <c r="F38" s="3"/>
      <c r="G38" s="28"/>
      <c r="H38" s="10"/>
      <c r="I38" s="10">
        <f t="shared" si="8"/>
        <v>22897</v>
      </c>
      <c r="J38" s="10">
        <f t="shared" si="6"/>
        <v>317892206300.9256</v>
      </c>
      <c r="K38" s="11">
        <f t="shared" si="7"/>
        <v>1.5700000000000047E-2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13668971.687069913</v>
      </c>
      <c r="D39" s="11">
        <v>1.11E-2</v>
      </c>
      <c r="E39" s="10">
        <f t="shared" si="2"/>
        <v>150059.92060773261</v>
      </c>
      <c r="F39" s="3"/>
      <c r="G39" s="28"/>
      <c r="H39" s="10"/>
      <c r="I39" s="10">
        <f t="shared" si="8"/>
        <v>22897</v>
      </c>
      <c r="J39" s="10">
        <f t="shared" si="6"/>
        <v>312978444718.83978</v>
      </c>
      <c r="K39" s="11">
        <f t="shared" si="7"/>
        <v>1.110000000000011E-2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13518911.766462181</v>
      </c>
      <c r="D40" s="11">
        <v>1.24E-2</v>
      </c>
      <c r="E40" s="10">
        <f t="shared" si="2"/>
        <v>165581.29781127162</v>
      </c>
      <c r="F40" s="3"/>
      <c r="G40" s="28"/>
      <c r="H40" s="10"/>
      <c r="I40" s="10">
        <f t="shared" si="8"/>
        <v>22897</v>
      </c>
      <c r="J40" s="10">
        <f t="shared" si="6"/>
        <v>309542522716.68457</v>
      </c>
      <c r="K40" s="11">
        <f t="shared" si="7"/>
        <v>1.2399999999999967E-2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13353330.468650909</v>
      </c>
      <c r="D41" s="11">
        <v>1.23E-2</v>
      </c>
      <c r="E41" s="10">
        <f t="shared" si="2"/>
        <v>162250.28624361008</v>
      </c>
      <c r="F41" s="3"/>
      <c r="G41" s="28"/>
      <c r="H41" s="10"/>
      <c r="I41" s="10">
        <f t="shared" si="8"/>
        <v>22897</v>
      </c>
      <c r="J41" s="10">
        <f t="shared" si="6"/>
        <v>305751207740.69989</v>
      </c>
      <c r="K41" s="11">
        <f t="shared" si="7"/>
        <v>1.2299999999999978E-2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13191080.182407299</v>
      </c>
      <c r="D42" s="11">
        <v>1.2800000000000001E-2</v>
      </c>
      <c r="E42" s="10">
        <f t="shared" si="2"/>
        <v>166711.91383768991</v>
      </c>
      <c r="F42" s="3"/>
      <c r="G42" s="28"/>
      <c r="H42" s="10"/>
      <c r="I42" s="10">
        <f t="shared" si="8"/>
        <v>22897</v>
      </c>
      <c r="J42" s="10">
        <f t="shared" si="6"/>
        <v>302036162936.57996</v>
      </c>
      <c r="K42" s="11">
        <f t="shared" si="7"/>
        <v>1.2799999999999923E-2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13024368.268569609</v>
      </c>
      <c r="D43" s="11">
        <v>1.9799999999999998E-2</v>
      </c>
      <c r="E43" s="10">
        <f t="shared" si="2"/>
        <v>252875.55571453087</v>
      </c>
      <c r="F43" s="3"/>
      <c r="G43" s="28"/>
      <c r="H43" s="10"/>
      <c r="I43" s="10">
        <f t="shared" si="8"/>
        <v>22897</v>
      </c>
      <c r="J43" s="10">
        <f t="shared" si="6"/>
        <v>298218960245.43835</v>
      </c>
      <c r="K43" s="11">
        <f t="shared" si="7"/>
        <v>1.980000000000004E-2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12771492.712855078</v>
      </c>
      <c r="D44" s="11">
        <v>3.0499999999999999E-2</v>
      </c>
      <c r="E44" s="10">
        <f t="shared" si="2"/>
        <v>378001.48252506554</v>
      </c>
      <c r="F44" s="3"/>
      <c r="G44" s="28"/>
      <c r="H44" s="10"/>
      <c r="I44" s="10">
        <f t="shared" si="8"/>
        <v>22897</v>
      </c>
      <c r="J44" s="10">
        <f t="shared" si="6"/>
        <v>292428868646.24274</v>
      </c>
      <c r="K44" s="11">
        <f t="shared" si="7"/>
        <v>3.0500000000000194E-2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12393491.230330013</v>
      </c>
      <c r="D45" s="11">
        <v>1.5399999999999999E-2</v>
      </c>
      <c r="E45" s="10">
        <f t="shared" si="2"/>
        <v>187965.10237057693</v>
      </c>
      <c r="F45" s="3"/>
      <c r="G45" s="28"/>
      <c r="H45" s="10"/>
      <c r="I45" s="10">
        <f t="shared" si="8"/>
        <v>22897</v>
      </c>
      <c r="J45" s="10">
        <f t="shared" si="6"/>
        <v>283773768700.86627</v>
      </c>
      <c r="K45" s="11">
        <f t="shared" si="7"/>
        <v>1.540000000000008E-2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12205526.127959436</v>
      </c>
      <c r="D46" s="11">
        <v>2.1399999999999995E-2</v>
      </c>
      <c r="E46" s="10">
        <f t="shared" si="2"/>
        <v>255725.72854741849</v>
      </c>
      <c r="F46" s="3"/>
      <c r="G46" s="28"/>
      <c r="H46" s="10"/>
      <c r="I46" s="10">
        <f t="shared" si="8"/>
        <v>22897</v>
      </c>
      <c r="J46" s="10">
        <f t="shared" si="6"/>
        <v>279469931751.88721</v>
      </c>
      <c r="K46" s="11">
        <f t="shared" si="7"/>
        <v>2.1400000000000086E-2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11949800.399412017</v>
      </c>
      <c r="D47" s="11">
        <v>2.3199999999999998E-2</v>
      </c>
      <c r="E47" s="10">
        <f t="shared" si="2"/>
        <v>270949.34447455034</v>
      </c>
      <c r="F47" s="3"/>
      <c r="G47" s="28"/>
      <c r="H47" s="10"/>
      <c r="I47" s="10">
        <f t="shared" si="8"/>
        <v>22897</v>
      </c>
      <c r="J47" s="10">
        <f t="shared" si="6"/>
        <v>273614579745.33698</v>
      </c>
      <c r="K47" s="11">
        <f t="shared" si="7"/>
        <v>2.3200000000000109E-2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11678851.054937467</v>
      </c>
      <c r="D48" s="11">
        <v>1.6100000000000003E-2</v>
      </c>
      <c r="E48" s="10">
        <f t="shared" si="2"/>
        <v>185050.19386329502</v>
      </c>
      <c r="F48" s="3"/>
      <c r="G48" s="28"/>
      <c r="H48" s="10"/>
      <c r="I48" s="10">
        <f t="shared" si="8"/>
        <v>22897</v>
      </c>
      <c r="J48" s="10">
        <f t="shared" si="6"/>
        <v>267410652604.90317</v>
      </c>
      <c r="K48" s="11">
        <f t="shared" si="7"/>
        <v>1.6100000000000003E-2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11493800.861074172</v>
      </c>
      <c r="D49" s="11">
        <v>1.0899999999999998E-2</v>
      </c>
      <c r="E49" s="10">
        <f t="shared" si="2"/>
        <v>123931.57521585375</v>
      </c>
      <c r="F49" s="3"/>
      <c r="G49" s="28"/>
      <c r="H49" s="10"/>
      <c r="I49" s="10">
        <f t="shared" si="8"/>
        <v>22897</v>
      </c>
      <c r="J49" s="10">
        <f t="shared" si="6"/>
        <v>263173558316.01532</v>
      </c>
      <c r="K49" s="11">
        <f t="shared" si="7"/>
        <v>1.089999999999991E-2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11369869.285858318</v>
      </c>
      <c r="D50" s="11">
        <v>3.32E-2</v>
      </c>
      <c r="E50" s="10">
        <f t="shared" si="2"/>
        <v>365350.03899583407</v>
      </c>
      <c r="F50" s="3"/>
      <c r="G50" s="28"/>
      <c r="H50" s="10"/>
      <c r="I50" s="10">
        <f t="shared" si="8"/>
        <v>22897</v>
      </c>
      <c r="J50" s="10">
        <f t="shared" si="6"/>
        <v>260335897038.29791</v>
      </c>
      <c r="K50" s="11">
        <f t="shared" si="7"/>
        <v>3.3199999999999896E-2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11004519.246862484</v>
      </c>
      <c r="D51" s="11">
        <v>1.5399999999999999E-2</v>
      </c>
      <c r="E51" s="10">
        <f t="shared" si="2"/>
        <v>166899.34646610543</v>
      </c>
      <c r="F51" s="3"/>
      <c r="G51" s="28"/>
      <c r="H51" s="10"/>
      <c r="I51" s="10">
        <f t="shared" si="8"/>
        <v>22897</v>
      </c>
      <c r="J51" s="10">
        <f t="shared" si="6"/>
        <v>251970477195.41031</v>
      </c>
      <c r="K51" s="11">
        <f t="shared" si="7"/>
        <v>1.540000000000008E-2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10837619.900396379</v>
      </c>
      <c r="D52" s="11">
        <v>2.4899999999999999E-2</v>
      </c>
      <c r="E52" s="10">
        <f t="shared" si="2"/>
        <v>263300.55178053305</v>
      </c>
      <c r="F52" s="3"/>
      <c r="G52" s="28"/>
      <c r="H52" s="10"/>
      <c r="I52" s="10">
        <f t="shared" si="8"/>
        <v>22897</v>
      </c>
      <c r="J52" s="10">
        <f t="shared" si="6"/>
        <v>248148982859.37589</v>
      </c>
      <c r="K52" s="11">
        <f t="shared" si="7"/>
        <v>2.4899999999999922E-2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10574319.348615846</v>
      </c>
      <c r="D53" s="11">
        <v>2.9600000000000001E-2</v>
      </c>
      <c r="E53" s="10">
        <f t="shared" si="2"/>
        <v>304001.41095476784</v>
      </c>
      <c r="F53" s="3"/>
      <c r="G53" s="28"/>
      <c r="H53" s="10"/>
      <c r="I53" s="10">
        <f t="shared" si="8"/>
        <v>22897</v>
      </c>
      <c r="J53" s="10">
        <f t="shared" si="6"/>
        <v>242120190125.25702</v>
      </c>
      <c r="K53" s="11">
        <f t="shared" si="7"/>
        <v>2.9600000000000071E-2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10270317.937661078</v>
      </c>
      <c r="D54" s="11">
        <v>2.6799999999999997E-2</v>
      </c>
      <c r="E54" s="10">
        <f t="shared" si="2"/>
        <v>268060.49934682064</v>
      </c>
      <c r="F54" s="3"/>
      <c r="G54" s="28"/>
      <c r="H54" s="10"/>
      <c r="I54" s="10">
        <f t="shared" si="8"/>
        <v>22897</v>
      </c>
      <c r="J54" s="10">
        <f t="shared" si="6"/>
        <v>235159469818.6257</v>
      </c>
      <c r="K54" s="11">
        <f t="shared" si="7"/>
        <v>2.6799999999999935E-2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10002257.438314257</v>
      </c>
      <c r="D55" s="11">
        <v>3.8199999999999998E-2</v>
      </c>
      <c r="E55" s="10">
        <f t="shared" si="2"/>
        <v>368027.58056598343</v>
      </c>
      <c r="F55" s="3"/>
      <c r="G55" s="28"/>
      <c r="H55" s="10"/>
      <c r="I55" s="10">
        <f t="shared" si="8"/>
        <v>22897</v>
      </c>
      <c r="J55" s="10">
        <f t="shared" si="6"/>
        <v>229021688565.08154</v>
      </c>
      <c r="K55" s="11">
        <f t="shared" si="7"/>
        <v>3.8200000000000012E-2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9634229.8577482738</v>
      </c>
      <c r="D56" s="11">
        <v>2.3E-2</v>
      </c>
      <c r="E56" s="10">
        <f t="shared" si="2"/>
        <v>216605.36337068304</v>
      </c>
      <c r="F56" s="3"/>
      <c r="G56" s="28"/>
      <c r="H56" s="10"/>
      <c r="I56" s="10">
        <f t="shared" si="8"/>
        <v>22897</v>
      </c>
      <c r="J56" s="10">
        <f t="shared" si="6"/>
        <v>220594961052.86221</v>
      </c>
      <c r="K56" s="11">
        <f t="shared" si="7"/>
        <v>2.2999999999999687E-2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9417624.4943775907</v>
      </c>
      <c r="D57" s="11">
        <v>2.5000000000000001E-2</v>
      </c>
      <c r="E57" s="10">
        <f t="shared" si="2"/>
        <v>229698.15839945339</v>
      </c>
      <c r="F57" s="3"/>
      <c r="G57" s="28"/>
      <c r="H57" s="10"/>
      <c r="I57" s="10">
        <f t="shared" si="8"/>
        <v>22897</v>
      </c>
      <c r="J57" s="10">
        <f t="shared" si="6"/>
        <v>215635348047.7637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9187926.3359781373</v>
      </c>
      <c r="D58" s="11">
        <v>1.9999999999999997E-2</v>
      </c>
      <c r="E58" s="10">
        <f t="shared" si="2"/>
        <v>180155.41835251264</v>
      </c>
      <c r="F58" s="3"/>
      <c r="G58" s="28"/>
      <c r="H58" s="10"/>
      <c r="I58" s="10">
        <f t="shared" si="8"/>
        <v>22897</v>
      </c>
      <c r="J58" s="10">
        <f t="shared" si="6"/>
        <v>210375949314.89142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9007770.9176256247</v>
      </c>
      <c r="D59" s="11">
        <v>2.5000000000000001E-2</v>
      </c>
      <c r="E59" s="10">
        <f t="shared" si="2"/>
        <v>219701.72969818488</v>
      </c>
      <c r="F59" s="3"/>
      <c r="G59" s="28"/>
      <c r="H59" s="10"/>
      <c r="I59" s="10">
        <f t="shared" si="8"/>
        <v>22897</v>
      </c>
      <c r="J59" s="10">
        <f t="shared" si="6"/>
        <v>206250930700.87393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8788069.1879274398</v>
      </c>
      <c r="D60" s="11">
        <v>4.8000000000000001E-2</v>
      </c>
      <c r="E60" s="10">
        <f t="shared" si="2"/>
        <v>402506.98570660129</v>
      </c>
      <c r="F60" s="3"/>
      <c r="G60" s="28"/>
      <c r="H60" s="10"/>
      <c r="I60" s="10">
        <f t="shared" si="8"/>
        <v>22897</v>
      </c>
      <c r="J60" s="10">
        <f t="shared" si="6"/>
        <v>201220420195.97458</v>
      </c>
      <c r="K60" s="11">
        <f t="shared" si="7"/>
        <v>4.8000000000000043E-2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8385562.2022208385</v>
      </c>
      <c r="D61" s="11">
        <v>0.04</v>
      </c>
      <c r="E61" s="10">
        <f t="shared" si="2"/>
        <v>322521.62316234037</v>
      </c>
      <c r="F61" s="3"/>
      <c r="G61" s="28"/>
      <c r="H61" s="10"/>
      <c r="I61" s="10">
        <f t="shared" si="8"/>
        <v>22897</v>
      </c>
      <c r="J61" s="10">
        <f t="shared" si="6"/>
        <v>192004217744.25055</v>
      </c>
      <c r="K61" s="11">
        <f t="shared" si="7"/>
        <v>4.0000000000000258E-2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8063040.5790584981</v>
      </c>
      <c r="D62" s="11">
        <v>0.03</v>
      </c>
      <c r="E62" s="10">
        <f t="shared" si="2"/>
        <v>234845.84210850019</v>
      </c>
      <c r="F62" s="3"/>
      <c r="G62" s="28"/>
      <c r="H62" s="10"/>
      <c r="I62" s="10">
        <f t="shared" si="8"/>
        <v>22897</v>
      </c>
      <c r="J62" s="10">
        <f t="shared" si="6"/>
        <v>184619440138.70242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7828194.736949998</v>
      </c>
      <c r="D63" s="11">
        <v>1.9999999999999997E-2</v>
      </c>
      <c r="E63" s="10">
        <f t="shared" si="2"/>
        <v>153494.01444999967</v>
      </c>
      <c r="F63" s="3"/>
      <c r="G63" s="28"/>
      <c r="H63" s="10"/>
      <c r="I63" s="10">
        <f t="shared" si="8"/>
        <v>22897</v>
      </c>
      <c r="J63" s="10">
        <f t="shared" si="6"/>
        <v>179242174891.94409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7674700.7224999983</v>
      </c>
      <c r="D64" s="11">
        <v>1.5000000000000001E-2</v>
      </c>
      <c r="E64" s="10">
        <f t="shared" si="2"/>
        <v>113419.22249999922</v>
      </c>
      <c r="F64" s="3"/>
      <c r="G64" s="28"/>
      <c r="H64" s="10"/>
      <c r="I64" s="10">
        <f t="shared" si="8"/>
        <v>22897</v>
      </c>
      <c r="J64" s="10">
        <f t="shared" si="6"/>
        <v>175727622443.08246</v>
      </c>
      <c r="K64" s="11">
        <f t="shared" si="7"/>
        <v>1.4999999999999902E-2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7561281.4999999991</v>
      </c>
      <c r="D65" s="11">
        <v>2.5000000000000001E-2</v>
      </c>
      <c r="E65" s="10">
        <f t="shared" si="2"/>
        <v>184421.49999999907</v>
      </c>
      <c r="F65" s="3"/>
      <c r="G65" s="28"/>
      <c r="H65" s="10"/>
      <c r="I65" s="10">
        <f t="shared" si="8"/>
        <v>22897</v>
      </c>
      <c r="J65" s="10">
        <f t="shared" si="6"/>
        <v>173130662505.49997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7376860</v>
      </c>
      <c r="D66" s="11">
        <v>0.03</v>
      </c>
      <c r="E66" s="10">
        <f t="shared" si="2"/>
        <v>214860</v>
      </c>
      <c r="F66" s="3"/>
      <c r="G66" s="28"/>
      <c r="H66" s="10"/>
      <c r="I66" s="10">
        <f t="shared" si="8"/>
        <v>22897</v>
      </c>
      <c r="J66" s="10">
        <f t="shared" ref="J66:J67" si="9">IF(I66="","",I66*C66)</f>
        <v>168907963420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7162000</v>
      </c>
      <c r="D67" s="11">
        <v>1.9999999999999997E-2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22897</v>
      </c>
      <c r="J67" s="10">
        <f t="shared" si="9"/>
        <v>163988314000</v>
      </c>
      <c r="K67" s="11"/>
    </row>
  </sheetData>
  <dataValidations count="1">
    <dataValidation type="custom" allowBlank="1" showDropDown="1" sqref="D2:D67" xr:uid="{00000000-0002-0000-2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25083181.24625165</v>
      </c>
      <c r="D2" s="11">
        <v>1.17E-2</v>
      </c>
      <c r="E2" s="10">
        <f t="shared" ref="E2:E66" si="2">SUM(C2-C3)</f>
        <v>290079.29285474494</v>
      </c>
      <c r="F2" s="15">
        <v>25083674</v>
      </c>
      <c r="G2" s="28"/>
      <c r="H2" s="10"/>
      <c r="I2" s="10">
        <f>IF(H2&lt;&gt;"",H2,1742)</f>
        <v>1742</v>
      </c>
      <c r="J2" s="10">
        <f t="shared" ref="J2:J33" si="3">IF(I2="","",I2*C2)</f>
        <v>43694901730.970375</v>
      </c>
      <c r="K2" s="11">
        <f t="shared" ref="K2:K33" si="4">IFERROR(J2/J3-1,"")</f>
        <v>1.1700000000000044E-2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24793101.953396905</v>
      </c>
      <c r="D3" s="11">
        <v>1.2E-2</v>
      </c>
      <c r="E3" s="10">
        <f t="shared" si="2"/>
        <v>293989.35122605041</v>
      </c>
      <c r="F3" s="3"/>
      <c r="G3" s="28"/>
      <c r="H3" s="10"/>
      <c r="I3" s="10">
        <f t="shared" ref="I3:I34" si="5">IF(H3&lt;&gt;"",H3,I2/(1+IF(G2="",0,G2)/100))</f>
        <v>1742</v>
      </c>
      <c r="J3" s="10">
        <f t="shared" si="3"/>
        <v>43189583602.817406</v>
      </c>
      <c r="K3" s="11">
        <f t="shared" si="4"/>
        <v>1.2000000000000011E-2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24499112.602170855</v>
      </c>
      <c r="D4" s="11">
        <v>1.21E-2</v>
      </c>
      <c r="E4" s="10">
        <f t="shared" si="2"/>
        <v>292895.2302008383</v>
      </c>
      <c r="F4" s="3"/>
      <c r="G4" s="28"/>
      <c r="H4" s="10"/>
      <c r="I4" s="10">
        <f t="shared" si="5"/>
        <v>1742</v>
      </c>
      <c r="J4" s="10">
        <f t="shared" si="3"/>
        <v>42677454152.981628</v>
      </c>
      <c r="K4" s="11">
        <f t="shared" si="4"/>
        <v>1.21E-2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24206217.371970017</v>
      </c>
      <c r="D5" s="11">
        <v>1.17E-2</v>
      </c>
      <c r="E5" s="10">
        <f t="shared" si="2"/>
        <v>279937.47479692474</v>
      </c>
      <c r="F5" s="3"/>
      <c r="G5" s="28"/>
      <c r="H5" s="10"/>
      <c r="I5" s="10">
        <f t="shared" si="5"/>
        <v>1742</v>
      </c>
      <c r="J5" s="10">
        <f t="shared" si="3"/>
        <v>42167230661.971771</v>
      </c>
      <c r="K5" s="11">
        <f t="shared" si="4"/>
        <v>1.1700000000000044E-2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23926279.897173092</v>
      </c>
      <c r="D6" s="11">
        <v>1.12E-2</v>
      </c>
      <c r="E6" s="10">
        <f t="shared" si="2"/>
        <v>265006.26468387991</v>
      </c>
      <c r="F6" s="3"/>
      <c r="G6" s="28"/>
      <c r="H6" s="10"/>
      <c r="I6" s="10">
        <f t="shared" si="5"/>
        <v>1742</v>
      </c>
      <c r="J6" s="10">
        <f t="shared" si="3"/>
        <v>41679579580.875526</v>
      </c>
      <c r="K6" s="11">
        <f t="shared" si="4"/>
        <v>1.1200000000000099E-2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23661273.632489212</v>
      </c>
      <c r="D7" s="11">
        <v>1.0500000000000001E-2</v>
      </c>
      <c r="E7" s="10">
        <f t="shared" si="2"/>
        <v>245861.82398924977</v>
      </c>
      <c r="F7" s="3"/>
      <c r="G7" s="28"/>
      <c r="H7" s="10"/>
      <c r="I7" s="10">
        <f t="shared" si="5"/>
        <v>1742</v>
      </c>
      <c r="J7" s="10">
        <f t="shared" si="3"/>
        <v>41217938667.796204</v>
      </c>
      <c r="K7" s="11">
        <f t="shared" si="4"/>
        <v>1.0499999999999954E-2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23415411.808499962</v>
      </c>
      <c r="D8" s="11">
        <v>0.01</v>
      </c>
      <c r="E8" s="10">
        <f t="shared" si="2"/>
        <v>231835.76048019901</v>
      </c>
      <c r="F8" s="3"/>
      <c r="G8" s="28"/>
      <c r="H8" s="10"/>
      <c r="I8" s="10">
        <f t="shared" si="5"/>
        <v>1742</v>
      </c>
      <c r="J8" s="10">
        <f t="shared" si="3"/>
        <v>40789647370.406937</v>
      </c>
      <c r="K8" s="11">
        <f t="shared" si="4"/>
        <v>1.0000000000000009E-2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23183576.048019763</v>
      </c>
      <c r="D9" s="11">
        <v>9.9000000000000008E-3</v>
      </c>
      <c r="E9" s="10">
        <f t="shared" si="2"/>
        <v>227267.45507020131</v>
      </c>
      <c r="F9" s="3"/>
      <c r="G9" s="28"/>
      <c r="H9" s="10"/>
      <c r="I9" s="10">
        <f t="shared" si="5"/>
        <v>1742</v>
      </c>
      <c r="J9" s="10">
        <f t="shared" si="3"/>
        <v>40385789475.650429</v>
      </c>
      <c r="K9" s="11">
        <f t="shared" si="4"/>
        <v>9.9000000000000199E-3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22956308.592949562</v>
      </c>
      <c r="D10" s="11">
        <v>1.0500000000000001E-2</v>
      </c>
      <c r="E10" s="10">
        <f t="shared" si="2"/>
        <v>238536.60586439446</v>
      </c>
      <c r="F10" s="3"/>
      <c r="G10" s="28"/>
      <c r="H10" s="10"/>
      <c r="I10" s="10">
        <f t="shared" si="5"/>
        <v>1742</v>
      </c>
      <c r="J10" s="10">
        <f t="shared" si="3"/>
        <v>39989889568.918137</v>
      </c>
      <c r="K10" s="11">
        <f t="shared" si="4"/>
        <v>1.0499999999999954E-2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22717771.987085167</v>
      </c>
      <c r="D11" s="11">
        <v>9.2999999999999992E-3</v>
      </c>
      <c r="E11" s="10">
        <f t="shared" si="2"/>
        <v>209328.52420479059</v>
      </c>
      <c r="F11" s="3"/>
      <c r="G11" s="28"/>
      <c r="H11" s="10"/>
      <c r="I11" s="10">
        <f t="shared" si="5"/>
        <v>1742</v>
      </c>
      <c r="J11" s="10">
        <f t="shared" si="3"/>
        <v>39574358801.502365</v>
      </c>
      <c r="K11" s="11">
        <f t="shared" si="4"/>
        <v>9.300000000000308E-3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22508443.462880377</v>
      </c>
      <c r="D12" s="11">
        <v>8.8999999999999999E-3</v>
      </c>
      <c r="E12" s="10">
        <f t="shared" si="2"/>
        <v>198557.98079059646</v>
      </c>
      <c r="F12" s="3"/>
      <c r="G12" s="28"/>
      <c r="H12" s="10"/>
      <c r="I12" s="10">
        <f t="shared" si="5"/>
        <v>1742</v>
      </c>
      <c r="J12" s="10">
        <f t="shared" si="3"/>
        <v>39209708512.337616</v>
      </c>
      <c r="K12" s="11">
        <f t="shared" si="4"/>
        <v>8.899999999999908E-3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22309885.48208978</v>
      </c>
      <c r="D13" s="11">
        <v>9.4999999999999998E-3</v>
      </c>
      <c r="E13" s="10">
        <f t="shared" si="2"/>
        <v>209949.39284779876</v>
      </c>
      <c r="F13" s="3"/>
      <c r="G13" s="28"/>
      <c r="H13" s="10"/>
      <c r="I13" s="10">
        <f t="shared" si="5"/>
        <v>1742</v>
      </c>
      <c r="J13" s="10">
        <f t="shared" si="3"/>
        <v>38863820509.8004</v>
      </c>
      <c r="K13" s="11">
        <f t="shared" si="4"/>
        <v>9.5000000000000639E-3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22099936.089241982</v>
      </c>
      <c r="D14" s="11">
        <v>9.7000000000000003E-3</v>
      </c>
      <c r="E14" s="10">
        <f t="shared" si="2"/>
        <v>212309.97332440317</v>
      </c>
      <c r="F14" s="3"/>
      <c r="G14" s="28"/>
      <c r="H14" s="10"/>
      <c r="I14" s="10">
        <f t="shared" si="5"/>
        <v>1742</v>
      </c>
      <c r="J14" s="10">
        <f t="shared" si="3"/>
        <v>38498088667.459534</v>
      </c>
      <c r="K14" s="11">
        <f t="shared" si="4"/>
        <v>9.700000000000264E-3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21887626.115917578</v>
      </c>
      <c r="D15" s="11">
        <v>1.06E-2</v>
      </c>
      <c r="E15" s="10">
        <f t="shared" si="2"/>
        <v>229575.33824334666</v>
      </c>
      <c r="F15" s="3"/>
      <c r="G15" s="28"/>
      <c r="H15" s="10"/>
      <c r="I15" s="10">
        <f t="shared" si="5"/>
        <v>1742</v>
      </c>
      <c r="J15" s="10">
        <f t="shared" si="3"/>
        <v>38128244693.928421</v>
      </c>
      <c r="K15" s="11">
        <f t="shared" si="4"/>
        <v>1.0599999999999943E-2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21658050.777674232</v>
      </c>
      <c r="D16" s="11">
        <v>1.3899999999999999E-2</v>
      </c>
      <c r="E16" s="10">
        <f t="shared" si="2"/>
        <v>296919.72167834267</v>
      </c>
      <c r="F16" s="3"/>
      <c r="G16" s="28"/>
      <c r="H16" s="10"/>
      <c r="I16" s="10">
        <f t="shared" si="5"/>
        <v>1742</v>
      </c>
      <c r="J16" s="10">
        <f t="shared" si="3"/>
        <v>37728324454.708511</v>
      </c>
      <c r="K16" s="11">
        <f t="shared" si="4"/>
        <v>1.3900000000000023E-2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21361131.055995889</v>
      </c>
      <c r="D17" s="11">
        <v>1.7899999999999999E-2</v>
      </c>
      <c r="E17" s="10">
        <f t="shared" si="2"/>
        <v>375640.28480432928</v>
      </c>
      <c r="F17" s="3"/>
      <c r="G17" s="28"/>
      <c r="H17" s="10"/>
      <c r="I17" s="10">
        <f t="shared" si="5"/>
        <v>1742</v>
      </c>
      <c r="J17" s="10">
        <f t="shared" si="3"/>
        <v>37211090299.544838</v>
      </c>
      <c r="K17" s="11">
        <f t="shared" si="4"/>
        <v>1.7900000000000027E-2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20985490.77119156</v>
      </c>
      <c r="D18" s="11">
        <v>1.9699999999999999E-2</v>
      </c>
      <c r="E18" s="10">
        <f t="shared" si="2"/>
        <v>405427.25134105608</v>
      </c>
      <c r="F18" s="3"/>
      <c r="G18" s="28"/>
      <c r="H18" s="10"/>
      <c r="I18" s="10">
        <f t="shared" si="5"/>
        <v>1742</v>
      </c>
      <c r="J18" s="10">
        <f t="shared" si="3"/>
        <v>36556724923.415695</v>
      </c>
      <c r="K18" s="11">
        <f t="shared" si="4"/>
        <v>1.9700000000000051E-2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20580063.519850504</v>
      </c>
      <c r="D19" s="11">
        <v>2.06E-2</v>
      </c>
      <c r="E19" s="10">
        <f t="shared" si="2"/>
        <v>415392.22859976441</v>
      </c>
      <c r="F19" s="3"/>
      <c r="G19" s="28"/>
      <c r="H19" s="10"/>
      <c r="I19" s="10">
        <f t="shared" si="5"/>
        <v>1742</v>
      </c>
      <c r="J19" s="10">
        <f t="shared" si="3"/>
        <v>35850470651.579575</v>
      </c>
      <c r="K19" s="11">
        <f t="shared" si="4"/>
        <v>2.0599999999999952E-2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20164671.291250739</v>
      </c>
      <c r="D20" s="11">
        <v>2.1600000000000001E-2</v>
      </c>
      <c r="E20" s="10">
        <f t="shared" si="2"/>
        <v>426347.7876771912</v>
      </c>
      <c r="F20" s="3"/>
      <c r="G20" s="28"/>
      <c r="H20" s="10"/>
      <c r="I20" s="10">
        <f t="shared" si="5"/>
        <v>1742</v>
      </c>
      <c r="J20" s="10">
        <f t="shared" si="3"/>
        <v>35126857389.358788</v>
      </c>
      <c r="K20" s="11">
        <f t="shared" si="4"/>
        <v>2.1600000000000064E-2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19738323.503573548</v>
      </c>
      <c r="D21" s="11">
        <v>2.2700000000000001E-2</v>
      </c>
      <c r="E21" s="10">
        <f t="shared" si="2"/>
        <v>438114.73895679787</v>
      </c>
      <c r="F21" s="3"/>
      <c r="G21" s="28"/>
      <c r="H21" s="10"/>
      <c r="I21" s="10">
        <f t="shared" si="5"/>
        <v>1742</v>
      </c>
      <c r="J21" s="10">
        <f t="shared" si="3"/>
        <v>34384159543.225121</v>
      </c>
      <c r="K21" s="11">
        <f t="shared" si="4"/>
        <v>2.2699999999999942E-2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19300208.76461675</v>
      </c>
      <c r="D22" s="11">
        <v>2.3900000000000001E-2</v>
      </c>
      <c r="E22" s="10">
        <f t="shared" si="2"/>
        <v>450507.85181593895</v>
      </c>
      <c r="F22" s="3"/>
      <c r="G22" s="28"/>
      <c r="H22" s="10"/>
      <c r="I22" s="10">
        <f t="shared" si="5"/>
        <v>1742</v>
      </c>
      <c r="J22" s="10">
        <f t="shared" si="3"/>
        <v>33620963667.962379</v>
      </c>
      <c r="K22" s="11">
        <f t="shared" si="4"/>
        <v>2.3900000000000032E-2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18849700.912800811</v>
      </c>
      <c r="D23" s="11">
        <v>2.4E-2</v>
      </c>
      <c r="E23" s="10">
        <f t="shared" si="2"/>
        <v>441789.86514376849</v>
      </c>
      <c r="F23" s="3"/>
      <c r="G23" s="28"/>
      <c r="H23" s="10"/>
      <c r="I23" s="10">
        <f t="shared" si="5"/>
        <v>1742</v>
      </c>
      <c r="J23" s="10">
        <f t="shared" si="3"/>
        <v>32836178990.099014</v>
      </c>
      <c r="K23" s="11">
        <f t="shared" si="4"/>
        <v>2.4000000000000021E-2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18407911.047657043</v>
      </c>
      <c r="D24" s="11">
        <v>2.5899999999999999E-2</v>
      </c>
      <c r="E24" s="10">
        <f t="shared" si="2"/>
        <v>464728.42980243638</v>
      </c>
      <c r="F24" s="3"/>
      <c r="G24" s="28"/>
      <c r="H24" s="10"/>
      <c r="I24" s="10">
        <f t="shared" si="5"/>
        <v>1742</v>
      </c>
      <c r="J24" s="10">
        <f t="shared" si="3"/>
        <v>32066581045.01857</v>
      </c>
      <c r="K24" s="11">
        <f t="shared" si="4"/>
        <v>2.5900000000000256E-2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17943182.617854606</v>
      </c>
      <c r="D25" s="11">
        <v>2.5499999999999998E-2</v>
      </c>
      <c r="E25" s="10">
        <f t="shared" si="2"/>
        <v>446173.72672383487</v>
      </c>
      <c r="F25" s="3"/>
      <c r="G25" s="28"/>
      <c r="H25" s="10"/>
      <c r="I25" s="10">
        <f t="shared" si="5"/>
        <v>1742</v>
      </c>
      <c r="J25" s="10">
        <f t="shared" si="3"/>
        <v>31257024120.302723</v>
      </c>
      <c r="K25" s="11">
        <f t="shared" si="4"/>
        <v>2.5500000000000078E-2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17497008.891130771</v>
      </c>
      <c r="D26" s="11">
        <v>2.4500000000000001E-2</v>
      </c>
      <c r="E26" s="10">
        <f t="shared" si="2"/>
        <v>418425.2980309464</v>
      </c>
      <c r="F26" s="3"/>
      <c r="G26" s="28"/>
      <c r="H26" s="10"/>
      <c r="I26" s="10">
        <f t="shared" si="5"/>
        <v>1742</v>
      </c>
      <c r="J26" s="10">
        <f t="shared" si="3"/>
        <v>30479789488.349804</v>
      </c>
      <c r="K26" s="11">
        <f t="shared" si="4"/>
        <v>2.4500000000000188E-2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17078583.593099825</v>
      </c>
      <c r="D27" s="11">
        <v>2.3900000000000001E-2</v>
      </c>
      <c r="E27" s="10">
        <f t="shared" si="2"/>
        <v>398650.40323770419</v>
      </c>
      <c r="F27" s="3"/>
      <c r="G27" s="28"/>
      <c r="H27" s="10"/>
      <c r="I27" s="10">
        <f t="shared" si="5"/>
        <v>1742</v>
      </c>
      <c r="J27" s="10">
        <f t="shared" si="3"/>
        <v>29750892619.179893</v>
      </c>
      <c r="K27" s="11">
        <f t="shared" si="4"/>
        <v>2.389999999999981E-2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16679933.189862121</v>
      </c>
      <c r="D28" s="11">
        <v>2.4199999999999999E-2</v>
      </c>
      <c r="E28" s="10">
        <f t="shared" si="2"/>
        <v>394116.75765930861</v>
      </c>
      <c r="F28" s="3"/>
      <c r="G28" s="28"/>
      <c r="H28" s="10"/>
      <c r="I28" s="10">
        <f t="shared" si="5"/>
        <v>1742</v>
      </c>
      <c r="J28" s="10">
        <f t="shared" si="3"/>
        <v>29056443616.739815</v>
      </c>
      <c r="K28" s="11">
        <f t="shared" si="4"/>
        <v>2.4199999999999999E-2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16285816.432202812</v>
      </c>
      <c r="D29" s="11">
        <v>2.5100000000000001E-2</v>
      </c>
      <c r="E29" s="10">
        <f t="shared" si="2"/>
        <v>398764.99116992392</v>
      </c>
      <c r="F29" s="3"/>
      <c r="G29" s="28"/>
      <c r="H29" s="10"/>
      <c r="I29" s="10">
        <f t="shared" si="5"/>
        <v>1742</v>
      </c>
      <c r="J29" s="10">
        <f t="shared" si="3"/>
        <v>28369892224.897301</v>
      </c>
      <c r="K29" s="11">
        <f t="shared" si="4"/>
        <v>2.50999999999999E-2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15887051.441032888</v>
      </c>
      <c r="D30" s="12">
        <v>2.4299999999999999E-2</v>
      </c>
      <c r="E30" s="10">
        <f t="shared" si="2"/>
        <v>376896.75877877511</v>
      </c>
      <c r="F30" s="3"/>
      <c r="G30" s="28"/>
      <c r="H30" s="10"/>
      <c r="I30" s="10">
        <f t="shared" si="5"/>
        <v>1742</v>
      </c>
      <c r="J30" s="10">
        <f t="shared" si="3"/>
        <v>27675243610.279293</v>
      </c>
      <c r="K30" s="11">
        <f t="shared" si="4"/>
        <v>2.430000000000021E-2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15510154.682254113</v>
      </c>
      <c r="D31" s="13">
        <v>2.4E-2</v>
      </c>
      <c r="E31" s="10">
        <f t="shared" si="2"/>
        <v>363519.25036533177</v>
      </c>
      <c r="F31" s="3"/>
      <c r="G31" s="28"/>
      <c r="H31" s="10"/>
      <c r="I31" s="10">
        <f t="shared" si="5"/>
        <v>1742</v>
      </c>
      <c r="J31" s="10">
        <f t="shared" si="3"/>
        <v>27018689456.486664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15146635.431888781</v>
      </c>
      <c r="D32" s="12">
        <v>2.4299999999999999E-2</v>
      </c>
      <c r="E32" s="10">
        <f t="shared" si="2"/>
        <v>359331.48588782363</v>
      </c>
      <c r="F32" s="3"/>
      <c r="G32" s="28"/>
      <c r="H32" s="10"/>
      <c r="I32" s="10">
        <f t="shared" si="5"/>
        <v>1742</v>
      </c>
      <c r="J32" s="10">
        <f t="shared" si="3"/>
        <v>26385438922.350258</v>
      </c>
      <c r="K32" s="11">
        <f t="shared" si="4"/>
        <v>2.4299999999999988E-2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14787303.946000958</v>
      </c>
      <c r="D33" s="13">
        <v>2.3900000000000001E-2</v>
      </c>
      <c r="E33" s="10">
        <f t="shared" si="2"/>
        <v>345167.0713052284</v>
      </c>
      <c r="F33" s="3"/>
      <c r="G33" s="28"/>
      <c r="H33" s="10"/>
      <c r="I33" s="10">
        <f t="shared" si="5"/>
        <v>1742</v>
      </c>
      <c r="J33" s="10">
        <f t="shared" si="3"/>
        <v>25759483473.93367</v>
      </c>
      <c r="K33" s="11">
        <f t="shared" si="4"/>
        <v>2.3900000000000254E-2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14442136.874695729</v>
      </c>
      <c r="D34" s="12">
        <v>2.3599999999999999E-2</v>
      </c>
      <c r="E34" s="10">
        <f t="shared" si="2"/>
        <v>332976.1921090465</v>
      </c>
      <c r="F34" s="3"/>
      <c r="G34" s="28"/>
      <c r="H34" s="10"/>
      <c r="I34" s="10">
        <f t="shared" si="5"/>
        <v>1742</v>
      </c>
      <c r="J34" s="10">
        <f t="shared" ref="J34:J65" si="6">IF(I34="","",I34*C34)</f>
        <v>25158202435.719959</v>
      </c>
      <c r="K34" s="11">
        <f t="shared" ref="K34:K65" si="7">IFERROR(J34/J35-1,"")</f>
        <v>2.3600000000000065E-2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14109160.682586683</v>
      </c>
      <c r="D35" s="11">
        <v>2.3400000000000001E-2</v>
      </c>
      <c r="E35" s="10">
        <f t="shared" si="2"/>
        <v>322605.39375857823</v>
      </c>
      <c r="F35" s="3"/>
      <c r="G35" s="28"/>
      <c r="H35" s="10"/>
      <c r="I35" s="10">
        <f t="shared" ref="I35:I66" si="8">IF(H35&lt;&gt;"",H35,I34/(1+IF(G34="",0,G34)/100))</f>
        <v>1742</v>
      </c>
      <c r="J35" s="10">
        <f t="shared" si="6"/>
        <v>24578157909.066002</v>
      </c>
      <c r="K35" s="11">
        <f t="shared" si="7"/>
        <v>2.3400000000000087E-2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13786555.288828105</v>
      </c>
      <c r="D36" s="11">
        <v>2.3599999999999999E-2</v>
      </c>
      <c r="E36" s="10">
        <f t="shared" si="2"/>
        <v>317861.18094601855</v>
      </c>
      <c r="F36" s="3"/>
      <c r="G36" s="28"/>
      <c r="H36" s="10"/>
      <c r="I36" s="10">
        <f t="shared" si="8"/>
        <v>1742</v>
      </c>
      <c r="J36" s="10">
        <f t="shared" si="6"/>
        <v>24016179313.138557</v>
      </c>
      <c r="K36" s="11">
        <f t="shared" si="7"/>
        <v>2.3600000000000065E-2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13468694.107882086</v>
      </c>
      <c r="D37" s="11">
        <v>2.4299999999999999E-2</v>
      </c>
      <c r="E37" s="10">
        <f t="shared" si="2"/>
        <v>319524.81384509802</v>
      </c>
      <c r="F37" s="3"/>
      <c r="G37" s="28"/>
      <c r="H37" s="10"/>
      <c r="I37" s="10">
        <f t="shared" si="8"/>
        <v>1742</v>
      </c>
      <c r="J37" s="10">
        <f t="shared" si="6"/>
        <v>23462465135.930595</v>
      </c>
      <c r="K37" s="11">
        <f t="shared" si="7"/>
        <v>2.4299999999999988E-2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13149169.294036988</v>
      </c>
      <c r="D38" s="11">
        <v>2.5000000000000001E-2</v>
      </c>
      <c r="E38" s="10">
        <f t="shared" si="2"/>
        <v>320711.44619602337</v>
      </c>
      <c r="F38" s="3"/>
      <c r="G38" s="28"/>
      <c r="H38" s="10"/>
      <c r="I38" s="10">
        <f t="shared" si="8"/>
        <v>1742</v>
      </c>
      <c r="J38" s="10">
        <f t="shared" si="6"/>
        <v>22905852910.212433</v>
      </c>
      <c r="K38" s="11">
        <f t="shared" si="7"/>
        <v>2.4999999999999911E-2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12828457.847840965</v>
      </c>
      <c r="D39" s="11">
        <v>2.5100000000000001E-2</v>
      </c>
      <c r="E39" s="10">
        <f t="shared" si="2"/>
        <v>314110.12777368724</v>
      </c>
      <c r="F39" s="3"/>
      <c r="G39" s="28"/>
      <c r="H39" s="10"/>
      <c r="I39" s="10">
        <f t="shared" si="8"/>
        <v>1742</v>
      </c>
      <c r="J39" s="10">
        <f t="shared" si="6"/>
        <v>22347173570.938961</v>
      </c>
      <c r="K39" s="11">
        <f t="shared" si="7"/>
        <v>2.50999999999999E-2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12514347.720067278</v>
      </c>
      <c r="D40" s="11">
        <v>2.5899999999999999E-2</v>
      </c>
      <c r="E40" s="10">
        <f t="shared" si="2"/>
        <v>315938.79125620797</v>
      </c>
      <c r="F40" s="3"/>
      <c r="G40" s="28"/>
      <c r="H40" s="10"/>
      <c r="I40" s="10">
        <f t="shared" si="8"/>
        <v>1742</v>
      </c>
      <c r="J40" s="10">
        <f t="shared" si="6"/>
        <v>21799993728.357197</v>
      </c>
      <c r="K40" s="11">
        <f t="shared" si="7"/>
        <v>2.5900000000000034E-2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12198408.92881107</v>
      </c>
      <c r="D41" s="11">
        <v>2.6499999999999999E-2</v>
      </c>
      <c r="E41" s="10">
        <f t="shared" si="2"/>
        <v>314912.65135264769</v>
      </c>
      <c r="F41" s="3"/>
      <c r="G41" s="28"/>
      <c r="H41" s="10"/>
      <c r="I41" s="10">
        <f t="shared" si="8"/>
        <v>1742</v>
      </c>
      <c r="J41" s="10">
        <f t="shared" si="6"/>
        <v>21249628353.988884</v>
      </c>
      <c r="K41" s="11">
        <f t="shared" si="7"/>
        <v>2.650000000000019E-2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11883496.277458422</v>
      </c>
      <c r="D42" s="11">
        <v>2.6200000000000001E-2</v>
      </c>
      <c r="E42" s="10">
        <f t="shared" si="2"/>
        <v>303398.56019237079</v>
      </c>
      <c r="F42" s="3"/>
      <c r="G42" s="28"/>
      <c r="H42" s="10"/>
      <c r="I42" s="10">
        <f t="shared" si="8"/>
        <v>1742</v>
      </c>
      <c r="J42" s="10">
        <f t="shared" si="6"/>
        <v>20701050515.332569</v>
      </c>
      <c r="K42" s="11">
        <f t="shared" si="7"/>
        <v>2.6199999999999779E-2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11580097.717266051</v>
      </c>
      <c r="D43" s="11">
        <v>2.6200000000000001E-2</v>
      </c>
      <c r="E43" s="10">
        <f t="shared" si="2"/>
        <v>295652.46559381299</v>
      </c>
      <c r="F43" s="3"/>
      <c r="G43" s="28"/>
      <c r="H43" s="10"/>
      <c r="I43" s="10">
        <f t="shared" si="8"/>
        <v>1742</v>
      </c>
      <c r="J43" s="10">
        <f t="shared" si="6"/>
        <v>20172530223.477463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11284445.251672238</v>
      </c>
      <c r="D44" s="11">
        <v>2.6100000000000002E-2</v>
      </c>
      <c r="E44" s="10">
        <f t="shared" si="2"/>
        <v>287032.47351003438</v>
      </c>
      <c r="F44" s="3"/>
      <c r="G44" s="28"/>
      <c r="H44" s="10"/>
      <c r="I44" s="10">
        <f t="shared" si="8"/>
        <v>1742</v>
      </c>
      <c r="J44" s="10">
        <f t="shared" si="6"/>
        <v>19657503628.41304</v>
      </c>
      <c r="K44" s="11">
        <f t="shared" si="7"/>
        <v>2.6100000000000012E-2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10997412.778162204</v>
      </c>
      <c r="D45" s="11">
        <v>2.5499999999999998E-2</v>
      </c>
      <c r="E45" s="10">
        <f t="shared" si="2"/>
        <v>273460.77605376579</v>
      </c>
      <c r="F45" s="3"/>
      <c r="G45" s="28"/>
      <c r="H45" s="10"/>
      <c r="I45" s="10">
        <f t="shared" si="8"/>
        <v>1742</v>
      </c>
      <c r="J45" s="10">
        <f t="shared" si="6"/>
        <v>19157493059.558559</v>
      </c>
      <c r="K45" s="11">
        <f t="shared" si="7"/>
        <v>2.5500000000000078E-2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10723952.002108438</v>
      </c>
      <c r="D46" s="11">
        <v>2.4199999999999999E-2</v>
      </c>
      <c r="E46" s="10">
        <f t="shared" si="2"/>
        <v>253387.65714804083</v>
      </c>
      <c r="F46" s="3"/>
      <c r="G46" s="28"/>
      <c r="H46" s="10"/>
      <c r="I46" s="10">
        <f t="shared" si="8"/>
        <v>1742</v>
      </c>
      <c r="J46" s="10">
        <f t="shared" si="6"/>
        <v>18681124387.672897</v>
      </c>
      <c r="K46" s="11">
        <f t="shared" si="7"/>
        <v>2.4199999999999777E-2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10470564.344960397</v>
      </c>
      <c r="D47" s="11">
        <v>2.3199999999999998E-2</v>
      </c>
      <c r="E47" s="10">
        <f t="shared" si="2"/>
        <v>237409.19937752374</v>
      </c>
      <c r="F47" s="3"/>
      <c r="G47" s="28"/>
      <c r="H47" s="10"/>
      <c r="I47" s="10">
        <f t="shared" si="8"/>
        <v>1742</v>
      </c>
      <c r="J47" s="10">
        <f t="shared" si="6"/>
        <v>18239723088.921013</v>
      </c>
      <c r="K47" s="11">
        <f t="shared" si="7"/>
        <v>2.3200000000000109E-2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10233155.145582873</v>
      </c>
      <c r="D48" s="11">
        <v>2.2700000000000001E-2</v>
      </c>
      <c r="E48" s="10">
        <f t="shared" si="2"/>
        <v>227136.62051895075</v>
      </c>
      <c r="F48" s="3"/>
      <c r="G48" s="28"/>
      <c r="H48" s="10"/>
      <c r="I48" s="10">
        <f t="shared" si="8"/>
        <v>1742</v>
      </c>
      <c r="J48" s="10">
        <f t="shared" si="6"/>
        <v>17826156263.605366</v>
      </c>
      <c r="K48" s="11">
        <f t="shared" si="7"/>
        <v>2.2699999999999942E-2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10006018.525063923</v>
      </c>
      <c r="D49" s="11">
        <v>2.1999999999999999E-2</v>
      </c>
      <c r="E49" s="10">
        <f t="shared" si="2"/>
        <v>215393.74515793286</v>
      </c>
      <c r="F49" s="3"/>
      <c r="G49" s="28"/>
      <c r="H49" s="10"/>
      <c r="I49" s="10">
        <f t="shared" si="8"/>
        <v>1742</v>
      </c>
      <c r="J49" s="10">
        <f t="shared" si="6"/>
        <v>17430484270.661354</v>
      </c>
      <c r="K49" s="11">
        <f t="shared" si="7"/>
        <v>2.2000000000000242E-2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9790624.7799059898</v>
      </c>
      <c r="D50" s="11">
        <v>2.1299999999999999E-2</v>
      </c>
      <c r="E50" s="10">
        <f t="shared" si="2"/>
        <v>204191.03868794441</v>
      </c>
      <c r="F50" s="3"/>
      <c r="G50" s="28"/>
      <c r="H50" s="10"/>
      <c r="I50" s="10">
        <f t="shared" si="8"/>
        <v>1742</v>
      </c>
      <c r="J50" s="10">
        <f t="shared" si="6"/>
        <v>17055268366.596233</v>
      </c>
      <c r="K50" s="11">
        <f t="shared" si="7"/>
        <v>2.1299999999999875E-2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9586433.7412180454</v>
      </c>
      <c r="D51" s="11">
        <v>2.0400000000000001E-2</v>
      </c>
      <c r="E51" s="10">
        <f t="shared" si="2"/>
        <v>191653.51658256352</v>
      </c>
      <c r="F51" s="3"/>
      <c r="G51" s="28"/>
      <c r="H51" s="10"/>
      <c r="I51" s="10">
        <f t="shared" si="8"/>
        <v>1742</v>
      </c>
      <c r="J51" s="10">
        <f t="shared" si="6"/>
        <v>16699567577.201836</v>
      </c>
      <c r="K51" s="11">
        <f t="shared" si="7"/>
        <v>2.0399999999999974E-2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9394780.2246354818</v>
      </c>
      <c r="D52" s="11">
        <v>1.9699999999999999E-2</v>
      </c>
      <c r="E52" s="10">
        <f t="shared" si="2"/>
        <v>181501.5891196616</v>
      </c>
      <c r="F52" s="3"/>
      <c r="G52" s="28"/>
      <c r="H52" s="10"/>
      <c r="I52" s="10">
        <f t="shared" si="8"/>
        <v>1742</v>
      </c>
      <c r="J52" s="10">
        <f t="shared" si="6"/>
        <v>16365707151.31501</v>
      </c>
      <c r="K52" s="11">
        <f t="shared" si="7"/>
        <v>1.9700000000000051E-2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9213278.6355158202</v>
      </c>
      <c r="D53" s="11">
        <v>1.9199999999999998E-2</v>
      </c>
      <c r="E53" s="10">
        <f t="shared" si="2"/>
        <v>173562.54886372201</v>
      </c>
      <c r="F53" s="3"/>
      <c r="G53" s="28"/>
      <c r="H53" s="10"/>
      <c r="I53" s="10">
        <f t="shared" si="8"/>
        <v>1742</v>
      </c>
      <c r="J53" s="10">
        <f t="shared" si="6"/>
        <v>16049531383.06856</v>
      </c>
      <c r="K53" s="11">
        <f t="shared" si="7"/>
        <v>1.9200000000000328E-2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9039716.0866520982</v>
      </c>
      <c r="D54" s="11">
        <v>1.8800000000000001E-2</v>
      </c>
      <c r="E54" s="10">
        <f t="shared" si="2"/>
        <v>166810.62272188812</v>
      </c>
      <c r="F54" s="3"/>
      <c r="G54" s="28"/>
      <c r="H54" s="10"/>
      <c r="I54" s="10">
        <f t="shared" si="8"/>
        <v>1742</v>
      </c>
      <c r="J54" s="10">
        <f t="shared" si="6"/>
        <v>15747185422.947954</v>
      </c>
      <c r="K54" s="11">
        <f t="shared" si="7"/>
        <v>1.8799999999999928E-2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8872905.4639302101</v>
      </c>
      <c r="D55" s="11">
        <v>1.8599999999999998E-2</v>
      </c>
      <c r="E55" s="10">
        <f t="shared" si="2"/>
        <v>162022.4245327916</v>
      </c>
      <c r="F55" s="3"/>
      <c r="G55" s="28"/>
      <c r="H55" s="10"/>
      <c r="I55" s="10">
        <f t="shared" si="8"/>
        <v>1742</v>
      </c>
      <c r="J55" s="10">
        <f t="shared" si="6"/>
        <v>15456601318.166426</v>
      </c>
      <c r="K55" s="11">
        <f t="shared" si="7"/>
        <v>1.859999999999995E-2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8710883.0393974185</v>
      </c>
      <c r="D56" s="11">
        <v>1.8499999999999999E-2</v>
      </c>
      <c r="E56" s="10">
        <f t="shared" si="2"/>
        <v>158224.18873721361</v>
      </c>
      <c r="F56" s="3"/>
      <c r="G56" s="28"/>
      <c r="H56" s="10"/>
      <c r="I56" s="10">
        <f t="shared" si="8"/>
        <v>1742</v>
      </c>
      <c r="J56" s="10">
        <f t="shared" si="6"/>
        <v>15174358254.630302</v>
      </c>
      <c r="K56" s="11">
        <f t="shared" si="7"/>
        <v>1.8499999999999961E-2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8552658.8506602049</v>
      </c>
      <c r="D57" s="11">
        <v>1.8499999999999999E-2</v>
      </c>
      <c r="E57" s="10">
        <f t="shared" si="2"/>
        <v>155350.20985489711</v>
      </c>
      <c r="F57" s="3"/>
      <c r="G57" s="28"/>
      <c r="H57" s="10"/>
      <c r="I57" s="10">
        <f t="shared" si="8"/>
        <v>1742</v>
      </c>
      <c r="J57" s="10">
        <f t="shared" si="6"/>
        <v>14898731717.850077</v>
      </c>
      <c r="K57" s="11">
        <f t="shared" si="7"/>
        <v>1.8499999999999739E-2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8397308.6408053078</v>
      </c>
      <c r="D58" s="11">
        <v>1.8499999999999999E-2</v>
      </c>
      <c r="E58" s="10">
        <f t="shared" si="2"/>
        <v>152528.43382905982</v>
      </c>
      <c r="F58" s="3"/>
      <c r="G58" s="28"/>
      <c r="H58" s="10"/>
      <c r="I58" s="10">
        <f t="shared" si="8"/>
        <v>1742</v>
      </c>
      <c r="J58" s="10">
        <f t="shared" si="6"/>
        <v>14628111652.282846</v>
      </c>
      <c r="K58" s="11">
        <f t="shared" si="7"/>
        <v>1.8499999999999961E-2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8244780.206976248</v>
      </c>
      <c r="D59" s="11">
        <v>1.8499999999999999E-2</v>
      </c>
      <c r="E59" s="10">
        <f t="shared" si="2"/>
        <v>149757.91244875826</v>
      </c>
      <c r="F59" s="3"/>
      <c r="G59" s="28"/>
      <c r="H59" s="10"/>
      <c r="I59" s="10">
        <f t="shared" si="8"/>
        <v>1742</v>
      </c>
      <c r="J59" s="10">
        <f t="shared" si="6"/>
        <v>14362407120.552624</v>
      </c>
      <c r="K59" s="11">
        <f t="shared" si="7"/>
        <v>1.8499999999999961E-2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8095022.2945274897</v>
      </c>
      <c r="D60" s="11">
        <v>1.8499999999999999E-2</v>
      </c>
      <c r="E60" s="10">
        <f t="shared" si="2"/>
        <v>147037.7147263214</v>
      </c>
      <c r="F60" s="3"/>
      <c r="G60" s="28"/>
      <c r="H60" s="10"/>
      <c r="I60" s="10">
        <f t="shared" si="8"/>
        <v>1742</v>
      </c>
      <c r="J60" s="10">
        <f t="shared" si="6"/>
        <v>14101528837.066887</v>
      </c>
      <c r="K60" s="11">
        <f t="shared" si="7"/>
        <v>1.8499999999999961E-2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7947984.5798011683</v>
      </c>
      <c r="D61" s="11">
        <v>1.8499999999999999E-2</v>
      </c>
      <c r="E61" s="10">
        <f t="shared" si="2"/>
        <v>144366.92658450827</v>
      </c>
      <c r="F61" s="3"/>
      <c r="G61" s="28"/>
      <c r="H61" s="10"/>
      <c r="I61" s="10">
        <f t="shared" si="8"/>
        <v>1742</v>
      </c>
      <c r="J61" s="10">
        <f t="shared" si="6"/>
        <v>13845389138.013636</v>
      </c>
      <c r="K61" s="11">
        <f t="shared" si="7"/>
        <v>1.8499999999999961E-2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7803617.65321666</v>
      </c>
      <c r="D62" s="11">
        <v>1.8499999999999999E-2</v>
      </c>
      <c r="E62" s="10">
        <f t="shared" si="2"/>
        <v>141744.65054934472</v>
      </c>
      <c r="F62" s="3"/>
      <c r="G62" s="28"/>
      <c r="H62" s="10"/>
      <c r="I62" s="10">
        <f t="shared" si="8"/>
        <v>1742</v>
      </c>
      <c r="J62" s="10">
        <f t="shared" si="6"/>
        <v>13593901951.903421</v>
      </c>
      <c r="K62" s="11">
        <f t="shared" si="7"/>
        <v>1.8499999999999961E-2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7661873.0026673153</v>
      </c>
      <c r="D63" s="11">
        <v>1.8499999999999999E-2</v>
      </c>
      <c r="E63" s="10">
        <f t="shared" si="2"/>
        <v>139170.00544854719</v>
      </c>
      <c r="F63" s="3"/>
      <c r="G63" s="28"/>
      <c r="H63" s="10"/>
      <c r="I63" s="10">
        <f t="shared" si="8"/>
        <v>1742</v>
      </c>
      <c r="J63" s="10">
        <f t="shared" si="6"/>
        <v>13346982770.646463</v>
      </c>
      <c r="K63" s="11">
        <f t="shared" si="7"/>
        <v>1.8499999999999961E-2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7522702.9972187681</v>
      </c>
      <c r="D64" s="11">
        <v>1.7999999999999999E-2</v>
      </c>
      <c r="E64" s="10">
        <f t="shared" si="2"/>
        <v>133014.39484276809</v>
      </c>
      <c r="F64" s="3"/>
      <c r="G64" s="28"/>
      <c r="H64" s="10"/>
      <c r="I64" s="10">
        <f t="shared" si="8"/>
        <v>1742</v>
      </c>
      <c r="J64" s="10">
        <f t="shared" si="6"/>
        <v>13104548621.155094</v>
      </c>
      <c r="K64" s="11">
        <f t="shared" si="7"/>
        <v>1.8000000000000016E-2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7389688.602376</v>
      </c>
      <c r="D65" s="11">
        <v>1.7999999999999999E-2</v>
      </c>
      <c r="E65" s="10">
        <f t="shared" si="2"/>
        <v>130662.47037599981</v>
      </c>
      <c r="F65" s="3"/>
      <c r="G65" s="28"/>
      <c r="H65" s="10"/>
      <c r="I65" s="10">
        <f t="shared" si="8"/>
        <v>1742</v>
      </c>
      <c r="J65" s="10">
        <f t="shared" si="6"/>
        <v>12872837545.338991</v>
      </c>
      <c r="K65" s="11">
        <f t="shared" si="7"/>
        <v>1.8000000000000016E-2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7259026.1320000002</v>
      </c>
      <c r="D66" s="11">
        <v>1.7999999999999999E-2</v>
      </c>
      <c r="E66" s="10">
        <f t="shared" si="2"/>
        <v>128352.13200000022</v>
      </c>
      <c r="F66" s="3"/>
      <c r="G66" s="28"/>
      <c r="H66" s="10"/>
      <c r="I66" s="10">
        <f t="shared" si="8"/>
        <v>1742</v>
      </c>
      <c r="J66" s="10">
        <f t="shared" ref="J66:J67" si="9">IF(I66="","",I66*C66)</f>
        <v>12645223521.944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7130674</v>
      </c>
      <c r="D67" s="11">
        <v>1.7000000000000001E-2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1742</v>
      </c>
      <c r="J67" s="10">
        <f t="shared" si="9"/>
        <v>12421634108</v>
      </c>
      <c r="K67" s="11"/>
    </row>
  </sheetData>
  <dataValidations count="1">
    <dataValidation type="custom" allowBlank="1" showDropDown="1" sqref="D2:D67" xr:uid="{00000000-0002-0000-2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1440839.0172801921</v>
      </c>
      <c r="D2" s="11">
        <v>9.4000000000000004E-3</v>
      </c>
      <c r="E2" s="10">
        <f t="shared" ref="E2:E66" si="2">SUM(C2-C3)</f>
        <v>13417.759820124833</v>
      </c>
      <c r="F2" s="15">
        <v>1441954</v>
      </c>
      <c r="G2" s="28"/>
      <c r="H2" s="10"/>
      <c r="I2" s="10">
        <f>IF(H2&lt;&gt;"",H2,155)</f>
        <v>155</v>
      </c>
      <c r="J2" s="10">
        <f t="shared" ref="J2:J33" si="3">IF(I2="","",I2*C2)</f>
        <v>223330047.67842978</v>
      </c>
      <c r="K2" s="11">
        <f t="shared" ref="K2:K33" si="4">IFERROR(J2/J3-1,"")</f>
        <v>9.400000000000075E-3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1427421.2574600673</v>
      </c>
      <c r="D3" s="11">
        <v>7.3000000000000001E-3</v>
      </c>
      <c r="E3" s="10">
        <f t="shared" si="2"/>
        <v>10344.659167535603</v>
      </c>
      <c r="F3" s="3"/>
      <c r="G3" s="28"/>
      <c r="H3" s="10"/>
      <c r="I3" s="10">
        <f t="shared" ref="I3:I34" si="5">IF(H3&lt;&gt;"",H3,I2/(1+IF(G2="",0,G2)/100))</f>
        <v>155</v>
      </c>
      <c r="J3" s="10">
        <f t="shared" si="3"/>
        <v>221250294.90631044</v>
      </c>
      <c r="K3" s="11">
        <f t="shared" si="4"/>
        <v>7.3000000000000842E-3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1417076.5982925317</v>
      </c>
      <c r="D4" s="11">
        <v>5.3E-3</v>
      </c>
      <c r="E4" s="10">
        <f t="shared" si="2"/>
        <v>7470.9101471705362</v>
      </c>
      <c r="F4" s="3"/>
      <c r="G4" s="28"/>
      <c r="H4" s="10"/>
      <c r="I4" s="10">
        <f t="shared" si="5"/>
        <v>155</v>
      </c>
      <c r="J4" s="10">
        <f t="shared" si="3"/>
        <v>219646872.73534241</v>
      </c>
      <c r="K4" s="11">
        <f t="shared" si="4"/>
        <v>5.3000000000000824E-3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1409605.6881453611</v>
      </c>
      <c r="D5" s="11">
        <v>4.1999999999999997E-3</v>
      </c>
      <c r="E5" s="10">
        <f t="shared" si="2"/>
        <v>5895.5824439458083</v>
      </c>
      <c r="F5" s="3"/>
      <c r="G5" s="28"/>
      <c r="H5" s="10"/>
      <c r="I5" s="10">
        <f t="shared" si="5"/>
        <v>155</v>
      </c>
      <c r="J5" s="10">
        <f t="shared" si="3"/>
        <v>218488881.66253099</v>
      </c>
      <c r="K5" s="11">
        <f t="shared" si="4"/>
        <v>4.1999999999999815E-3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1403710.1057014153</v>
      </c>
      <c r="D6" s="11">
        <v>4.4000000000000003E-3</v>
      </c>
      <c r="E6" s="10">
        <f t="shared" si="2"/>
        <v>6149.2676872622687</v>
      </c>
      <c r="F6" s="3"/>
      <c r="G6" s="28"/>
      <c r="H6" s="10"/>
      <c r="I6" s="10">
        <f t="shared" si="5"/>
        <v>155</v>
      </c>
      <c r="J6" s="10">
        <f t="shared" si="3"/>
        <v>217575066.38371938</v>
      </c>
      <c r="K6" s="11">
        <f t="shared" si="4"/>
        <v>4.3999999999999595E-3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1397560.8380141531</v>
      </c>
      <c r="D7" s="11">
        <v>5.4000000000000003E-3</v>
      </c>
      <c r="E7" s="10">
        <f t="shared" si="2"/>
        <v>7506.2945347886998</v>
      </c>
      <c r="F7" s="3"/>
      <c r="G7" s="28"/>
      <c r="H7" s="10"/>
      <c r="I7" s="10">
        <f t="shared" si="5"/>
        <v>155</v>
      </c>
      <c r="J7" s="10">
        <f t="shared" si="3"/>
        <v>216621929.89219373</v>
      </c>
      <c r="K7" s="11">
        <f t="shared" si="4"/>
        <v>5.4000000000000714E-3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1390054.5434793644</v>
      </c>
      <c r="D8" s="11">
        <v>1.0200000000000001E-2</v>
      </c>
      <c r="E8" s="10">
        <f t="shared" si="2"/>
        <v>14035.395311314147</v>
      </c>
      <c r="F8" s="3"/>
      <c r="G8" s="28"/>
      <c r="H8" s="10"/>
      <c r="I8" s="10">
        <f t="shared" si="5"/>
        <v>155</v>
      </c>
      <c r="J8" s="10">
        <f t="shared" si="3"/>
        <v>215458454.23930147</v>
      </c>
      <c r="K8" s="11">
        <f t="shared" si="4"/>
        <v>1.0199999999999987E-2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1376019.1481680502</v>
      </c>
      <c r="D9" s="11">
        <v>2.0400000000000001E-2</v>
      </c>
      <c r="E9" s="10">
        <f t="shared" si="2"/>
        <v>27509.594886934618</v>
      </c>
      <c r="F9" s="3"/>
      <c r="G9" s="28"/>
      <c r="H9" s="10"/>
      <c r="I9" s="10">
        <f t="shared" si="5"/>
        <v>155</v>
      </c>
      <c r="J9" s="10">
        <f t="shared" si="3"/>
        <v>213282967.96604779</v>
      </c>
      <c r="K9" s="11">
        <f t="shared" si="4"/>
        <v>2.0399999999999974E-2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1348509.5532811156</v>
      </c>
      <c r="D10" s="11">
        <v>2.8899999999999999E-2</v>
      </c>
      <c r="E10" s="10">
        <f t="shared" si="2"/>
        <v>37877.272902929457</v>
      </c>
      <c r="F10" s="3"/>
      <c r="G10" s="28"/>
      <c r="H10" s="10"/>
      <c r="I10" s="10">
        <f t="shared" si="5"/>
        <v>155</v>
      </c>
      <c r="J10" s="10">
        <f t="shared" si="3"/>
        <v>209018980.75857291</v>
      </c>
      <c r="K10" s="11">
        <f t="shared" si="4"/>
        <v>2.8899999999999926E-2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1310632.2803781861</v>
      </c>
      <c r="D11" s="11">
        <v>2.7E-2</v>
      </c>
      <c r="E11" s="10">
        <f t="shared" si="2"/>
        <v>34456.73960098438</v>
      </c>
      <c r="F11" s="3"/>
      <c r="G11" s="28"/>
      <c r="H11" s="10"/>
      <c r="I11" s="10">
        <f t="shared" si="5"/>
        <v>155</v>
      </c>
      <c r="J11" s="10">
        <f t="shared" si="3"/>
        <v>203148003.45861885</v>
      </c>
      <c r="K11" s="11">
        <f t="shared" si="4"/>
        <v>2.6999999999999913E-2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1276175.5407772018</v>
      </c>
      <c r="D12" s="11">
        <v>2.18E-2</v>
      </c>
      <c r="E12" s="10">
        <f t="shared" si="2"/>
        <v>27227.07652078988</v>
      </c>
      <c r="F12" s="3"/>
      <c r="G12" s="28"/>
      <c r="H12" s="10"/>
      <c r="I12" s="10">
        <f t="shared" si="5"/>
        <v>155</v>
      </c>
      <c r="J12" s="10">
        <f t="shared" si="3"/>
        <v>197807208.82046628</v>
      </c>
      <c r="K12" s="11">
        <f t="shared" si="4"/>
        <v>2.1800000000000264E-2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1248948.4642564119</v>
      </c>
      <c r="D13" s="11">
        <v>1.83E-2</v>
      </c>
      <c r="E13" s="10">
        <f t="shared" si="2"/>
        <v>22445.013155153021</v>
      </c>
      <c r="F13" s="3"/>
      <c r="G13" s="28"/>
      <c r="H13" s="10"/>
      <c r="I13" s="10">
        <f t="shared" si="5"/>
        <v>155</v>
      </c>
      <c r="J13" s="10">
        <f t="shared" si="3"/>
        <v>193587011.95974383</v>
      </c>
      <c r="K13" s="11">
        <f t="shared" si="4"/>
        <v>1.8299999999999983E-2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1226503.4511012589</v>
      </c>
      <c r="D14" s="11">
        <v>1.6299999999999999E-2</v>
      </c>
      <c r="E14" s="10">
        <f t="shared" si="2"/>
        <v>19671.363035472343</v>
      </c>
      <c r="F14" s="3"/>
      <c r="G14" s="28"/>
      <c r="H14" s="10"/>
      <c r="I14" s="10">
        <f t="shared" si="5"/>
        <v>155</v>
      </c>
      <c r="J14" s="10">
        <f t="shared" si="3"/>
        <v>190108034.92069513</v>
      </c>
      <c r="K14" s="11">
        <f t="shared" si="4"/>
        <v>1.6299999999999981E-2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1206832.0880657865</v>
      </c>
      <c r="D15" s="11">
        <v>1.6899999999999998E-2</v>
      </c>
      <c r="E15" s="10">
        <f t="shared" si="2"/>
        <v>20056.507314693416</v>
      </c>
      <c r="F15" s="3"/>
      <c r="G15" s="28"/>
      <c r="H15" s="10"/>
      <c r="I15" s="10">
        <f t="shared" si="5"/>
        <v>155</v>
      </c>
      <c r="J15" s="10">
        <f t="shared" si="3"/>
        <v>187058973.65019691</v>
      </c>
      <c r="K15" s="11">
        <f t="shared" si="4"/>
        <v>1.6899999999999915E-2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1186775.5807510931</v>
      </c>
      <c r="D16" s="11">
        <v>1.5900000000000001E-2</v>
      </c>
      <c r="E16" s="10">
        <f t="shared" si="2"/>
        <v>18574.398793131579</v>
      </c>
      <c r="F16" s="3"/>
      <c r="G16" s="28"/>
      <c r="H16" s="10"/>
      <c r="I16" s="10">
        <f t="shared" si="5"/>
        <v>155</v>
      </c>
      <c r="J16" s="10">
        <f t="shared" si="3"/>
        <v>183950215.01641944</v>
      </c>
      <c r="K16" s="11">
        <f t="shared" si="4"/>
        <v>1.5900000000000025E-2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1168201.1819579615</v>
      </c>
      <c r="D17" s="11">
        <v>1.3299999999999999E-2</v>
      </c>
      <c r="E17" s="10">
        <f t="shared" si="2"/>
        <v>15333.144892964512</v>
      </c>
      <c r="F17" s="3"/>
      <c r="G17" s="28"/>
      <c r="H17" s="10"/>
      <c r="I17" s="10">
        <f t="shared" si="5"/>
        <v>155</v>
      </c>
      <c r="J17" s="10">
        <f t="shared" si="3"/>
        <v>181071183.20348403</v>
      </c>
      <c r="K17" s="11">
        <f t="shared" si="4"/>
        <v>1.330000000000009E-2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1152868.037064997</v>
      </c>
      <c r="D18" s="11">
        <v>1.1299999999999999E-2</v>
      </c>
      <c r="E18" s="10">
        <f t="shared" si="2"/>
        <v>12881.843981839716</v>
      </c>
      <c r="F18" s="3"/>
      <c r="G18" s="28"/>
      <c r="H18" s="10"/>
      <c r="I18" s="10">
        <f t="shared" si="5"/>
        <v>155</v>
      </c>
      <c r="J18" s="10">
        <f t="shared" si="3"/>
        <v>178694545.74507454</v>
      </c>
      <c r="K18" s="11">
        <f t="shared" si="4"/>
        <v>1.1300000000000088E-2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1139986.1930831573</v>
      </c>
      <c r="D19" s="11">
        <v>1.04E-2</v>
      </c>
      <c r="E19" s="10">
        <f t="shared" si="2"/>
        <v>11733.824631893076</v>
      </c>
      <c r="F19" s="3"/>
      <c r="G19" s="28"/>
      <c r="H19" s="10"/>
      <c r="I19" s="10">
        <f t="shared" si="5"/>
        <v>155</v>
      </c>
      <c r="J19" s="10">
        <f t="shared" si="3"/>
        <v>176697859.92788938</v>
      </c>
      <c r="K19" s="11">
        <f t="shared" si="4"/>
        <v>1.0399999999999965E-2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1128252.3684512642</v>
      </c>
      <c r="D20" s="11">
        <v>0.01</v>
      </c>
      <c r="E20" s="10">
        <f t="shared" si="2"/>
        <v>11170.815529220505</v>
      </c>
      <c r="F20" s="3"/>
      <c r="G20" s="28"/>
      <c r="H20" s="10"/>
      <c r="I20" s="10">
        <f t="shared" si="5"/>
        <v>155</v>
      </c>
      <c r="J20" s="10">
        <f t="shared" si="3"/>
        <v>174879117.10994595</v>
      </c>
      <c r="K20" s="11">
        <f t="shared" si="4"/>
        <v>1.0000000000000009E-2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1117081.5529220437</v>
      </c>
      <c r="D21" s="11">
        <v>7.9000000000000008E-3</v>
      </c>
      <c r="E21" s="10">
        <f t="shared" si="2"/>
        <v>8755.7736562001519</v>
      </c>
      <c r="F21" s="3"/>
      <c r="G21" s="28"/>
      <c r="H21" s="10"/>
      <c r="I21" s="10">
        <f t="shared" si="5"/>
        <v>155</v>
      </c>
      <c r="J21" s="10">
        <f t="shared" si="3"/>
        <v>173147640.70291677</v>
      </c>
      <c r="K21" s="11">
        <f t="shared" si="4"/>
        <v>7.9000000000000181E-3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1108325.7792658436</v>
      </c>
      <c r="D22" s="11">
        <v>5.1000000000000004E-3</v>
      </c>
      <c r="E22" s="10">
        <f t="shared" si="2"/>
        <v>5623.7801952601876</v>
      </c>
      <c r="F22" s="3"/>
      <c r="G22" s="28"/>
      <c r="H22" s="10"/>
      <c r="I22" s="10">
        <f t="shared" si="5"/>
        <v>155</v>
      </c>
      <c r="J22" s="10">
        <f t="shared" si="3"/>
        <v>171790495.78620574</v>
      </c>
      <c r="K22" s="11">
        <f t="shared" si="4"/>
        <v>5.1000000000001044E-3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1102701.9990705834</v>
      </c>
      <c r="D23" s="11">
        <v>3.8999999999999998E-3</v>
      </c>
      <c r="E23" s="10">
        <f t="shared" si="2"/>
        <v>4283.8308560368605</v>
      </c>
      <c r="F23" s="3"/>
      <c r="G23" s="28"/>
      <c r="H23" s="10"/>
      <c r="I23" s="10">
        <f t="shared" si="5"/>
        <v>155</v>
      </c>
      <c r="J23" s="10">
        <f t="shared" si="3"/>
        <v>170918809.85594043</v>
      </c>
      <c r="K23" s="11">
        <f t="shared" si="4"/>
        <v>3.9000000000002366E-3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1098418.1682145465</v>
      </c>
      <c r="D24" s="11">
        <v>5.0000000000000001E-3</v>
      </c>
      <c r="E24" s="10">
        <f t="shared" si="2"/>
        <v>5464.7670060424134</v>
      </c>
      <c r="F24" s="3"/>
      <c r="G24" s="28"/>
      <c r="H24" s="10"/>
      <c r="I24" s="10">
        <f t="shared" si="5"/>
        <v>155</v>
      </c>
      <c r="J24" s="10">
        <f t="shared" si="3"/>
        <v>170254816.0732547</v>
      </c>
      <c r="K24" s="11">
        <f t="shared" si="4"/>
        <v>4.9999999999998934E-3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1092953.4012085041</v>
      </c>
      <c r="D25" s="11">
        <v>6.7999999999999996E-3</v>
      </c>
      <c r="E25" s="10">
        <f t="shared" si="2"/>
        <v>7381.886301368475</v>
      </c>
      <c r="F25" s="3"/>
      <c r="G25" s="28"/>
      <c r="H25" s="10"/>
      <c r="I25" s="10">
        <f t="shared" si="5"/>
        <v>155</v>
      </c>
      <c r="J25" s="10">
        <f t="shared" si="3"/>
        <v>169407777.18731815</v>
      </c>
      <c r="K25" s="11">
        <f t="shared" si="4"/>
        <v>6.7999999999999172E-3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1085571.5149071356</v>
      </c>
      <c r="D26" s="11">
        <v>5.7000000000000002E-3</v>
      </c>
      <c r="E26" s="10">
        <f t="shared" si="2"/>
        <v>6152.6873172624037</v>
      </c>
      <c r="F26" s="3"/>
      <c r="G26" s="28"/>
      <c r="H26" s="10"/>
      <c r="I26" s="10">
        <f t="shared" si="5"/>
        <v>155</v>
      </c>
      <c r="J26" s="10">
        <f t="shared" si="3"/>
        <v>168263584.81060603</v>
      </c>
      <c r="K26" s="11">
        <f t="shared" si="4"/>
        <v>5.7000000000002604E-3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1079418.8275898732</v>
      </c>
      <c r="D27" s="11">
        <v>8.0000000000000004E-4</v>
      </c>
      <c r="E27" s="10">
        <f t="shared" si="2"/>
        <v>862.84478624281473</v>
      </c>
      <c r="F27" s="3"/>
      <c r="G27" s="28"/>
      <c r="H27" s="10"/>
      <c r="I27" s="10">
        <f t="shared" si="5"/>
        <v>155</v>
      </c>
      <c r="J27" s="10">
        <f t="shared" si="3"/>
        <v>167309918.27643034</v>
      </c>
      <c r="K27" s="11">
        <f t="shared" si="4"/>
        <v>7.9999999999991189E-4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1078555.9828036304</v>
      </c>
      <c r="D28" s="11">
        <v>-4.0000000000000001E-3</v>
      </c>
      <c r="E28" s="10">
        <f t="shared" si="2"/>
        <v>-4331.5501317414455</v>
      </c>
      <c r="F28" s="3"/>
      <c r="G28" s="28"/>
      <c r="H28" s="10"/>
      <c r="I28" s="10">
        <f t="shared" si="5"/>
        <v>155</v>
      </c>
      <c r="J28" s="10">
        <f t="shared" si="3"/>
        <v>167176177.33456272</v>
      </c>
      <c r="K28" s="11">
        <f t="shared" si="4"/>
        <v>-4.0000000000000036E-3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1082887.5329353719</v>
      </c>
      <c r="D29" s="11">
        <v>-4.3E-3</v>
      </c>
      <c r="E29" s="10">
        <f t="shared" si="2"/>
        <v>-4676.5254510615487</v>
      </c>
      <c r="F29" s="3"/>
      <c r="G29" s="28"/>
      <c r="H29" s="10"/>
      <c r="I29" s="10">
        <f t="shared" si="5"/>
        <v>155</v>
      </c>
      <c r="J29" s="10">
        <f t="shared" si="3"/>
        <v>167847567.60498264</v>
      </c>
      <c r="K29" s="11">
        <f t="shared" si="4"/>
        <v>-4.2999999999997485E-3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1087564.0583864334</v>
      </c>
      <c r="D30" s="12">
        <v>1E-4</v>
      </c>
      <c r="E30" s="10">
        <f t="shared" si="2"/>
        <v>108.74553128541447</v>
      </c>
      <c r="F30" s="3"/>
      <c r="G30" s="28"/>
      <c r="H30" s="10"/>
      <c r="I30" s="10">
        <f t="shared" si="5"/>
        <v>155</v>
      </c>
      <c r="J30" s="10">
        <f t="shared" si="3"/>
        <v>168572429.04989716</v>
      </c>
      <c r="K30" s="11">
        <f t="shared" si="4"/>
        <v>9.9999999999988987E-5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1087455.312855148</v>
      </c>
      <c r="D31" s="13">
        <v>5.0000000000000001E-4</v>
      </c>
      <c r="E31" s="10">
        <f t="shared" si="2"/>
        <v>543.45592846325599</v>
      </c>
      <c r="F31" s="3"/>
      <c r="G31" s="28"/>
      <c r="H31" s="10"/>
      <c r="I31" s="10">
        <f t="shared" si="5"/>
        <v>155</v>
      </c>
      <c r="J31" s="10">
        <f t="shared" si="3"/>
        <v>168555573.49254793</v>
      </c>
      <c r="K31" s="11">
        <f t="shared" si="4"/>
        <v>4.9999999999972289E-4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1086911.8569266847</v>
      </c>
      <c r="D32" s="12">
        <v>1.6000000000000001E-3</v>
      </c>
      <c r="E32" s="10">
        <f t="shared" si="2"/>
        <v>1736.2809216082096</v>
      </c>
      <c r="F32" s="3"/>
      <c r="G32" s="28"/>
      <c r="H32" s="10"/>
      <c r="I32" s="10">
        <f t="shared" si="5"/>
        <v>155</v>
      </c>
      <c r="J32" s="10">
        <f t="shared" si="3"/>
        <v>168471337.82363614</v>
      </c>
      <c r="K32" s="11">
        <f t="shared" si="4"/>
        <v>1.6000000000000458E-3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1085175.5760050765</v>
      </c>
      <c r="D33" s="13">
        <v>6.1999999999999998E-3</v>
      </c>
      <c r="E33" s="10">
        <f t="shared" si="2"/>
        <v>6686.6314562030602</v>
      </c>
      <c r="F33" s="3"/>
      <c r="G33" s="28"/>
      <c r="H33" s="10"/>
      <c r="I33" s="10">
        <f t="shared" si="5"/>
        <v>155</v>
      </c>
      <c r="J33" s="10">
        <f t="shared" si="3"/>
        <v>168202214.28078687</v>
      </c>
      <c r="K33" s="11">
        <f t="shared" si="4"/>
        <v>6.1999999999999833E-3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1078488.9445488735</v>
      </c>
      <c r="D34" s="12">
        <v>7.1000000000000004E-3</v>
      </c>
      <c r="E34" s="10">
        <f t="shared" si="2"/>
        <v>7603.2881603585556</v>
      </c>
      <c r="F34" s="3"/>
      <c r="G34" s="28"/>
      <c r="H34" s="10"/>
      <c r="I34" s="10">
        <f t="shared" si="5"/>
        <v>155</v>
      </c>
      <c r="J34" s="10">
        <f t="shared" ref="J34:J65" si="6">IF(I34="","",I34*C34)</f>
        <v>167165786.4050754</v>
      </c>
      <c r="K34" s="11">
        <f t="shared" ref="K34:K65" si="7">IFERROR(J34/J35-1,"")</f>
        <v>7.1000000000003283E-3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1070885.6563885149</v>
      </c>
      <c r="D35" s="11">
        <v>9.4999999999999998E-3</v>
      </c>
      <c r="E35" s="10">
        <f t="shared" si="2"/>
        <v>10077.675815444207</v>
      </c>
      <c r="F35" s="3"/>
      <c r="G35" s="28"/>
      <c r="H35" s="10"/>
      <c r="I35" s="10">
        <f t="shared" ref="I35:I66" si="8">IF(H35&lt;&gt;"",H35,I34/(1+IF(G34="",0,G34)/100))</f>
        <v>155</v>
      </c>
      <c r="J35" s="10">
        <f t="shared" si="6"/>
        <v>165987276.7402198</v>
      </c>
      <c r="K35" s="11">
        <f t="shared" si="7"/>
        <v>9.5000000000000639E-3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1060807.9805730707</v>
      </c>
      <c r="D36" s="11">
        <v>1.17E-2</v>
      </c>
      <c r="E36" s="10">
        <f t="shared" si="2"/>
        <v>12267.918723638519</v>
      </c>
      <c r="F36" s="3"/>
      <c r="G36" s="28"/>
      <c r="H36" s="10"/>
      <c r="I36" s="10">
        <f t="shared" si="8"/>
        <v>155</v>
      </c>
      <c r="J36" s="10">
        <f t="shared" si="6"/>
        <v>164425236.98882595</v>
      </c>
      <c r="K36" s="11">
        <f t="shared" si="7"/>
        <v>1.1700000000000044E-2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1048540.0618494322</v>
      </c>
      <c r="D37" s="11">
        <v>1.15E-2</v>
      </c>
      <c r="E37" s="10">
        <f t="shared" si="2"/>
        <v>11921.117855925346</v>
      </c>
      <c r="F37" s="3"/>
      <c r="G37" s="28"/>
      <c r="H37" s="10"/>
      <c r="I37" s="10">
        <f t="shared" si="8"/>
        <v>155</v>
      </c>
      <c r="J37" s="10">
        <f t="shared" si="6"/>
        <v>162523709.58666199</v>
      </c>
      <c r="K37" s="11">
        <f t="shared" si="7"/>
        <v>1.1500000000000066E-2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1036618.9439935068</v>
      </c>
      <c r="D38" s="11">
        <v>1.3299999999999999E-2</v>
      </c>
      <c r="E38" s="10">
        <f t="shared" si="2"/>
        <v>13606.071208046749</v>
      </c>
      <c r="F38" s="3"/>
      <c r="G38" s="28"/>
      <c r="H38" s="10"/>
      <c r="I38" s="10">
        <f t="shared" si="8"/>
        <v>155</v>
      </c>
      <c r="J38" s="10">
        <f t="shared" si="6"/>
        <v>160675936.31899357</v>
      </c>
      <c r="K38" s="11">
        <f t="shared" si="7"/>
        <v>1.330000000000009E-2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1023012.8727854601</v>
      </c>
      <c r="D39" s="11">
        <v>1.4200000000000001E-2</v>
      </c>
      <c r="E39" s="10">
        <f t="shared" si="2"/>
        <v>14323.390646375017</v>
      </c>
      <c r="F39" s="3"/>
      <c r="G39" s="28"/>
      <c r="H39" s="10"/>
      <c r="I39" s="10">
        <f t="shared" si="8"/>
        <v>155</v>
      </c>
      <c r="J39" s="10">
        <f t="shared" si="6"/>
        <v>158566995.28174633</v>
      </c>
      <c r="K39" s="11">
        <f t="shared" si="7"/>
        <v>1.4200000000000212E-2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1008689.4821390851</v>
      </c>
      <c r="D40" s="11">
        <v>1.35E-2</v>
      </c>
      <c r="E40" s="10">
        <f t="shared" si="2"/>
        <v>13435.92304773326</v>
      </c>
      <c r="F40" s="3"/>
      <c r="G40" s="28"/>
      <c r="H40" s="10"/>
      <c r="I40" s="10">
        <f t="shared" si="8"/>
        <v>155</v>
      </c>
      <c r="J40" s="10">
        <f t="shared" si="6"/>
        <v>156346869.73155817</v>
      </c>
      <c r="K40" s="11">
        <f t="shared" si="7"/>
        <v>1.3499999999999845E-2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995253.55909135181</v>
      </c>
      <c r="D41" s="11">
        <v>1.5100000000000001E-2</v>
      </c>
      <c r="E41" s="10">
        <f t="shared" si="2"/>
        <v>14804.776615386945</v>
      </c>
      <c r="F41" s="3"/>
      <c r="G41" s="28"/>
      <c r="H41" s="10"/>
      <c r="I41" s="10">
        <f t="shared" si="8"/>
        <v>155</v>
      </c>
      <c r="J41" s="10">
        <f t="shared" si="6"/>
        <v>154264301.65915954</v>
      </c>
      <c r="K41" s="11">
        <f t="shared" si="7"/>
        <v>1.5099999999999891E-2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980448.78247596486</v>
      </c>
      <c r="D42" s="11">
        <v>1.6500000000000001E-2</v>
      </c>
      <c r="E42" s="10">
        <f t="shared" si="2"/>
        <v>15914.810536992969</v>
      </c>
      <c r="F42" s="3"/>
      <c r="G42" s="28"/>
      <c r="H42" s="10"/>
      <c r="I42" s="10">
        <f t="shared" si="8"/>
        <v>155</v>
      </c>
      <c r="J42" s="10">
        <f t="shared" si="6"/>
        <v>151969561.28377455</v>
      </c>
      <c r="K42" s="11">
        <f t="shared" si="7"/>
        <v>1.6499999999999959E-2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964533.9719389719</v>
      </c>
      <c r="D43" s="11">
        <v>1.66E-2</v>
      </c>
      <c r="E43" s="10">
        <f t="shared" si="2"/>
        <v>15749.8169724443</v>
      </c>
      <c r="F43" s="3"/>
      <c r="G43" s="28"/>
      <c r="H43" s="10"/>
      <c r="I43" s="10">
        <f t="shared" si="8"/>
        <v>155</v>
      </c>
      <c r="J43" s="10">
        <f t="shared" si="6"/>
        <v>149502765.65054065</v>
      </c>
      <c r="K43" s="11">
        <f t="shared" si="7"/>
        <v>1.6599999999999948E-2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948784.1549665276</v>
      </c>
      <c r="D44" s="11">
        <v>1.6E-2</v>
      </c>
      <c r="E44" s="10">
        <f t="shared" si="2"/>
        <v>14941.482755378354</v>
      </c>
      <c r="F44" s="3"/>
      <c r="G44" s="28"/>
      <c r="H44" s="10"/>
      <c r="I44" s="10">
        <f t="shared" si="8"/>
        <v>155</v>
      </c>
      <c r="J44" s="10">
        <f t="shared" si="6"/>
        <v>147061544.01981178</v>
      </c>
      <c r="K44" s="11">
        <f t="shared" si="7"/>
        <v>1.6000000000000014E-2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933842.67221114924</v>
      </c>
      <c r="D45" s="11">
        <v>1.49E-2</v>
      </c>
      <c r="E45" s="10">
        <f t="shared" si="2"/>
        <v>13709.977156316978</v>
      </c>
      <c r="F45" s="3"/>
      <c r="G45" s="28"/>
      <c r="H45" s="10"/>
      <c r="I45" s="10">
        <f t="shared" si="8"/>
        <v>155</v>
      </c>
      <c r="J45" s="10">
        <f t="shared" si="6"/>
        <v>144745614.19272813</v>
      </c>
      <c r="K45" s="11">
        <f t="shared" si="7"/>
        <v>1.4900000000000135E-2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920132.69505483226</v>
      </c>
      <c r="D46" s="11">
        <v>1.17E-2</v>
      </c>
      <c r="E46" s="10">
        <f t="shared" si="2"/>
        <v>10641.052221154096</v>
      </c>
      <c r="F46" s="3"/>
      <c r="G46" s="28"/>
      <c r="H46" s="10"/>
      <c r="I46" s="10">
        <f t="shared" si="8"/>
        <v>155</v>
      </c>
      <c r="J46" s="10">
        <f t="shared" si="6"/>
        <v>142620567.73349899</v>
      </c>
      <c r="K46" s="11">
        <f t="shared" si="7"/>
        <v>1.1700000000000044E-2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909491.64283367817</v>
      </c>
      <c r="D47" s="11">
        <v>8.3999999999999995E-3</v>
      </c>
      <c r="E47" s="10">
        <f t="shared" si="2"/>
        <v>7576.0906384399859</v>
      </c>
      <c r="F47" s="3"/>
      <c r="G47" s="28"/>
      <c r="H47" s="10"/>
      <c r="I47" s="10">
        <f t="shared" si="8"/>
        <v>155</v>
      </c>
      <c r="J47" s="10">
        <f t="shared" si="6"/>
        <v>140971204.63922012</v>
      </c>
      <c r="K47" s="11">
        <f t="shared" si="7"/>
        <v>8.4000000000001851E-3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901915.55219523818</v>
      </c>
      <c r="D48" s="11">
        <v>5.7999999999999996E-3</v>
      </c>
      <c r="E48" s="10">
        <f t="shared" si="2"/>
        <v>5200.9447233370738</v>
      </c>
      <c r="F48" s="3"/>
      <c r="G48" s="28"/>
      <c r="H48" s="10"/>
      <c r="I48" s="10">
        <f t="shared" si="8"/>
        <v>155</v>
      </c>
      <c r="J48" s="10">
        <f t="shared" si="6"/>
        <v>139796910.59026191</v>
      </c>
      <c r="K48" s="11">
        <f t="shared" si="7"/>
        <v>5.7999999999998053E-3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896714.60747190111</v>
      </c>
      <c r="D49" s="11">
        <v>4.4999999999999997E-3</v>
      </c>
      <c r="E49" s="10">
        <f t="shared" si="2"/>
        <v>4017.1386098790681</v>
      </c>
      <c r="F49" s="3"/>
      <c r="G49" s="28"/>
      <c r="H49" s="10"/>
      <c r="I49" s="10">
        <f t="shared" si="8"/>
        <v>155</v>
      </c>
      <c r="J49" s="10">
        <f t="shared" si="6"/>
        <v>138990764.15814468</v>
      </c>
      <c r="K49" s="11">
        <f t="shared" si="7"/>
        <v>4.4999999999999485E-3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892697.46886202204</v>
      </c>
      <c r="D50" s="11">
        <v>4.7000000000000002E-3</v>
      </c>
      <c r="E50" s="10">
        <f t="shared" si="2"/>
        <v>4176.0506655235076</v>
      </c>
      <c r="F50" s="3"/>
      <c r="G50" s="28"/>
      <c r="H50" s="10"/>
      <c r="I50" s="10">
        <f t="shared" si="8"/>
        <v>155</v>
      </c>
      <c r="J50" s="10">
        <f t="shared" si="6"/>
        <v>138368107.67361343</v>
      </c>
      <c r="K50" s="11">
        <f t="shared" si="7"/>
        <v>4.6999999999999265E-3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888521.41819649853</v>
      </c>
      <c r="D51" s="11">
        <v>4.0000000000000001E-3</v>
      </c>
      <c r="E51" s="10">
        <f t="shared" si="2"/>
        <v>3539.9259689103346</v>
      </c>
      <c r="F51" s="3"/>
      <c r="G51" s="28"/>
      <c r="H51" s="10"/>
      <c r="I51" s="10">
        <f t="shared" si="8"/>
        <v>155</v>
      </c>
      <c r="J51" s="10">
        <f t="shared" si="6"/>
        <v>137720819.82045728</v>
      </c>
      <c r="K51" s="11">
        <f t="shared" si="7"/>
        <v>4.0000000000000036E-3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884981.4922275882</v>
      </c>
      <c r="D52" s="11">
        <v>3.7000000000000002E-3</v>
      </c>
      <c r="E52" s="10">
        <f t="shared" si="2"/>
        <v>3262.3607863326324</v>
      </c>
      <c r="F52" s="3"/>
      <c r="G52" s="28"/>
      <c r="H52" s="10"/>
      <c r="I52" s="10">
        <f t="shared" si="8"/>
        <v>155</v>
      </c>
      <c r="J52" s="10">
        <f t="shared" si="6"/>
        <v>137172131.29527617</v>
      </c>
      <c r="K52" s="11">
        <f t="shared" si="7"/>
        <v>3.7000000000000366E-3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881719.13144125557</v>
      </c>
      <c r="D53" s="11">
        <v>4.8999999999999998E-3</v>
      </c>
      <c r="E53" s="10">
        <f t="shared" si="2"/>
        <v>4299.3568952751812</v>
      </c>
      <c r="F53" s="3"/>
      <c r="G53" s="28"/>
      <c r="H53" s="10"/>
      <c r="I53" s="10">
        <f t="shared" si="8"/>
        <v>155</v>
      </c>
      <c r="J53" s="10">
        <f t="shared" si="6"/>
        <v>136666465.37339461</v>
      </c>
      <c r="K53" s="11">
        <f t="shared" si="7"/>
        <v>4.8999999999996824E-3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877419.77454598038</v>
      </c>
      <c r="D54" s="11">
        <v>5.7999999999999996E-3</v>
      </c>
      <c r="E54" s="10">
        <f t="shared" si="2"/>
        <v>5059.688499072101</v>
      </c>
      <c r="F54" s="3"/>
      <c r="G54" s="28"/>
      <c r="H54" s="10"/>
      <c r="I54" s="10">
        <f t="shared" si="8"/>
        <v>155</v>
      </c>
      <c r="J54" s="10">
        <f t="shared" si="6"/>
        <v>136000065.05462697</v>
      </c>
      <c r="K54" s="11">
        <f t="shared" si="7"/>
        <v>5.8000000000000274E-3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872360.08604690828</v>
      </c>
      <c r="D55" s="11">
        <v>4.1000000000000003E-3</v>
      </c>
      <c r="E55" s="10">
        <f t="shared" si="2"/>
        <v>3562.0718581738183</v>
      </c>
      <c r="F55" s="3"/>
      <c r="G55" s="28"/>
      <c r="H55" s="10"/>
      <c r="I55" s="10">
        <f t="shared" si="8"/>
        <v>155</v>
      </c>
      <c r="J55" s="10">
        <f t="shared" si="6"/>
        <v>135215813.3372708</v>
      </c>
      <c r="K55" s="11">
        <f t="shared" si="7"/>
        <v>4.1000000000002146E-3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868798.01418873447</v>
      </c>
      <c r="D56" s="11">
        <v>-1.5E-3</v>
      </c>
      <c r="E56" s="10">
        <f t="shared" si="2"/>
        <v>-1305.1547534131678</v>
      </c>
      <c r="F56" s="3"/>
      <c r="G56" s="28"/>
      <c r="H56" s="10"/>
      <c r="I56" s="10">
        <f t="shared" si="8"/>
        <v>155</v>
      </c>
      <c r="J56" s="10">
        <f t="shared" si="6"/>
        <v>134663692.19925383</v>
      </c>
      <c r="K56" s="11">
        <f t="shared" si="7"/>
        <v>-1.5000000000000568E-3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870103.16894214763</v>
      </c>
      <c r="D57" s="11">
        <v>-2E-3</v>
      </c>
      <c r="E57" s="10">
        <f t="shared" si="2"/>
        <v>-1743.6937253349461</v>
      </c>
      <c r="F57" s="3"/>
      <c r="G57" s="28"/>
      <c r="H57" s="10"/>
      <c r="I57" s="10">
        <f t="shared" si="8"/>
        <v>155</v>
      </c>
      <c r="J57" s="10">
        <f t="shared" si="6"/>
        <v>134865991.18603289</v>
      </c>
      <c r="K57" s="11">
        <f t="shared" si="7"/>
        <v>-1.9999999999998908E-3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871846.86266748258</v>
      </c>
      <c r="D58" s="11">
        <v>-3.0000000000000001E-3</v>
      </c>
      <c r="E58" s="10">
        <f t="shared" si="2"/>
        <v>-2623.4108204637887</v>
      </c>
      <c r="F58" s="3"/>
      <c r="G58" s="28"/>
      <c r="H58" s="10"/>
      <c r="I58" s="10">
        <f t="shared" si="8"/>
        <v>155</v>
      </c>
      <c r="J58" s="10">
        <f t="shared" si="6"/>
        <v>135136263.71345979</v>
      </c>
      <c r="K58" s="11">
        <f t="shared" si="7"/>
        <v>-2.9999999999998916E-3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874470.27348794637</v>
      </c>
      <c r="D59" s="11">
        <v>-5.0000000000000001E-3</v>
      </c>
      <c r="E59" s="10">
        <f t="shared" si="2"/>
        <v>-4394.3229823515285</v>
      </c>
      <c r="F59" s="3"/>
      <c r="G59" s="28"/>
      <c r="H59" s="10"/>
      <c r="I59" s="10">
        <f t="shared" si="8"/>
        <v>155</v>
      </c>
      <c r="J59" s="10">
        <f t="shared" si="6"/>
        <v>135542892.39063168</v>
      </c>
      <c r="K59" s="11">
        <f t="shared" si="7"/>
        <v>-5.0000000000001155E-3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878864.5964702979</v>
      </c>
      <c r="D60" s="11">
        <v>-8.0000000000000002E-3</v>
      </c>
      <c r="E60" s="10">
        <f t="shared" si="2"/>
        <v>-7087.6177134701284</v>
      </c>
      <c r="F60" s="3"/>
      <c r="G60" s="28"/>
      <c r="H60" s="10"/>
      <c r="I60" s="10">
        <f t="shared" si="8"/>
        <v>155</v>
      </c>
      <c r="J60" s="10">
        <f t="shared" si="6"/>
        <v>136224012.45289618</v>
      </c>
      <c r="K60" s="11">
        <f t="shared" si="7"/>
        <v>-7.9999999999998961E-3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885952.21418376802</v>
      </c>
      <c r="D61" s="11">
        <v>-7.0000000000000001E-3</v>
      </c>
      <c r="E61" s="10">
        <f t="shared" si="2"/>
        <v>-6245.3831815572921</v>
      </c>
      <c r="F61" s="3"/>
      <c r="G61" s="28"/>
      <c r="H61" s="10"/>
      <c r="I61" s="10">
        <f t="shared" si="8"/>
        <v>155</v>
      </c>
      <c r="J61" s="10">
        <f t="shared" si="6"/>
        <v>137322593.19848403</v>
      </c>
      <c r="K61" s="11">
        <f t="shared" si="7"/>
        <v>-7.0000000000001172E-3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892197.59736532532</v>
      </c>
      <c r="D62" s="11">
        <v>-7.0000000000000001E-3</v>
      </c>
      <c r="E62" s="10">
        <f t="shared" si="2"/>
        <v>-6289.4090448713396</v>
      </c>
      <c r="F62" s="3"/>
      <c r="G62" s="28"/>
      <c r="H62" s="10"/>
      <c r="I62" s="10">
        <f t="shared" si="8"/>
        <v>155</v>
      </c>
      <c r="J62" s="10">
        <f t="shared" si="6"/>
        <v>138290627.59162542</v>
      </c>
      <c r="K62" s="11">
        <f t="shared" si="7"/>
        <v>-7.0000000000000062E-3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898487.00641019666</v>
      </c>
      <c r="D63" s="11">
        <v>-7.0000000000000001E-3</v>
      </c>
      <c r="E63" s="10">
        <f t="shared" si="2"/>
        <v>-6333.7452617032686</v>
      </c>
      <c r="F63" s="3"/>
      <c r="G63" s="28"/>
      <c r="H63" s="10"/>
      <c r="I63" s="10">
        <f t="shared" si="8"/>
        <v>155</v>
      </c>
      <c r="J63" s="10">
        <f t="shared" si="6"/>
        <v>139265485.99358049</v>
      </c>
      <c r="K63" s="11">
        <f t="shared" si="7"/>
        <v>-6.9999999999998952E-3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904820.75167189992</v>
      </c>
      <c r="D64" s="11">
        <v>-6.0000000000000001E-3</v>
      </c>
      <c r="E64" s="10">
        <f t="shared" si="2"/>
        <v>-5461.6946781000588</v>
      </c>
      <c r="F64" s="3"/>
      <c r="G64" s="28"/>
      <c r="H64" s="10"/>
      <c r="I64" s="10">
        <f t="shared" si="8"/>
        <v>155</v>
      </c>
      <c r="J64" s="10">
        <f t="shared" si="6"/>
        <v>140247216.50914448</v>
      </c>
      <c r="K64" s="11">
        <f t="shared" si="7"/>
        <v>-6.0000000000001164E-3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910282.44634999998</v>
      </c>
      <c r="D65" s="11">
        <v>-5.0000000000000001E-3</v>
      </c>
      <c r="E65" s="10">
        <f t="shared" si="2"/>
        <v>-4574.2836499999976</v>
      </c>
      <c r="F65" s="3"/>
      <c r="G65" s="28"/>
      <c r="H65" s="10"/>
      <c r="I65" s="10">
        <f t="shared" si="8"/>
        <v>155</v>
      </c>
      <c r="J65" s="10">
        <f t="shared" si="6"/>
        <v>141093779.18425</v>
      </c>
      <c r="K65" s="11">
        <f t="shared" si="7"/>
        <v>-5.0000000000001155E-3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914856.73</v>
      </c>
      <c r="D66" s="11">
        <v>-5.0000000000000001E-3</v>
      </c>
      <c r="E66" s="10">
        <f t="shared" si="2"/>
        <v>-4597.2700000000186</v>
      </c>
      <c r="F66" s="3"/>
      <c r="G66" s="28"/>
      <c r="H66" s="10"/>
      <c r="I66" s="10">
        <f t="shared" si="8"/>
        <v>155</v>
      </c>
      <c r="J66" s="10">
        <f t="shared" ref="J66:J67" si="9">IF(I66="","",I66*C66)</f>
        <v>141802793.15000001</v>
      </c>
      <c r="K66" s="11">
        <f t="shared" ref="K66" si="10">IFERROR(J66/J67-1,"")</f>
        <v>-5.0000000000000044E-3</v>
      </c>
    </row>
    <row r="67" spans="1:11" ht="22.5" customHeight="1">
      <c r="A67" s="3">
        <f t="shared" si="0"/>
        <v>1950</v>
      </c>
      <c r="B67" s="3">
        <v>1700</v>
      </c>
      <c r="C67" s="10">
        <v>919454</v>
      </c>
      <c r="D67" s="11">
        <v>-4.0000000000000001E-3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155</v>
      </c>
      <c r="J67" s="10">
        <f t="shared" si="9"/>
        <v>142515370</v>
      </c>
      <c r="K67" s="11"/>
    </row>
  </sheetData>
  <dataValidations count="1">
    <dataValidation type="custom" allowBlank="1" showDropDown="1" sqref="D2:D67" xr:uid="{00000000-0002-0000-2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7849206.5948258359</v>
      </c>
      <c r="D2" s="11">
        <v>3.1099999999999999E-2</v>
      </c>
      <c r="E2" s="10">
        <f t="shared" ref="E2:E66" si="2">SUM(C2-C3)</f>
        <v>236747.478517198</v>
      </c>
      <c r="F2" s="15">
        <v>7849450</v>
      </c>
      <c r="G2" s="28"/>
      <c r="H2" s="10"/>
      <c r="I2" s="10">
        <f>IF(H2&lt;&gt;"",H2,5556)</f>
        <v>5556</v>
      </c>
      <c r="J2" s="10">
        <f t="shared" ref="J2:J33" si="3">IF(I2="","",I2*C2)</f>
        <v>43610191840.852341</v>
      </c>
      <c r="K2" s="11">
        <f t="shared" ref="K2:K33" si="4">IFERROR(J2/J3-1,"")</f>
        <v>3.1099999999999905E-2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7612459.1163086379</v>
      </c>
      <c r="D3" s="11">
        <v>3.3599999999999998E-2</v>
      </c>
      <c r="E3" s="10">
        <f t="shared" si="2"/>
        <v>247463.84124223143</v>
      </c>
      <c r="F3" s="3"/>
      <c r="G3" s="28"/>
      <c r="H3" s="10"/>
      <c r="I3" s="10">
        <f t="shared" ref="I3:I34" si="5">IF(H3&lt;&gt;"",H3,I2/(1+IF(G2="",0,G2)/100))</f>
        <v>5556</v>
      </c>
      <c r="J3" s="10">
        <f t="shared" si="3"/>
        <v>42294822850.210793</v>
      </c>
      <c r="K3" s="11">
        <f t="shared" si="4"/>
        <v>3.3600000000000074E-2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7364995.2750664065</v>
      </c>
      <c r="D4" s="11">
        <v>3.5200000000000002E-2</v>
      </c>
      <c r="E4" s="10">
        <f t="shared" si="2"/>
        <v>250432.60595279839</v>
      </c>
      <c r="F4" s="3"/>
      <c r="G4" s="28"/>
      <c r="H4" s="10"/>
      <c r="I4" s="10">
        <f t="shared" si="5"/>
        <v>5556</v>
      </c>
      <c r="J4" s="10">
        <f t="shared" si="3"/>
        <v>40919913748.268951</v>
      </c>
      <c r="K4" s="11">
        <f t="shared" si="4"/>
        <v>3.5199999999999898E-2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7114562.6691136081</v>
      </c>
      <c r="D5" s="11">
        <v>3.5799999999999998E-2</v>
      </c>
      <c r="E5" s="10">
        <f t="shared" si="2"/>
        <v>245898.18840921763</v>
      </c>
      <c r="F5" s="3"/>
      <c r="G5" s="28"/>
      <c r="H5" s="10"/>
      <c r="I5" s="10">
        <f t="shared" si="5"/>
        <v>5556</v>
      </c>
      <c r="J5" s="10">
        <f t="shared" si="3"/>
        <v>39528510189.595207</v>
      </c>
      <c r="K5" s="11">
        <f t="shared" si="4"/>
        <v>3.5800000000000054E-2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6868664.4807043904</v>
      </c>
      <c r="D6" s="11">
        <v>3.5499999999999997E-2</v>
      </c>
      <c r="E6" s="10">
        <f t="shared" si="2"/>
        <v>235478.11594882328</v>
      </c>
      <c r="F6" s="3"/>
      <c r="G6" s="28"/>
      <c r="H6" s="10"/>
      <c r="I6" s="10">
        <f t="shared" si="5"/>
        <v>5556</v>
      </c>
      <c r="J6" s="10">
        <f t="shared" si="3"/>
        <v>38162299854.793594</v>
      </c>
      <c r="K6" s="11">
        <f t="shared" si="4"/>
        <v>3.5500000000000087E-2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6633186.3647555672</v>
      </c>
      <c r="D7" s="11">
        <v>3.4500000000000003E-2</v>
      </c>
      <c r="E7" s="10">
        <f t="shared" si="2"/>
        <v>221213.07837995794</v>
      </c>
      <c r="F7" s="3"/>
      <c r="G7" s="28"/>
      <c r="H7" s="10"/>
      <c r="I7" s="10">
        <f t="shared" si="5"/>
        <v>5556</v>
      </c>
      <c r="J7" s="10">
        <f t="shared" si="3"/>
        <v>36853983442.581932</v>
      </c>
      <c r="K7" s="11">
        <f t="shared" si="4"/>
        <v>3.4499999999999975E-2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6411973.2863756092</v>
      </c>
      <c r="D8" s="11">
        <v>3.3300000000000003E-2</v>
      </c>
      <c r="E8" s="10">
        <f t="shared" si="2"/>
        <v>206637.67583113164</v>
      </c>
      <c r="F8" s="3"/>
      <c r="G8" s="28"/>
      <c r="H8" s="10"/>
      <c r="I8" s="10">
        <f t="shared" si="5"/>
        <v>5556</v>
      </c>
      <c r="J8" s="10">
        <f t="shared" si="3"/>
        <v>35624923579.102882</v>
      </c>
      <c r="K8" s="11">
        <f t="shared" si="4"/>
        <v>3.3299999999999885E-2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6205335.6105444776</v>
      </c>
      <c r="D9" s="11">
        <v>3.2199999999999999E-2</v>
      </c>
      <c r="E9" s="10">
        <f t="shared" si="2"/>
        <v>193578.57649634965</v>
      </c>
      <c r="F9" s="3"/>
      <c r="G9" s="28"/>
      <c r="H9" s="10"/>
      <c r="I9" s="10">
        <f t="shared" si="5"/>
        <v>5556</v>
      </c>
      <c r="J9" s="10">
        <f t="shared" si="3"/>
        <v>34476844652.18512</v>
      </c>
      <c r="K9" s="11">
        <f t="shared" si="4"/>
        <v>3.2200000000000006E-2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6011757.0340481279</v>
      </c>
      <c r="D10" s="11">
        <v>3.1300000000000001E-2</v>
      </c>
      <c r="E10" s="10">
        <f t="shared" si="2"/>
        <v>182457.08830185886</v>
      </c>
      <c r="F10" s="3"/>
      <c r="G10" s="28"/>
      <c r="H10" s="10"/>
      <c r="I10" s="10">
        <f t="shared" si="5"/>
        <v>5556</v>
      </c>
      <c r="J10" s="10">
        <f t="shared" si="3"/>
        <v>33401322081.171398</v>
      </c>
      <c r="K10" s="11">
        <f t="shared" si="4"/>
        <v>3.1300000000000106E-2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5829299.9457462691</v>
      </c>
      <c r="D11" s="11">
        <v>3.0200000000000001E-2</v>
      </c>
      <c r="E11" s="10">
        <f t="shared" si="2"/>
        <v>170884.1568254102</v>
      </c>
      <c r="F11" s="3"/>
      <c r="G11" s="28"/>
      <c r="H11" s="10"/>
      <c r="I11" s="10">
        <f t="shared" si="5"/>
        <v>5556</v>
      </c>
      <c r="J11" s="10">
        <f t="shared" si="3"/>
        <v>32387590498.566273</v>
      </c>
      <c r="K11" s="11">
        <f t="shared" si="4"/>
        <v>3.0200000000000005E-2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5658415.7889208589</v>
      </c>
      <c r="D12" s="11">
        <v>2.9000000000000001E-2</v>
      </c>
      <c r="E12" s="10">
        <f t="shared" si="2"/>
        <v>159469.44400262833</v>
      </c>
      <c r="F12" s="3"/>
      <c r="G12" s="28"/>
      <c r="H12" s="10"/>
      <c r="I12" s="10">
        <f t="shared" si="5"/>
        <v>5556</v>
      </c>
      <c r="J12" s="10">
        <f t="shared" si="3"/>
        <v>31438158123.244293</v>
      </c>
      <c r="K12" s="11">
        <f t="shared" si="4"/>
        <v>2.8999999999999915E-2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5498946.3449182305</v>
      </c>
      <c r="D13" s="11">
        <v>2.8000000000000001E-2</v>
      </c>
      <c r="E13" s="10">
        <f t="shared" si="2"/>
        <v>149776.74869427085</v>
      </c>
      <c r="F13" s="3"/>
      <c r="G13" s="28"/>
      <c r="H13" s="10"/>
      <c r="I13" s="10">
        <f t="shared" si="5"/>
        <v>5556</v>
      </c>
      <c r="J13" s="10">
        <f t="shared" si="3"/>
        <v>30552145892.365688</v>
      </c>
      <c r="K13" s="11">
        <f t="shared" si="4"/>
        <v>2.8000000000000025E-2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5349169.5962239597</v>
      </c>
      <c r="D14" s="11">
        <v>2.7300000000000001E-2</v>
      </c>
      <c r="E14" s="10">
        <f t="shared" si="2"/>
        <v>142151.59152819496</v>
      </c>
      <c r="F14" s="3"/>
      <c r="G14" s="28"/>
      <c r="H14" s="10"/>
      <c r="I14" s="10">
        <f t="shared" si="5"/>
        <v>5556</v>
      </c>
      <c r="J14" s="10">
        <f t="shared" si="3"/>
        <v>29719986276.620319</v>
      </c>
      <c r="K14" s="11">
        <f t="shared" si="4"/>
        <v>2.7300000000000102E-2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5207018.0046957647</v>
      </c>
      <c r="D15" s="11">
        <v>2.6800000000000001E-2</v>
      </c>
      <c r="E15" s="10">
        <f t="shared" si="2"/>
        <v>135905.80690090172</v>
      </c>
      <c r="F15" s="3"/>
      <c r="G15" s="28"/>
      <c r="H15" s="10"/>
      <c r="I15" s="10">
        <f t="shared" si="5"/>
        <v>5556</v>
      </c>
      <c r="J15" s="10">
        <f t="shared" si="3"/>
        <v>28930192034.089668</v>
      </c>
      <c r="K15" s="11">
        <f t="shared" si="4"/>
        <v>2.6799999999999935E-2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5071112.197794863</v>
      </c>
      <c r="D16" s="11">
        <v>2.63E-2</v>
      </c>
      <c r="E16" s="10">
        <f t="shared" si="2"/>
        <v>129952.50005067233</v>
      </c>
      <c r="F16" s="3"/>
      <c r="G16" s="28"/>
      <c r="H16" s="10"/>
      <c r="I16" s="10">
        <f t="shared" si="5"/>
        <v>5556</v>
      </c>
      <c r="J16" s="10">
        <f t="shared" si="3"/>
        <v>28175099370.948257</v>
      </c>
      <c r="K16" s="11">
        <f t="shared" si="4"/>
        <v>2.629999999999999E-2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4941159.6977441907</v>
      </c>
      <c r="D17" s="11">
        <v>2.5899999999999999E-2</v>
      </c>
      <c r="E17" s="10">
        <f t="shared" si="2"/>
        <v>124745.13712016214</v>
      </c>
      <c r="F17" s="3"/>
      <c r="G17" s="28"/>
      <c r="H17" s="10"/>
      <c r="I17" s="10">
        <f t="shared" si="5"/>
        <v>5556</v>
      </c>
      <c r="J17" s="10">
        <f t="shared" si="3"/>
        <v>27453083280.666725</v>
      </c>
      <c r="K17" s="11">
        <f t="shared" si="4"/>
        <v>2.5900000000000034E-2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4816414.5606240286</v>
      </c>
      <c r="D18" s="11">
        <v>2.5499999999999998E-2</v>
      </c>
      <c r="E18" s="10">
        <f t="shared" si="2"/>
        <v>119764.57464252878</v>
      </c>
      <c r="F18" s="3"/>
      <c r="G18" s="28"/>
      <c r="H18" s="10"/>
      <c r="I18" s="10">
        <f t="shared" si="5"/>
        <v>5556</v>
      </c>
      <c r="J18" s="10">
        <f t="shared" si="3"/>
        <v>26759999298.827103</v>
      </c>
      <c r="K18" s="11">
        <f t="shared" si="4"/>
        <v>2.5500000000000078E-2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4696649.9859814998</v>
      </c>
      <c r="D19" s="11">
        <v>2.53E-2</v>
      </c>
      <c r="E19" s="10">
        <f t="shared" si="2"/>
        <v>115893.14800090902</v>
      </c>
      <c r="F19" s="3"/>
      <c r="G19" s="28"/>
      <c r="H19" s="10"/>
      <c r="I19" s="10">
        <f t="shared" si="5"/>
        <v>5556</v>
      </c>
      <c r="J19" s="10">
        <f t="shared" si="3"/>
        <v>26094587322.113213</v>
      </c>
      <c r="K19" s="11">
        <f t="shared" si="4"/>
        <v>2.5299999999999878E-2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4580756.8379805908</v>
      </c>
      <c r="D20" s="11">
        <v>2.52E-2</v>
      </c>
      <c r="E20" s="10">
        <f t="shared" si="2"/>
        <v>112597.61248255055</v>
      </c>
      <c r="F20" s="3"/>
      <c r="G20" s="28"/>
      <c r="H20" s="10"/>
      <c r="I20" s="10">
        <f t="shared" si="5"/>
        <v>5556</v>
      </c>
      <c r="J20" s="10">
        <f t="shared" si="3"/>
        <v>25450684991.820164</v>
      </c>
      <c r="K20" s="11">
        <f t="shared" si="4"/>
        <v>2.5200000000000111E-2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4468159.2254980402</v>
      </c>
      <c r="D21" s="11">
        <v>2.53E-2</v>
      </c>
      <c r="E21" s="10">
        <f t="shared" si="2"/>
        <v>110254.97747498378</v>
      </c>
      <c r="F21" s="3"/>
      <c r="G21" s="28"/>
      <c r="H21" s="10"/>
      <c r="I21" s="10">
        <f t="shared" si="5"/>
        <v>5556</v>
      </c>
      <c r="J21" s="10">
        <f t="shared" si="3"/>
        <v>24825092656.867111</v>
      </c>
      <c r="K21" s="11">
        <f t="shared" si="4"/>
        <v>2.53000000000001E-2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4357904.2480230564</v>
      </c>
      <c r="D22" s="11">
        <v>2.5700000000000001E-2</v>
      </c>
      <c r="E22" s="10">
        <f t="shared" si="2"/>
        <v>109191.90716017596</v>
      </c>
      <c r="F22" s="3"/>
      <c r="G22" s="28"/>
      <c r="H22" s="10"/>
      <c r="I22" s="10">
        <f t="shared" si="5"/>
        <v>5556</v>
      </c>
      <c r="J22" s="10">
        <f t="shared" si="3"/>
        <v>24212516002.016102</v>
      </c>
      <c r="K22" s="11">
        <f t="shared" si="4"/>
        <v>2.5700000000000056E-2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4248712.3408628805</v>
      </c>
      <c r="D23" s="11">
        <v>2.6200000000000001E-2</v>
      </c>
      <c r="E23" s="10">
        <f t="shared" si="2"/>
        <v>108474.23828747589</v>
      </c>
      <c r="F23" s="3"/>
      <c r="G23" s="28"/>
      <c r="H23" s="10"/>
      <c r="I23" s="10">
        <f t="shared" si="5"/>
        <v>5556</v>
      </c>
      <c r="J23" s="10">
        <f t="shared" si="3"/>
        <v>23605845765.834164</v>
      </c>
      <c r="K23" s="11">
        <f t="shared" si="4"/>
        <v>2.6200000000000001E-2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4140238.1025754046</v>
      </c>
      <c r="D24" s="11">
        <v>2.6599999999999999E-2</v>
      </c>
      <c r="E24" s="10">
        <f t="shared" si="2"/>
        <v>107276.77140902542</v>
      </c>
      <c r="F24" s="3"/>
      <c r="G24" s="28"/>
      <c r="H24" s="10"/>
      <c r="I24" s="10">
        <f t="shared" si="5"/>
        <v>5556</v>
      </c>
      <c r="J24" s="10">
        <f t="shared" si="3"/>
        <v>23003162897.908947</v>
      </c>
      <c r="K24" s="11">
        <f t="shared" si="4"/>
        <v>2.6599999999999957E-2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4032961.3311663792</v>
      </c>
      <c r="D25" s="11">
        <v>2.69E-2</v>
      </c>
      <c r="E25" s="10">
        <f t="shared" si="2"/>
        <v>105644.81430360815</v>
      </c>
      <c r="F25" s="3"/>
      <c r="G25" s="28"/>
      <c r="H25" s="10"/>
      <c r="I25" s="10">
        <f t="shared" si="5"/>
        <v>5556</v>
      </c>
      <c r="J25" s="10">
        <f t="shared" si="3"/>
        <v>22407133155.960403</v>
      </c>
      <c r="K25" s="11">
        <f t="shared" si="4"/>
        <v>2.6899999999999924E-2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3927316.516862771</v>
      </c>
      <c r="D26" s="11">
        <v>2.7199999999999998E-2</v>
      </c>
      <c r="E26" s="10">
        <f t="shared" si="2"/>
        <v>103994.3625960541</v>
      </c>
      <c r="F26" s="3"/>
      <c r="G26" s="28"/>
      <c r="H26" s="10"/>
      <c r="I26" s="10">
        <f t="shared" si="5"/>
        <v>5556</v>
      </c>
      <c r="J26" s="10">
        <f t="shared" si="3"/>
        <v>21820170567.689556</v>
      </c>
      <c r="K26" s="11">
        <f t="shared" si="4"/>
        <v>2.7199999999999891E-2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3823322.1542667169</v>
      </c>
      <c r="D27" s="11">
        <v>2.7400000000000001E-2</v>
      </c>
      <c r="E27" s="10">
        <f t="shared" si="2"/>
        <v>101965.18106570793</v>
      </c>
      <c r="F27" s="3"/>
      <c r="G27" s="28"/>
      <c r="H27" s="10"/>
      <c r="I27" s="10">
        <f t="shared" si="5"/>
        <v>5556</v>
      </c>
      <c r="J27" s="10">
        <f t="shared" si="3"/>
        <v>21242377889.105881</v>
      </c>
      <c r="K27" s="11">
        <f t="shared" si="4"/>
        <v>2.7400000000000091E-2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3721356.973201009</v>
      </c>
      <c r="D28" s="11">
        <v>2.7699999999999999E-2</v>
      </c>
      <c r="E28" s="10">
        <f t="shared" si="2"/>
        <v>100303.18980020238</v>
      </c>
      <c r="F28" s="3"/>
      <c r="G28" s="28"/>
      <c r="H28" s="10"/>
      <c r="I28" s="10">
        <f t="shared" si="5"/>
        <v>5556</v>
      </c>
      <c r="J28" s="10">
        <f t="shared" si="3"/>
        <v>20675859343.104805</v>
      </c>
      <c r="K28" s="11">
        <f t="shared" si="4"/>
        <v>2.7699999999999836E-2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3621053.7834008066</v>
      </c>
      <c r="D29" s="11">
        <v>2.7699999999999999E-2</v>
      </c>
      <c r="E29" s="10">
        <f t="shared" si="2"/>
        <v>97599.678700206801</v>
      </c>
      <c r="F29" s="3"/>
      <c r="G29" s="28"/>
      <c r="H29" s="10"/>
      <c r="I29" s="10">
        <f t="shared" si="5"/>
        <v>5556</v>
      </c>
      <c r="J29" s="10">
        <f t="shared" si="3"/>
        <v>20118574820.574883</v>
      </c>
      <c r="K29" s="11">
        <f t="shared" si="4"/>
        <v>2.7700000000000058E-2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3523454.1047005998</v>
      </c>
      <c r="D30" s="12">
        <v>2.7799999999999998E-2</v>
      </c>
      <c r="E30" s="10">
        <f t="shared" si="2"/>
        <v>95302.611510680057</v>
      </c>
      <c r="F30" s="3"/>
      <c r="G30" s="28"/>
      <c r="H30" s="10"/>
      <c r="I30" s="10">
        <f t="shared" si="5"/>
        <v>5556</v>
      </c>
      <c r="J30" s="10">
        <f t="shared" si="3"/>
        <v>19576311005.716534</v>
      </c>
      <c r="K30" s="11">
        <f t="shared" si="4"/>
        <v>2.7800000000000269E-2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3428151.4931899197</v>
      </c>
      <c r="D31" s="13">
        <v>2.7699999999999999E-2</v>
      </c>
      <c r="E31" s="10">
        <f t="shared" si="2"/>
        <v>92400.307834349573</v>
      </c>
      <c r="F31" s="3"/>
      <c r="G31" s="28"/>
      <c r="H31" s="10"/>
      <c r="I31" s="10">
        <f t="shared" si="5"/>
        <v>5556</v>
      </c>
      <c r="J31" s="10">
        <f t="shared" si="3"/>
        <v>19046809696.163193</v>
      </c>
      <c r="K31" s="11">
        <f t="shared" si="4"/>
        <v>2.7700000000000058E-2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3335751.1853555702</v>
      </c>
      <c r="D32" s="12">
        <v>2.76E-2</v>
      </c>
      <c r="E32" s="10">
        <f t="shared" si="2"/>
        <v>89593.939972571097</v>
      </c>
      <c r="F32" s="3"/>
      <c r="G32" s="28"/>
      <c r="H32" s="10"/>
      <c r="I32" s="10">
        <f t="shared" si="5"/>
        <v>5556</v>
      </c>
      <c r="J32" s="10">
        <f t="shared" si="3"/>
        <v>18533433585.835548</v>
      </c>
      <c r="K32" s="11">
        <f t="shared" si="4"/>
        <v>2.7600000000000069E-2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3246157.2453829991</v>
      </c>
      <c r="D33" s="13">
        <v>2.75E-2</v>
      </c>
      <c r="E33" s="10">
        <f t="shared" si="2"/>
        <v>86880.120922659524</v>
      </c>
      <c r="F33" s="3"/>
      <c r="G33" s="28"/>
      <c r="H33" s="10"/>
      <c r="I33" s="10">
        <f t="shared" si="5"/>
        <v>5556</v>
      </c>
      <c r="J33" s="10">
        <f t="shared" si="3"/>
        <v>18035649655.347942</v>
      </c>
      <c r="K33" s="11">
        <f t="shared" si="4"/>
        <v>2.7499999999999858E-2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3159277.1244603395</v>
      </c>
      <c r="D34" s="12">
        <v>2.7400000000000001E-2</v>
      </c>
      <c r="E34" s="10">
        <f t="shared" si="2"/>
        <v>84255.590043034405</v>
      </c>
      <c r="F34" s="3"/>
      <c r="G34" s="28"/>
      <c r="H34" s="10"/>
      <c r="I34" s="10">
        <f t="shared" si="5"/>
        <v>5556</v>
      </c>
      <c r="J34" s="10">
        <f t="shared" ref="J34:J65" si="6">IF(I34="","",I34*C34)</f>
        <v>17552943703.501648</v>
      </c>
      <c r="K34" s="11">
        <f t="shared" ref="K34:K65" si="7">IFERROR(J34/J35-1,"")</f>
        <v>2.7400000000000091E-2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3075021.5344173051</v>
      </c>
      <c r="D35" s="11">
        <v>2.7099999999999999E-2</v>
      </c>
      <c r="E35" s="10">
        <f t="shared" si="2"/>
        <v>81134.342890379485</v>
      </c>
      <c r="F35" s="3"/>
      <c r="G35" s="28"/>
      <c r="H35" s="10"/>
      <c r="I35" s="10">
        <f t="shared" ref="I35:I66" si="8">IF(H35&lt;&gt;"",H35,I34/(1+IF(G34="",0,G34)/100))</f>
        <v>5556</v>
      </c>
      <c r="J35" s="10">
        <f t="shared" si="6"/>
        <v>17084819645.222548</v>
      </c>
      <c r="K35" s="11">
        <f t="shared" si="7"/>
        <v>2.7099999999999902E-2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2993887.1915269257</v>
      </c>
      <c r="D36" s="11">
        <v>2.6800000000000001E-2</v>
      </c>
      <c r="E36" s="10">
        <f t="shared" si="2"/>
        <v>78141.971886366606</v>
      </c>
      <c r="F36" s="3"/>
      <c r="G36" s="28"/>
      <c r="H36" s="10"/>
      <c r="I36" s="10">
        <f t="shared" si="8"/>
        <v>5556</v>
      </c>
      <c r="J36" s="10">
        <f t="shared" si="6"/>
        <v>16634037236.123598</v>
      </c>
      <c r="K36" s="11">
        <f t="shared" si="7"/>
        <v>2.6799999999999713E-2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2915745.2196405591</v>
      </c>
      <c r="D37" s="11">
        <v>2.64E-2</v>
      </c>
      <c r="E37" s="10">
        <f t="shared" si="2"/>
        <v>74995.785072594415</v>
      </c>
      <c r="F37" s="3"/>
      <c r="G37" s="28"/>
      <c r="H37" s="10"/>
      <c r="I37" s="10">
        <f t="shared" si="8"/>
        <v>5556</v>
      </c>
      <c r="J37" s="10">
        <f t="shared" si="6"/>
        <v>16199880440.322947</v>
      </c>
      <c r="K37" s="11">
        <f t="shared" si="7"/>
        <v>2.6399999999999979E-2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2840749.4345679646</v>
      </c>
      <c r="D38" s="11">
        <v>2.5700000000000001E-2</v>
      </c>
      <c r="E38" s="10">
        <f t="shared" si="2"/>
        <v>71177.986222479027</v>
      </c>
      <c r="F38" s="3"/>
      <c r="G38" s="28"/>
      <c r="H38" s="10"/>
      <c r="I38" s="10">
        <f t="shared" si="8"/>
        <v>5556</v>
      </c>
      <c r="J38" s="10">
        <f t="shared" si="6"/>
        <v>15783203858.459612</v>
      </c>
      <c r="K38" s="11">
        <f t="shared" si="7"/>
        <v>2.5700000000000056E-2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2769571.4483454856</v>
      </c>
      <c r="D39" s="11">
        <v>2.52E-2</v>
      </c>
      <c r="E39" s="10">
        <f t="shared" si="2"/>
        <v>68077.64387271367</v>
      </c>
      <c r="F39" s="3"/>
      <c r="G39" s="28"/>
      <c r="H39" s="10"/>
      <c r="I39" s="10">
        <f t="shared" si="8"/>
        <v>5556</v>
      </c>
      <c r="J39" s="10">
        <f t="shared" si="6"/>
        <v>15387738967.007519</v>
      </c>
      <c r="K39" s="11">
        <f t="shared" si="7"/>
        <v>2.5200000000000111E-2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2701493.8044727719</v>
      </c>
      <c r="D40" s="11">
        <v>2.46E-2</v>
      </c>
      <c r="E40" s="10">
        <f t="shared" si="2"/>
        <v>64861.162980704568</v>
      </c>
      <c r="F40" s="3"/>
      <c r="G40" s="28"/>
      <c r="H40" s="10"/>
      <c r="I40" s="10">
        <f t="shared" si="8"/>
        <v>5556</v>
      </c>
      <c r="J40" s="10">
        <f t="shared" si="6"/>
        <v>15009499577.650721</v>
      </c>
      <c r="K40" s="11">
        <f t="shared" si="7"/>
        <v>2.4599999999999955E-2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2636632.6414920674</v>
      </c>
      <c r="D41" s="11">
        <v>2.3900000000000001E-2</v>
      </c>
      <c r="E41" s="10">
        <f t="shared" si="2"/>
        <v>61544.60409381846</v>
      </c>
      <c r="F41" s="3"/>
      <c r="G41" s="28"/>
      <c r="H41" s="10"/>
      <c r="I41" s="10">
        <f t="shared" si="8"/>
        <v>5556</v>
      </c>
      <c r="J41" s="10">
        <f t="shared" si="6"/>
        <v>14649130956.129927</v>
      </c>
      <c r="K41" s="11">
        <f t="shared" si="7"/>
        <v>2.3900000000000032E-2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2575088.0373982489</v>
      </c>
      <c r="D42" s="11">
        <v>2.3E-2</v>
      </c>
      <c r="E42" s="10">
        <f t="shared" si="2"/>
        <v>57895.429970830213</v>
      </c>
      <c r="F42" s="3"/>
      <c r="G42" s="28"/>
      <c r="H42" s="10"/>
      <c r="I42" s="10">
        <f t="shared" si="8"/>
        <v>5556</v>
      </c>
      <c r="J42" s="10">
        <f t="shared" si="6"/>
        <v>14307189135.784672</v>
      </c>
      <c r="K42" s="11">
        <f t="shared" si="7"/>
        <v>2.2999999999999909E-2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2517192.6074274187</v>
      </c>
      <c r="D43" s="11">
        <v>2.2100000000000002E-2</v>
      </c>
      <c r="E43" s="10">
        <f t="shared" si="2"/>
        <v>54427.117331128102</v>
      </c>
      <c r="F43" s="3"/>
      <c r="G43" s="28"/>
      <c r="H43" s="10"/>
      <c r="I43" s="10">
        <f t="shared" si="8"/>
        <v>5556</v>
      </c>
      <c r="J43" s="10">
        <f t="shared" si="6"/>
        <v>13985522126.866737</v>
      </c>
      <c r="K43" s="11">
        <f t="shared" si="7"/>
        <v>2.2100000000000009E-2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2462765.4900962906</v>
      </c>
      <c r="D44" s="11">
        <v>2.1399999999999999E-2</v>
      </c>
      <c r="E44" s="10">
        <f t="shared" si="2"/>
        <v>51598.963665616699</v>
      </c>
      <c r="F44" s="3"/>
      <c r="G44" s="28"/>
      <c r="H44" s="10"/>
      <c r="I44" s="10">
        <f t="shared" si="8"/>
        <v>5556</v>
      </c>
      <c r="J44" s="10">
        <f t="shared" si="6"/>
        <v>13683125062.974991</v>
      </c>
      <c r="K44" s="11">
        <f t="shared" si="7"/>
        <v>2.1400000000000086E-2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2411166.5264306739</v>
      </c>
      <c r="D45" s="11">
        <v>2.0799999999999999E-2</v>
      </c>
      <c r="E45" s="10">
        <f t="shared" si="2"/>
        <v>49130.35241943365</v>
      </c>
      <c r="F45" s="3"/>
      <c r="G45" s="28"/>
      <c r="H45" s="10"/>
      <c r="I45" s="10">
        <f t="shared" si="8"/>
        <v>5556</v>
      </c>
      <c r="J45" s="10">
        <f t="shared" si="6"/>
        <v>13396441220.848824</v>
      </c>
      <c r="K45" s="11">
        <f t="shared" si="7"/>
        <v>2.079999999999993E-2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2362036.1740112402</v>
      </c>
      <c r="D46" s="11">
        <v>2.0500000000000001E-2</v>
      </c>
      <c r="E46" s="10">
        <f t="shared" si="2"/>
        <v>47449.036322616506</v>
      </c>
      <c r="F46" s="3"/>
      <c r="G46" s="28"/>
      <c r="H46" s="10"/>
      <c r="I46" s="10">
        <f t="shared" si="8"/>
        <v>5556</v>
      </c>
      <c r="J46" s="10">
        <f t="shared" si="6"/>
        <v>13123472982.80645</v>
      </c>
      <c r="K46" s="11">
        <f t="shared" si="7"/>
        <v>2.0499999999999741E-2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2314587.1376886237</v>
      </c>
      <c r="D47" s="11">
        <v>2.0799999999999999E-2</v>
      </c>
      <c r="E47" s="10">
        <f t="shared" si="2"/>
        <v>47162.433840050362</v>
      </c>
      <c r="F47" s="3"/>
      <c r="G47" s="28"/>
      <c r="H47" s="10"/>
      <c r="I47" s="10">
        <f t="shared" si="8"/>
        <v>5556</v>
      </c>
      <c r="J47" s="10">
        <f t="shared" si="6"/>
        <v>12859846136.997993</v>
      </c>
      <c r="K47" s="11">
        <f t="shared" si="7"/>
        <v>2.079999999999993E-2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2267424.7038485734</v>
      </c>
      <c r="D48" s="11">
        <v>2.1299999999999999E-2</v>
      </c>
      <c r="E48" s="10">
        <f t="shared" si="2"/>
        <v>47288.892775849439</v>
      </c>
      <c r="F48" s="3"/>
      <c r="G48" s="28"/>
      <c r="H48" s="10"/>
      <c r="I48" s="10">
        <f t="shared" si="8"/>
        <v>5556</v>
      </c>
      <c r="J48" s="10">
        <f t="shared" si="6"/>
        <v>12597811654.582674</v>
      </c>
      <c r="K48" s="11">
        <f t="shared" si="7"/>
        <v>2.1300000000000097E-2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2220135.8110727239</v>
      </c>
      <c r="D49" s="11">
        <v>1.9099999999999999E-2</v>
      </c>
      <c r="E49" s="10">
        <f t="shared" si="2"/>
        <v>41609.84593414655</v>
      </c>
      <c r="F49" s="3"/>
      <c r="G49" s="28"/>
      <c r="H49" s="10"/>
      <c r="I49" s="10">
        <f t="shared" si="8"/>
        <v>5556</v>
      </c>
      <c r="J49" s="10">
        <f t="shared" si="6"/>
        <v>12335074566.320055</v>
      </c>
      <c r="K49" s="11">
        <f t="shared" si="7"/>
        <v>1.9099999999999895E-2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2178525.9651385774</v>
      </c>
      <c r="D50" s="11">
        <v>1.61E-2</v>
      </c>
      <c r="E50" s="10">
        <f t="shared" si="2"/>
        <v>34518.519868842792</v>
      </c>
      <c r="F50" s="3"/>
      <c r="G50" s="28"/>
      <c r="H50" s="10"/>
      <c r="I50" s="10">
        <f t="shared" si="8"/>
        <v>5556</v>
      </c>
      <c r="J50" s="10">
        <f t="shared" si="6"/>
        <v>12103890262.309937</v>
      </c>
      <c r="K50" s="11">
        <f t="shared" si="7"/>
        <v>1.6100000000000003E-2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2144007.4452697346</v>
      </c>
      <c r="D51" s="11">
        <v>1.55E-2</v>
      </c>
      <c r="E51" s="10">
        <f t="shared" si="2"/>
        <v>32724.879765318707</v>
      </c>
      <c r="F51" s="3"/>
      <c r="G51" s="28"/>
      <c r="H51" s="10"/>
      <c r="I51" s="10">
        <f t="shared" si="8"/>
        <v>5556</v>
      </c>
      <c r="J51" s="10">
        <f t="shared" si="6"/>
        <v>11912105365.918646</v>
      </c>
      <c r="K51" s="11">
        <f t="shared" si="7"/>
        <v>1.5500000000000069E-2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2111282.5655044159</v>
      </c>
      <c r="D52" s="11">
        <v>1.4800000000000001E-2</v>
      </c>
      <c r="E52" s="10">
        <f t="shared" si="2"/>
        <v>30791.271156351082</v>
      </c>
      <c r="F52" s="3"/>
      <c r="G52" s="28"/>
      <c r="H52" s="10"/>
      <c r="I52" s="10">
        <f t="shared" si="8"/>
        <v>5556</v>
      </c>
      <c r="J52" s="10">
        <f t="shared" si="6"/>
        <v>11730285933.942535</v>
      </c>
      <c r="K52" s="11">
        <f t="shared" si="7"/>
        <v>1.4799999999999924E-2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2080491.2943480648</v>
      </c>
      <c r="D53" s="11">
        <v>1.41E-2</v>
      </c>
      <c r="E53" s="10">
        <f t="shared" si="2"/>
        <v>28927.055764034856</v>
      </c>
      <c r="F53" s="3"/>
      <c r="G53" s="28"/>
      <c r="H53" s="10"/>
      <c r="I53" s="10">
        <f t="shared" si="8"/>
        <v>5556</v>
      </c>
      <c r="J53" s="10">
        <f t="shared" si="6"/>
        <v>11559209631.397848</v>
      </c>
      <c r="K53" s="11">
        <f t="shared" si="7"/>
        <v>1.4100000000000001E-2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2051564.23858403</v>
      </c>
      <c r="D54" s="11">
        <v>1.35E-2</v>
      </c>
      <c r="E54" s="10">
        <f t="shared" si="2"/>
        <v>27327.200020606397</v>
      </c>
      <c r="F54" s="3"/>
      <c r="G54" s="28"/>
      <c r="H54" s="10"/>
      <c r="I54" s="10">
        <f t="shared" si="8"/>
        <v>5556</v>
      </c>
      <c r="J54" s="10">
        <f t="shared" si="6"/>
        <v>11398490909.57287</v>
      </c>
      <c r="K54" s="11">
        <f t="shared" si="7"/>
        <v>1.3500000000000068E-2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2024237.0385634236</v>
      </c>
      <c r="D55" s="11">
        <v>1.29E-2</v>
      </c>
      <c r="E55" s="10">
        <f t="shared" si="2"/>
        <v>25780.094577419339</v>
      </c>
      <c r="F55" s="3"/>
      <c r="G55" s="28"/>
      <c r="H55" s="10"/>
      <c r="I55" s="10">
        <f t="shared" si="8"/>
        <v>5556</v>
      </c>
      <c r="J55" s="10">
        <f t="shared" si="6"/>
        <v>11246660986.258381</v>
      </c>
      <c r="K55" s="11">
        <f t="shared" si="7"/>
        <v>1.2899999999999912E-2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1998456.9439860042</v>
      </c>
      <c r="D56" s="11">
        <v>1.2200000000000001E-2</v>
      </c>
      <c r="E56" s="10">
        <f t="shared" si="2"/>
        <v>24087.309540238231</v>
      </c>
      <c r="F56" s="3"/>
      <c r="G56" s="28"/>
      <c r="H56" s="10"/>
      <c r="I56" s="10">
        <f t="shared" si="8"/>
        <v>5556</v>
      </c>
      <c r="J56" s="10">
        <f t="shared" si="6"/>
        <v>11103426780.78624</v>
      </c>
      <c r="K56" s="11">
        <f t="shared" si="7"/>
        <v>1.2199999999999989E-2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1974369.634445766</v>
      </c>
      <c r="D57" s="11">
        <v>1.15E-2</v>
      </c>
      <c r="E57" s="10">
        <f t="shared" si="2"/>
        <v>22447.109042141819</v>
      </c>
      <c r="F57" s="3"/>
      <c r="G57" s="28"/>
      <c r="H57" s="10"/>
      <c r="I57" s="10">
        <f t="shared" si="8"/>
        <v>5556</v>
      </c>
      <c r="J57" s="10">
        <f t="shared" si="6"/>
        <v>10969597688.980677</v>
      </c>
      <c r="K57" s="11">
        <f t="shared" si="7"/>
        <v>1.1500000000000066E-2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1951922.5254036242</v>
      </c>
      <c r="D58" s="11">
        <v>1.0999999999999999E-2</v>
      </c>
      <c r="E58" s="10">
        <f t="shared" si="2"/>
        <v>21237.534895588178</v>
      </c>
      <c r="F58" s="3"/>
      <c r="G58" s="28"/>
      <c r="H58" s="10"/>
      <c r="I58" s="10">
        <f t="shared" si="8"/>
        <v>5556</v>
      </c>
      <c r="J58" s="10">
        <f t="shared" si="6"/>
        <v>10844881551.142536</v>
      </c>
      <c r="K58" s="11">
        <f t="shared" si="7"/>
        <v>1.0999999999999899E-2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1930684.990508036</v>
      </c>
      <c r="D59" s="11">
        <v>0.01</v>
      </c>
      <c r="E59" s="10">
        <f t="shared" si="2"/>
        <v>19115.69297532714</v>
      </c>
      <c r="F59" s="3"/>
      <c r="G59" s="28"/>
      <c r="H59" s="10"/>
      <c r="I59" s="10">
        <f t="shared" si="8"/>
        <v>5556</v>
      </c>
      <c r="J59" s="10">
        <f t="shared" si="6"/>
        <v>10726885807.262648</v>
      </c>
      <c r="K59" s="11">
        <f t="shared" si="7"/>
        <v>1.0000000000000009E-2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1911569.2975327088</v>
      </c>
      <c r="D60" s="11">
        <v>0.01</v>
      </c>
      <c r="E60" s="10">
        <f t="shared" si="2"/>
        <v>18926.428688442567</v>
      </c>
      <c r="F60" s="3"/>
      <c r="G60" s="28"/>
      <c r="H60" s="10"/>
      <c r="I60" s="10">
        <f t="shared" si="8"/>
        <v>5556</v>
      </c>
      <c r="J60" s="10">
        <f t="shared" si="6"/>
        <v>10620679017.09173</v>
      </c>
      <c r="K60" s="11">
        <f t="shared" si="7"/>
        <v>9.9999999999997868E-3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1892642.8688442663</v>
      </c>
      <c r="D61" s="11">
        <v>8.9999999999999993E-3</v>
      </c>
      <c r="E61" s="10">
        <f t="shared" si="2"/>
        <v>16881.849177005235</v>
      </c>
      <c r="F61" s="3"/>
      <c r="G61" s="28"/>
      <c r="H61" s="10"/>
      <c r="I61" s="10">
        <f t="shared" si="8"/>
        <v>5556</v>
      </c>
      <c r="J61" s="10">
        <f t="shared" si="6"/>
        <v>10515523779.298744</v>
      </c>
      <c r="K61" s="11">
        <f t="shared" si="7"/>
        <v>8.999999999999897E-3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1875761.019667261</v>
      </c>
      <c r="D62" s="11">
        <v>8.9999999999999993E-3</v>
      </c>
      <c r="E62" s="10">
        <f t="shared" si="2"/>
        <v>16731.267767101293</v>
      </c>
      <c r="F62" s="3"/>
      <c r="G62" s="28"/>
      <c r="H62" s="10"/>
      <c r="I62" s="10">
        <f t="shared" si="8"/>
        <v>5556</v>
      </c>
      <c r="J62" s="10">
        <f t="shared" si="6"/>
        <v>10421728225.271303</v>
      </c>
      <c r="K62" s="11">
        <f t="shared" si="7"/>
        <v>9.000000000000119E-3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1859029.7519001598</v>
      </c>
      <c r="D63" s="11">
        <v>8.0000000000000002E-3</v>
      </c>
      <c r="E63" s="10">
        <f t="shared" si="2"/>
        <v>14754.204380159965</v>
      </c>
      <c r="F63" s="3"/>
      <c r="G63" s="28"/>
      <c r="H63" s="10"/>
      <c r="I63" s="10">
        <f t="shared" si="8"/>
        <v>5556</v>
      </c>
      <c r="J63" s="10">
        <f t="shared" si="6"/>
        <v>10328769301.557287</v>
      </c>
      <c r="K63" s="11">
        <f t="shared" si="7"/>
        <v>8.0000000000000071E-3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1844275.5475199998</v>
      </c>
      <c r="D64" s="11">
        <v>8.0000000000000002E-3</v>
      </c>
      <c r="E64" s="10">
        <f t="shared" si="2"/>
        <v>14637.107520000078</v>
      </c>
      <c r="F64" s="3"/>
      <c r="G64" s="28"/>
      <c r="H64" s="10"/>
      <c r="I64" s="10">
        <f t="shared" si="8"/>
        <v>5556</v>
      </c>
      <c r="J64" s="10">
        <f t="shared" si="6"/>
        <v>10246794942.021118</v>
      </c>
      <c r="K64" s="11">
        <f t="shared" si="7"/>
        <v>8.0000000000000071E-3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1829638.4399999997</v>
      </c>
      <c r="D65" s="11">
        <v>8.0000000000000002E-3</v>
      </c>
      <c r="E65" s="10">
        <f t="shared" si="2"/>
        <v>14520.939999999944</v>
      </c>
      <c r="F65" s="3"/>
      <c r="G65" s="28"/>
      <c r="H65" s="10"/>
      <c r="I65" s="10">
        <f t="shared" si="8"/>
        <v>5556</v>
      </c>
      <c r="J65" s="10">
        <f t="shared" si="6"/>
        <v>10165471172.639997</v>
      </c>
      <c r="K65" s="11">
        <f t="shared" si="7"/>
        <v>8.0000000000000071E-3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1815117.4999999998</v>
      </c>
      <c r="D66" s="11">
        <v>7.0000000000000001E-3</v>
      </c>
      <c r="E66" s="10">
        <f t="shared" si="2"/>
        <v>12617.499999999767</v>
      </c>
      <c r="F66" s="3"/>
      <c r="G66" s="28"/>
      <c r="H66" s="10"/>
      <c r="I66" s="10">
        <f t="shared" si="8"/>
        <v>5556</v>
      </c>
      <c r="J66" s="10">
        <f t="shared" ref="J66:J67" si="9">IF(I66="","",I66*C66)</f>
        <v>10084792829.999998</v>
      </c>
      <c r="K66" s="11">
        <f t="shared" ref="K66" si="10">IFERROR(J66/J67-1,"")</f>
        <v>6.9999999999998952E-3</v>
      </c>
    </row>
    <row r="67" spans="1:11" ht="22.5" customHeight="1">
      <c r="A67" s="3">
        <f t="shared" si="0"/>
        <v>1950</v>
      </c>
      <c r="B67" s="3">
        <v>1700</v>
      </c>
      <c r="C67" s="10">
        <v>1802500</v>
      </c>
      <c r="D67" s="11">
        <v>7.0000000000000001E-3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5556</v>
      </c>
      <c r="J67" s="10">
        <f t="shared" si="9"/>
        <v>10014690000</v>
      </c>
      <c r="K67" s="11"/>
    </row>
  </sheetData>
  <dataValidations count="1">
    <dataValidation type="custom" allowBlank="1" showDropDown="1" sqref="D2:D67" xr:uid="{00000000-0002-0000-2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12299311.234167134</v>
      </c>
      <c r="D2" s="11">
        <v>2.8E-3</v>
      </c>
      <c r="E2" s="10">
        <f t="shared" ref="E2:E66" si="2">SUM(C2-C3)</f>
        <v>34341.914096197113</v>
      </c>
      <c r="F2" s="15">
        <v>12299328</v>
      </c>
      <c r="G2" s="28"/>
      <c r="H2" s="10"/>
      <c r="I2" s="10">
        <f>IF(H2&lt;&gt;"",H2,9206)</f>
        <v>9206</v>
      </c>
      <c r="J2" s="10">
        <f t="shared" ref="J2:J33" si="3">IF(I2="","",I2*C2)</f>
        <v>113227459221.74265</v>
      </c>
      <c r="K2" s="11">
        <f t="shared" ref="K2:K33" si="4">IFERROR(J2/J3-1,"")</f>
        <v>2.7999999999999137E-3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12264969.320070937</v>
      </c>
      <c r="D3" s="11">
        <v>3.0000000000000001E-3</v>
      </c>
      <c r="E3" s="10">
        <f t="shared" si="2"/>
        <v>36684.853400010616</v>
      </c>
      <c r="F3" s="3"/>
      <c r="G3" s="28"/>
      <c r="H3" s="10"/>
      <c r="I3" s="10">
        <f t="shared" ref="I3:I34" si="5">IF(H3&lt;&gt;"",H3,I2/(1+IF(G2="",0,G2)/100))</f>
        <v>9206</v>
      </c>
      <c r="J3" s="10">
        <f t="shared" si="3"/>
        <v>112911307560.57304</v>
      </c>
      <c r="K3" s="11">
        <f t="shared" si="4"/>
        <v>2.9999999999998916E-3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12228284.466670927</v>
      </c>
      <c r="D4" s="11">
        <v>3.0000000000000001E-3</v>
      </c>
      <c r="E4" s="10">
        <f t="shared" si="2"/>
        <v>36575.128015963361</v>
      </c>
      <c r="F4" s="3"/>
      <c r="G4" s="28"/>
      <c r="H4" s="10"/>
      <c r="I4" s="10">
        <f t="shared" si="5"/>
        <v>9206</v>
      </c>
      <c r="J4" s="10">
        <f t="shared" si="3"/>
        <v>112573586800.17255</v>
      </c>
      <c r="K4" s="11">
        <f t="shared" si="4"/>
        <v>2.9999999999998916E-3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12191709.338654963</v>
      </c>
      <c r="D5" s="11">
        <v>2.5000000000000001E-3</v>
      </c>
      <c r="E5" s="10">
        <f t="shared" si="2"/>
        <v>30403.265183677897</v>
      </c>
      <c r="F5" s="3"/>
      <c r="G5" s="28"/>
      <c r="H5" s="10"/>
      <c r="I5" s="10">
        <f t="shared" si="5"/>
        <v>9206</v>
      </c>
      <c r="J5" s="10">
        <f t="shared" si="3"/>
        <v>112236876171.65759</v>
      </c>
      <c r="K5" s="11">
        <f t="shared" si="4"/>
        <v>2.4999999999999467E-3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12161306.073471285</v>
      </c>
      <c r="D6" s="11">
        <v>1.1999999999999999E-3</v>
      </c>
      <c r="E6" s="10">
        <f t="shared" si="2"/>
        <v>14576.075996970758</v>
      </c>
      <c r="F6" s="3"/>
      <c r="G6" s="28"/>
      <c r="H6" s="10"/>
      <c r="I6" s="10">
        <f t="shared" si="5"/>
        <v>9206</v>
      </c>
      <c r="J6" s="10">
        <f t="shared" si="3"/>
        <v>111956983712.37665</v>
      </c>
      <c r="K6" s="11">
        <f t="shared" si="4"/>
        <v>1.2000000000000899E-3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12146729.997474315</v>
      </c>
      <c r="D7" s="11">
        <v>4.0000000000000002E-4</v>
      </c>
      <c r="E7" s="10">
        <f t="shared" si="2"/>
        <v>4856.7492992691696</v>
      </c>
      <c r="F7" s="3"/>
      <c r="G7" s="28"/>
      <c r="H7" s="10"/>
      <c r="I7" s="10">
        <f t="shared" si="5"/>
        <v>9206</v>
      </c>
      <c r="J7" s="10">
        <f t="shared" si="3"/>
        <v>111822796356.74854</v>
      </c>
      <c r="K7" s="11">
        <f t="shared" si="4"/>
        <v>3.9999999999995595E-4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12141873.248175045</v>
      </c>
      <c r="D8" s="11">
        <v>2.9999999999999997E-4</v>
      </c>
      <c r="E8" s="10">
        <f t="shared" si="2"/>
        <v>3641.4695335924625</v>
      </c>
      <c r="F8" s="3"/>
      <c r="G8" s="28"/>
      <c r="H8" s="10"/>
      <c r="I8" s="10">
        <f t="shared" si="5"/>
        <v>9206</v>
      </c>
      <c r="J8" s="10">
        <f t="shared" si="3"/>
        <v>111778085122.69946</v>
      </c>
      <c r="K8" s="11">
        <f t="shared" si="4"/>
        <v>2.9999999999996696E-4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12138231.778641453</v>
      </c>
      <c r="D9" s="11">
        <v>-4.0000000000000002E-4</v>
      </c>
      <c r="E9" s="10">
        <f t="shared" si="2"/>
        <v>-4857.2356056980789</v>
      </c>
      <c r="F9" s="3"/>
      <c r="G9" s="28"/>
      <c r="H9" s="10"/>
      <c r="I9" s="10">
        <f t="shared" si="5"/>
        <v>9206</v>
      </c>
      <c r="J9" s="10">
        <f t="shared" si="3"/>
        <v>111744561754.17322</v>
      </c>
      <c r="K9" s="11">
        <f t="shared" si="4"/>
        <v>-3.9999999999995595E-4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12143089.014247151</v>
      </c>
      <c r="D10" s="11">
        <v>-1.6999999999999999E-3</v>
      </c>
      <c r="E10" s="10">
        <f t="shared" si="2"/>
        <v>-20678.404612060636</v>
      </c>
      <c r="F10" s="3"/>
      <c r="G10" s="28"/>
      <c r="H10" s="10"/>
      <c r="I10" s="10">
        <f t="shared" si="5"/>
        <v>9206</v>
      </c>
      <c r="J10" s="10">
        <f t="shared" si="3"/>
        <v>111789277465.15927</v>
      </c>
      <c r="K10" s="11">
        <f t="shared" si="4"/>
        <v>-1.6999999999999238E-3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12163767.418859212</v>
      </c>
      <c r="D11" s="11">
        <v>-3.3E-3</v>
      </c>
      <c r="E11" s="10">
        <f t="shared" si="2"/>
        <v>-40273.334486039355</v>
      </c>
      <c r="F11" s="3"/>
      <c r="G11" s="28"/>
      <c r="H11" s="10"/>
      <c r="I11" s="10">
        <f t="shared" si="5"/>
        <v>9206</v>
      </c>
      <c r="J11" s="10">
        <f t="shared" si="3"/>
        <v>111979642858.0179</v>
      </c>
      <c r="K11" s="11">
        <f t="shared" si="4"/>
        <v>-3.3000000000000806E-3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12204040.753345251</v>
      </c>
      <c r="D12" s="11">
        <v>-3.8E-3</v>
      </c>
      <c r="E12" s="10">
        <f t="shared" si="2"/>
        <v>-46552.253425730392</v>
      </c>
      <c r="F12" s="3"/>
      <c r="G12" s="28"/>
      <c r="H12" s="10"/>
      <c r="I12" s="10">
        <f t="shared" si="5"/>
        <v>9206</v>
      </c>
      <c r="J12" s="10">
        <f t="shared" si="3"/>
        <v>112350399175.29639</v>
      </c>
      <c r="K12" s="11">
        <f t="shared" si="4"/>
        <v>-3.7999999999999146E-3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12250593.006770981</v>
      </c>
      <c r="D13" s="11">
        <v>-4.0000000000000001E-3</v>
      </c>
      <c r="E13" s="10">
        <f t="shared" si="2"/>
        <v>-49199.168701890856</v>
      </c>
      <c r="F13" s="3"/>
      <c r="G13" s="28"/>
      <c r="H13" s="10"/>
      <c r="I13" s="10">
        <f t="shared" si="5"/>
        <v>9206</v>
      </c>
      <c r="J13" s="10">
        <f t="shared" si="3"/>
        <v>112778959220.33365</v>
      </c>
      <c r="K13" s="11">
        <f t="shared" si="4"/>
        <v>-4.0000000000000036E-3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12299792.175472872</v>
      </c>
      <c r="D14" s="11">
        <v>-4.4999999999999997E-3</v>
      </c>
      <c r="E14" s="10">
        <f t="shared" si="2"/>
        <v>-55599.261466225609</v>
      </c>
      <c r="F14" s="3"/>
      <c r="G14" s="28"/>
      <c r="H14" s="10"/>
      <c r="I14" s="10">
        <f t="shared" si="5"/>
        <v>9206</v>
      </c>
      <c r="J14" s="10">
        <f t="shared" si="3"/>
        <v>113231886767.40326</v>
      </c>
      <c r="K14" s="11">
        <f t="shared" si="4"/>
        <v>-4.4999999999999485E-3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12355391.436939098</v>
      </c>
      <c r="D15" s="11">
        <v>-4.5999999999999999E-3</v>
      </c>
      <c r="E15" s="10">
        <f t="shared" si="2"/>
        <v>-57097.448874743655</v>
      </c>
      <c r="F15" s="3"/>
      <c r="G15" s="28"/>
      <c r="H15" s="10"/>
      <c r="I15" s="10">
        <f t="shared" si="5"/>
        <v>9206</v>
      </c>
      <c r="J15" s="10">
        <f t="shared" si="3"/>
        <v>113743733568.46133</v>
      </c>
      <c r="K15" s="11">
        <f t="shared" si="4"/>
        <v>-4.6000000000000485E-3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12412488.885813842</v>
      </c>
      <c r="D16" s="11">
        <v>-4.1999999999999997E-3</v>
      </c>
      <c r="E16" s="10">
        <f t="shared" si="2"/>
        <v>-52352.333119519055</v>
      </c>
      <c r="F16" s="3"/>
      <c r="G16" s="28"/>
      <c r="H16" s="10"/>
      <c r="I16" s="10">
        <f t="shared" si="5"/>
        <v>9206</v>
      </c>
      <c r="J16" s="10">
        <f t="shared" si="3"/>
        <v>114269372682.80223</v>
      </c>
      <c r="K16" s="11">
        <f t="shared" si="4"/>
        <v>-4.1999999999998705E-3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12464841.218933361</v>
      </c>
      <c r="D17" s="11">
        <v>-4.1999999999999997E-3</v>
      </c>
      <c r="E17" s="10">
        <f t="shared" si="2"/>
        <v>-52573.140308817849</v>
      </c>
      <c r="F17" s="3"/>
      <c r="G17" s="28"/>
      <c r="H17" s="10"/>
      <c r="I17" s="10">
        <f t="shared" si="5"/>
        <v>9206</v>
      </c>
      <c r="J17" s="10">
        <f t="shared" si="3"/>
        <v>114751328261.50052</v>
      </c>
      <c r="K17" s="11">
        <f t="shared" si="4"/>
        <v>-4.2000000000000925E-3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12517414.359242178</v>
      </c>
      <c r="D18" s="11">
        <v>-3.0999999999999999E-3</v>
      </c>
      <c r="E18" s="10">
        <f t="shared" si="2"/>
        <v>-38924.650931539014</v>
      </c>
      <c r="F18" s="3"/>
      <c r="G18" s="28"/>
      <c r="H18" s="10"/>
      <c r="I18" s="10">
        <f t="shared" si="5"/>
        <v>9206</v>
      </c>
      <c r="J18" s="10">
        <f t="shared" si="3"/>
        <v>115235316591.1835</v>
      </c>
      <c r="K18" s="11">
        <f t="shared" si="4"/>
        <v>-3.0999999999999917E-3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12556339.010173718</v>
      </c>
      <c r="D19" s="11">
        <v>-1.6999999999999999E-3</v>
      </c>
      <c r="E19" s="10">
        <f t="shared" si="2"/>
        <v>-21382.125931378454</v>
      </c>
      <c r="F19" s="3"/>
      <c r="G19" s="28"/>
      <c r="H19" s="10"/>
      <c r="I19" s="10">
        <f t="shared" si="5"/>
        <v>9206</v>
      </c>
      <c r="J19" s="10">
        <f t="shared" si="3"/>
        <v>115593656927.65924</v>
      </c>
      <c r="K19" s="11">
        <f t="shared" si="4"/>
        <v>-1.7000000000000348E-3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12577721.136105096</v>
      </c>
      <c r="D20" s="11">
        <v>-1.6999999999999999E-3</v>
      </c>
      <c r="E20" s="10">
        <f t="shared" si="2"/>
        <v>-21418.537445034832</v>
      </c>
      <c r="F20" s="3"/>
      <c r="G20" s="28"/>
      <c r="H20" s="10"/>
      <c r="I20" s="10">
        <f t="shared" si="5"/>
        <v>9206</v>
      </c>
      <c r="J20" s="10">
        <f t="shared" si="3"/>
        <v>115790500778.98352</v>
      </c>
      <c r="K20" s="11">
        <f t="shared" si="4"/>
        <v>-1.6999999999998128E-3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12599139.673550131</v>
      </c>
      <c r="D21" s="11">
        <v>-1.5E-3</v>
      </c>
      <c r="E21" s="10">
        <f t="shared" si="2"/>
        <v>-18927.100160565227</v>
      </c>
      <c r="F21" s="3"/>
      <c r="G21" s="28"/>
      <c r="H21" s="10"/>
      <c r="I21" s="10">
        <f t="shared" si="5"/>
        <v>9206</v>
      </c>
      <c r="J21" s="10">
        <f t="shared" si="3"/>
        <v>115987679834.7025</v>
      </c>
      <c r="K21" s="11">
        <f t="shared" si="4"/>
        <v>-1.4999999999999458E-3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12618066.773710696</v>
      </c>
      <c r="D22" s="11">
        <v>-2.0000000000000001E-4</v>
      </c>
      <c r="E22" s="10">
        <f t="shared" si="2"/>
        <v>-2524.118178376928</v>
      </c>
      <c r="F22" s="3"/>
      <c r="G22" s="28"/>
      <c r="H22" s="10"/>
      <c r="I22" s="10">
        <f t="shared" si="5"/>
        <v>9206</v>
      </c>
      <c r="J22" s="10">
        <f t="shared" si="3"/>
        <v>116161922718.78067</v>
      </c>
      <c r="K22" s="11">
        <f t="shared" si="4"/>
        <v>-1.9999999999986695E-4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12620590.891889073</v>
      </c>
      <c r="D23" s="11">
        <v>-2.9999999999999997E-4</v>
      </c>
      <c r="E23" s="10">
        <f t="shared" si="2"/>
        <v>-3787.3134616054595</v>
      </c>
      <c r="F23" s="3"/>
      <c r="G23" s="28"/>
      <c r="H23" s="10"/>
      <c r="I23" s="10">
        <f t="shared" si="5"/>
        <v>9206</v>
      </c>
      <c r="J23" s="10">
        <f t="shared" si="3"/>
        <v>116185159750.7308</v>
      </c>
      <c r="K23" s="11">
        <f t="shared" si="4"/>
        <v>-2.9999999999996696E-4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12624378.205350678</v>
      </c>
      <c r="D24" s="11">
        <v>-5.0000000000000001E-4</v>
      </c>
      <c r="E24" s="10">
        <f t="shared" si="2"/>
        <v>-6315.3467760626227</v>
      </c>
      <c r="F24" s="3"/>
      <c r="G24" s="28"/>
      <c r="H24" s="10"/>
      <c r="I24" s="10">
        <f t="shared" si="5"/>
        <v>9206</v>
      </c>
      <c r="J24" s="10">
        <f t="shared" si="3"/>
        <v>116220025758.45834</v>
      </c>
      <c r="K24" s="11">
        <f t="shared" si="4"/>
        <v>-5.0000000000005596E-4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12630693.552126741</v>
      </c>
      <c r="D25" s="11">
        <v>1E-3</v>
      </c>
      <c r="E25" s="10">
        <f t="shared" si="2"/>
        <v>12618.075476648286</v>
      </c>
      <c r="F25" s="3"/>
      <c r="G25" s="28"/>
      <c r="H25" s="10"/>
      <c r="I25" s="10">
        <f t="shared" si="5"/>
        <v>9206</v>
      </c>
      <c r="J25" s="10">
        <f t="shared" si="3"/>
        <v>116278164840.87878</v>
      </c>
      <c r="K25" s="11">
        <f t="shared" si="4"/>
        <v>9.9999999999988987E-4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12618075.476650093</v>
      </c>
      <c r="D26" s="11">
        <v>2.8999999999999998E-3</v>
      </c>
      <c r="E26" s="10">
        <f t="shared" si="2"/>
        <v>36486.607719896361</v>
      </c>
      <c r="F26" s="3"/>
      <c r="G26" s="28"/>
      <c r="H26" s="10"/>
      <c r="I26" s="10">
        <f t="shared" si="5"/>
        <v>9206</v>
      </c>
      <c r="J26" s="10">
        <f t="shared" si="3"/>
        <v>116162002838.04076</v>
      </c>
      <c r="K26" s="11">
        <f t="shared" si="4"/>
        <v>2.8999999999999027E-3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12581588.868930196</v>
      </c>
      <c r="D27" s="11">
        <v>1.6999999999999999E-3</v>
      </c>
      <c r="E27" s="10">
        <f t="shared" si="2"/>
        <v>21352.401993792504</v>
      </c>
      <c r="F27" s="3"/>
      <c r="G27" s="28"/>
      <c r="H27" s="10"/>
      <c r="I27" s="10">
        <f t="shared" si="5"/>
        <v>9206</v>
      </c>
      <c r="J27" s="10">
        <f t="shared" si="3"/>
        <v>115826107127.37138</v>
      </c>
      <c r="K27" s="11">
        <f t="shared" si="4"/>
        <v>1.7000000000000348E-3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12560236.466936404</v>
      </c>
      <c r="D28" s="11">
        <v>5.8999999999999999E-3</v>
      </c>
      <c r="E28" s="10">
        <f t="shared" si="2"/>
        <v>73670.737801894546</v>
      </c>
      <c r="F28" s="3"/>
      <c r="G28" s="28"/>
      <c r="H28" s="10"/>
      <c r="I28" s="10">
        <f t="shared" si="5"/>
        <v>9206</v>
      </c>
      <c r="J28" s="10">
        <f t="shared" si="3"/>
        <v>115629536914.61653</v>
      </c>
      <c r="K28" s="11">
        <f t="shared" si="4"/>
        <v>5.9000000000000163E-3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12486565.729134509</v>
      </c>
      <c r="D29" s="11">
        <v>6.4999999999999997E-3</v>
      </c>
      <c r="E29" s="10">
        <f t="shared" si="2"/>
        <v>80638.526815075427</v>
      </c>
      <c r="F29" s="3"/>
      <c r="G29" s="28"/>
      <c r="H29" s="10"/>
      <c r="I29" s="10">
        <f t="shared" si="5"/>
        <v>9206</v>
      </c>
      <c r="J29" s="10">
        <f t="shared" si="3"/>
        <v>114951324102.41229</v>
      </c>
      <c r="K29" s="11">
        <f t="shared" si="4"/>
        <v>6.4999999999999503E-3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12405927.202319434</v>
      </c>
      <c r="D30" s="12">
        <v>7.0000000000000001E-3</v>
      </c>
      <c r="E30" s="10">
        <f t="shared" si="2"/>
        <v>86237.825636778027</v>
      </c>
      <c r="F30" s="3"/>
      <c r="G30" s="28"/>
      <c r="H30" s="10"/>
      <c r="I30" s="10">
        <f t="shared" si="5"/>
        <v>9206</v>
      </c>
      <c r="J30" s="10">
        <f t="shared" si="3"/>
        <v>114208965824.5527</v>
      </c>
      <c r="K30" s="11">
        <f t="shared" si="4"/>
        <v>6.9999999999998952E-3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12319689.376682656</v>
      </c>
      <c r="D31" s="13">
        <v>7.1999999999999998E-3</v>
      </c>
      <c r="E31" s="10">
        <f t="shared" si="2"/>
        <v>88067.676243165508</v>
      </c>
      <c r="F31" s="3"/>
      <c r="G31" s="28"/>
      <c r="H31" s="10"/>
      <c r="I31" s="10">
        <f t="shared" si="5"/>
        <v>9206</v>
      </c>
      <c r="J31" s="10">
        <f t="shared" si="3"/>
        <v>113415060401.74052</v>
      </c>
      <c r="K31" s="11">
        <f t="shared" si="4"/>
        <v>7.2000000000000952E-3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12231621.70043949</v>
      </c>
      <c r="D32" s="12">
        <v>7.7999999999999996E-3</v>
      </c>
      <c r="E32" s="10">
        <f t="shared" si="2"/>
        <v>94668.237014712766</v>
      </c>
      <c r="F32" s="3"/>
      <c r="G32" s="28"/>
      <c r="H32" s="10"/>
      <c r="I32" s="10">
        <f t="shared" si="5"/>
        <v>9206</v>
      </c>
      <c r="J32" s="10">
        <f t="shared" si="3"/>
        <v>112604309374.24594</v>
      </c>
      <c r="K32" s="11">
        <f t="shared" si="4"/>
        <v>7.8000000000000291E-3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12136953.463424778</v>
      </c>
      <c r="D33" s="13">
        <v>7.6E-3</v>
      </c>
      <c r="E33" s="10">
        <f t="shared" si="2"/>
        <v>91545.103535162285</v>
      </c>
      <c r="F33" s="3"/>
      <c r="G33" s="28"/>
      <c r="H33" s="10"/>
      <c r="I33" s="10">
        <f t="shared" si="5"/>
        <v>9206</v>
      </c>
      <c r="J33" s="10">
        <f t="shared" si="3"/>
        <v>111732793584.2885</v>
      </c>
      <c r="K33" s="11">
        <f t="shared" si="4"/>
        <v>7.6000000000000512E-3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12045408.359889615</v>
      </c>
      <c r="D34" s="12">
        <v>6.0000000000000001E-3</v>
      </c>
      <c r="E34" s="10">
        <f t="shared" si="2"/>
        <v>71841.401748845354</v>
      </c>
      <c r="F34" s="3"/>
      <c r="G34" s="28"/>
      <c r="H34" s="10"/>
      <c r="I34" s="10">
        <f t="shared" si="5"/>
        <v>9206</v>
      </c>
      <c r="J34" s="10">
        <f t="shared" ref="J34:J65" si="6">IF(I34="","",I34*C34)</f>
        <v>110890029361.1438</v>
      </c>
      <c r="K34" s="11">
        <f t="shared" ref="K34:K65" si="7">IFERROR(J34/J35-1,"")</f>
        <v>6.0000000000002274E-3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11973566.95814077</v>
      </c>
      <c r="D35" s="11">
        <v>6.3E-3</v>
      </c>
      <c r="E35" s="10">
        <f t="shared" si="2"/>
        <v>74961.216174388304</v>
      </c>
      <c r="F35" s="3"/>
      <c r="G35" s="28"/>
      <c r="H35" s="10"/>
      <c r="I35" s="10">
        <f t="shared" ref="I35:I66" si="8">IF(H35&lt;&gt;"",H35,I34/(1+IF(G34="",0,G34)/100))</f>
        <v>9206</v>
      </c>
      <c r="J35" s="10">
        <f t="shared" si="6"/>
        <v>110228657416.64392</v>
      </c>
      <c r="K35" s="11">
        <f t="shared" si="7"/>
        <v>6.2999999999999723E-3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11898605.741966382</v>
      </c>
      <c r="D36" s="11">
        <v>6.7000000000000002E-3</v>
      </c>
      <c r="E36" s="10">
        <f t="shared" si="2"/>
        <v>79190.084902327508</v>
      </c>
      <c r="F36" s="3"/>
      <c r="G36" s="28"/>
      <c r="H36" s="10"/>
      <c r="I36" s="10">
        <f t="shared" si="8"/>
        <v>9206</v>
      </c>
      <c r="J36" s="10">
        <f t="shared" si="6"/>
        <v>109538564460.54251</v>
      </c>
      <c r="K36" s="11">
        <f t="shared" si="7"/>
        <v>6.6999999999999282E-3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11819415.657064054</v>
      </c>
      <c r="D37" s="11">
        <v>7.1000000000000004E-3</v>
      </c>
      <c r="E37" s="10">
        <f t="shared" si="2"/>
        <v>83326.23489738442</v>
      </c>
      <c r="F37" s="3"/>
      <c r="G37" s="28"/>
      <c r="H37" s="10"/>
      <c r="I37" s="10">
        <f t="shared" si="8"/>
        <v>9206</v>
      </c>
      <c r="J37" s="10">
        <f t="shared" si="6"/>
        <v>108809540538.93169</v>
      </c>
      <c r="K37" s="11">
        <f t="shared" si="7"/>
        <v>7.1000000000001062E-3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11736089.42216667</v>
      </c>
      <c r="D38" s="11">
        <v>7.0000000000000001E-3</v>
      </c>
      <c r="E38" s="10">
        <f t="shared" si="2"/>
        <v>81581.555069677532</v>
      </c>
      <c r="F38" s="3"/>
      <c r="G38" s="28"/>
      <c r="H38" s="10"/>
      <c r="I38" s="10">
        <f t="shared" si="8"/>
        <v>9206</v>
      </c>
      <c r="J38" s="10">
        <f t="shared" si="6"/>
        <v>108042439220.46635</v>
      </c>
      <c r="K38" s="11">
        <f t="shared" si="7"/>
        <v>6.9999999999998952E-3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11654507.867096992</v>
      </c>
      <c r="D39" s="11">
        <v>7.0000000000000001E-3</v>
      </c>
      <c r="E39" s="10">
        <f t="shared" si="2"/>
        <v>81014.453892430291</v>
      </c>
      <c r="F39" s="3"/>
      <c r="G39" s="28"/>
      <c r="H39" s="10"/>
      <c r="I39" s="10">
        <f t="shared" si="8"/>
        <v>9206</v>
      </c>
      <c r="J39" s="10">
        <f t="shared" si="6"/>
        <v>107291399424.4949</v>
      </c>
      <c r="K39" s="11">
        <f t="shared" si="7"/>
        <v>6.9999999999998952E-3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11573493.413204562</v>
      </c>
      <c r="D40" s="11">
        <v>7.0000000000000001E-3</v>
      </c>
      <c r="E40" s="10">
        <f t="shared" si="2"/>
        <v>80451.294828630984</v>
      </c>
      <c r="F40" s="3"/>
      <c r="G40" s="28"/>
      <c r="H40" s="10"/>
      <c r="I40" s="10">
        <f t="shared" si="8"/>
        <v>9206</v>
      </c>
      <c r="J40" s="10">
        <f t="shared" si="6"/>
        <v>106545580361.9612</v>
      </c>
      <c r="K40" s="11">
        <f t="shared" si="7"/>
        <v>7.0000000000001172E-3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11493042.118375931</v>
      </c>
      <c r="D41" s="11">
        <v>7.0000000000000001E-3</v>
      </c>
      <c r="E41" s="10">
        <f t="shared" si="2"/>
        <v>79892.050475303084</v>
      </c>
      <c r="F41" s="3"/>
      <c r="G41" s="28"/>
      <c r="H41" s="10"/>
      <c r="I41" s="10">
        <f t="shared" si="8"/>
        <v>9206</v>
      </c>
      <c r="J41" s="10">
        <f t="shared" si="6"/>
        <v>105804945741.76881</v>
      </c>
      <c r="K41" s="11">
        <f t="shared" si="7"/>
        <v>6.9999999999996732E-3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11413150.067900628</v>
      </c>
      <c r="D42" s="11">
        <v>5.7000000000000002E-3</v>
      </c>
      <c r="E42" s="10">
        <f t="shared" si="2"/>
        <v>64686.24379738979</v>
      </c>
      <c r="F42" s="3"/>
      <c r="G42" s="28"/>
      <c r="H42" s="10"/>
      <c r="I42" s="10">
        <f t="shared" si="8"/>
        <v>9206</v>
      </c>
      <c r="J42" s="10">
        <f t="shared" si="6"/>
        <v>105069459525.09319</v>
      </c>
      <c r="K42" s="11">
        <f t="shared" si="7"/>
        <v>5.7000000000000384E-3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11348463.824103238</v>
      </c>
      <c r="D43" s="11">
        <v>5.7000000000000002E-3</v>
      </c>
      <c r="E43" s="10">
        <f t="shared" si="2"/>
        <v>64319.621952261776</v>
      </c>
      <c r="F43" s="3"/>
      <c r="G43" s="28"/>
      <c r="H43" s="10"/>
      <c r="I43" s="10">
        <f t="shared" si="8"/>
        <v>9206</v>
      </c>
      <c r="J43" s="10">
        <f t="shared" si="6"/>
        <v>104473957964.69441</v>
      </c>
      <c r="K43" s="11">
        <f t="shared" si="7"/>
        <v>5.7000000000000384E-3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11284144.202150976</v>
      </c>
      <c r="D44" s="11">
        <v>5.7000000000000002E-3</v>
      </c>
      <c r="E44" s="10">
        <f t="shared" si="2"/>
        <v>63955.078007617965</v>
      </c>
      <c r="F44" s="3"/>
      <c r="G44" s="28"/>
      <c r="H44" s="10"/>
      <c r="I44" s="10">
        <f t="shared" si="8"/>
        <v>9206</v>
      </c>
      <c r="J44" s="10">
        <f t="shared" si="6"/>
        <v>103881831525.00189</v>
      </c>
      <c r="K44" s="11">
        <f t="shared" si="7"/>
        <v>5.7000000000000384E-3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11220189.124143358</v>
      </c>
      <c r="D45" s="11">
        <v>5.7000000000000002E-3</v>
      </c>
      <c r="E45" s="10">
        <f t="shared" si="2"/>
        <v>63592.600186554715</v>
      </c>
      <c r="F45" s="3"/>
      <c r="G45" s="28"/>
      <c r="H45" s="10"/>
      <c r="I45" s="10">
        <f t="shared" si="8"/>
        <v>9206</v>
      </c>
      <c r="J45" s="10">
        <f t="shared" si="6"/>
        <v>103293061076.86375</v>
      </c>
      <c r="K45" s="11">
        <f t="shared" si="7"/>
        <v>5.7000000000000384E-3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11156596.523956804</v>
      </c>
      <c r="D46" s="11">
        <v>5.7000000000000002E-3</v>
      </c>
      <c r="E46" s="10">
        <f t="shared" si="2"/>
        <v>63232.176778914407</v>
      </c>
      <c r="F46" s="3"/>
      <c r="G46" s="28"/>
      <c r="H46" s="10"/>
      <c r="I46" s="10">
        <f t="shared" si="8"/>
        <v>9206</v>
      </c>
      <c r="J46" s="10">
        <f t="shared" si="6"/>
        <v>102707627599.54634</v>
      </c>
      <c r="K46" s="11">
        <f t="shared" si="7"/>
        <v>5.7000000000000384E-3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11093364.347177889</v>
      </c>
      <c r="D47" s="11">
        <v>5.7000000000000002E-3</v>
      </c>
      <c r="E47" s="10">
        <f t="shared" si="2"/>
        <v>62873.796140911058</v>
      </c>
      <c r="F47" s="3"/>
      <c r="G47" s="28"/>
      <c r="H47" s="10"/>
      <c r="I47" s="10">
        <f t="shared" si="8"/>
        <v>9206</v>
      </c>
      <c r="J47" s="10">
        <f t="shared" si="6"/>
        <v>102125512180.11964</v>
      </c>
      <c r="K47" s="11">
        <f t="shared" si="7"/>
        <v>5.7000000000000384E-3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11030490.551036978</v>
      </c>
      <c r="D48" s="11">
        <v>5.7000000000000002E-3</v>
      </c>
      <c r="E48" s="10">
        <f t="shared" si="2"/>
        <v>62517.446694750339</v>
      </c>
      <c r="F48" s="3"/>
      <c r="G48" s="28"/>
      <c r="H48" s="10"/>
      <c r="I48" s="10">
        <f t="shared" si="8"/>
        <v>9206</v>
      </c>
      <c r="J48" s="10">
        <f t="shared" si="6"/>
        <v>101546696012.84642</v>
      </c>
      <c r="K48" s="11">
        <f t="shared" si="7"/>
        <v>5.6999999999998163E-3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10967973.104342228</v>
      </c>
      <c r="D49" s="11">
        <v>5.7000000000000002E-3</v>
      </c>
      <c r="E49" s="10">
        <f t="shared" si="2"/>
        <v>62163.116928260773</v>
      </c>
      <c r="F49" s="3"/>
      <c r="G49" s="28"/>
      <c r="H49" s="10"/>
      <c r="I49" s="10">
        <f t="shared" si="8"/>
        <v>9206</v>
      </c>
      <c r="J49" s="10">
        <f t="shared" si="6"/>
        <v>100971160398.57455</v>
      </c>
      <c r="K49" s="11">
        <f t="shared" si="7"/>
        <v>5.7000000000002604E-3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10905809.987413967</v>
      </c>
      <c r="D50" s="11">
        <v>5.7000000000000002E-3</v>
      </c>
      <c r="E50" s="10">
        <f t="shared" si="2"/>
        <v>61810.795394511893</v>
      </c>
      <c r="F50" s="3"/>
      <c r="G50" s="28"/>
      <c r="H50" s="10"/>
      <c r="I50" s="10">
        <f t="shared" si="8"/>
        <v>9206</v>
      </c>
      <c r="J50" s="10">
        <f t="shared" si="6"/>
        <v>100398886744.13298</v>
      </c>
      <c r="K50" s="11">
        <f t="shared" si="7"/>
        <v>5.7000000000000384E-3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10843999.192019455</v>
      </c>
      <c r="D51" s="11">
        <v>5.7000000000000002E-3</v>
      </c>
      <c r="E51" s="10">
        <f t="shared" si="2"/>
        <v>61460.470711456612</v>
      </c>
      <c r="F51" s="3"/>
      <c r="G51" s="28"/>
      <c r="H51" s="10"/>
      <c r="I51" s="10">
        <f t="shared" si="8"/>
        <v>9206</v>
      </c>
      <c r="J51" s="10">
        <f t="shared" si="6"/>
        <v>99829856561.73111</v>
      </c>
      <c r="K51" s="11">
        <f t="shared" si="7"/>
        <v>5.7000000000000384E-3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10782538.721307999</v>
      </c>
      <c r="D52" s="11">
        <v>1.11E-2</v>
      </c>
      <c r="E52" s="10">
        <f t="shared" si="2"/>
        <v>118372.24785532616</v>
      </c>
      <c r="F52" s="3"/>
      <c r="G52" s="28"/>
      <c r="H52" s="10"/>
      <c r="I52" s="10">
        <f t="shared" si="8"/>
        <v>9206</v>
      </c>
      <c r="J52" s="10">
        <f t="shared" si="6"/>
        <v>99264051468.361435</v>
      </c>
      <c r="K52" s="11">
        <f t="shared" si="7"/>
        <v>1.110000000000011E-2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10664166.473452672</v>
      </c>
      <c r="D53" s="11">
        <v>1.11E-2</v>
      </c>
      <c r="E53" s="10">
        <f t="shared" si="2"/>
        <v>117072.74043648131</v>
      </c>
      <c r="F53" s="3"/>
      <c r="G53" s="28"/>
      <c r="H53" s="10"/>
      <c r="I53" s="10">
        <f t="shared" si="8"/>
        <v>9206</v>
      </c>
      <c r="J53" s="10">
        <f t="shared" si="6"/>
        <v>98174316554.605301</v>
      </c>
      <c r="K53" s="11">
        <f t="shared" si="7"/>
        <v>1.110000000000011E-2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10547093.733016191</v>
      </c>
      <c r="D54" s="11">
        <v>1.11E-2</v>
      </c>
      <c r="E54" s="10">
        <f t="shared" si="2"/>
        <v>115787.4991954118</v>
      </c>
      <c r="F54" s="3"/>
      <c r="G54" s="28"/>
      <c r="H54" s="10"/>
      <c r="I54" s="10">
        <f t="shared" si="8"/>
        <v>9206</v>
      </c>
      <c r="J54" s="10">
        <f t="shared" si="6"/>
        <v>97096544906.147049</v>
      </c>
      <c r="K54" s="11">
        <f t="shared" si="7"/>
        <v>1.110000000000011E-2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10431306.233820779</v>
      </c>
      <c r="D55" s="11">
        <v>1.11E-2</v>
      </c>
      <c r="E55" s="10">
        <f t="shared" si="2"/>
        <v>114516.36751598492</v>
      </c>
      <c r="F55" s="3"/>
      <c r="G55" s="28"/>
      <c r="H55" s="10"/>
      <c r="I55" s="10">
        <f t="shared" si="8"/>
        <v>9206</v>
      </c>
      <c r="J55" s="10">
        <f t="shared" si="6"/>
        <v>96030605188.554092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10316789.866304794</v>
      </c>
      <c r="D56" s="11">
        <v>1.11E-2</v>
      </c>
      <c r="E56" s="10">
        <f t="shared" si="2"/>
        <v>113259.19050141796</v>
      </c>
      <c r="F56" s="3"/>
      <c r="G56" s="28"/>
      <c r="H56" s="10"/>
      <c r="I56" s="10">
        <f t="shared" si="8"/>
        <v>9206</v>
      </c>
      <c r="J56" s="10">
        <f t="shared" si="6"/>
        <v>94976367509.201935</v>
      </c>
      <c r="K56" s="11">
        <f t="shared" si="7"/>
        <v>1.110000000000011E-2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10203530.675803376</v>
      </c>
      <c r="D57" s="11">
        <v>1.2E-2</v>
      </c>
      <c r="E57" s="10">
        <f t="shared" si="2"/>
        <v>120990.48232178017</v>
      </c>
      <c r="F57" s="3"/>
      <c r="G57" s="28"/>
      <c r="H57" s="10"/>
      <c r="I57" s="10">
        <f t="shared" si="8"/>
        <v>9206</v>
      </c>
      <c r="J57" s="10">
        <f t="shared" si="6"/>
        <v>93933703401.445877</v>
      </c>
      <c r="K57" s="11">
        <f t="shared" si="7"/>
        <v>1.2000000000000011E-2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10082540.193481596</v>
      </c>
      <c r="D58" s="11">
        <v>1.2E-2</v>
      </c>
      <c r="E58" s="10">
        <f t="shared" si="2"/>
        <v>119555.81257092766</v>
      </c>
      <c r="F58" s="3"/>
      <c r="G58" s="28"/>
      <c r="H58" s="10"/>
      <c r="I58" s="10">
        <f t="shared" si="8"/>
        <v>9206</v>
      </c>
      <c r="J58" s="10">
        <f t="shared" si="6"/>
        <v>92819865021.191574</v>
      </c>
      <c r="K58" s="11">
        <f t="shared" si="7"/>
        <v>1.1999999999999789E-2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9962984.3809106685</v>
      </c>
      <c r="D59" s="11">
        <v>1.2999999999999999E-2</v>
      </c>
      <c r="E59" s="10">
        <f t="shared" si="2"/>
        <v>127856.66036706604</v>
      </c>
      <c r="F59" s="3"/>
      <c r="G59" s="28"/>
      <c r="H59" s="10"/>
      <c r="I59" s="10">
        <f t="shared" si="8"/>
        <v>9206</v>
      </c>
      <c r="J59" s="10">
        <f t="shared" si="6"/>
        <v>91719234210.66362</v>
      </c>
      <c r="K59" s="11">
        <f t="shared" si="7"/>
        <v>1.2999999999999901E-2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9835127.7205436025</v>
      </c>
      <c r="D60" s="11">
        <v>1.4E-2</v>
      </c>
      <c r="E60" s="10">
        <f t="shared" si="2"/>
        <v>135790.71803511865</v>
      </c>
      <c r="F60" s="3"/>
      <c r="G60" s="28"/>
      <c r="H60" s="10"/>
      <c r="I60" s="10">
        <f t="shared" si="8"/>
        <v>9206</v>
      </c>
      <c r="J60" s="10">
        <f t="shared" si="6"/>
        <v>90542185795.324402</v>
      </c>
      <c r="K60" s="11">
        <f t="shared" si="7"/>
        <v>1.399999999999979E-2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9699337.0025084838</v>
      </c>
      <c r="D61" s="11">
        <v>1.4999999999999999E-2</v>
      </c>
      <c r="E61" s="10">
        <f t="shared" si="2"/>
        <v>143339.95570209436</v>
      </c>
      <c r="F61" s="3"/>
      <c r="G61" s="28"/>
      <c r="H61" s="10"/>
      <c r="I61" s="10">
        <f t="shared" si="8"/>
        <v>9206</v>
      </c>
      <c r="J61" s="10">
        <f t="shared" si="6"/>
        <v>89292096445.093109</v>
      </c>
      <c r="K61" s="11">
        <f t="shared" si="7"/>
        <v>1.4999999999999902E-2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9555997.0468063895</v>
      </c>
      <c r="D62" s="11">
        <v>1.4999999999999999E-2</v>
      </c>
      <c r="E62" s="10">
        <f t="shared" si="2"/>
        <v>141221.63123359159</v>
      </c>
      <c r="F62" s="3"/>
      <c r="G62" s="28"/>
      <c r="H62" s="10"/>
      <c r="I62" s="10">
        <f t="shared" si="8"/>
        <v>9206</v>
      </c>
      <c r="J62" s="10">
        <f t="shared" si="6"/>
        <v>87972508812.899628</v>
      </c>
      <c r="K62" s="11">
        <f t="shared" si="7"/>
        <v>1.4999999999999902E-2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9414775.4155727979</v>
      </c>
      <c r="D63" s="11">
        <v>1.4999999999999999E-2</v>
      </c>
      <c r="E63" s="10">
        <f t="shared" si="2"/>
        <v>139134.61205279827</v>
      </c>
      <c r="F63" s="3"/>
      <c r="G63" s="28"/>
      <c r="H63" s="10"/>
      <c r="I63" s="10">
        <f t="shared" si="8"/>
        <v>9206</v>
      </c>
      <c r="J63" s="10">
        <f t="shared" si="6"/>
        <v>86672422475.763184</v>
      </c>
      <c r="K63" s="11">
        <f t="shared" si="7"/>
        <v>1.4999999999999902E-2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9275640.8035199996</v>
      </c>
      <c r="D64" s="11">
        <v>1.4999999999999999E-2</v>
      </c>
      <c r="E64" s="10">
        <f t="shared" si="2"/>
        <v>137078.43551999889</v>
      </c>
      <c r="F64" s="3"/>
      <c r="G64" s="28"/>
      <c r="H64" s="10"/>
      <c r="I64" s="10">
        <f t="shared" si="8"/>
        <v>9206</v>
      </c>
      <c r="J64" s="10">
        <f t="shared" si="6"/>
        <v>85391549237.205124</v>
      </c>
      <c r="K64" s="11">
        <f t="shared" si="7"/>
        <v>1.4999999999999902E-2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9138562.3680000007</v>
      </c>
      <c r="D65" s="11">
        <v>1.6E-2</v>
      </c>
      <c r="E65" s="10">
        <f t="shared" si="2"/>
        <v>143914.36800000072</v>
      </c>
      <c r="F65" s="3"/>
      <c r="G65" s="28"/>
      <c r="H65" s="10"/>
      <c r="I65" s="10">
        <f t="shared" si="8"/>
        <v>9206</v>
      </c>
      <c r="J65" s="10">
        <f t="shared" si="6"/>
        <v>84129605159.808014</v>
      </c>
      <c r="K65" s="11">
        <f t="shared" si="7"/>
        <v>1.6000000000000236E-2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8994648</v>
      </c>
      <c r="D66" s="11">
        <v>1.6E-2</v>
      </c>
      <c r="E66" s="10">
        <f t="shared" si="2"/>
        <v>141648</v>
      </c>
      <c r="F66" s="3"/>
      <c r="G66" s="28"/>
      <c r="H66" s="10"/>
      <c r="I66" s="10">
        <f t="shared" si="8"/>
        <v>9206</v>
      </c>
      <c r="J66" s="10">
        <f t="shared" ref="J66:J67" si="9">IF(I66="","",I66*C66)</f>
        <v>82804729488</v>
      </c>
      <c r="K66" s="11">
        <f t="shared" ref="K66" si="10">IFERROR(J66/J67-1,"")</f>
        <v>1.6000000000000014E-2</v>
      </c>
    </row>
    <row r="67" spans="1:11" ht="22.5" customHeight="1">
      <c r="A67" s="3">
        <f t="shared" si="0"/>
        <v>1950</v>
      </c>
      <c r="B67" s="3">
        <v>1700</v>
      </c>
      <c r="C67" s="10">
        <v>8853000</v>
      </c>
      <c r="D67" s="11">
        <v>1.6E-2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9206</v>
      </c>
      <c r="J67" s="10">
        <f t="shared" si="9"/>
        <v>81500718000</v>
      </c>
      <c r="K67" s="11"/>
    </row>
  </sheetData>
  <dataValidations count="1">
    <dataValidation type="custom" allowBlank="1" showDropDown="1" sqref="D2:D67" xr:uid="{00000000-0002-0000-2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31747301.151105549</v>
      </c>
      <c r="D2" s="11">
        <v>1.0999999999999999E-2</v>
      </c>
      <c r="E2" s="10">
        <f t="shared" ref="E2:E66" si="2">SUM(C2-C3)</f>
        <v>345420.68512577564</v>
      </c>
      <c r="F2" s="15">
        <v>31745420</v>
      </c>
      <c r="G2" s="28"/>
      <c r="H2" s="10"/>
      <c r="I2" s="10">
        <f>IF(H2&lt;&gt;"",H2,10794)</f>
        <v>10794</v>
      </c>
      <c r="J2" s="10">
        <f t="shared" ref="J2:J33" si="3">IF(I2="","",I2*C2)</f>
        <v>342680368625.03333</v>
      </c>
      <c r="K2" s="11">
        <f t="shared" ref="K2:K33" si="4">IFERROR(J2/J3-1,"")</f>
        <v>1.0999999999999899E-2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31401880.465979774</v>
      </c>
      <c r="D3" s="11">
        <v>1.15E-2</v>
      </c>
      <c r="E3" s="10">
        <f t="shared" si="2"/>
        <v>357015.9420254752</v>
      </c>
      <c r="F3" s="19" t="s">
        <v>74</v>
      </c>
      <c r="G3" s="28"/>
      <c r="H3" s="10"/>
      <c r="I3" s="10">
        <f t="shared" ref="I3:I34" si="5">IF(H3&lt;&gt;"",H3,I2/(1+IF(G2="",0,G2)/100))</f>
        <v>10794</v>
      </c>
      <c r="J3" s="10">
        <f t="shared" si="3"/>
        <v>338951897749.78571</v>
      </c>
      <c r="K3" s="11">
        <f t="shared" si="4"/>
        <v>1.1500000000000066E-2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31044864.523954298</v>
      </c>
      <c r="D4" s="11">
        <v>1.2E-2</v>
      </c>
      <c r="E4" s="10">
        <f t="shared" si="2"/>
        <v>368120.9232089445</v>
      </c>
      <c r="F4" s="3"/>
      <c r="G4" s="28"/>
      <c r="H4" s="10"/>
      <c r="I4" s="10">
        <f t="shared" si="5"/>
        <v>10794</v>
      </c>
      <c r="J4" s="10">
        <f t="shared" si="3"/>
        <v>335098267671.56268</v>
      </c>
      <c r="K4" s="11">
        <f t="shared" si="4"/>
        <v>1.1999999999999789E-2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30676743.600745354</v>
      </c>
      <c r="D5" s="11">
        <v>1.26E-2</v>
      </c>
      <c r="E5" s="10">
        <f t="shared" si="2"/>
        <v>381717.33099880442</v>
      </c>
      <c r="F5" s="3"/>
      <c r="G5" s="28"/>
      <c r="H5" s="10"/>
      <c r="I5" s="10">
        <f t="shared" si="5"/>
        <v>10794</v>
      </c>
      <c r="J5" s="10">
        <f t="shared" si="3"/>
        <v>331124770426.44537</v>
      </c>
      <c r="K5" s="11">
        <f t="shared" si="4"/>
        <v>1.2600000000000167E-2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30295026.269746549</v>
      </c>
      <c r="D6" s="11">
        <v>1.29E-2</v>
      </c>
      <c r="E6" s="10">
        <f t="shared" si="2"/>
        <v>385828.64930370823</v>
      </c>
      <c r="F6" s="3"/>
      <c r="G6" s="28"/>
      <c r="H6" s="10"/>
      <c r="I6" s="10">
        <f t="shared" si="5"/>
        <v>10794</v>
      </c>
      <c r="J6" s="10">
        <f t="shared" si="3"/>
        <v>327004513555.64423</v>
      </c>
      <c r="K6" s="11">
        <f t="shared" si="4"/>
        <v>1.2899999999999912E-2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29909197.620442841</v>
      </c>
      <c r="D7" s="11">
        <v>1.2800000000000001E-2</v>
      </c>
      <c r="E7" s="10">
        <f t="shared" si="2"/>
        <v>377999.33801507205</v>
      </c>
      <c r="F7" s="3"/>
      <c r="G7" s="28"/>
      <c r="H7" s="10"/>
      <c r="I7" s="10">
        <f t="shared" si="5"/>
        <v>10794</v>
      </c>
      <c r="J7" s="10">
        <f t="shared" si="3"/>
        <v>322839879115.06</v>
      </c>
      <c r="K7" s="11">
        <f t="shared" si="4"/>
        <v>1.2799999999999923E-2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29531198.282427769</v>
      </c>
      <c r="D8" s="11">
        <v>1.2999999999999999E-2</v>
      </c>
      <c r="E8" s="10">
        <f t="shared" si="2"/>
        <v>378978.85258791596</v>
      </c>
      <c r="F8" s="3"/>
      <c r="G8" s="28"/>
      <c r="H8" s="10"/>
      <c r="I8" s="10">
        <f t="shared" si="5"/>
        <v>10794</v>
      </c>
      <c r="J8" s="10">
        <f t="shared" si="3"/>
        <v>318759754260.52533</v>
      </c>
      <c r="K8" s="11">
        <f t="shared" si="4"/>
        <v>1.2999999999999901E-2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29152219.429839853</v>
      </c>
      <c r="D9" s="11">
        <v>1.3299999999999999E-2</v>
      </c>
      <c r="E9" s="10">
        <f t="shared" si="2"/>
        <v>382635.46670963615</v>
      </c>
      <c r="F9" s="3"/>
      <c r="G9" s="28"/>
      <c r="H9" s="10"/>
      <c r="I9" s="10">
        <f t="shared" si="5"/>
        <v>10794</v>
      </c>
      <c r="J9" s="10">
        <f t="shared" si="3"/>
        <v>314669056525.69135</v>
      </c>
      <c r="K9" s="11">
        <f t="shared" si="4"/>
        <v>1.3299999999999867E-2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28769583.963130217</v>
      </c>
      <c r="D10" s="11">
        <v>1.3599999999999999E-2</v>
      </c>
      <c r="E10" s="10">
        <f t="shared" si="2"/>
        <v>386016.517263785</v>
      </c>
      <c r="F10" s="3"/>
      <c r="G10" s="28"/>
      <c r="H10" s="10"/>
      <c r="I10" s="10">
        <f t="shared" si="5"/>
        <v>10794</v>
      </c>
      <c r="J10" s="10">
        <f t="shared" si="3"/>
        <v>310538889298.02759</v>
      </c>
      <c r="K10" s="11">
        <f t="shared" si="4"/>
        <v>1.3600000000000279E-2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28383567.445866432</v>
      </c>
      <c r="D11" s="11">
        <v>1.35E-2</v>
      </c>
      <c r="E11" s="10">
        <f t="shared" si="2"/>
        <v>378074.1593677327</v>
      </c>
      <c r="F11" s="3"/>
      <c r="G11" s="28"/>
      <c r="H11" s="10"/>
      <c r="I11" s="10">
        <f t="shared" si="5"/>
        <v>10794</v>
      </c>
      <c r="J11" s="10">
        <f t="shared" si="3"/>
        <v>306372227010.68225</v>
      </c>
      <c r="K11" s="11">
        <f t="shared" si="4"/>
        <v>1.3499999999999845E-2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28005493.286498699</v>
      </c>
      <c r="D12" s="11">
        <v>1.34E-2</v>
      </c>
      <c r="E12" s="10">
        <f t="shared" si="2"/>
        <v>370311.4367861487</v>
      </c>
      <c r="F12" s="3"/>
      <c r="G12" s="28"/>
      <c r="H12" s="10"/>
      <c r="I12" s="10">
        <f t="shared" si="5"/>
        <v>10794</v>
      </c>
      <c r="J12" s="10">
        <f t="shared" si="3"/>
        <v>302291294534.46698</v>
      </c>
      <c r="K12" s="11">
        <f t="shared" si="4"/>
        <v>1.3400000000000079E-2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27635181.849712551</v>
      </c>
      <c r="D13" s="11">
        <v>1.2699999999999999E-2</v>
      </c>
      <c r="E13" s="10">
        <f t="shared" si="2"/>
        <v>346565.42854877934</v>
      </c>
      <c r="F13" s="3"/>
      <c r="G13" s="28"/>
      <c r="H13" s="10"/>
      <c r="I13" s="10">
        <f t="shared" si="5"/>
        <v>10794</v>
      </c>
      <c r="J13" s="10">
        <f t="shared" si="3"/>
        <v>298294152885.79724</v>
      </c>
      <c r="K13" s="11">
        <f t="shared" si="4"/>
        <v>1.2699999999999934E-2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27288616.421163771</v>
      </c>
      <c r="D14" s="11">
        <v>1.37E-2</v>
      </c>
      <c r="E14" s="10">
        <f t="shared" si="2"/>
        <v>368801.46490080282</v>
      </c>
      <c r="F14" s="3"/>
      <c r="G14" s="28"/>
      <c r="H14" s="10"/>
      <c r="I14" s="10">
        <f t="shared" si="5"/>
        <v>10794</v>
      </c>
      <c r="J14" s="10">
        <f t="shared" si="3"/>
        <v>294553325650.04175</v>
      </c>
      <c r="K14" s="11">
        <f t="shared" si="4"/>
        <v>1.3700000000000045E-2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26919814.956262968</v>
      </c>
      <c r="D15" s="11">
        <v>1.3899999999999999E-2</v>
      </c>
      <c r="E15" s="10">
        <f t="shared" si="2"/>
        <v>369055.55566826835</v>
      </c>
      <c r="F15" s="3"/>
      <c r="G15" s="28"/>
      <c r="H15" s="10"/>
      <c r="I15" s="10">
        <f t="shared" si="5"/>
        <v>10794</v>
      </c>
      <c r="J15" s="10">
        <f t="shared" si="3"/>
        <v>290572482637.90247</v>
      </c>
      <c r="K15" s="11">
        <f t="shared" si="4"/>
        <v>1.3900000000000023E-2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26550759.4005947</v>
      </c>
      <c r="D16" s="11">
        <v>1.4200000000000001E-2</v>
      </c>
      <c r="E16" s="10">
        <f t="shared" si="2"/>
        <v>371742.04642914981</v>
      </c>
      <c r="F16" s="3"/>
      <c r="G16" s="28"/>
      <c r="H16" s="10"/>
      <c r="I16" s="10">
        <f t="shared" si="5"/>
        <v>10794</v>
      </c>
      <c r="J16" s="10">
        <f t="shared" si="3"/>
        <v>286588896970.01917</v>
      </c>
      <c r="K16" s="11">
        <f t="shared" si="4"/>
        <v>1.4199999999999768E-2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26179017.35416555</v>
      </c>
      <c r="D17" s="11">
        <v>1.4500000000000001E-2</v>
      </c>
      <c r="E17" s="10">
        <f t="shared" si="2"/>
        <v>374170.28253858909</v>
      </c>
      <c r="F17" s="3"/>
      <c r="G17" s="28"/>
      <c r="H17" s="10"/>
      <c r="I17" s="10">
        <f t="shared" si="5"/>
        <v>10794</v>
      </c>
      <c r="J17" s="10">
        <f t="shared" si="3"/>
        <v>282576313320.86298</v>
      </c>
      <c r="K17" s="11">
        <f t="shared" si="4"/>
        <v>1.4499999999999957E-2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25804847.071626961</v>
      </c>
      <c r="D18" s="11">
        <v>1.4800000000000001E-2</v>
      </c>
      <c r="E18" s="10">
        <f t="shared" si="2"/>
        <v>376341.87688222155</v>
      </c>
      <c r="F18" s="3"/>
      <c r="G18" s="28"/>
      <c r="H18" s="10"/>
      <c r="I18" s="10">
        <f t="shared" si="5"/>
        <v>10794</v>
      </c>
      <c r="J18" s="10">
        <f t="shared" si="3"/>
        <v>278537519291.14142</v>
      </c>
      <c r="K18" s="11">
        <f t="shared" si="4"/>
        <v>1.4799999999999924E-2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25428505.19474474</v>
      </c>
      <c r="D19" s="11">
        <v>1.54E-2</v>
      </c>
      <c r="E19" s="10">
        <f t="shared" si="2"/>
        <v>385659.81878970936</v>
      </c>
      <c r="F19" s="3"/>
      <c r="G19" s="28"/>
      <c r="H19" s="10"/>
      <c r="I19" s="10">
        <f t="shared" si="5"/>
        <v>10794</v>
      </c>
      <c r="J19" s="10">
        <f t="shared" si="3"/>
        <v>274475285072.07471</v>
      </c>
      <c r="K19" s="11">
        <f t="shared" si="4"/>
        <v>1.540000000000008E-2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25042845.37595503</v>
      </c>
      <c r="D20" s="11">
        <v>1.6E-2</v>
      </c>
      <c r="E20" s="10">
        <f t="shared" si="2"/>
        <v>394375.51773157716</v>
      </c>
      <c r="F20" s="3"/>
      <c r="G20" s="28"/>
      <c r="H20" s="10"/>
      <c r="I20" s="10">
        <f t="shared" si="5"/>
        <v>10794</v>
      </c>
      <c r="J20" s="10">
        <f t="shared" si="3"/>
        <v>270312472988.05859</v>
      </c>
      <c r="K20" s="11">
        <f t="shared" si="4"/>
        <v>1.6000000000000014E-2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24648469.858223453</v>
      </c>
      <c r="D21" s="11">
        <v>1.61E-2</v>
      </c>
      <c r="E21" s="10">
        <f t="shared" si="2"/>
        <v>390552.4699511826</v>
      </c>
      <c r="F21" s="3"/>
      <c r="G21" s="28"/>
      <c r="H21" s="10"/>
      <c r="I21" s="10">
        <f t="shared" si="5"/>
        <v>10794</v>
      </c>
      <c r="J21" s="10">
        <f t="shared" si="3"/>
        <v>266055583649.66394</v>
      </c>
      <c r="K21" s="11">
        <f t="shared" si="4"/>
        <v>1.6099999999999781E-2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24257917.388272271</v>
      </c>
      <c r="D22" s="11">
        <v>1.6299999999999999E-2</v>
      </c>
      <c r="E22" s="10">
        <f t="shared" si="2"/>
        <v>389062.33733035251</v>
      </c>
      <c r="F22" s="3"/>
      <c r="G22" s="28"/>
      <c r="H22" s="10"/>
      <c r="I22" s="10">
        <f t="shared" si="5"/>
        <v>10794</v>
      </c>
      <c r="J22" s="10">
        <f t="shared" si="3"/>
        <v>261839960289.01089</v>
      </c>
      <c r="K22" s="11">
        <f t="shared" si="4"/>
        <v>1.6299999999999981E-2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23868855.050941918</v>
      </c>
      <c r="D23" s="11">
        <v>1.6400000000000001E-2</v>
      </c>
      <c r="E23" s="10">
        <f t="shared" si="2"/>
        <v>385133.0409636423</v>
      </c>
      <c r="F23" s="3"/>
      <c r="G23" s="28"/>
      <c r="H23" s="10"/>
      <c r="I23" s="10">
        <f t="shared" si="5"/>
        <v>10794</v>
      </c>
      <c r="J23" s="10">
        <f t="shared" si="3"/>
        <v>257640421419.86707</v>
      </c>
      <c r="K23" s="11">
        <f t="shared" si="4"/>
        <v>1.639999999999997E-2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23483722.009978276</v>
      </c>
      <c r="D24" s="11">
        <v>1.66E-2</v>
      </c>
      <c r="E24" s="10">
        <f t="shared" si="2"/>
        <v>383464.27834510803</v>
      </c>
      <c r="F24" s="3"/>
      <c r="G24" s="28"/>
      <c r="H24" s="10"/>
      <c r="I24" s="10">
        <f t="shared" si="5"/>
        <v>10794</v>
      </c>
      <c r="J24" s="10">
        <f t="shared" si="3"/>
        <v>253483295375.70551</v>
      </c>
      <c r="K24" s="11">
        <f t="shared" si="4"/>
        <v>1.6599999999999948E-2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23100257.731633168</v>
      </c>
      <c r="D25" s="11">
        <v>1.6799999999999999E-2</v>
      </c>
      <c r="E25" s="10">
        <f t="shared" si="2"/>
        <v>381672.23632123694</v>
      </c>
      <c r="F25" s="3"/>
      <c r="G25" s="28"/>
      <c r="H25" s="10"/>
      <c r="I25" s="10">
        <f t="shared" si="5"/>
        <v>10794</v>
      </c>
      <c r="J25" s="10">
        <f t="shared" si="3"/>
        <v>249344181955.24841</v>
      </c>
      <c r="K25" s="11">
        <f t="shared" si="4"/>
        <v>1.6799999999999926E-2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22718585.495311931</v>
      </c>
      <c r="D26" s="11">
        <v>1.7399999999999999E-2</v>
      </c>
      <c r="E26" s="10">
        <f t="shared" si="2"/>
        <v>388542.74387500435</v>
      </c>
      <c r="F26" s="3"/>
      <c r="G26" s="28"/>
      <c r="H26" s="10"/>
      <c r="I26" s="10">
        <f t="shared" si="5"/>
        <v>10794</v>
      </c>
      <c r="J26" s="10">
        <f t="shared" si="3"/>
        <v>245224411836.39697</v>
      </c>
      <c r="K26" s="11">
        <f t="shared" si="4"/>
        <v>1.7400000000000082E-2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22330042.751436926</v>
      </c>
      <c r="D27" s="11">
        <v>1.7399999999999999E-2</v>
      </c>
      <c r="E27" s="10">
        <f t="shared" si="2"/>
        <v>381897.72348634154</v>
      </c>
      <c r="F27" s="3"/>
      <c r="G27" s="28"/>
      <c r="H27" s="10"/>
      <c r="I27" s="10">
        <f t="shared" si="5"/>
        <v>10794</v>
      </c>
      <c r="J27" s="10">
        <f t="shared" si="3"/>
        <v>241030481459.01019</v>
      </c>
      <c r="K27" s="11">
        <f t="shared" si="4"/>
        <v>1.7400000000000082E-2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21948145.027950585</v>
      </c>
      <c r="D28" s="11">
        <v>1.7999999999999999E-2</v>
      </c>
      <c r="E28" s="10">
        <f t="shared" si="2"/>
        <v>388081.14980659261</v>
      </c>
      <c r="F28" s="3"/>
      <c r="G28" s="28"/>
      <c r="H28" s="10"/>
      <c r="I28" s="10">
        <f t="shared" si="5"/>
        <v>10794</v>
      </c>
      <c r="J28" s="10">
        <f t="shared" si="3"/>
        <v>236908277431.69861</v>
      </c>
      <c r="K28" s="11">
        <f t="shared" si="4"/>
        <v>1.8000000000000016E-2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21560063.878143992</v>
      </c>
      <c r="D29" s="11">
        <v>1.8499999999999999E-2</v>
      </c>
      <c r="E29" s="10">
        <f t="shared" si="2"/>
        <v>391616.28055538982</v>
      </c>
      <c r="F29" s="3"/>
      <c r="G29" s="28"/>
      <c r="H29" s="10"/>
      <c r="I29" s="10">
        <f t="shared" si="5"/>
        <v>10794</v>
      </c>
      <c r="J29" s="10">
        <f t="shared" si="3"/>
        <v>232719329500.68625</v>
      </c>
      <c r="K29" s="11">
        <f t="shared" si="4"/>
        <v>1.8499999999999961E-2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21168447.597588602</v>
      </c>
      <c r="D30" s="11">
        <v>1.89E-2</v>
      </c>
      <c r="E30" s="10">
        <f t="shared" si="2"/>
        <v>392662.34134303778</v>
      </c>
      <c r="F30" s="3"/>
      <c r="G30" s="28"/>
      <c r="H30" s="10"/>
      <c r="I30" s="10">
        <f t="shared" si="5"/>
        <v>10794</v>
      </c>
      <c r="J30" s="10">
        <f t="shared" si="3"/>
        <v>228492223368.37137</v>
      </c>
      <c r="K30" s="11">
        <f t="shared" si="4"/>
        <v>1.8899999999999917E-2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20775785.256245565</v>
      </c>
      <c r="D31" s="11">
        <v>1.9300000000000001E-2</v>
      </c>
      <c r="E31" s="10">
        <f t="shared" si="2"/>
        <v>393380.41346565261</v>
      </c>
      <c r="F31" s="3"/>
      <c r="G31" s="28"/>
      <c r="H31" s="10"/>
      <c r="I31" s="10">
        <f t="shared" si="5"/>
        <v>10794</v>
      </c>
      <c r="J31" s="10">
        <f t="shared" si="3"/>
        <v>224253826055.91461</v>
      </c>
      <c r="K31" s="11">
        <f t="shared" si="4"/>
        <v>1.9299999999999873E-2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20382404.842779912</v>
      </c>
      <c r="D32" s="11">
        <v>2.0199999999999999E-2</v>
      </c>
      <c r="E32" s="10">
        <f t="shared" si="2"/>
        <v>403572.41504034027</v>
      </c>
      <c r="F32" s="3"/>
      <c r="G32" s="28"/>
      <c r="H32" s="10"/>
      <c r="I32" s="10">
        <f t="shared" si="5"/>
        <v>10794</v>
      </c>
      <c r="J32" s="10">
        <f t="shared" si="3"/>
        <v>220007677872.96637</v>
      </c>
      <c r="K32" s="11">
        <f t="shared" si="4"/>
        <v>2.0199999999999996E-2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19978832.427739572</v>
      </c>
      <c r="D33" s="11">
        <v>2.1499999999999998E-2</v>
      </c>
      <c r="E33" s="10">
        <f t="shared" si="2"/>
        <v>420504.05990837142</v>
      </c>
      <c r="F33" s="3"/>
      <c r="G33" s="28"/>
      <c r="H33" s="10"/>
      <c r="I33" s="10">
        <f t="shared" si="5"/>
        <v>10794</v>
      </c>
      <c r="J33" s="10">
        <f t="shared" si="3"/>
        <v>215651517225.02094</v>
      </c>
      <c r="K33" s="11">
        <f t="shared" si="4"/>
        <v>2.1500000000000075E-2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19558328.3678312</v>
      </c>
      <c r="D34" s="11">
        <v>2.2100000000000002E-2</v>
      </c>
      <c r="E34" s="10">
        <f t="shared" si="2"/>
        <v>422893.1189991869</v>
      </c>
      <c r="F34" s="3"/>
      <c r="G34" s="28"/>
      <c r="H34" s="10"/>
      <c r="I34" s="10">
        <f t="shared" si="5"/>
        <v>10794</v>
      </c>
      <c r="J34" s="10">
        <f t="shared" ref="J34:J65" si="6">IF(I34="","",I34*C34)</f>
        <v>211112596402.36996</v>
      </c>
      <c r="K34" s="11">
        <f t="shared" ref="K34:K65" si="7">IFERROR(J34/J35-1,"")</f>
        <v>2.2099999999999786E-2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19135435.248832013</v>
      </c>
      <c r="D35" s="11">
        <v>2.2700000000000001E-2</v>
      </c>
      <c r="E35" s="10">
        <f t="shared" si="2"/>
        <v>424732.94235698134</v>
      </c>
      <c r="F35" s="3"/>
      <c r="G35" s="28"/>
      <c r="H35" s="10"/>
      <c r="I35" s="10">
        <f t="shared" ref="I35:I66" si="8">IF(H35&lt;&gt;"",H35,I34/(1+IF(G34="",0,G34)/100))</f>
        <v>10794</v>
      </c>
      <c r="J35" s="10">
        <f t="shared" si="6"/>
        <v>206547888075.89276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18710702.306475032</v>
      </c>
      <c r="D36" s="11">
        <v>2.29E-2</v>
      </c>
      <c r="E36" s="10">
        <f t="shared" si="2"/>
        <v>418882.66968254745</v>
      </c>
      <c r="F36" s="3"/>
      <c r="G36" s="28"/>
      <c r="H36" s="10"/>
      <c r="I36" s="10">
        <f t="shared" si="8"/>
        <v>10794</v>
      </c>
      <c r="J36" s="10">
        <f t="shared" si="6"/>
        <v>201963320696.09149</v>
      </c>
      <c r="K36" s="11">
        <f t="shared" si="7"/>
        <v>2.289999999999992E-2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18291819.636792485</v>
      </c>
      <c r="D37" s="11">
        <v>2.3400000000000001E-2</v>
      </c>
      <c r="E37" s="10">
        <f t="shared" si="2"/>
        <v>418241.7231785655</v>
      </c>
      <c r="F37" s="3"/>
      <c r="G37" s="28"/>
      <c r="H37" s="10"/>
      <c r="I37" s="10">
        <f t="shared" si="8"/>
        <v>10794</v>
      </c>
      <c r="J37" s="10">
        <f t="shared" si="6"/>
        <v>197441901159.53809</v>
      </c>
      <c r="K37" s="11">
        <f t="shared" si="7"/>
        <v>2.3400000000000087E-2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17873577.913613919</v>
      </c>
      <c r="D38" s="11">
        <v>2.3699999999999999E-2</v>
      </c>
      <c r="E38" s="10">
        <f t="shared" si="2"/>
        <v>413796.81210574508</v>
      </c>
      <c r="F38" s="3"/>
      <c r="G38" s="28"/>
      <c r="H38" s="10"/>
      <c r="I38" s="10">
        <f t="shared" si="8"/>
        <v>10794</v>
      </c>
      <c r="J38" s="10">
        <f t="shared" si="6"/>
        <v>192927399999.54865</v>
      </c>
      <c r="K38" s="11">
        <f t="shared" si="7"/>
        <v>2.3700000000000054E-2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17459781.101508174</v>
      </c>
      <c r="D39" s="11">
        <v>2.3900000000000001E-2</v>
      </c>
      <c r="E39" s="10">
        <f t="shared" si="2"/>
        <v>407548.36246317625</v>
      </c>
      <c r="F39" s="3"/>
      <c r="G39" s="28"/>
      <c r="H39" s="10"/>
      <c r="I39" s="10">
        <f t="shared" si="8"/>
        <v>10794</v>
      </c>
      <c r="J39" s="10">
        <f t="shared" si="6"/>
        <v>188460877209.67923</v>
      </c>
      <c r="K39" s="11">
        <f t="shared" si="7"/>
        <v>2.3900000000000032E-2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17052232.739044998</v>
      </c>
      <c r="D40" s="11">
        <v>2.4E-2</v>
      </c>
      <c r="E40" s="10">
        <f t="shared" si="2"/>
        <v>399661.70482136682</v>
      </c>
      <c r="F40" s="3"/>
      <c r="G40" s="28"/>
      <c r="H40" s="10"/>
      <c r="I40" s="10">
        <f t="shared" si="8"/>
        <v>10794</v>
      </c>
      <c r="J40" s="10">
        <f t="shared" si="6"/>
        <v>184061800185.25171</v>
      </c>
      <c r="K40" s="11">
        <f t="shared" si="7"/>
        <v>2.4000000000000021E-2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16652571.034223631</v>
      </c>
      <c r="D41" s="11">
        <v>2.4299999999999999E-2</v>
      </c>
      <c r="E41" s="10">
        <f t="shared" si="2"/>
        <v>395057.57701028325</v>
      </c>
      <c r="F41" s="3"/>
      <c r="G41" s="28"/>
      <c r="H41" s="10"/>
      <c r="I41" s="10">
        <f t="shared" si="8"/>
        <v>10794</v>
      </c>
      <c r="J41" s="10">
        <f t="shared" si="6"/>
        <v>179747851743.40988</v>
      </c>
      <c r="K41" s="11">
        <f t="shared" si="7"/>
        <v>2.4299999999999988E-2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16257513.457213348</v>
      </c>
      <c r="D42" s="11">
        <v>2.47E-2</v>
      </c>
      <c r="E42" s="10">
        <f t="shared" si="2"/>
        <v>391881.11875980161</v>
      </c>
      <c r="F42" s="3"/>
      <c r="G42" s="28"/>
      <c r="H42" s="10"/>
      <c r="I42" s="10">
        <f t="shared" si="8"/>
        <v>10794</v>
      </c>
      <c r="J42" s="10">
        <f t="shared" si="6"/>
        <v>175483600257.16089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15865632.338453546</v>
      </c>
      <c r="D43" s="11">
        <v>2.4899999999999999E-2</v>
      </c>
      <c r="E43" s="10">
        <f t="shared" si="2"/>
        <v>385456.38133231737</v>
      </c>
      <c r="F43" s="3"/>
      <c r="G43" s="28"/>
      <c r="H43" s="10"/>
      <c r="I43" s="10">
        <f t="shared" si="8"/>
        <v>10794</v>
      </c>
      <c r="J43" s="10">
        <f t="shared" si="6"/>
        <v>171253635461.26758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15480175.957121229</v>
      </c>
      <c r="D44" s="11">
        <v>2.5399999999999999E-2</v>
      </c>
      <c r="E44" s="10">
        <f t="shared" si="2"/>
        <v>383456.66989553347</v>
      </c>
      <c r="F44" s="3"/>
      <c r="G44" s="28"/>
      <c r="H44" s="10"/>
      <c r="I44" s="10">
        <f t="shared" si="8"/>
        <v>10794</v>
      </c>
      <c r="J44" s="10">
        <f t="shared" si="6"/>
        <v>167093019281.16653</v>
      </c>
      <c r="K44" s="11">
        <f t="shared" si="7"/>
        <v>2.5400000000000089E-2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15096719.287225695</v>
      </c>
      <c r="D45" s="11">
        <v>2.5600000000000001E-2</v>
      </c>
      <c r="E45" s="10">
        <f t="shared" si="2"/>
        <v>376829.18657661788</v>
      </c>
      <c r="F45" s="3"/>
      <c r="G45" s="28"/>
      <c r="H45" s="10"/>
      <c r="I45" s="10">
        <f t="shared" si="8"/>
        <v>10794</v>
      </c>
      <c r="J45" s="10">
        <f t="shared" si="6"/>
        <v>162953987986.31415</v>
      </c>
      <c r="K45" s="11">
        <f t="shared" si="7"/>
        <v>2.5600000000000067E-2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14719890.100649077</v>
      </c>
      <c r="D46" s="11">
        <v>2.58E-2</v>
      </c>
      <c r="E46" s="10">
        <f t="shared" si="2"/>
        <v>370221.45115689933</v>
      </c>
      <c r="F46" s="3"/>
      <c r="G46" s="28"/>
      <c r="H46" s="10"/>
      <c r="I46" s="10">
        <f t="shared" si="8"/>
        <v>10794</v>
      </c>
      <c r="J46" s="10">
        <f t="shared" si="6"/>
        <v>158886493746.40613</v>
      </c>
      <c r="K46" s="11">
        <f t="shared" si="7"/>
        <v>2.5800000000000045E-2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14349668.649492178</v>
      </c>
      <c r="D47" s="11">
        <v>2.6200000000000001E-2</v>
      </c>
      <c r="E47" s="10">
        <f t="shared" si="2"/>
        <v>366362.61802445352</v>
      </c>
      <c r="F47" s="3"/>
      <c r="G47" s="28"/>
      <c r="H47" s="10"/>
      <c r="I47" s="10">
        <f t="shared" si="8"/>
        <v>10794</v>
      </c>
      <c r="J47" s="10">
        <f t="shared" si="6"/>
        <v>154890323402.61856</v>
      </c>
      <c r="K47" s="11">
        <f t="shared" si="7"/>
        <v>2.6199999999999779E-2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13983306.031467725</v>
      </c>
      <c r="D48" s="11">
        <v>2.6499999999999999E-2</v>
      </c>
      <c r="E48" s="10">
        <f t="shared" si="2"/>
        <v>360991.33934134804</v>
      </c>
      <c r="F48" s="3"/>
      <c r="G48" s="28"/>
      <c r="H48" s="10"/>
      <c r="I48" s="10">
        <f t="shared" si="8"/>
        <v>10794</v>
      </c>
      <c r="J48" s="10">
        <f t="shared" si="6"/>
        <v>150935805303.66263</v>
      </c>
      <c r="K48" s="11">
        <f t="shared" si="7"/>
        <v>2.6499999999999968E-2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13622314.692126377</v>
      </c>
      <c r="D49" s="11">
        <v>2.6700000000000002E-2</v>
      </c>
      <c r="E49" s="10">
        <f t="shared" si="2"/>
        <v>354257.13672910631</v>
      </c>
      <c r="F49" s="3"/>
      <c r="G49" s="28"/>
      <c r="H49" s="10"/>
      <c r="I49" s="10">
        <f t="shared" si="8"/>
        <v>10794</v>
      </c>
      <c r="J49" s="10">
        <f t="shared" si="6"/>
        <v>147039264786.8121</v>
      </c>
      <c r="K49" s="11">
        <f t="shared" si="7"/>
        <v>2.6699999999999946E-2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13268057.55539727</v>
      </c>
      <c r="D50" s="11">
        <v>2.7E-2</v>
      </c>
      <c r="E50" s="10">
        <f t="shared" si="2"/>
        <v>348819.42940187454</v>
      </c>
      <c r="F50" s="3"/>
      <c r="G50" s="28"/>
      <c r="H50" s="10"/>
      <c r="I50" s="10">
        <f t="shared" si="8"/>
        <v>10794</v>
      </c>
      <c r="J50" s="10">
        <f t="shared" si="6"/>
        <v>143215413252.95813</v>
      </c>
      <c r="K50" s="11">
        <f t="shared" si="7"/>
        <v>2.6999999999999913E-2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12919238.125995396</v>
      </c>
      <c r="D51" s="11">
        <v>2.5899999999999999E-2</v>
      </c>
      <c r="E51" s="10">
        <f t="shared" si="2"/>
        <v>326160.70519863628</v>
      </c>
      <c r="F51" s="3"/>
      <c r="G51" s="28"/>
      <c r="H51" s="10"/>
      <c r="I51" s="10">
        <f t="shared" si="8"/>
        <v>10794</v>
      </c>
      <c r="J51" s="10">
        <f t="shared" si="6"/>
        <v>139450256331.99429</v>
      </c>
      <c r="K51" s="11">
        <f t="shared" si="7"/>
        <v>2.5900000000000034E-2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12593077.420796759</v>
      </c>
      <c r="D52" s="11">
        <v>2.23E-2</v>
      </c>
      <c r="E52" s="10">
        <f t="shared" si="2"/>
        <v>274699.82048690878</v>
      </c>
      <c r="F52" s="3"/>
      <c r="G52" s="28"/>
      <c r="H52" s="10"/>
      <c r="I52" s="10">
        <f t="shared" si="8"/>
        <v>10794</v>
      </c>
      <c r="J52" s="10">
        <f t="shared" si="6"/>
        <v>135929677680.08022</v>
      </c>
      <c r="K52" s="11">
        <f t="shared" si="7"/>
        <v>2.2299999999999986E-2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12318377.600309851</v>
      </c>
      <c r="D53" s="11">
        <v>2.7300000000000001E-2</v>
      </c>
      <c r="E53" s="10">
        <f t="shared" si="2"/>
        <v>327354.91919445246</v>
      </c>
      <c r="F53" s="3"/>
      <c r="G53" s="28"/>
      <c r="H53" s="10"/>
      <c r="I53" s="10">
        <f t="shared" si="8"/>
        <v>10794</v>
      </c>
      <c r="J53" s="10">
        <f t="shared" si="6"/>
        <v>132964567817.74452</v>
      </c>
      <c r="K53" s="11">
        <f t="shared" si="7"/>
        <v>2.7300000000000102E-2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11991022.681115398</v>
      </c>
      <c r="D54" s="11">
        <v>2.7099999999999999E-2</v>
      </c>
      <c r="E54" s="10">
        <f t="shared" si="2"/>
        <v>316382.74234079011</v>
      </c>
      <c r="F54" s="3"/>
      <c r="G54" s="28"/>
      <c r="H54" s="10"/>
      <c r="I54" s="10">
        <f t="shared" si="8"/>
        <v>10794</v>
      </c>
      <c r="J54" s="10">
        <f t="shared" si="6"/>
        <v>129431098819.95961</v>
      </c>
      <c r="K54" s="11">
        <f t="shared" si="7"/>
        <v>2.7099999999999902E-2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11674639.938774608</v>
      </c>
      <c r="D55" s="11">
        <v>2.7E-2</v>
      </c>
      <c r="E55" s="10">
        <f t="shared" si="2"/>
        <v>306928.21650137566</v>
      </c>
      <c r="F55" s="3"/>
      <c r="G55" s="28"/>
      <c r="H55" s="10"/>
      <c r="I55" s="10">
        <f t="shared" si="8"/>
        <v>10794</v>
      </c>
      <c r="J55" s="10">
        <f t="shared" si="6"/>
        <v>126016063499.13312</v>
      </c>
      <c r="K55" s="11">
        <f t="shared" si="7"/>
        <v>2.6999999999999913E-2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11367711.722273232</v>
      </c>
      <c r="D56" s="11">
        <v>2.6700000000000002E-2</v>
      </c>
      <c r="E56" s="10">
        <f t="shared" si="2"/>
        <v>295624.72288369946</v>
      </c>
      <c r="F56" s="3"/>
      <c r="G56" s="28"/>
      <c r="H56" s="10"/>
      <c r="I56" s="10">
        <f t="shared" si="8"/>
        <v>10794</v>
      </c>
      <c r="J56" s="10">
        <f t="shared" si="6"/>
        <v>122703080330.21727</v>
      </c>
      <c r="K56" s="11">
        <f t="shared" si="7"/>
        <v>2.6699999999999946E-2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11072086.999389533</v>
      </c>
      <c r="D57" s="11">
        <v>2.64E-2</v>
      </c>
      <c r="E57" s="10">
        <f t="shared" si="2"/>
        <v>284784.77862810157</v>
      </c>
      <c r="F57" s="3"/>
      <c r="G57" s="28"/>
      <c r="H57" s="10"/>
      <c r="I57" s="10">
        <f t="shared" si="8"/>
        <v>10794</v>
      </c>
      <c r="J57" s="10">
        <f t="shared" si="6"/>
        <v>119512107071.41061</v>
      </c>
      <c r="K57" s="11">
        <f t="shared" si="7"/>
        <v>2.6399999999999979E-2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10787302.220761431</v>
      </c>
      <c r="D58" s="11">
        <v>2.5999999999999999E-2</v>
      </c>
      <c r="E58" s="10">
        <f t="shared" si="2"/>
        <v>273362.43444424681</v>
      </c>
      <c r="F58" s="3"/>
      <c r="G58" s="28"/>
      <c r="H58" s="10"/>
      <c r="I58" s="10">
        <f t="shared" si="8"/>
        <v>10794</v>
      </c>
      <c r="J58" s="10">
        <f t="shared" si="6"/>
        <v>116438140170.8989</v>
      </c>
      <c r="K58" s="11">
        <f t="shared" si="7"/>
        <v>2.6000000000000023E-2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10513939.786317185</v>
      </c>
      <c r="D59" s="11">
        <v>2.5399999999999999E-2</v>
      </c>
      <c r="E59" s="10">
        <f t="shared" si="2"/>
        <v>260438.92195480503</v>
      </c>
      <c r="F59" s="3"/>
      <c r="G59" s="28"/>
      <c r="H59" s="10"/>
      <c r="I59" s="10">
        <f t="shared" si="8"/>
        <v>10794</v>
      </c>
      <c r="J59" s="10">
        <f t="shared" si="6"/>
        <v>113487466053.50769</v>
      </c>
      <c r="K59" s="11">
        <f t="shared" si="7"/>
        <v>2.5400000000000089E-2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10253500.86436238</v>
      </c>
      <c r="D60" s="11">
        <v>2.4899999999999999E-2</v>
      </c>
      <c r="E60" s="10">
        <f t="shared" si="2"/>
        <v>249109.34873902053</v>
      </c>
      <c r="F60" s="3"/>
      <c r="G60" s="28"/>
      <c r="H60" s="10"/>
      <c r="I60" s="10">
        <f t="shared" si="8"/>
        <v>10794</v>
      </c>
      <c r="J60" s="10">
        <f t="shared" si="6"/>
        <v>110676288329.92752</v>
      </c>
      <c r="K60" s="11">
        <f t="shared" si="7"/>
        <v>2.4899999999999922E-2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10004391.515623359</v>
      </c>
      <c r="D61" s="11">
        <v>2.4199999999999999E-2</v>
      </c>
      <c r="E61" s="10">
        <f t="shared" si="2"/>
        <v>236385.73977551796</v>
      </c>
      <c r="F61" s="3"/>
      <c r="G61" s="28"/>
      <c r="H61" s="10"/>
      <c r="I61" s="10">
        <f t="shared" si="8"/>
        <v>10794</v>
      </c>
      <c r="J61" s="10">
        <f t="shared" si="6"/>
        <v>107987402019.63853</v>
      </c>
      <c r="K61" s="11">
        <f t="shared" si="7"/>
        <v>2.4199999999999999E-2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9768005.7758478411</v>
      </c>
      <c r="D62" s="11">
        <v>2.3400000000000001E-2</v>
      </c>
      <c r="E62" s="10">
        <f t="shared" si="2"/>
        <v>223345.06073367223</v>
      </c>
      <c r="F62" s="3"/>
      <c r="G62" s="28"/>
      <c r="H62" s="10"/>
      <c r="I62" s="10">
        <f t="shared" si="8"/>
        <v>10794</v>
      </c>
      <c r="J62" s="10">
        <f t="shared" si="6"/>
        <v>105435854344.5016</v>
      </c>
      <c r="K62" s="11">
        <f t="shared" si="7"/>
        <v>2.3400000000000087E-2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9544660.7151141688</v>
      </c>
      <c r="D63" s="11">
        <v>2.2700000000000001E-2</v>
      </c>
      <c r="E63" s="10">
        <f t="shared" si="2"/>
        <v>211854.69661982171</v>
      </c>
      <c r="F63" s="3"/>
      <c r="G63" s="28"/>
      <c r="H63" s="10"/>
      <c r="I63" s="10">
        <f t="shared" si="8"/>
        <v>10794</v>
      </c>
      <c r="J63" s="10">
        <f t="shared" si="6"/>
        <v>103025067758.94234</v>
      </c>
      <c r="K63" s="11">
        <f t="shared" si="7"/>
        <v>2.2700000000000164E-2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9332806.0184943471</v>
      </c>
      <c r="D64" s="11">
        <v>2.18E-2</v>
      </c>
      <c r="E64" s="10">
        <f t="shared" si="2"/>
        <v>199114.47563434765</v>
      </c>
      <c r="F64" s="3"/>
      <c r="G64" s="28"/>
      <c r="H64" s="10"/>
      <c r="I64" s="10">
        <f t="shared" si="8"/>
        <v>10794</v>
      </c>
      <c r="J64" s="10">
        <f t="shared" si="6"/>
        <v>100738308163.62798</v>
      </c>
      <c r="K64" s="11">
        <f t="shared" si="7"/>
        <v>2.1800000000000042E-2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9133691.5428599995</v>
      </c>
      <c r="D65" s="11">
        <v>2.0899999999999998E-2</v>
      </c>
      <c r="E65" s="10">
        <f t="shared" si="2"/>
        <v>186986.14285999909</v>
      </c>
      <c r="F65" s="3"/>
      <c r="G65" s="28"/>
      <c r="H65" s="10"/>
      <c r="I65" s="10">
        <f t="shared" si="8"/>
        <v>10794</v>
      </c>
      <c r="J65" s="10">
        <f t="shared" si="6"/>
        <v>98589066513.630829</v>
      </c>
      <c r="K65" s="11">
        <f t="shared" si="7"/>
        <v>2.0899999999999919E-2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8946705.4000000004</v>
      </c>
      <c r="D66" s="11">
        <v>1.9800000000000002E-2</v>
      </c>
      <c r="E66" s="10">
        <f t="shared" si="2"/>
        <v>173705.40000000037</v>
      </c>
      <c r="F66" s="3"/>
      <c r="G66" s="28"/>
      <c r="H66" s="10"/>
      <c r="I66" s="10">
        <f t="shared" si="8"/>
        <v>10794</v>
      </c>
      <c r="J66" s="10">
        <f t="shared" ref="J66:J67" si="9">IF(I66="","",I66*C66)</f>
        <v>96570738087.600006</v>
      </c>
      <c r="K66" s="11">
        <f t="shared" ref="K66" si="10">IFERROR(J66/J67-1,"")</f>
        <v>1.980000000000004E-2</v>
      </c>
    </row>
    <row r="67" spans="1:11" ht="22.5" customHeight="1">
      <c r="A67" s="3">
        <f t="shared" si="0"/>
        <v>1950</v>
      </c>
      <c r="B67" s="3">
        <v>1700</v>
      </c>
      <c r="C67" s="10">
        <v>8773000</v>
      </c>
      <c r="D67" s="11">
        <v>1.9E-2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10794</v>
      </c>
      <c r="J67" s="10">
        <f t="shared" si="9"/>
        <v>94695762000</v>
      </c>
      <c r="K67" s="11"/>
    </row>
  </sheetData>
  <dataValidations count="1">
    <dataValidation type="custom" allowBlank="1" showDropDown="1" sqref="D2:D67" xr:uid="{00000000-0002-0000-2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4620304.1560445707</v>
      </c>
      <c r="D2" s="25">
        <v>1E-4</v>
      </c>
      <c r="E2" s="10">
        <f t="shared" ref="E2:E66" si="2">SUM(C2-C3)</f>
        <v>461.98421718273312</v>
      </c>
      <c r="F2" s="10">
        <v>4620320</v>
      </c>
      <c r="G2" s="28"/>
      <c r="H2" s="10"/>
      <c r="I2" s="10">
        <f>IF(H2&lt;&gt;"",H2,12857)</f>
        <v>12857</v>
      </c>
      <c r="J2" s="10">
        <f t="shared" ref="J2:J33" si="3">IF(I2="","",I2*C2)</f>
        <v>59403250534.265045</v>
      </c>
      <c r="K2" s="11">
        <f t="shared" ref="K2:K33" si="4">IFERROR(J2/J3-1,"")</f>
        <v>9.9999999999988987E-5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4619842.171827388</v>
      </c>
      <c r="D3" s="25">
        <v>2.0000000000000001E-4</v>
      </c>
      <c r="E3" s="10">
        <f t="shared" si="2"/>
        <v>923.78367763012648</v>
      </c>
      <c r="F3" s="10"/>
      <c r="G3" s="28"/>
      <c r="H3" s="10"/>
      <c r="I3" s="10">
        <f t="shared" ref="I3:I34" si="5">IF(H3&lt;&gt;"",H3,I2/(1+IF(G2="",0,G2)/100))</f>
        <v>12857</v>
      </c>
      <c r="J3" s="10">
        <f t="shared" si="3"/>
        <v>59397310803.184731</v>
      </c>
      <c r="K3" s="11">
        <f t="shared" si="4"/>
        <v>2.0000000000020002E-4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4618918.3881497579</v>
      </c>
      <c r="D4" s="25">
        <v>5.0000000000000001E-4</v>
      </c>
      <c r="E4" s="10">
        <f t="shared" si="2"/>
        <v>2308.3050415534526</v>
      </c>
      <c r="F4" s="10"/>
      <c r="G4" s="28"/>
      <c r="H4" s="10"/>
      <c r="I4" s="10">
        <f t="shared" si="5"/>
        <v>12857</v>
      </c>
      <c r="J4" s="10">
        <f t="shared" si="3"/>
        <v>59385433716.441437</v>
      </c>
      <c r="K4" s="11">
        <f t="shared" si="4"/>
        <v>4.9999999999972289E-4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4616610.0831082044</v>
      </c>
      <c r="D5" s="25">
        <v>1E-3</v>
      </c>
      <c r="E5" s="10">
        <f t="shared" si="2"/>
        <v>4611.998085022904</v>
      </c>
      <c r="F5" s="10"/>
      <c r="G5" s="28"/>
      <c r="H5" s="10"/>
      <c r="I5" s="10">
        <f t="shared" si="5"/>
        <v>12857</v>
      </c>
      <c r="J5" s="10">
        <f t="shared" si="3"/>
        <v>59355755838.522186</v>
      </c>
      <c r="K5" s="11">
        <f t="shared" si="4"/>
        <v>9.9999999999988987E-4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4611998.0850231815</v>
      </c>
      <c r="D6" s="25">
        <v>3.3E-3</v>
      </c>
      <c r="E6" s="10">
        <f t="shared" si="2"/>
        <v>15169.534217658453</v>
      </c>
      <c r="F6" s="10"/>
      <c r="G6" s="28"/>
      <c r="H6" s="10"/>
      <c r="I6" s="10">
        <f t="shared" si="5"/>
        <v>12857</v>
      </c>
      <c r="J6" s="10">
        <f t="shared" si="3"/>
        <v>59296459379.143044</v>
      </c>
      <c r="K6" s="11">
        <f t="shared" si="4"/>
        <v>3.3000000000000806E-3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4596828.5508055231</v>
      </c>
      <c r="D7" s="25">
        <v>7.1999999999999998E-3</v>
      </c>
      <c r="E7" s="10">
        <f t="shared" si="2"/>
        <v>32860.569465647452</v>
      </c>
      <c r="F7" s="10"/>
      <c r="G7" s="28"/>
      <c r="H7" s="10"/>
      <c r="I7" s="10">
        <f t="shared" si="5"/>
        <v>12857</v>
      </c>
      <c r="J7" s="10">
        <f t="shared" si="3"/>
        <v>59101424677.706612</v>
      </c>
      <c r="K7" s="11">
        <f t="shared" si="4"/>
        <v>7.2000000000000952E-3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4563967.9813398756</v>
      </c>
      <c r="D8" s="25">
        <v>9.4999999999999998E-3</v>
      </c>
      <c r="E8" s="10">
        <f t="shared" si="2"/>
        <v>42949.67392048426</v>
      </c>
      <c r="F8" s="10"/>
      <c r="G8" s="28"/>
      <c r="H8" s="10"/>
      <c r="I8" s="10">
        <f t="shared" si="5"/>
        <v>12857</v>
      </c>
      <c r="J8" s="10">
        <f t="shared" si="3"/>
        <v>58678936336.086784</v>
      </c>
      <c r="K8" s="11">
        <f t="shared" si="4"/>
        <v>9.5000000000000639E-3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4521018.3074193913</v>
      </c>
      <c r="D9" s="25">
        <v>1.04E-2</v>
      </c>
      <c r="E9" s="10">
        <f t="shared" si="2"/>
        <v>46534.63024263829</v>
      </c>
      <c r="F9" s="10"/>
      <c r="G9" s="28"/>
      <c r="H9" s="10"/>
      <c r="I9" s="10">
        <f t="shared" si="5"/>
        <v>12857</v>
      </c>
      <c r="J9" s="10">
        <f t="shared" si="3"/>
        <v>58126732378.491112</v>
      </c>
      <c r="K9" s="11">
        <f t="shared" si="4"/>
        <v>1.0399999999999965E-2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4474483.6771767531</v>
      </c>
      <c r="D10" s="25">
        <v>1.11E-2</v>
      </c>
      <c r="E10" s="10">
        <f t="shared" si="2"/>
        <v>49121.519945270382</v>
      </c>
      <c r="F10" s="10"/>
      <c r="G10" s="28"/>
      <c r="H10" s="10"/>
      <c r="I10" s="10">
        <f t="shared" si="5"/>
        <v>12857</v>
      </c>
      <c r="J10" s="10">
        <f t="shared" si="3"/>
        <v>57528436637.461517</v>
      </c>
      <c r="K10" s="11">
        <f t="shared" si="4"/>
        <v>1.1100000000000332E-2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4425362.1572314827</v>
      </c>
      <c r="D11" s="25">
        <v>1.1599999999999999E-2</v>
      </c>
      <c r="E11" s="10">
        <f t="shared" si="2"/>
        <v>50745.552613568492</v>
      </c>
      <c r="F11" s="10"/>
      <c r="G11" s="28"/>
      <c r="H11" s="10"/>
      <c r="I11" s="10">
        <f t="shared" si="5"/>
        <v>12857</v>
      </c>
      <c r="J11" s="10">
        <f t="shared" si="3"/>
        <v>56896881255.525169</v>
      </c>
      <c r="K11" s="11">
        <f t="shared" si="4"/>
        <v>1.1600000000000055E-2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4374616.6046179142</v>
      </c>
      <c r="D12" s="25">
        <v>1.2E-2</v>
      </c>
      <c r="E12" s="10">
        <f t="shared" si="2"/>
        <v>51872.924165429547</v>
      </c>
      <c r="F12" s="10"/>
      <c r="G12" s="28"/>
      <c r="H12" s="10"/>
      <c r="I12" s="10">
        <f t="shared" si="5"/>
        <v>12857</v>
      </c>
      <c r="J12" s="10">
        <f t="shared" si="3"/>
        <v>56244445685.572525</v>
      </c>
      <c r="K12" s="11">
        <f t="shared" si="4"/>
        <v>1.2000000000000011E-2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4322743.6804524846</v>
      </c>
      <c r="D13" s="25">
        <v>1.26E-2</v>
      </c>
      <c r="E13" s="10">
        <f t="shared" si="2"/>
        <v>53788.83110181801</v>
      </c>
      <c r="F13" s="10"/>
      <c r="G13" s="28"/>
      <c r="H13" s="10"/>
      <c r="I13" s="10">
        <f t="shared" si="5"/>
        <v>12857</v>
      </c>
      <c r="J13" s="10">
        <f t="shared" si="3"/>
        <v>55577515499.577599</v>
      </c>
      <c r="K13" s="11">
        <f t="shared" si="4"/>
        <v>1.2599999999999945E-2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4268954.8493506666</v>
      </c>
      <c r="D14" s="25">
        <v>1.3599999999999999E-2</v>
      </c>
      <c r="E14" s="10">
        <f t="shared" si="2"/>
        <v>57278.794348035939</v>
      </c>
      <c r="F14" s="10"/>
      <c r="G14" s="28"/>
      <c r="H14" s="10"/>
      <c r="I14" s="10">
        <f t="shared" si="5"/>
        <v>12857</v>
      </c>
      <c r="J14" s="10">
        <f t="shared" si="3"/>
        <v>54885952498.101524</v>
      </c>
      <c r="K14" s="11">
        <f t="shared" si="4"/>
        <v>1.3600000000000056E-2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4211676.0550026307</v>
      </c>
      <c r="D15" s="25">
        <v>1.47E-2</v>
      </c>
      <c r="E15" s="10">
        <f t="shared" si="2"/>
        <v>61014.721601003315</v>
      </c>
      <c r="F15" s="10"/>
      <c r="G15" s="28"/>
      <c r="H15" s="10"/>
      <c r="I15" s="10">
        <f t="shared" si="5"/>
        <v>12857</v>
      </c>
      <c r="J15" s="10">
        <f t="shared" si="3"/>
        <v>54149519039.168823</v>
      </c>
      <c r="K15" s="11">
        <f t="shared" si="4"/>
        <v>1.4699999999999935E-2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4150661.3334016274</v>
      </c>
      <c r="D16" s="25">
        <v>1.54E-2</v>
      </c>
      <c r="E16" s="10">
        <f t="shared" si="2"/>
        <v>62950.743090787437</v>
      </c>
      <c r="F16" s="10"/>
      <c r="G16" s="28"/>
      <c r="H16" s="10"/>
      <c r="I16" s="10">
        <f t="shared" si="5"/>
        <v>12857</v>
      </c>
      <c r="J16" s="10">
        <f t="shared" si="3"/>
        <v>53365052763.544724</v>
      </c>
      <c r="K16" s="11">
        <f t="shared" si="4"/>
        <v>1.540000000000008E-2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4087710.5903108399</v>
      </c>
      <c r="D17" s="25">
        <v>1.52E-2</v>
      </c>
      <c r="E17" s="10">
        <f t="shared" si="2"/>
        <v>61202.916639800183</v>
      </c>
      <c r="F17" s="10"/>
      <c r="G17" s="28"/>
      <c r="H17" s="10"/>
      <c r="I17" s="10">
        <f t="shared" si="5"/>
        <v>12857</v>
      </c>
      <c r="J17" s="10">
        <f t="shared" si="3"/>
        <v>52555695059.626472</v>
      </c>
      <c r="K17" s="11">
        <f t="shared" si="4"/>
        <v>1.5200000000000102E-2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4026507.6736710398</v>
      </c>
      <c r="D18" s="25">
        <v>1.5299999999999999E-2</v>
      </c>
      <c r="E18" s="10">
        <f t="shared" si="2"/>
        <v>60677.206153025851</v>
      </c>
      <c r="F18" s="10"/>
      <c r="G18" s="28"/>
      <c r="H18" s="10"/>
      <c r="I18" s="10">
        <f t="shared" si="5"/>
        <v>12857</v>
      </c>
      <c r="J18" s="10">
        <f t="shared" si="3"/>
        <v>51768809160.388557</v>
      </c>
      <c r="K18" s="11">
        <f t="shared" si="4"/>
        <v>1.5300000000000091E-2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3965830.4675180139</v>
      </c>
      <c r="D19" s="25">
        <v>1.61E-2</v>
      </c>
      <c r="E19" s="10">
        <f t="shared" si="2"/>
        <v>62838.175895128399</v>
      </c>
      <c r="F19" s="10"/>
      <c r="G19" s="28"/>
      <c r="H19" s="10"/>
      <c r="I19" s="10">
        <f t="shared" si="5"/>
        <v>12857</v>
      </c>
      <c r="J19" s="10">
        <f t="shared" si="3"/>
        <v>50988682320.879105</v>
      </c>
      <c r="K19" s="11">
        <f t="shared" si="4"/>
        <v>1.6100000000000003E-2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3902992.2916228855</v>
      </c>
      <c r="D20" s="25">
        <v>1.7000000000000001E-2</v>
      </c>
      <c r="E20" s="10">
        <f t="shared" si="2"/>
        <v>65241.759053676389</v>
      </c>
      <c r="F20" s="10"/>
      <c r="G20" s="28"/>
      <c r="H20" s="10"/>
      <c r="I20" s="10">
        <f t="shared" si="5"/>
        <v>12857</v>
      </c>
      <c r="J20" s="10">
        <f t="shared" si="3"/>
        <v>50180771893.395439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3837750.5325692091</v>
      </c>
      <c r="D21" s="25">
        <v>1.7899999999999999E-2</v>
      </c>
      <c r="E21" s="10">
        <f t="shared" si="2"/>
        <v>67487.704620285891</v>
      </c>
      <c r="F21" s="10"/>
      <c r="G21" s="28"/>
      <c r="H21" s="10"/>
      <c r="I21" s="10">
        <f t="shared" si="5"/>
        <v>12857</v>
      </c>
      <c r="J21" s="10">
        <f t="shared" si="3"/>
        <v>49341958597.242325</v>
      </c>
      <c r="K21" s="11">
        <f t="shared" si="4"/>
        <v>1.7900000000000027E-2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3770262.8279489232</v>
      </c>
      <c r="D22" s="25">
        <v>1.9199999999999998E-2</v>
      </c>
      <c r="E22" s="10">
        <f t="shared" si="2"/>
        <v>71025.359396212269</v>
      </c>
      <c r="F22" s="10"/>
      <c r="G22" s="28"/>
      <c r="H22" s="10"/>
      <c r="I22" s="10">
        <f t="shared" si="5"/>
        <v>12857</v>
      </c>
      <c r="J22" s="10">
        <f t="shared" si="3"/>
        <v>48474269178.939308</v>
      </c>
      <c r="K22" s="11">
        <f t="shared" si="4"/>
        <v>1.9200000000000106E-2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3699237.468552711</v>
      </c>
      <c r="D23" s="25">
        <v>2.06E-2</v>
      </c>
      <c r="E23" s="10">
        <f t="shared" si="2"/>
        <v>74666.168775412254</v>
      </c>
      <c r="F23" s="10"/>
      <c r="G23" s="28"/>
      <c r="H23" s="10"/>
      <c r="I23" s="10">
        <f t="shared" si="5"/>
        <v>12857</v>
      </c>
      <c r="J23" s="10">
        <f t="shared" si="3"/>
        <v>47561096133.182205</v>
      </c>
      <c r="K23" s="11">
        <f t="shared" si="4"/>
        <v>2.0599999999999952E-2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3624571.2997772987</v>
      </c>
      <c r="D24" s="25">
        <v>2.1700000000000001E-2</v>
      </c>
      <c r="E24" s="10">
        <f t="shared" si="2"/>
        <v>76982.673196797259</v>
      </c>
      <c r="F24" s="10"/>
      <c r="G24" s="28"/>
      <c r="H24" s="10"/>
      <c r="I24" s="10">
        <f t="shared" si="5"/>
        <v>12857</v>
      </c>
      <c r="J24" s="10">
        <f t="shared" si="3"/>
        <v>46601113201.236732</v>
      </c>
      <c r="K24" s="11">
        <f t="shared" si="4"/>
        <v>2.1700000000000275E-2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3547588.6265805014</v>
      </c>
      <c r="D25" s="25">
        <v>2.3E-2</v>
      </c>
      <c r="E25" s="10">
        <f t="shared" si="2"/>
        <v>79760.05709809484</v>
      </c>
      <c r="F25" s="10"/>
      <c r="G25" s="28"/>
      <c r="H25" s="10"/>
      <c r="I25" s="10">
        <f t="shared" si="5"/>
        <v>12857</v>
      </c>
      <c r="J25" s="10">
        <f t="shared" si="3"/>
        <v>45611346971.945503</v>
      </c>
      <c r="K25" s="11">
        <f t="shared" si="4"/>
        <v>2.2999999999999687E-2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3467828.5694824066</v>
      </c>
      <c r="D26" s="25">
        <v>2.4400000000000002E-2</v>
      </c>
      <c r="E26" s="10">
        <f t="shared" si="2"/>
        <v>82599.587168460246</v>
      </c>
      <c r="F26" s="10"/>
      <c r="G26" s="28"/>
      <c r="H26" s="10"/>
      <c r="I26" s="10">
        <f t="shared" si="5"/>
        <v>12857</v>
      </c>
      <c r="J26" s="10">
        <f t="shared" si="3"/>
        <v>44585871917.835304</v>
      </c>
      <c r="K26" s="11">
        <f t="shared" si="4"/>
        <v>2.4400000000000199E-2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3385228.9823139464</v>
      </c>
      <c r="D27" s="25">
        <v>2.07E-2</v>
      </c>
      <c r="E27" s="10">
        <f t="shared" si="2"/>
        <v>68653.120342802256</v>
      </c>
      <c r="F27" s="10"/>
      <c r="G27" s="28"/>
      <c r="H27" s="10"/>
      <c r="I27" s="10">
        <f t="shared" si="5"/>
        <v>12857</v>
      </c>
      <c r="J27" s="10">
        <f t="shared" si="3"/>
        <v>43523889025.610405</v>
      </c>
      <c r="K27" s="11">
        <f t="shared" si="4"/>
        <v>2.0699999999999719E-2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3316575.8619711441</v>
      </c>
      <c r="D28" s="25">
        <v>1.5100000000000001E-2</v>
      </c>
      <c r="E28" s="10">
        <f t="shared" si="2"/>
        <v>49335.332002525683</v>
      </c>
      <c r="F28" s="10"/>
      <c r="G28" s="28"/>
      <c r="H28" s="10"/>
      <c r="I28" s="10">
        <f t="shared" si="5"/>
        <v>12857</v>
      </c>
      <c r="J28" s="10">
        <f t="shared" si="3"/>
        <v>42641215857.362999</v>
      </c>
      <c r="K28" s="11">
        <f t="shared" si="4"/>
        <v>1.5099999999999891E-2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3267240.5299686184</v>
      </c>
      <c r="D29" s="25">
        <v>1.41E-2</v>
      </c>
      <c r="E29" s="10">
        <f t="shared" si="2"/>
        <v>45427.562836561818</v>
      </c>
      <c r="F29" s="10"/>
      <c r="G29" s="28"/>
      <c r="H29" s="10"/>
      <c r="I29" s="10">
        <f t="shared" si="5"/>
        <v>12857</v>
      </c>
      <c r="J29" s="10">
        <f t="shared" si="3"/>
        <v>42006911493.806526</v>
      </c>
      <c r="K29" s="11">
        <f t="shared" si="4"/>
        <v>1.4099999999999779E-2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3221812.9671320566</v>
      </c>
      <c r="D30" s="25">
        <v>1.4200000000000001E-2</v>
      </c>
      <c r="E30" s="10">
        <f t="shared" si="2"/>
        <v>45109.193584376946</v>
      </c>
      <c r="F30" s="10"/>
      <c r="G30" s="28"/>
      <c r="H30" s="10"/>
      <c r="I30" s="10">
        <f t="shared" si="5"/>
        <v>12857</v>
      </c>
      <c r="J30" s="10">
        <f t="shared" si="3"/>
        <v>41422849318.416855</v>
      </c>
      <c r="K30" s="11">
        <f t="shared" si="4"/>
        <v>1.419999999999999E-2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3176703.7735476797</v>
      </c>
      <c r="D31" s="25">
        <v>1.4200000000000001E-2</v>
      </c>
      <c r="E31" s="10">
        <f t="shared" si="2"/>
        <v>44477.611501061823</v>
      </c>
      <c r="F31" s="10"/>
      <c r="G31" s="28"/>
      <c r="H31" s="10"/>
      <c r="I31" s="10">
        <f t="shared" si="5"/>
        <v>12857</v>
      </c>
      <c r="J31" s="10">
        <f t="shared" si="3"/>
        <v>40842880416.502518</v>
      </c>
      <c r="K31" s="11">
        <f t="shared" si="4"/>
        <v>1.419999999999999E-2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3132226.1620466178</v>
      </c>
      <c r="D32" s="25">
        <v>1.4200000000000001E-2</v>
      </c>
      <c r="E32" s="10">
        <f t="shared" si="2"/>
        <v>43854.872314200271</v>
      </c>
      <c r="F32" s="10"/>
      <c r="G32" s="28"/>
      <c r="H32" s="10"/>
      <c r="I32" s="10">
        <f t="shared" si="5"/>
        <v>12857</v>
      </c>
      <c r="J32" s="10">
        <f t="shared" si="3"/>
        <v>40271031765.433365</v>
      </c>
      <c r="K32" s="11">
        <f t="shared" si="4"/>
        <v>1.419999999999999E-2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3088371.2897324176</v>
      </c>
      <c r="D33" s="25">
        <v>1.4200000000000001E-2</v>
      </c>
      <c r="E33" s="10">
        <f t="shared" si="2"/>
        <v>43240.852212778758</v>
      </c>
      <c r="F33" s="10"/>
      <c r="G33" s="28"/>
      <c r="H33" s="10"/>
      <c r="I33" s="10">
        <f t="shared" si="5"/>
        <v>12857</v>
      </c>
      <c r="J33" s="10">
        <f t="shared" si="3"/>
        <v>39707189672.089691</v>
      </c>
      <c r="K33" s="11">
        <f t="shared" si="4"/>
        <v>1.419999999999999E-2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3045130.4375196388</v>
      </c>
      <c r="D34" s="25">
        <v>1.44E-2</v>
      </c>
      <c r="E34" s="10">
        <f t="shared" si="2"/>
        <v>43227.403687187005</v>
      </c>
      <c r="F34" s="10"/>
      <c r="G34" s="28"/>
      <c r="H34" s="10"/>
      <c r="I34" s="10">
        <f t="shared" si="5"/>
        <v>12857</v>
      </c>
      <c r="J34" s="10">
        <f t="shared" ref="J34:J65" si="6">IF(I34="","",I34*C34)</f>
        <v>39151242035.189995</v>
      </c>
      <c r="K34" s="11">
        <f t="shared" ref="K34:K65" si="7">IFERROR(J34/J35-1,"")</f>
        <v>1.4399999999999746E-2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3001903.0338324518</v>
      </c>
      <c r="D35" s="25">
        <v>1.4800000000000001E-2</v>
      </c>
      <c r="E35" s="10">
        <f t="shared" si="2"/>
        <v>43780.217679069843</v>
      </c>
      <c r="F35" s="10"/>
      <c r="G35" s="28"/>
      <c r="H35" s="10"/>
      <c r="I35" s="10">
        <f t="shared" ref="I35:I66" si="8">IF(H35&lt;&gt;"",H35,I34/(1+IF(G34="",0,G34)/100))</f>
        <v>12857</v>
      </c>
      <c r="J35" s="10">
        <f t="shared" si="6"/>
        <v>38595467305.983833</v>
      </c>
      <c r="K35" s="11">
        <f t="shared" si="7"/>
        <v>1.4799999999999924E-2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2958122.816153382</v>
      </c>
      <c r="D36" s="25">
        <v>1.49E-2</v>
      </c>
      <c r="E36" s="10">
        <f t="shared" si="2"/>
        <v>43428.938772968017</v>
      </c>
      <c r="F36" s="10"/>
      <c r="G36" s="28"/>
      <c r="H36" s="10"/>
      <c r="I36" s="10">
        <f t="shared" si="8"/>
        <v>12857</v>
      </c>
      <c r="J36" s="10">
        <f t="shared" si="6"/>
        <v>38032585047.284035</v>
      </c>
      <c r="K36" s="11">
        <f t="shared" si="7"/>
        <v>1.4900000000000135E-2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2914693.8773804139</v>
      </c>
      <c r="D37" s="25">
        <v>1.41E-2</v>
      </c>
      <c r="E37" s="10">
        <f t="shared" si="2"/>
        <v>40525.770309696905</v>
      </c>
      <c r="F37" s="10"/>
      <c r="G37" s="28"/>
      <c r="H37" s="10"/>
      <c r="I37" s="10">
        <f t="shared" si="8"/>
        <v>12857</v>
      </c>
      <c r="J37" s="10">
        <f t="shared" si="6"/>
        <v>37474219181.47998</v>
      </c>
      <c r="K37" s="11">
        <f t="shared" si="7"/>
        <v>1.4100000000000001E-2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2874168.107070717</v>
      </c>
      <c r="D38" s="25">
        <v>1.2E-2</v>
      </c>
      <c r="E38" s="10">
        <f t="shared" si="2"/>
        <v>34081.044747874141</v>
      </c>
      <c r="F38" s="10"/>
      <c r="G38" s="28"/>
      <c r="H38" s="10"/>
      <c r="I38" s="10">
        <f t="shared" si="8"/>
        <v>12857</v>
      </c>
      <c r="J38" s="10">
        <f t="shared" si="6"/>
        <v>36953179352.608208</v>
      </c>
      <c r="K38" s="11">
        <f t="shared" si="7"/>
        <v>1.2000000000000011E-2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2840087.0623228429</v>
      </c>
      <c r="D39" s="25">
        <v>1.0500000000000001E-2</v>
      </c>
      <c r="E39" s="10">
        <f t="shared" si="2"/>
        <v>29511.048148827162</v>
      </c>
      <c r="F39" s="10"/>
      <c r="G39" s="28"/>
      <c r="H39" s="10"/>
      <c r="I39" s="10">
        <f t="shared" si="8"/>
        <v>12857</v>
      </c>
      <c r="J39" s="10">
        <f t="shared" si="6"/>
        <v>36514999360.28479</v>
      </c>
      <c r="K39" s="11">
        <f t="shared" si="7"/>
        <v>1.0499999999999954E-2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2810576.0141740157</v>
      </c>
      <c r="D40" s="25">
        <v>1.06E-2</v>
      </c>
      <c r="E40" s="10">
        <f t="shared" si="2"/>
        <v>29479.621759592555</v>
      </c>
      <c r="F40" s="10"/>
      <c r="G40" s="28"/>
      <c r="H40" s="10"/>
      <c r="I40" s="10">
        <f t="shared" si="8"/>
        <v>12857</v>
      </c>
      <c r="J40" s="10">
        <f t="shared" si="6"/>
        <v>36135575814.235321</v>
      </c>
      <c r="K40" s="11">
        <f t="shared" si="7"/>
        <v>1.0599999999999943E-2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2781096.3924144232</v>
      </c>
      <c r="D41" s="25">
        <v>1.09E-2</v>
      </c>
      <c r="E41" s="10">
        <f t="shared" si="2"/>
        <v>29987.091381261125</v>
      </c>
      <c r="F41" s="10"/>
      <c r="G41" s="28"/>
      <c r="H41" s="10"/>
      <c r="I41" s="10">
        <f t="shared" si="8"/>
        <v>12857</v>
      </c>
      <c r="J41" s="10">
        <f t="shared" si="6"/>
        <v>35756556317.27224</v>
      </c>
      <c r="K41" s="11">
        <f t="shared" si="7"/>
        <v>1.089999999999991E-2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2751109.301033162</v>
      </c>
      <c r="D42" s="25">
        <v>1.18E-2</v>
      </c>
      <c r="E42" s="10">
        <f t="shared" si="2"/>
        <v>32084.492737884168</v>
      </c>
      <c r="F42" s="10"/>
      <c r="G42" s="28"/>
      <c r="H42" s="10"/>
      <c r="I42" s="10">
        <f t="shared" si="8"/>
        <v>12857</v>
      </c>
      <c r="J42" s="10">
        <f t="shared" si="6"/>
        <v>35371012283.383362</v>
      </c>
      <c r="K42" s="11">
        <f t="shared" si="7"/>
        <v>1.1799999999999811E-2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2719024.8082952779</v>
      </c>
      <c r="D43" s="25">
        <v>1.0800000000000001E-2</v>
      </c>
      <c r="E43" s="10">
        <f t="shared" si="2"/>
        <v>29051.709467341658</v>
      </c>
      <c r="F43" s="10"/>
      <c r="G43" s="28"/>
      <c r="H43" s="10"/>
      <c r="I43" s="10">
        <f t="shared" si="8"/>
        <v>12857</v>
      </c>
      <c r="J43" s="10">
        <f t="shared" si="6"/>
        <v>34958501960.252388</v>
      </c>
      <c r="K43" s="11">
        <f t="shared" si="7"/>
        <v>1.0799999999999921E-2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2689973.0988279362</v>
      </c>
      <c r="D44" s="25">
        <v>8.9999999999999993E-3</v>
      </c>
      <c r="E44" s="10">
        <f t="shared" si="2"/>
        <v>23993.813567345031</v>
      </c>
      <c r="F44" s="10"/>
      <c r="G44" s="28"/>
      <c r="H44" s="10"/>
      <c r="I44" s="10">
        <f t="shared" si="8"/>
        <v>12857</v>
      </c>
      <c r="J44" s="10">
        <f t="shared" si="6"/>
        <v>34584984131.630775</v>
      </c>
      <c r="K44" s="11">
        <f t="shared" si="7"/>
        <v>8.999999999999897E-3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2665979.2852605912</v>
      </c>
      <c r="D45" s="25">
        <v>8.3999999999999995E-3</v>
      </c>
      <c r="E45" s="10">
        <f t="shared" si="2"/>
        <v>22207.681471825577</v>
      </c>
      <c r="F45" s="10"/>
      <c r="G45" s="28"/>
      <c r="H45" s="10"/>
      <c r="I45" s="10">
        <f t="shared" si="8"/>
        <v>12857</v>
      </c>
      <c r="J45" s="10">
        <f t="shared" si="6"/>
        <v>34276495670.595421</v>
      </c>
      <c r="K45" s="11">
        <f t="shared" si="7"/>
        <v>8.3999999999999631E-3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2643771.6037887656</v>
      </c>
      <c r="D46" s="25">
        <v>1.14E-2</v>
      </c>
      <c r="E46" s="10">
        <f t="shared" si="2"/>
        <v>29799.28444056958</v>
      </c>
      <c r="F46" s="10"/>
      <c r="G46" s="28"/>
      <c r="H46" s="10"/>
      <c r="I46" s="10">
        <f t="shared" si="8"/>
        <v>12857</v>
      </c>
      <c r="J46" s="10">
        <f t="shared" si="6"/>
        <v>33990971509.912159</v>
      </c>
      <c r="K46" s="11">
        <f t="shared" si="7"/>
        <v>1.1400000000000077E-2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2613972.319348196</v>
      </c>
      <c r="D47" s="25">
        <v>2.1399999999999999E-2</v>
      </c>
      <c r="E47" s="10">
        <f t="shared" si="2"/>
        <v>54766.993963238318</v>
      </c>
      <c r="F47" s="10"/>
      <c r="G47" s="28"/>
      <c r="H47" s="10"/>
      <c r="I47" s="10">
        <f t="shared" si="8"/>
        <v>12857</v>
      </c>
      <c r="J47" s="10">
        <f t="shared" si="6"/>
        <v>33607842109.859756</v>
      </c>
      <c r="K47" s="11">
        <f t="shared" si="7"/>
        <v>2.1400000000000086E-2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2559205.3253849577</v>
      </c>
      <c r="D48" s="25">
        <v>3.09E-2</v>
      </c>
      <c r="E48" s="10">
        <f t="shared" si="2"/>
        <v>76709.132364336867</v>
      </c>
      <c r="F48" s="10"/>
      <c r="G48" s="28"/>
      <c r="H48" s="10"/>
      <c r="I48" s="10">
        <f t="shared" si="8"/>
        <v>12857</v>
      </c>
      <c r="J48" s="10">
        <f t="shared" si="6"/>
        <v>32903702868.4744</v>
      </c>
      <c r="K48" s="11">
        <f t="shared" si="7"/>
        <v>3.0899999999999705E-2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2482496.1930206208</v>
      </c>
      <c r="D49" s="25">
        <v>3.3599999999999998E-2</v>
      </c>
      <c r="E49" s="10">
        <f t="shared" si="2"/>
        <v>80700.340639989357</v>
      </c>
      <c r="F49" s="10"/>
      <c r="G49" s="28"/>
      <c r="H49" s="10"/>
      <c r="I49" s="10">
        <f t="shared" si="8"/>
        <v>12857</v>
      </c>
      <c r="J49" s="10">
        <f t="shared" si="6"/>
        <v>31917453553.666122</v>
      </c>
      <c r="K49" s="11">
        <f t="shared" si="7"/>
        <v>3.3600000000000074E-2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2401795.8523806315</v>
      </c>
      <c r="D50" s="25">
        <v>3.3500000000000002E-2</v>
      </c>
      <c r="E50" s="10">
        <f t="shared" si="2"/>
        <v>77852.115195695776</v>
      </c>
      <c r="F50" s="10"/>
      <c r="G50" s="28"/>
      <c r="H50" s="10"/>
      <c r="I50" s="10">
        <f t="shared" si="8"/>
        <v>12857</v>
      </c>
      <c r="J50" s="10">
        <f t="shared" si="6"/>
        <v>30879889274.057777</v>
      </c>
      <c r="K50" s="11">
        <f t="shared" si="7"/>
        <v>3.3500000000000085E-2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2323943.7371849357</v>
      </c>
      <c r="D51" s="25">
        <v>3.3300000000000003E-2</v>
      </c>
      <c r="E51" s="10">
        <f t="shared" si="2"/>
        <v>74893.376994346734</v>
      </c>
      <c r="F51" s="10"/>
      <c r="G51" s="28"/>
      <c r="H51" s="10"/>
      <c r="I51" s="10">
        <f t="shared" si="8"/>
        <v>12857</v>
      </c>
      <c r="J51" s="10">
        <f t="shared" si="6"/>
        <v>29878944628.986717</v>
      </c>
      <c r="K51" s="11">
        <f t="shared" si="7"/>
        <v>3.3300000000000107E-2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2249050.360190589</v>
      </c>
      <c r="D52" s="25">
        <v>3.32E-2</v>
      </c>
      <c r="E52" s="10">
        <f t="shared" si="2"/>
        <v>72269.13662246149</v>
      </c>
      <c r="F52" s="10"/>
      <c r="G52" s="28"/>
      <c r="H52" s="10"/>
      <c r="I52" s="10">
        <f t="shared" si="8"/>
        <v>12857</v>
      </c>
      <c r="J52" s="10">
        <f t="shared" si="6"/>
        <v>28916040480.970402</v>
      </c>
      <c r="K52" s="11">
        <f t="shared" si="7"/>
        <v>3.3199999999999674E-2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2176781.2235681275</v>
      </c>
      <c r="D53" s="25">
        <v>3.3099999999999997E-2</v>
      </c>
      <c r="E53" s="10">
        <f t="shared" si="2"/>
        <v>69742.966315075755</v>
      </c>
      <c r="F53" s="10"/>
      <c r="G53" s="28"/>
      <c r="H53" s="10"/>
      <c r="I53" s="10">
        <f t="shared" si="8"/>
        <v>12857</v>
      </c>
      <c r="J53" s="10">
        <f t="shared" si="6"/>
        <v>27986876191.415417</v>
      </c>
      <c r="K53" s="11">
        <f t="shared" si="7"/>
        <v>3.3099999999999907E-2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2107038.2572530517</v>
      </c>
      <c r="D54" s="25">
        <v>3.3300000000000003E-2</v>
      </c>
      <c r="E54" s="10">
        <f t="shared" si="2"/>
        <v>67903.197490106337</v>
      </c>
      <c r="F54" s="10"/>
      <c r="G54" s="28"/>
      <c r="H54" s="10"/>
      <c r="I54" s="10">
        <f t="shared" si="8"/>
        <v>12857</v>
      </c>
      <c r="J54" s="10">
        <f t="shared" si="6"/>
        <v>27090190873.502487</v>
      </c>
      <c r="K54" s="11">
        <f t="shared" si="7"/>
        <v>3.3300000000000107E-2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2039135.0597629454</v>
      </c>
      <c r="D55" s="25">
        <v>3.3599999999999998E-2</v>
      </c>
      <c r="E55" s="10">
        <f t="shared" si="2"/>
        <v>66287.672221396118</v>
      </c>
      <c r="F55" s="10"/>
      <c r="G55" s="28"/>
      <c r="H55" s="10"/>
      <c r="I55" s="10">
        <f t="shared" si="8"/>
        <v>12857</v>
      </c>
      <c r="J55" s="10">
        <f t="shared" si="6"/>
        <v>26217159463.372189</v>
      </c>
      <c r="K55" s="11">
        <f t="shared" si="7"/>
        <v>3.3600000000000074E-2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1972847.3875415493</v>
      </c>
      <c r="D56" s="25">
        <v>3.1800000000000002E-2</v>
      </c>
      <c r="E56" s="10">
        <f t="shared" si="2"/>
        <v>60803.011168658035</v>
      </c>
      <c r="F56" s="10"/>
      <c r="G56" s="28"/>
      <c r="H56" s="10"/>
      <c r="I56" s="10">
        <f t="shared" si="8"/>
        <v>12857</v>
      </c>
      <c r="J56" s="10">
        <f t="shared" si="6"/>
        <v>25364898861.6217</v>
      </c>
      <c r="K56" s="11">
        <f t="shared" si="7"/>
        <v>3.180000000000005E-2</v>
      </c>
      <c r="L56" t="s">
        <v>127</v>
      </c>
      <c r="M56" t="s">
        <v>128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1912044.3763728912</v>
      </c>
      <c r="D57" s="25">
        <v>2.41E-2</v>
      </c>
      <c r="E57" s="10">
        <f t="shared" si="2"/>
        <v>44995.869027035078</v>
      </c>
      <c r="F57" s="10"/>
      <c r="G57" s="28"/>
      <c r="H57" s="10"/>
      <c r="I57" s="10">
        <f t="shared" si="8"/>
        <v>12857</v>
      </c>
      <c r="J57" s="10">
        <f t="shared" si="6"/>
        <v>24583154547.026264</v>
      </c>
      <c r="K57" s="11">
        <f t="shared" si="7"/>
        <v>2.410000000000001E-2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1867048.5073458562</v>
      </c>
      <c r="D58" s="25">
        <v>1.78E-2</v>
      </c>
      <c r="E58" s="10">
        <f t="shared" si="2"/>
        <v>32652.253321631346</v>
      </c>
      <c r="F58" s="10"/>
      <c r="G58" s="28"/>
      <c r="H58" s="10"/>
      <c r="I58" s="10">
        <f t="shared" si="8"/>
        <v>12857</v>
      </c>
      <c r="J58" s="10">
        <f t="shared" si="6"/>
        <v>24004642658.945671</v>
      </c>
      <c r="K58" s="11">
        <f t="shared" si="7"/>
        <v>1.7800000000000038E-2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1834396.2540242248</v>
      </c>
      <c r="D59" s="25">
        <v>1.61E-2</v>
      </c>
      <c r="E59" s="10">
        <f t="shared" si="2"/>
        <v>29065.819987983443</v>
      </c>
      <c r="F59" s="10"/>
      <c r="G59" s="28"/>
      <c r="H59" s="10"/>
      <c r="I59" s="10">
        <f t="shared" si="8"/>
        <v>12857</v>
      </c>
      <c r="J59" s="10">
        <f t="shared" si="6"/>
        <v>23584832637.98946</v>
      </c>
      <c r="K59" s="11">
        <f t="shared" si="7"/>
        <v>1.6100000000000225E-2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1805330.4340362414</v>
      </c>
      <c r="D60" s="25">
        <v>1.4E-2</v>
      </c>
      <c r="E60" s="10">
        <f t="shared" si="2"/>
        <v>24925.666742117843</v>
      </c>
      <c r="F60" s="10"/>
      <c r="G60" s="28"/>
      <c r="H60" s="10"/>
      <c r="I60" s="10">
        <f t="shared" si="8"/>
        <v>12857</v>
      </c>
      <c r="J60" s="10">
        <f t="shared" si="6"/>
        <v>23211133390.403954</v>
      </c>
      <c r="K60" s="11">
        <f t="shared" si="7"/>
        <v>1.4000000000000012E-2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1780404.7672941235</v>
      </c>
      <c r="D61" s="25">
        <v>1.23E-2</v>
      </c>
      <c r="E61" s="10">
        <f t="shared" si="2"/>
        <v>21632.894041013205</v>
      </c>
      <c r="F61" s="10"/>
      <c r="G61" s="28"/>
      <c r="H61" s="10"/>
      <c r="I61" s="10">
        <f t="shared" si="8"/>
        <v>12857</v>
      </c>
      <c r="J61" s="10">
        <f t="shared" si="6"/>
        <v>22890664093.100548</v>
      </c>
      <c r="K61" s="11">
        <f t="shared" si="7"/>
        <v>1.2299999999999978E-2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1758771.8732531103</v>
      </c>
      <c r="D62" s="25">
        <v>1.14E-2</v>
      </c>
      <c r="E62" s="10">
        <f t="shared" si="2"/>
        <v>19824.005690217018</v>
      </c>
      <c r="F62" s="10"/>
      <c r="G62" s="28"/>
      <c r="H62" s="10"/>
      <c r="I62" s="10">
        <f t="shared" si="8"/>
        <v>12857</v>
      </c>
      <c r="J62" s="10">
        <f t="shared" si="6"/>
        <v>22612529974.415241</v>
      </c>
      <c r="K62" s="11">
        <f t="shared" si="7"/>
        <v>1.1400000000000077E-2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1738947.8675628933</v>
      </c>
      <c r="D63" s="25">
        <v>1.0699999999999999E-2</v>
      </c>
      <c r="E63" s="10">
        <f t="shared" si="2"/>
        <v>18409.75777473324</v>
      </c>
      <c r="F63" s="10"/>
      <c r="G63" s="28"/>
      <c r="H63" s="10"/>
      <c r="I63" s="10">
        <f t="shared" si="8"/>
        <v>12857</v>
      </c>
      <c r="J63" s="10">
        <f t="shared" si="6"/>
        <v>22357652733.256119</v>
      </c>
      <c r="K63" s="11">
        <f t="shared" si="7"/>
        <v>1.0699999999999932E-2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1720538.1097881601</v>
      </c>
      <c r="D64" s="25">
        <v>1.0500000000000001E-2</v>
      </c>
      <c r="E64" s="10">
        <f t="shared" si="2"/>
        <v>17877.931868159911</v>
      </c>
      <c r="F64" s="10"/>
      <c r="G64" s="28"/>
      <c r="H64" s="10"/>
      <c r="I64" s="10">
        <f t="shared" si="8"/>
        <v>12857</v>
      </c>
      <c r="J64" s="10">
        <f t="shared" si="6"/>
        <v>22120958477.546375</v>
      </c>
      <c r="K64" s="11">
        <f t="shared" si="7"/>
        <v>1.0499999999999954E-2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1702660.1779200002</v>
      </c>
      <c r="D65" s="25">
        <v>1.12E-2</v>
      </c>
      <c r="E65" s="10">
        <f t="shared" si="2"/>
        <v>18858.577920000069</v>
      </c>
      <c r="F65" s="10"/>
      <c r="G65" s="28"/>
      <c r="H65" s="10"/>
      <c r="I65" s="10">
        <f t="shared" si="8"/>
        <v>12857</v>
      </c>
      <c r="J65" s="10">
        <f t="shared" si="6"/>
        <v>21891101907.517441</v>
      </c>
      <c r="K65" s="11">
        <f t="shared" si="7"/>
        <v>1.1200000000000099E-2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1683801.6</v>
      </c>
      <c r="D66" s="25">
        <v>1.1900000000000001E-2</v>
      </c>
      <c r="E66" s="10">
        <f t="shared" si="2"/>
        <v>19801.600000000093</v>
      </c>
      <c r="F66" s="10"/>
      <c r="G66" s="28"/>
      <c r="H66" s="10"/>
      <c r="I66" s="10">
        <f t="shared" si="8"/>
        <v>12857</v>
      </c>
      <c r="J66" s="10">
        <f t="shared" ref="J66:J67" si="9">IF(I66="","",I66*C66)</f>
        <v>21648637171.200001</v>
      </c>
      <c r="K66" s="11">
        <f t="shared" ref="K66" si="10">IFERROR(J66/J67-1,"")</f>
        <v>1.1900000000000022E-2</v>
      </c>
    </row>
    <row r="67" spans="1:11" ht="22.5" customHeight="1">
      <c r="A67" s="3">
        <f t="shared" si="0"/>
        <v>1950</v>
      </c>
      <c r="B67" s="3">
        <v>1700</v>
      </c>
      <c r="C67" s="10">
        <v>1664000</v>
      </c>
      <c r="D67" s="25">
        <v>1.1599999999999999E-2</v>
      </c>
      <c r="E67" s="3" t="s">
        <v>72</v>
      </c>
      <c r="F67" s="10"/>
      <c r="G67" s="28"/>
      <c r="H67" s="10"/>
      <c r="I67" s="10">
        <f t="shared" ref="I67" si="11">IF(H67&lt;&gt;"",H67,I66/(1+IF(G66="",0,G66)/100))</f>
        <v>12857</v>
      </c>
      <c r="J67" s="10">
        <f t="shared" si="9"/>
        <v>21394048000</v>
      </c>
      <c r="K67" s="11"/>
    </row>
  </sheetData>
  <dataValidations count="1">
    <dataValidation type="custom" allowBlank="1" showDropDown="1" sqref="D2:D67" xr:uid="{00000000-0002-0000-2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7181191.2628598064</v>
      </c>
      <c r="D2" s="11">
        <v>2.5000000000000001E-2</v>
      </c>
      <c r="E2" s="10">
        <f t="shared" ref="E2:E66" si="2">SUM(C2-C3)</f>
        <v>175151.00641121436</v>
      </c>
      <c r="F2" s="15">
        <v>7181169</v>
      </c>
      <c r="G2" s="28"/>
      <c r="H2" s="10"/>
      <c r="I2" s="10">
        <f>IF(H2&lt;&gt;"",H2,3532)</f>
        <v>3532</v>
      </c>
      <c r="J2" s="10">
        <f t="shared" ref="J2:J33" si="3">IF(I2="","",I2*C2)</f>
        <v>25363967540.420837</v>
      </c>
      <c r="K2" s="11">
        <f t="shared" ref="K2:K33" si="4">IFERROR(J2/J3-1,"")</f>
        <v>2.4999999999999911E-2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7006040.2564485921</v>
      </c>
      <c r="D3" s="11">
        <v>2.5000000000000001E-2</v>
      </c>
      <c r="E3" s="10">
        <f t="shared" si="2"/>
        <v>170879.03064508736</v>
      </c>
      <c r="F3" s="3"/>
      <c r="G3" s="28"/>
      <c r="H3" s="10"/>
      <c r="I3" s="10">
        <f t="shared" ref="I3:I34" si="5">IF(H3&lt;&gt;"",H3,I2/(1+IF(G2="",0,G2)/100))</f>
        <v>3532</v>
      </c>
      <c r="J3" s="10">
        <f t="shared" si="3"/>
        <v>24745334185.776428</v>
      </c>
      <c r="K3" s="11">
        <f t="shared" si="4"/>
        <v>2.4999999999999911E-2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6835161.2258035047</v>
      </c>
      <c r="D4" s="11">
        <v>2.5100000000000001E-2</v>
      </c>
      <c r="E4" s="10">
        <f t="shared" si="2"/>
        <v>167361.76643026713</v>
      </c>
      <c r="F4" s="3"/>
      <c r="G4" s="28"/>
      <c r="H4" s="10"/>
      <c r="I4" s="10">
        <f t="shared" si="5"/>
        <v>3532</v>
      </c>
      <c r="J4" s="10">
        <f t="shared" si="3"/>
        <v>24141789449.537979</v>
      </c>
      <c r="K4" s="11">
        <f t="shared" si="4"/>
        <v>2.50999999999999E-2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6667799.4593732376</v>
      </c>
      <c r="D5" s="11">
        <v>2.5399999999999999E-2</v>
      </c>
      <c r="E5" s="10">
        <f t="shared" si="2"/>
        <v>165166.86782531813</v>
      </c>
      <c r="F5" s="3"/>
      <c r="G5" s="28"/>
      <c r="H5" s="10"/>
      <c r="I5" s="10">
        <f t="shared" si="5"/>
        <v>3532</v>
      </c>
      <c r="J5" s="10">
        <f t="shared" si="3"/>
        <v>23550667690.506275</v>
      </c>
      <c r="K5" s="11">
        <f t="shared" si="4"/>
        <v>2.5400000000000089E-2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6502632.5915479194</v>
      </c>
      <c r="D6" s="11">
        <v>2.58E-2</v>
      </c>
      <c r="E6" s="10">
        <f t="shared" si="2"/>
        <v>163548.37284259778</v>
      </c>
      <c r="F6" s="3"/>
      <c r="G6" s="28"/>
      <c r="H6" s="10"/>
      <c r="I6" s="10">
        <f t="shared" si="5"/>
        <v>3532</v>
      </c>
      <c r="J6" s="10">
        <f t="shared" si="3"/>
        <v>22967298313.347252</v>
      </c>
      <c r="K6" s="11">
        <f t="shared" si="4"/>
        <v>2.5800000000000045E-2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6339084.2187053217</v>
      </c>
      <c r="D7" s="11">
        <v>2.6200000000000001E-2</v>
      </c>
      <c r="E7" s="10">
        <f t="shared" si="2"/>
        <v>161843.70154948253</v>
      </c>
      <c r="F7" s="3"/>
      <c r="G7" s="28"/>
      <c r="H7" s="10"/>
      <c r="I7" s="10">
        <f t="shared" si="5"/>
        <v>3532</v>
      </c>
      <c r="J7" s="10">
        <f t="shared" si="3"/>
        <v>22389645460.467197</v>
      </c>
      <c r="K7" s="11">
        <f t="shared" si="4"/>
        <v>2.6200000000000001E-2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6177240.5171558391</v>
      </c>
      <c r="D8" s="11">
        <v>2.6700000000000002E-2</v>
      </c>
      <c r="E8" s="10">
        <f t="shared" si="2"/>
        <v>160643.1497107828</v>
      </c>
      <c r="F8" s="3"/>
      <c r="G8" s="28"/>
      <c r="H8" s="10"/>
      <c r="I8" s="10">
        <f t="shared" si="5"/>
        <v>3532</v>
      </c>
      <c r="J8" s="10">
        <f t="shared" si="3"/>
        <v>21818013506.594425</v>
      </c>
      <c r="K8" s="11">
        <f t="shared" si="4"/>
        <v>2.6700000000000168E-2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6016597.3674450563</v>
      </c>
      <c r="D9" s="11">
        <v>2.7199999999999998E-2</v>
      </c>
      <c r="E9" s="10">
        <f t="shared" si="2"/>
        <v>159317.99882642645</v>
      </c>
      <c r="F9" s="3"/>
      <c r="G9" s="28"/>
      <c r="H9" s="10"/>
      <c r="I9" s="10">
        <f t="shared" si="5"/>
        <v>3532</v>
      </c>
      <c r="J9" s="10">
        <f t="shared" si="3"/>
        <v>21250621901.815937</v>
      </c>
      <c r="K9" s="11">
        <f t="shared" si="4"/>
        <v>2.7199999999999669E-2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5857279.3686186299</v>
      </c>
      <c r="D10" s="11">
        <v>2.7799999999999998E-2</v>
      </c>
      <c r="E10" s="10">
        <f t="shared" si="2"/>
        <v>158428.06620704196</v>
      </c>
      <c r="F10" s="3"/>
      <c r="G10" s="28"/>
      <c r="H10" s="10"/>
      <c r="I10" s="10">
        <f t="shared" si="5"/>
        <v>3532</v>
      </c>
      <c r="J10" s="10">
        <f t="shared" si="3"/>
        <v>20687910729.961002</v>
      </c>
      <c r="K10" s="11">
        <f t="shared" si="4"/>
        <v>2.7800000000000047E-2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5698851.3024115879</v>
      </c>
      <c r="D11" s="11">
        <v>2.8500000000000001E-2</v>
      </c>
      <c r="E11" s="10">
        <f t="shared" si="2"/>
        <v>157916.63793751132</v>
      </c>
      <c r="F11" s="3"/>
      <c r="G11" s="28"/>
      <c r="H11" s="10"/>
      <c r="I11" s="10">
        <f t="shared" si="5"/>
        <v>3532</v>
      </c>
      <c r="J11" s="10">
        <f t="shared" si="3"/>
        <v>20128342800.117729</v>
      </c>
      <c r="K11" s="11">
        <f t="shared" si="4"/>
        <v>2.849999999999997E-2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5540934.6644740766</v>
      </c>
      <c r="D12" s="11">
        <v>2.9100000000000001E-2</v>
      </c>
      <c r="E12" s="10">
        <f t="shared" si="2"/>
        <v>156681.75953376293</v>
      </c>
      <c r="F12" s="3"/>
      <c r="G12" s="28"/>
      <c r="H12" s="10"/>
      <c r="I12" s="10">
        <f t="shared" si="5"/>
        <v>3532</v>
      </c>
      <c r="J12" s="10">
        <f t="shared" si="3"/>
        <v>19570581234.92244</v>
      </c>
      <c r="K12" s="11">
        <f t="shared" si="4"/>
        <v>2.9100000000000126E-2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5384252.9049403137</v>
      </c>
      <c r="D13" s="11">
        <v>2.9700000000000001E-2</v>
      </c>
      <c r="E13" s="10">
        <f t="shared" si="2"/>
        <v>155299.9041242376</v>
      </c>
      <c r="F13" s="3"/>
      <c r="G13" s="28"/>
      <c r="H13" s="10"/>
      <c r="I13" s="10">
        <f t="shared" si="5"/>
        <v>3532</v>
      </c>
      <c r="J13" s="10">
        <f t="shared" si="3"/>
        <v>19017181260.249187</v>
      </c>
      <c r="K13" s="11">
        <f t="shared" si="4"/>
        <v>2.970000000000006E-2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5228953.0008160761</v>
      </c>
      <c r="D14" s="11">
        <v>3.0300000000000001E-2</v>
      </c>
      <c r="E14" s="10">
        <f t="shared" si="2"/>
        <v>153777.80833225977</v>
      </c>
      <c r="F14" s="3"/>
      <c r="G14" s="28"/>
      <c r="H14" s="10"/>
      <c r="I14" s="10">
        <f t="shared" si="5"/>
        <v>3532</v>
      </c>
      <c r="J14" s="10">
        <f t="shared" si="3"/>
        <v>18468661998.882381</v>
      </c>
      <c r="K14" s="11">
        <f t="shared" si="4"/>
        <v>3.0299999999999994E-2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5075175.1924838163</v>
      </c>
      <c r="D15" s="11">
        <v>3.0800000000000001E-2</v>
      </c>
      <c r="E15" s="10">
        <f t="shared" si="2"/>
        <v>151644.73799815774</v>
      </c>
      <c r="F15" s="3"/>
      <c r="G15" s="28"/>
      <c r="H15" s="10"/>
      <c r="I15" s="10">
        <f t="shared" si="5"/>
        <v>3532</v>
      </c>
      <c r="J15" s="10">
        <f t="shared" si="3"/>
        <v>17925518779.85284</v>
      </c>
      <c r="K15" s="11">
        <f t="shared" si="4"/>
        <v>3.0799999999999939E-2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4923530.4544856586</v>
      </c>
      <c r="D16" s="11">
        <v>3.1099999999999999E-2</v>
      </c>
      <c r="E16" s="10">
        <f t="shared" si="2"/>
        <v>148503.34316216037</v>
      </c>
      <c r="F16" s="3"/>
      <c r="G16" s="28"/>
      <c r="H16" s="10"/>
      <c r="I16" s="10">
        <f t="shared" si="5"/>
        <v>3532</v>
      </c>
      <c r="J16" s="10">
        <f t="shared" si="3"/>
        <v>17389909565.243347</v>
      </c>
      <c r="K16" s="11">
        <f t="shared" si="4"/>
        <v>3.1099999999999905E-2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4775027.1113234982</v>
      </c>
      <c r="D17" s="11">
        <v>3.1199999999999999E-2</v>
      </c>
      <c r="E17" s="10">
        <f t="shared" si="2"/>
        <v>144473.27955129277</v>
      </c>
      <c r="F17" s="3"/>
      <c r="G17" s="28"/>
      <c r="H17" s="10"/>
      <c r="I17" s="10">
        <f t="shared" si="5"/>
        <v>3532</v>
      </c>
      <c r="J17" s="10">
        <f t="shared" si="3"/>
        <v>16865395757.194595</v>
      </c>
      <c r="K17" s="11">
        <f t="shared" si="4"/>
        <v>3.1199999999999894E-2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4630553.8317722054</v>
      </c>
      <c r="D18" s="11">
        <v>3.1199999999999999E-2</v>
      </c>
      <c r="E18" s="10">
        <f t="shared" si="2"/>
        <v>140102.09421188198</v>
      </c>
      <c r="F18" s="3"/>
      <c r="G18" s="28"/>
      <c r="H18" s="10"/>
      <c r="I18" s="10">
        <f t="shared" si="5"/>
        <v>3532</v>
      </c>
      <c r="J18" s="10">
        <f t="shared" si="3"/>
        <v>16355116133.819429</v>
      </c>
      <c r="K18" s="11">
        <f t="shared" si="4"/>
        <v>3.1199999999999894E-2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4490451.7375603234</v>
      </c>
      <c r="D19" s="11">
        <v>3.1199999999999999E-2</v>
      </c>
      <c r="E19" s="10">
        <f t="shared" si="2"/>
        <v>135863.16351035889</v>
      </c>
      <c r="F19" s="3"/>
      <c r="G19" s="28"/>
      <c r="H19" s="10"/>
      <c r="I19" s="10">
        <f t="shared" si="5"/>
        <v>3532</v>
      </c>
      <c r="J19" s="10">
        <f t="shared" si="3"/>
        <v>15860275537.063063</v>
      </c>
      <c r="K19" s="11">
        <f t="shared" si="4"/>
        <v>3.1199999999999894E-2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4354588.5740499645</v>
      </c>
      <c r="D20" s="11">
        <v>3.1300000000000001E-2</v>
      </c>
      <c r="E20" s="10">
        <f t="shared" si="2"/>
        <v>132161.95323161501</v>
      </c>
      <c r="F20" s="3"/>
      <c r="G20" s="28"/>
      <c r="H20" s="10"/>
      <c r="I20" s="10">
        <f t="shared" si="5"/>
        <v>3532</v>
      </c>
      <c r="J20" s="10">
        <f t="shared" si="3"/>
        <v>15380406843.544476</v>
      </c>
      <c r="K20" s="11">
        <f t="shared" si="4"/>
        <v>3.1300000000000328E-2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4222426.6208183495</v>
      </c>
      <c r="D21" s="11">
        <v>3.1300000000000001E-2</v>
      </c>
      <c r="E21" s="10">
        <f t="shared" si="2"/>
        <v>128150.83218424767</v>
      </c>
      <c r="F21" s="3"/>
      <c r="G21" s="28"/>
      <c r="H21" s="10"/>
      <c r="I21" s="10">
        <f t="shared" si="5"/>
        <v>3532</v>
      </c>
      <c r="J21" s="10">
        <f t="shared" si="3"/>
        <v>14913610824.73041</v>
      </c>
      <c r="K21" s="11">
        <f t="shared" si="4"/>
        <v>3.1299999999999883E-2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4094275.7886341019</v>
      </c>
      <c r="D22" s="11">
        <v>3.15E-2</v>
      </c>
      <c r="E22" s="10">
        <f t="shared" si="2"/>
        <v>125031.20440327143</v>
      </c>
      <c r="F22" s="3"/>
      <c r="G22" s="28"/>
      <c r="H22" s="10"/>
      <c r="I22" s="10">
        <f t="shared" si="5"/>
        <v>3532</v>
      </c>
      <c r="J22" s="10">
        <f t="shared" si="3"/>
        <v>14460982085.455648</v>
      </c>
      <c r="K22" s="11">
        <f t="shared" si="4"/>
        <v>3.1500000000000083E-2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3969244.5842308304</v>
      </c>
      <c r="D23" s="11">
        <v>3.1699999999999999E-2</v>
      </c>
      <c r="E23" s="10">
        <f t="shared" si="2"/>
        <v>121958.95446362067</v>
      </c>
      <c r="F23" s="3"/>
      <c r="G23" s="28"/>
      <c r="H23" s="10"/>
      <c r="I23" s="10">
        <f t="shared" si="5"/>
        <v>3532</v>
      </c>
      <c r="J23" s="10">
        <f t="shared" si="3"/>
        <v>14019371871.503294</v>
      </c>
      <c r="K23" s="11">
        <f t="shared" si="4"/>
        <v>3.1700000000000061E-2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3847285.6297672098</v>
      </c>
      <c r="D24" s="11">
        <v>3.1899999999999998E-2</v>
      </c>
      <c r="E24" s="10">
        <f t="shared" si="2"/>
        <v>118934.4040988218</v>
      </c>
      <c r="F24" s="3"/>
      <c r="G24" s="28"/>
      <c r="H24" s="10"/>
      <c r="I24" s="10">
        <f t="shared" si="5"/>
        <v>3532</v>
      </c>
      <c r="J24" s="10">
        <f t="shared" si="3"/>
        <v>13588612844.337786</v>
      </c>
      <c r="K24" s="11">
        <f t="shared" si="4"/>
        <v>3.1900000000000039E-2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3728351.225668388</v>
      </c>
      <c r="D25" s="11">
        <v>3.2099999999999997E-2</v>
      </c>
      <c r="E25" s="10">
        <f t="shared" si="2"/>
        <v>115957.82806312898</v>
      </c>
      <c r="F25" s="3"/>
      <c r="G25" s="28"/>
      <c r="H25" s="10"/>
      <c r="I25" s="10">
        <f t="shared" si="5"/>
        <v>3532</v>
      </c>
      <c r="J25" s="10">
        <f t="shared" si="3"/>
        <v>13168536529.060747</v>
      </c>
      <c r="K25" s="11">
        <f t="shared" si="4"/>
        <v>3.2100000000000239E-2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3612393.397605259</v>
      </c>
      <c r="D26" s="11">
        <v>3.2199999999999999E-2</v>
      </c>
      <c r="E26" s="10">
        <f t="shared" si="2"/>
        <v>112690.43538353918</v>
      </c>
      <c r="F26" s="3"/>
      <c r="G26" s="28"/>
      <c r="H26" s="10"/>
      <c r="I26" s="10">
        <f t="shared" si="5"/>
        <v>3532</v>
      </c>
      <c r="J26" s="10">
        <f t="shared" si="3"/>
        <v>12758973480.341774</v>
      </c>
      <c r="K26" s="11">
        <f t="shared" si="4"/>
        <v>3.2200000000000006E-2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3499702.9622217198</v>
      </c>
      <c r="D27" s="11">
        <v>3.2300000000000002E-2</v>
      </c>
      <c r="E27" s="10">
        <f t="shared" si="2"/>
        <v>109503.44442483922</v>
      </c>
      <c r="F27" s="3"/>
      <c r="G27" s="28"/>
      <c r="H27" s="10"/>
      <c r="I27" s="10">
        <f t="shared" si="5"/>
        <v>3532</v>
      </c>
      <c r="J27" s="10">
        <f t="shared" si="3"/>
        <v>12360950862.567114</v>
      </c>
      <c r="K27" s="11">
        <f t="shared" si="4"/>
        <v>3.2299999999999995E-2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3390199.5177968806</v>
      </c>
      <c r="D28" s="11">
        <v>3.2300000000000002E-2</v>
      </c>
      <c r="E28" s="10">
        <f t="shared" si="2"/>
        <v>106077.15240224684</v>
      </c>
      <c r="F28" s="3"/>
      <c r="G28" s="28"/>
      <c r="H28" s="10"/>
      <c r="I28" s="10">
        <f t="shared" si="5"/>
        <v>3532</v>
      </c>
      <c r="J28" s="10">
        <f t="shared" si="3"/>
        <v>11974184696.858582</v>
      </c>
      <c r="K28" s="11">
        <f t="shared" si="4"/>
        <v>3.2299999999999995E-2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3284122.3653946337</v>
      </c>
      <c r="D29" s="11">
        <v>3.2099999999999997E-2</v>
      </c>
      <c r="E29" s="10">
        <f t="shared" si="2"/>
        <v>102141.58311129501</v>
      </c>
      <c r="F29" s="3"/>
      <c r="G29" s="28"/>
      <c r="H29" s="10"/>
      <c r="I29" s="10">
        <f t="shared" si="5"/>
        <v>3532</v>
      </c>
      <c r="J29" s="10">
        <f t="shared" si="3"/>
        <v>11599520194.573847</v>
      </c>
      <c r="K29" s="11">
        <f t="shared" si="4"/>
        <v>3.2100000000000017E-2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3181980.7822833387</v>
      </c>
      <c r="D30" s="11">
        <v>3.1800000000000002E-2</v>
      </c>
      <c r="E30" s="10">
        <f t="shared" si="2"/>
        <v>98068.413332632743</v>
      </c>
      <c r="F30" s="3"/>
      <c r="G30" s="28"/>
      <c r="H30" s="10"/>
      <c r="I30" s="10">
        <f t="shared" si="5"/>
        <v>3532</v>
      </c>
      <c r="J30" s="10">
        <f t="shared" si="3"/>
        <v>11238756123.024752</v>
      </c>
      <c r="K30" s="11">
        <f t="shared" si="4"/>
        <v>3.180000000000005E-2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3083912.368950706</v>
      </c>
      <c r="D31" s="11">
        <v>3.1300000000000001E-2</v>
      </c>
      <c r="E31" s="10">
        <f t="shared" si="2"/>
        <v>93596.87496185163</v>
      </c>
      <c r="F31" s="3"/>
      <c r="G31" s="28"/>
      <c r="H31" s="10"/>
      <c r="I31" s="10">
        <f t="shared" si="5"/>
        <v>3532</v>
      </c>
      <c r="J31" s="10">
        <f t="shared" si="3"/>
        <v>10892378487.133894</v>
      </c>
      <c r="K31" s="11">
        <f t="shared" si="4"/>
        <v>3.1300000000000328E-2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2990315.4939888543</v>
      </c>
      <c r="D32" s="11">
        <v>3.09E-2</v>
      </c>
      <c r="E32" s="10">
        <f t="shared" si="2"/>
        <v>89631.146342278924</v>
      </c>
      <c r="F32" s="3"/>
      <c r="G32" s="28"/>
      <c r="H32" s="10"/>
      <c r="I32" s="10">
        <f t="shared" si="5"/>
        <v>3532</v>
      </c>
      <c r="J32" s="10">
        <f t="shared" si="3"/>
        <v>10561794324.768633</v>
      </c>
      <c r="K32" s="11">
        <f t="shared" si="4"/>
        <v>3.0899999999999705E-2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2900684.3476465754</v>
      </c>
      <c r="D33" s="11">
        <v>3.0499999999999999E-2</v>
      </c>
      <c r="E33" s="10">
        <f t="shared" si="2"/>
        <v>85852.37516081566</v>
      </c>
      <c r="F33" s="3"/>
      <c r="G33" s="28"/>
      <c r="H33" s="10"/>
      <c r="I33" s="10">
        <f t="shared" si="5"/>
        <v>3532</v>
      </c>
      <c r="J33" s="10">
        <f t="shared" si="3"/>
        <v>10245217115.887705</v>
      </c>
      <c r="K33" s="11">
        <f t="shared" si="4"/>
        <v>3.0499999999999972E-2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2814831.9724857598</v>
      </c>
      <c r="D34" s="11">
        <v>3.0200000000000001E-2</v>
      </c>
      <c r="E34" s="10">
        <f t="shared" si="2"/>
        <v>82515.944058503024</v>
      </c>
      <c r="F34" s="3"/>
      <c r="G34" s="28"/>
      <c r="H34" s="10"/>
      <c r="I34" s="10">
        <f t="shared" si="5"/>
        <v>3532</v>
      </c>
      <c r="J34" s="10">
        <f t="shared" ref="J34:J65" si="6">IF(I34="","",I34*C34)</f>
        <v>9941986526.8197041</v>
      </c>
      <c r="K34" s="11">
        <f t="shared" ref="K34:K65" si="7">IFERROR(J34/J35-1,"")</f>
        <v>3.0200000000000005E-2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2732316.0284272567</v>
      </c>
      <c r="D35" s="11">
        <v>3.0099999999999998E-2</v>
      </c>
      <c r="E35" s="10">
        <f t="shared" si="2"/>
        <v>79839.542234404944</v>
      </c>
      <c r="F35" s="3"/>
      <c r="G35" s="28"/>
      <c r="H35" s="10"/>
      <c r="I35" s="10">
        <f t="shared" ref="I35:I66" si="8">IF(H35&lt;&gt;"",H35,I34/(1+IF(G34="",0,G34)/100))</f>
        <v>3532</v>
      </c>
      <c r="J35" s="10">
        <f t="shared" si="6"/>
        <v>9650540212.4050713</v>
      </c>
      <c r="K35" s="11">
        <f t="shared" si="7"/>
        <v>3.0100000000000016E-2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2652476.4861928518</v>
      </c>
      <c r="D36" s="11">
        <v>3.0099999999999998E-2</v>
      </c>
      <c r="E36" s="10">
        <f t="shared" si="2"/>
        <v>77506.593762163538</v>
      </c>
      <c r="F36" s="3"/>
      <c r="G36" s="28"/>
      <c r="H36" s="10"/>
      <c r="I36" s="10">
        <f t="shared" si="8"/>
        <v>3532</v>
      </c>
      <c r="J36" s="10">
        <f t="shared" si="6"/>
        <v>9368546949.2331524</v>
      </c>
      <c r="K36" s="11">
        <f t="shared" si="7"/>
        <v>3.0099999999999794E-2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2574969.8924306883</v>
      </c>
      <c r="D37" s="11">
        <v>3.0200000000000001E-2</v>
      </c>
      <c r="E37" s="10">
        <f t="shared" si="2"/>
        <v>75484.460057665128</v>
      </c>
      <c r="F37" s="3"/>
      <c r="G37" s="28"/>
      <c r="H37" s="10"/>
      <c r="I37" s="10">
        <f t="shared" si="8"/>
        <v>3532</v>
      </c>
      <c r="J37" s="10">
        <f t="shared" si="6"/>
        <v>9094793660.0651913</v>
      </c>
      <c r="K37" s="11">
        <f t="shared" si="7"/>
        <v>3.0200000000000005E-2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2499485.4323730231</v>
      </c>
      <c r="D38" s="11">
        <v>3.04E-2</v>
      </c>
      <c r="E38" s="10">
        <f t="shared" si="2"/>
        <v>73742.582632123493</v>
      </c>
      <c r="F38" s="3"/>
      <c r="G38" s="28"/>
      <c r="H38" s="10"/>
      <c r="I38" s="10">
        <f t="shared" si="8"/>
        <v>3532</v>
      </c>
      <c r="J38" s="10">
        <f t="shared" si="6"/>
        <v>8828182547.1415176</v>
      </c>
      <c r="K38" s="11">
        <f t="shared" si="7"/>
        <v>3.0399999999999983E-2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2425742.8497408996</v>
      </c>
      <c r="D39" s="11">
        <v>3.0599999999999999E-2</v>
      </c>
      <c r="E39" s="10">
        <f t="shared" si="2"/>
        <v>72023.802835310809</v>
      </c>
      <c r="F39" s="3"/>
      <c r="G39" s="28"/>
      <c r="H39" s="10"/>
      <c r="I39" s="10">
        <f t="shared" si="8"/>
        <v>3532</v>
      </c>
      <c r="J39" s="10">
        <f t="shared" si="6"/>
        <v>8567723745.2848577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2353719.0469055888</v>
      </c>
      <c r="D40" s="11">
        <v>3.0800000000000001E-2</v>
      </c>
      <c r="E40" s="10">
        <f t="shared" si="2"/>
        <v>70328.430970791727</v>
      </c>
      <c r="F40" s="3"/>
      <c r="G40" s="28"/>
      <c r="H40" s="10"/>
      <c r="I40" s="10">
        <f t="shared" si="8"/>
        <v>3532</v>
      </c>
      <c r="J40" s="10">
        <f t="shared" si="6"/>
        <v>8313335673.6705399</v>
      </c>
      <c r="K40" s="11">
        <f t="shared" si="7"/>
        <v>3.0799999999999939E-2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2283390.6159347971</v>
      </c>
      <c r="D41" s="11">
        <v>3.09E-2</v>
      </c>
      <c r="E41" s="10">
        <f t="shared" si="2"/>
        <v>68441.914863114711</v>
      </c>
      <c r="F41" s="3"/>
      <c r="G41" s="28"/>
      <c r="H41" s="10"/>
      <c r="I41" s="10">
        <f t="shared" si="8"/>
        <v>3532</v>
      </c>
      <c r="J41" s="10">
        <f t="shared" si="6"/>
        <v>8064935655.4817038</v>
      </c>
      <c r="K41" s="11">
        <f t="shared" si="7"/>
        <v>3.0899999999999928E-2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2214948.7010716824</v>
      </c>
      <c r="D42" s="11">
        <v>3.1099999999999999E-2</v>
      </c>
      <c r="E42" s="10">
        <f t="shared" si="2"/>
        <v>66807.20066271862</v>
      </c>
      <c r="F42" s="3"/>
      <c r="G42" s="28"/>
      <c r="H42" s="10"/>
      <c r="I42" s="10">
        <f t="shared" si="8"/>
        <v>3532</v>
      </c>
      <c r="J42" s="10">
        <f t="shared" si="6"/>
        <v>7823198812.1851826</v>
      </c>
      <c r="K42" s="11">
        <f t="shared" si="7"/>
        <v>3.1099999999999905E-2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2148141.5004089638</v>
      </c>
      <c r="D43" s="11">
        <v>3.1099999999999999E-2</v>
      </c>
      <c r="E43" s="10">
        <f t="shared" si="2"/>
        <v>64792.164351390209</v>
      </c>
      <c r="F43" s="3"/>
      <c r="G43" s="28"/>
      <c r="H43" s="10"/>
      <c r="I43" s="10">
        <f t="shared" si="8"/>
        <v>3532</v>
      </c>
      <c r="J43" s="10">
        <f t="shared" si="6"/>
        <v>7587235779.4444599</v>
      </c>
      <c r="K43" s="11">
        <f t="shared" si="7"/>
        <v>3.1099999999999905E-2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2083349.3360575736</v>
      </c>
      <c r="D44" s="11">
        <v>3.1099999999999999E-2</v>
      </c>
      <c r="E44" s="10">
        <f t="shared" si="2"/>
        <v>62837.905490631703</v>
      </c>
      <c r="F44" s="3"/>
      <c r="G44" s="28"/>
      <c r="H44" s="10"/>
      <c r="I44" s="10">
        <f t="shared" si="8"/>
        <v>3532</v>
      </c>
      <c r="J44" s="10">
        <f t="shared" si="6"/>
        <v>7358389854.9553499</v>
      </c>
      <c r="K44" s="11">
        <f t="shared" si="7"/>
        <v>3.1099999999999905E-2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2020511.4305669419</v>
      </c>
      <c r="D45" s="11">
        <v>3.1E-2</v>
      </c>
      <c r="E45" s="10">
        <f t="shared" si="2"/>
        <v>60752.526040324941</v>
      </c>
      <c r="F45" s="3"/>
      <c r="G45" s="28"/>
      <c r="H45" s="10"/>
      <c r="I45" s="10">
        <f t="shared" si="8"/>
        <v>3532</v>
      </c>
      <c r="J45" s="10">
        <f t="shared" si="6"/>
        <v>7136446372.7624388</v>
      </c>
      <c r="K45" s="11">
        <f t="shared" si="7"/>
        <v>3.0999999999999917E-2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1959758.9045266169</v>
      </c>
      <c r="D46" s="11">
        <v>3.09E-2</v>
      </c>
      <c r="E46" s="10">
        <f t="shared" si="2"/>
        <v>58741.43966424698</v>
      </c>
      <c r="F46" s="3"/>
      <c r="G46" s="28"/>
      <c r="H46" s="10"/>
      <c r="I46" s="10">
        <f t="shared" si="8"/>
        <v>3532</v>
      </c>
      <c r="J46" s="10">
        <f t="shared" si="6"/>
        <v>6921868450.7880106</v>
      </c>
      <c r="K46" s="11">
        <f t="shared" si="7"/>
        <v>3.0899999999999928E-2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1901017.4648623699</v>
      </c>
      <c r="D47" s="11">
        <v>3.0800000000000001E-2</v>
      </c>
      <c r="E47" s="10">
        <f t="shared" si="2"/>
        <v>56801.841208537808</v>
      </c>
      <c r="F47" s="3"/>
      <c r="G47" s="28"/>
      <c r="H47" s="10"/>
      <c r="I47" s="10">
        <f t="shared" si="8"/>
        <v>3532</v>
      </c>
      <c r="J47" s="10">
        <f t="shared" si="6"/>
        <v>6714393685.8938904</v>
      </c>
      <c r="K47" s="11">
        <f t="shared" si="7"/>
        <v>3.0799999999999939E-2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1844215.6236538321</v>
      </c>
      <c r="D48" s="11">
        <v>3.0599999999999999E-2</v>
      </c>
      <c r="E48" s="10">
        <f t="shared" si="2"/>
        <v>54757.42100117146</v>
      </c>
      <c r="F48" s="3"/>
      <c r="G48" s="28"/>
      <c r="H48" s="10"/>
      <c r="I48" s="10">
        <f t="shared" si="8"/>
        <v>3532</v>
      </c>
      <c r="J48" s="10">
        <f t="shared" si="6"/>
        <v>6513769582.7453346</v>
      </c>
      <c r="K48" s="11">
        <f t="shared" si="7"/>
        <v>3.0599999999999961E-2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1789458.2026526607</v>
      </c>
      <c r="D49" s="11">
        <v>3.04E-2</v>
      </c>
      <c r="E49" s="10">
        <f t="shared" si="2"/>
        <v>52794.574301864253</v>
      </c>
      <c r="F49" s="3"/>
      <c r="G49" s="28"/>
      <c r="H49" s="10"/>
      <c r="I49" s="10">
        <f t="shared" si="8"/>
        <v>3532</v>
      </c>
      <c r="J49" s="10">
        <f t="shared" si="6"/>
        <v>6320366371.7691975</v>
      </c>
      <c r="K49" s="11">
        <f t="shared" si="7"/>
        <v>3.0399999999999983E-2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1736663.6283507964</v>
      </c>
      <c r="D50" s="11">
        <v>3.0099999999999998E-2</v>
      </c>
      <c r="E50" s="10">
        <f t="shared" si="2"/>
        <v>50746.11708898074</v>
      </c>
      <c r="F50" s="3"/>
      <c r="G50" s="28"/>
      <c r="H50" s="10"/>
      <c r="I50" s="10">
        <f t="shared" si="8"/>
        <v>3532</v>
      </c>
      <c r="J50" s="10">
        <f t="shared" si="6"/>
        <v>6133895935.3350134</v>
      </c>
      <c r="K50" s="11">
        <f t="shared" si="7"/>
        <v>3.0100000000000016E-2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1685917.5112618157</v>
      </c>
      <c r="D51" s="11">
        <v>2.98E-2</v>
      </c>
      <c r="E51" s="10">
        <f t="shared" si="2"/>
        <v>48786.504015927436</v>
      </c>
      <c r="F51" s="3"/>
      <c r="G51" s="28"/>
      <c r="H51" s="10"/>
      <c r="I51" s="10">
        <f t="shared" si="8"/>
        <v>3532</v>
      </c>
      <c r="J51" s="10">
        <f t="shared" si="6"/>
        <v>5954660649.7767334</v>
      </c>
      <c r="K51" s="11">
        <f t="shared" si="7"/>
        <v>2.9800000000000049E-2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1637131.0072458882</v>
      </c>
      <c r="D52" s="11">
        <v>2.9399999999999999E-2</v>
      </c>
      <c r="E52" s="10">
        <f t="shared" si="2"/>
        <v>46756.995932610473</v>
      </c>
      <c r="F52" s="3"/>
      <c r="G52" s="28"/>
      <c r="H52" s="10"/>
      <c r="I52" s="10">
        <f t="shared" si="8"/>
        <v>3532</v>
      </c>
      <c r="J52" s="10">
        <f t="shared" si="6"/>
        <v>5782346717.5924768</v>
      </c>
      <c r="K52" s="11">
        <f t="shared" si="7"/>
        <v>2.9400000000000093E-2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1590374.0113132778</v>
      </c>
      <c r="D53" s="11">
        <v>2.9000000000000001E-2</v>
      </c>
      <c r="E53" s="10">
        <f t="shared" si="2"/>
        <v>44821.03627607855</v>
      </c>
      <c r="F53" s="3"/>
      <c r="G53" s="28"/>
      <c r="H53" s="10"/>
      <c r="I53" s="10">
        <f t="shared" si="8"/>
        <v>3532</v>
      </c>
      <c r="J53" s="10">
        <f t="shared" si="6"/>
        <v>5617201007.958497</v>
      </c>
      <c r="K53" s="11">
        <f t="shared" si="7"/>
        <v>2.8999999999999915E-2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1545552.9750371992</v>
      </c>
      <c r="D54" s="11">
        <v>2.86E-2</v>
      </c>
      <c r="E54" s="10">
        <f t="shared" si="2"/>
        <v>42973.765395745402</v>
      </c>
      <c r="F54" s="3"/>
      <c r="G54" s="28"/>
      <c r="H54" s="10"/>
      <c r="I54" s="10">
        <f t="shared" si="8"/>
        <v>3532</v>
      </c>
      <c r="J54" s="10">
        <f t="shared" si="6"/>
        <v>5458893107.8313875</v>
      </c>
      <c r="K54" s="11">
        <f t="shared" si="7"/>
        <v>2.8599999999999737E-2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1502579.2096414538</v>
      </c>
      <c r="D55" s="11">
        <v>2.8199999999999999E-2</v>
      </c>
      <c r="E55" s="10">
        <f t="shared" si="2"/>
        <v>41210.594934729626</v>
      </c>
      <c r="F55" s="3"/>
      <c r="G55" s="28"/>
      <c r="H55" s="10"/>
      <c r="I55" s="10">
        <f t="shared" si="8"/>
        <v>3532</v>
      </c>
      <c r="J55" s="10">
        <f t="shared" si="6"/>
        <v>5307109768.4536152</v>
      </c>
      <c r="K55" s="11">
        <f t="shared" si="7"/>
        <v>2.8200000000000003E-2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1461368.6147067242</v>
      </c>
      <c r="D56" s="11">
        <v>2.7799999999999998E-2</v>
      </c>
      <c r="E56" s="10">
        <f t="shared" si="2"/>
        <v>39527.19156338484</v>
      </c>
      <c r="F56" s="3"/>
      <c r="G56" s="28"/>
      <c r="H56" s="10"/>
      <c r="I56" s="10">
        <f t="shared" si="8"/>
        <v>3532</v>
      </c>
      <c r="J56" s="10">
        <f t="shared" si="6"/>
        <v>5161553947.1441498</v>
      </c>
      <c r="K56" s="11">
        <f t="shared" si="7"/>
        <v>2.7800000000000047E-2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1421841.4231433393</v>
      </c>
      <c r="D57" s="11">
        <v>2.7300000000000001E-2</v>
      </c>
      <c r="E57" s="10">
        <f t="shared" si="2"/>
        <v>37784.747251838213</v>
      </c>
      <c r="F57" s="3"/>
      <c r="G57" s="28"/>
      <c r="H57" s="10"/>
      <c r="I57" s="10">
        <f t="shared" si="8"/>
        <v>3532</v>
      </c>
      <c r="J57" s="10">
        <f t="shared" si="6"/>
        <v>5021943906.5422745</v>
      </c>
      <c r="K57" s="11">
        <f t="shared" si="7"/>
        <v>2.7300000000000102E-2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1384056.6758915011</v>
      </c>
      <c r="D58" s="11">
        <v>2.6800000000000001E-2</v>
      </c>
      <c r="E58" s="10">
        <f t="shared" si="2"/>
        <v>36124.580165457912</v>
      </c>
      <c r="F58" s="3"/>
      <c r="G58" s="28"/>
      <c r="H58" s="10"/>
      <c r="I58" s="10">
        <f t="shared" si="8"/>
        <v>3532</v>
      </c>
      <c r="J58" s="10">
        <f t="shared" si="6"/>
        <v>4888488179.2487822</v>
      </c>
      <c r="K58" s="11">
        <f t="shared" si="7"/>
        <v>2.6800000000000157E-2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1347932.0957260432</v>
      </c>
      <c r="D59" s="11">
        <v>2.63E-2</v>
      </c>
      <c r="E59" s="10">
        <f t="shared" si="2"/>
        <v>34542.155429791426</v>
      </c>
      <c r="F59" s="3"/>
      <c r="G59" s="28"/>
      <c r="H59" s="10"/>
      <c r="I59" s="10">
        <f t="shared" si="8"/>
        <v>3532</v>
      </c>
      <c r="J59" s="10">
        <f t="shared" si="6"/>
        <v>4760896162.1043844</v>
      </c>
      <c r="K59" s="11">
        <f t="shared" si="7"/>
        <v>2.629999999999999E-2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1313389.9402962518</v>
      </c>
      <c r="D60" s="11">
        <v>2.5899999999999999E-2</v>
      </c>
      <c r="E60" s="10">
        <f t="shared" si="2"/>
        <v>33158.007070545806</v>
      </c>
      <c r="F60" s="3"/>
      <c r="G60" s="28"/>
      <c r="H60" s="10"/>
      <c r="I60" s="10">
        <f t="shared" si="8"/>
        <v>3532</v>
      </c>
      <c r="J60" s="10">
        <f t="shared" si="6"/>
        <v>4638893269.1263609</v>
      </c>
      <c r="K60" s="11">
        <f t="shared" si="7"/>
        <v>2.5900000000000034E-2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1280231.933225706</v>
      </c>
      <c r="D61" s="11">
        <v>2.5499999999999998E-2</v>
      </c>
      <c r="E61" s="10">
        <f t="shared" si="2"/>
        <v>31834.143634574022</v>
      </c>
      <c r="F61" s="3"/>
      <c r="G61" s="28"/>
      <c r="H61" s="10"/>
      <c r="I61" s="10">
        <f t="shared" si="8"/>
        <v>3532</v>
      </c>
      <c r="J61" s="10">
        <f t="shared" si="6"/>
        <v>4521779188.1531935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1248397.789591132</v>
      </c>
      <c r="D62" s="11">
        <v>2.53E-2</v>
      </c>
      <c r="E62" s="10">
        <f t="shared" si="2"/>
        <v>30805.095168882981</v>
      </c>
      <c r="F62" s="3"/>
      <c r="G62" s="28"/>
      <c r="H62" s="10"/>
      <c r="I62" s="10">
        <f t="shared" si="8"/>
        <v>3532</v>
      </c>
      <c r="J62" s="10">
        <f t="shared" si="6"/>
        <v>4409340992.8358784</v>
      </c>
      <c r="K62" s="11">
        <f t="shared" si="7"/>
        <v>2.53000000000001E-2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1217592.694422249</v>
      </c>
      <c r="D63" s="11">
        <v>2.53E-2</v>
      </c>
      <c r="E63" s="10">
        <f t="shared" si="2"/>
        <v>30044.957738108933</v>
      </c>
      <c r="F63" s="3"/>
      <c r="G63" s="28"/>
      <c r="H63" s="10"/>
      <c r="I63" s="10">
        <f t="shared" si="8"/>
        <v>3532</v>
      </c>
      <c r="J63" s="10">
        <f t="shared" si="6"/>
        <v>4300537396.6993837</v>
      </c>
      <c r="K63" s="11">
        <f t="shared" si="7"/>
        <v>2.53000000000001E-2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1187547.7366841401</v>
      </c>
      <c r="D64" s="11">
        <v>2.5399999999999999E-2</v>
      </c>
      <c r="E64" s="10">
        <f t="shared" si="2"/>
        <v>29416.532584140077</v>
      </c>
      <c r="F64" s="3"/>
      <c r="G64" s="28"/>
      <c r="H64" s="10"/>
      <c r="I64" s="10">
        <f t="shared" si="8"/>
        <v>3532</v>
      </c>
      <c r="J64" s="10">
        <f t="shared" si="6"/>
        <v>4194418605.9683828</v>
      </c>
      <c r="K64" s="11">
        <f t="shared" si="7"/>
        <v>2.5400000000000089E-2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1158131.2041</v>
      </c>
      <c r="D65" s="11">
        <v>2.5700000000000001E-2</v>
      </c>
      <c r="E65" s="10">
        <f t="shared" si="2"/>
        <v>29018.204099999974</v>
      </c>
      <c r="F65" s="3"/>
      <c r="G65" s="28"/>
      <c r="H65" s="10"/>
      <c r="I65" s="10">
        <f t="shared" si="8"/>
        <v>3532</v>
      </c>
      <c r="J65" s="10">
        <f t="shared" si="6"/>
        <v>4090519412.8811998</v>
      </c>
      <c r="K65" s="11">
        <f t="shared" si="7"/>
        <v>2.5700000000000056E-2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1129113</v>
      </c>
      <c r="D66" s="11">
        <v>2.5999999999999999E-2</v>
      </c>
      <c r="E66" s="10">
        <f t="shared" si="2"/>
        <v>28613</v>
      </c>
      <c r="F66" s="3"/>
      <c r="G66" s="28"/>
      <c r="H66" s="10"/>
      <c r="I66" s="10">
        <f t="shared" si="8"/>
        <v>3532</v>
      </c>
      <c r="J66" s="10">
        <f t="shared" ref="J66:J67" si="9">IF(I66="","",I66*C66)</f>
        <v>3988027116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1100500</v>
      </c>
      <c r="D67" s="11">
        <v>2.64E-2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3532</v>
      </c>
      <c r="J67" s="10">
        <f t="shared" si="9"/>
        <v>3886966000</v>
      </c>
      <c r="K67" s="11"/>
    </row>
  </sheetData>
  <dataValidations count="1">
    <dataValidation type="custom" allowBlank="1" showDropDown="1" sqref="D2:D67" xr:uid="{00000000-0002-0000-3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9533758.5500416737</v>
      </c>
      <c r="D2" s="11">
        <v>7.9000000000000008E-3</v>
      </c>
      <c r="E2" s="10">
        <f t="shared" ref="E2:E66" si="2">SUM(C2-C3)</f>
        <v>74726.354345995933</v>
      </c>
      <c r="F2" s="15">
        <v>9533900</v>
      </c>
      <c r="G2" s="28"/>
      <c r="H2" s="10"/>
      <c r="I2" s="10">
        <f>IF(H2&lt;&gt;"",H2,19643)</f>
        <v>19643</v>
      </c>
      <c r="J2" s="10">
        <f t="shared" ref="J2:J33" si="3">IF(I2="","",I2*C2)</f>
        <v>187271619198.4686</v>
      </c>
      <c r="K2" s="11">
        <f t="shared" ref="K2:K33" si="4">IFERROR(J2/J3-1,"")</f>
        <v>7.9000000000000181E-3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9459032.1956956778</v>
      </c>
      <c r="D3" s="11">
        <v>8.2000000000000007E-3</v>
      </c>
      <c r="E3" s="10">
        <f t="shared" si="2"/>
        <v>76933.211669018492</v>
      </c>
      <c r="F3" s="3"/>
      <c r="G3" s="28"/>
      <c r="H3" s="10"/>
      <c r="I3" s="10">
        <f t="shared" ref="I3:I34" si="5">IF(H3&lt;&gt;"",H3,I2/(1+IF(G2="",0,G2)/100))</f>
        <v>19643</v>
      </c>
      <c r="J3" s="10">
        <f t="shared" si="3"/>
        <v>185803769420.0502</v>
      </c>
      <c r="K3" s="11">
        <f t="shared" si="4"/>
        <v>8.1999999999999851E-3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9382098.9840266593</v>
      </c>
      <c r="D4" s="11">
        <v>8.0999999999999996E-3</v>
      </c>
      <c r="E4" s="10">
        <f t="shared" si="2"/>
        <v>75384.388225985691</v>
      </c>
      <c r="F4" s="3"/>
      <c r="G4" s="28"/>
      <c r="H4" s="10"/>
      <c r="I4" s="10">
        <f t="shared" si="5"/>
        <v>19643</v>
      </c>
      <c r="J4" s="10">
        <f t="shared" si="3"/>
        <v>184292570343.23566</v>
      </c>
      <c r="K4" s="11">
        <f t="shared" si="4"/>
        <v>8.0999999999999961E-3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9306714.5958006736</v>
      </c>
      <c r="D5" s="11">
        <v>8.0000000000000002E-3</v>
      </c>
      <c r="E5" s="10">
        <f t="shared" si="2"/>
        <v>73862.81425238587</v>
      </c>
      <c r="F5" s="3"/>
      <c r="G5" s="28"/>
      <c r="H5" s="10"/>
      <c r="I5" s="10">
        <f t="shared" si="5"/>
        <v>19643</v>
      </c>
      <c r="J5" s="10">
        <f t="shared" si="3"/>
        <v>182811794805.31262</v>
      </c>
      <c r="K5" s="11">
        <f t="shared" si="4"/>
        <v>8.0000000000000071E-3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9232851.7815482877</v>
      </c>
      <c r="D6" s="11">
        <v>8.0999999999999996E-3</v>
      </c>
      <c r="E6" s="10">
        <f t="shared" si="2"/>
        <v>74185.19931608066</v>
      </c>
      <c r="F6" s="3"/>
      <c r="G6" s="28"/>
      <c r="H6" s="10"/>
      <c r="I6" s="10">
        <f t="shared" si="5"/>
        <v>19643</v>
      </c>
      <c r="J6" s="10">
        <f t="shared" si="3"/>
        <v>181360907544.953</v>
      </c>
      <c r="K6" s="11">
        <f t="shared" si="4"/>
        <v>8.0999999999999961E-3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9158666.5822322071</v>
      </c>
      <c r="D7" s="11">
        <v>8.3999999999999995E-3</v>
      </c>
      <c r="E7" s="10">
        <f t="shared" si="2"/>
        <v>76291.946936484426</v>
      </c>
      <c r="F7" s="3"/>
      <c r="G7" s="28"/>
      <c r="H7" s="10"/>
      <c r="I7" s="10">
        <f t="shared" si="5"/>
        <v>19643</v>
      </c>
      <c r="J7" s="10">
        <f t="shared" si="3"/>
        <v>179903687674.78723</v>
      </c>
      <c r="K7" s="11">
        <f t="shared" si="4"/>
        <v>8.3999999999999631E-3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9082374.6352957226</v>
      </c>
      <c r="D8" s="11">
        <v>8.3000000000000001E-3</v>
      </c>
      <c r="E8" s="10">
        <f t="shared" si="2"/>
        <v>74763.175119463354</v>
      </c>
      <c r="F8" s="3"/>
      <c r="G8" s="28"/>
      <c r="H8" s="10"/>
      <c r="I8" s="10">
        <f t="shared" si="5"/>
        <v>19643</v>
      </c>
      <c r="J8" s="10">
        <f t="shared" si="3"/>
        <v>178405084961.11389</v>
      </c>
      <c r="K8" s="11">
        <f t="shared" si="4"/>
        <v>8.3000000000001961E-3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9007611.4601762593</v>
      </c>
      <c r="D9" s="11">
        <v>7.7999999999999996E-3</v>
      </c>
      <c r="E9" s="10">
        <f t="shared" si="2"/>
        <v>69715.587804500014</v>
      </c>
      <c r="F9" s="3"/>
      <c r="G9" s="28"/>
      <c r="H9" s="10"/>
      <c r="I9" s="10">
        <f t="shared" si="5"/>
        <v>19643</v>
      </c>
      <c r="J9" s="10">
        <f t="shared" si="3"/>
        <v>176936511912.24225</v>
      </c>
      <c r="K9" s="11">
        <f t="shared" si="4"/>
        <v>7.8000000000000291E-3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8937895.8723717593</v>
      </c>
      <c r="D10" s="11">
        <v>6.4999999999999997E-3</v>
      </c>
      <c r="E10" s="10">
        <f t="shared" si="2"/>
        <v>57721.135787796229</v>
      </c>
      <c r="F10" s="3"/>
      <c r="G10" s="28"/>
      <c r="H10" s="10"/>
      <c r="I10" s="10">
        <f t="shared" si="5"/>
        <v>19643</v>
      </c>
      <c r="J10" s="10">
        <f t="shared" si="3"/>
        <v>175567088620.99847</v>
      </c>
      <c r="K10" s="11">
        <f t="shared" si="4"/>
        <v>6.5000000000001723E-3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8880174.736583963</v>
      </c>
      <c r="D11" s="11">
        <v>6.0000000000000001E-3</v>
      </c>
      <c r="E11" s="10">
        <f t="shared" si="2"/>
        <v>52963.268806664273</v>
      </c>
      <c r="F11" s="3"/>
      <c r="G11" s="28"/>
      <c r="H11" s="10"/>
      <c r="I11" s="10">
        <f t="shared" si="5"/>
        <v>19643</v>
      </c>
      <c r="J11" s="10">
        <f t="shared" si="3"/>
        <v>174433272350.71878</v>
      </c>
      <c r="K11" s="11">
        <f t="shared" si="4"/>
        <v>6.0000000000000053E-3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8827211.4677772988</v>
      </c>
      <c r="D12" s="11">
        <v>5.7000000000000002E-3</v>
      </c>
      <c r="E12" s="10">
        <f t="shared" si="2"/>
        <v>50029.934738323092</v>
      </c>
      <c r="F12" s="3"/>
      <c r="G12" s="28"/>
      <c r="H12" s="10"/>
      <c r="I12" s="10">
        <f t="shared" si="5"/>
        <v>19643</v>
      </c>
      <c r="J12" s="10">
        <f t="shared" si="3"/>
        <v>173392914861.54947</v>
      </c>
      <c r="K12" s="11">
        <f t="shared" si="4"/>
        <v>5.7000000000000384E-3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8777181.5330389757</v>
      </c>
      <c r="D13" s="11">
        <v>5.3E-3</v>
      </c>
      <c r="E13" s="10">
        <f t="shared" si="2"/>
        <v>46273.810927193612</v>
      </c>
      <c r="F13" s="3"/>
      <c r="G13" s="28"/>
      <c r="H13" s="10"/>
      <c r="I13" s="10">
        <f t="shared" si="5"/>
        <v>19643</v>
      </c>
      <c r="J13" s="10">
        <f t="shared" si="3"/>
        <v>172410176853.48459</v>
      </c>
      <c r="K13" s="11">
        <f t="shared" si="4"/>
        <v>5.3000000000000824E-3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8730907.7221117821</v>
      </c>
      <c r="D14" s="11">
        <v>5.0000000000000001E-3</v>
      </c>
      <c r="E14" s="10">
        <f t="shared" si="2"/>
        <v>43437.351851301268</v>
      </c>
      <c r="F14" s="3"/>
      <c r="G14" s="28"/>
      <c r="H14" s="10"/>
      <c r="I14" s="10">
        <f t="shared" si="5"/>
        <v>19643</v>
      </c>
      <c r="J14" s="10">
        <f t="shared" si="3"/>
        <v>171501220385.44174</v>
      </c>
      <c r="K14" s="11">
        <f t="shared" si="4"/>
        <v>4.9999999999998934E-3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8687470.3702604808</v>
      </c>
      <c r="D15" s="11">
        <v>4.4999999999999997E-3</v>
      </c>
      <c r="E15" s="10">
        <f t="shared" si="2"/>
        <v>38918.483490465209</v>
      </c>
      <c r="F15" s="3"/>
      <c r="G15" s="28"/>
      <c r="H15" s="10"/>
      <c r="I15" s="10">
        <f t="shared" si="5"/>
        <v>19643</v>
      </c>
      <c r="J15" s="10">
        <f t="shared" si="3"/>
        <v>170647980483.02661</v>
      </c>
      <c r="K15" s="11">
        <f t="shared" si="4"/>
        <v>4.4999999999999485E-3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8648551.8867700156</v>
      </c>
      <c r="D16" s="11">
        <v>3.8999999999999998E-3</v>
      </c>
      <c r="E16" s="10">
        <f t="shared" si="2"/>
        <v>33598.31891463697</v>
      </c>
      <c r="F16" s="3"/>
      <c r="G16" s="28"/>
      <c r="H16" s="10"/>
      <c r="I16" s="10">
        <f t="shared" si="5"/>
        <v>19643</v>
      </c>
      <c r="J16" s="10">
        <f t="shared" si="3"/>
        <v>169883504711.82343</v>
      </c>
      <c r="K16" s="11">
        <f t="shared" si="4"/>
        <v>3.9000000000002366E-3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8614953.5678553786</v>
      </c>
      <c r="D17" s="11">
        <v>3.3999999999999998E-3</v>
      </c>
      <c r="E17" s="10">
        <f t="shared" si="2"/>
        <v>29191.590722253546</v>
      </c>
      <c r="F17" s="3"/>
      <c r="G17" s="28"/>
      <c r="H17" s="10"/>
      <c r="I17" s="10">
        <f t="shared" si="5"/>
        <v>19643</v>
      </c>
      <c r="J17" s="10">
        <f t="shared" si="3"/>
        <v>169223532933.38321</v>
      </c>
      <c r="K17" s="11">
        <f t="shared" si="4"/>
        <v>3.4000000000000696E-3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8585761.9771331251</v>
      </c>
      <c r="D18" s="11">
        <v>3.3E-3</v>
      </c>
      <c r="E18" s="10">
        <f t="shared" si="2"/>
        <v>28239.82310828194</v>
      </c>
      <c r="F18" s="3"/>
      <c r="G18" s="28"/>
      <c r="H18" s="10"/>
      <c r="I18" s="10">
        <f t="shared" si="5"/>
        <v>19643</v>
      </c>
      <c r="J18" s="10">
        <f t="shared" si="3"/>
        <v>168650122516.82599</v>
      </c>
      <c r="K18" s="11">
        <f t="shared" si="4"/>
        <v>3.3000000000000806E-3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8557522.1540248431</v>
      </c>
      <c r="D19" s="11">
        <v>3.3999999999999998E-3</v>
      </c>
      <c r="E19" s="10">
        <f t="shared" si="2"/>
        <v>28996.985572738573</v>
      </c>
      <c r="F19" s="3"/>
      <c r="G19" s="28"/>
      <c r="H19" s="10"/>
      <c r="I19" s="10">
        <f t="shared" si="5"/>
        <v>19643</v>
      </c>
      <c r="J19" s="10">
        <f t="shared" si="3"/>
        <v>168095407671.50998</v>
      </c>
      <c r="K19" s="11">
        <f t="shared" si="4"/>
        <v>3.4000000000000696E-3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8528525.1684521046</v>
      </c>
      <c r="D20" s="11">
        <v>3.5000000000000001E-3</v>
      </c>
      <c r="E20" s="10">
        <f t="shared" si="2"/>
        <v>29745.728041438386</v>
      </c>
      <c r="F20" s="3"/>
      <c r="G20" s="28"/>
      <c r="H20" s="10"/>
      <c r="I20" s="10">
        <f t="shared" si="5"/>
        <v>19643</v>
      </c>
      <c r="J20" s="10">
        <f t="shared" si="3"/>
        <v>167525819883.90469</v>
      </c>
      <c r="K20" s="11">
        <f t="shared" si="4"/>
        <v>3.5000000000000586E-3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8498779.4404106662</v>
      </c>
      <c r="D21" s="11">
        <v>3.3E-3</v>
      </c>
      <c r="E21" s="10">
        <f t="shared" si="2"/>
        <v>27953.724861312658</v>
      </c>
      <c r="F21" s="3"/>
      <c r="G21" s="28"/>
      <c r="H21" s="10"/>
      <c r="I21" s="10">
        <f t="shared" si="5"/>
        <v>19643</v>
      </c>
      <c r="J21" s="10">
        <f t="shared" si="3"/>
        <v>166941524547.98672</v>
      </c>
      <c r="K21" s="11">
        <f t="shared" si="4"/>
        <v>3.3000000000000806E-3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8470825.7155493535</v>
      </c>
      <c r="D22" s="11">
        <v>2.8E-3</v>
      </c>
      <c r="E22" s="10">
        <f t="shared" si="2"/>
        <v>23652.086162282154</v>
      </c>
      <c r="F22" s="3"/>
      <c r="G22" s="28"/>
      <c r="H22" s="10"/>
      <c r="I22" s="10">
        <f t="shared" si="5"/>
        <v>19643</v>
      </c>
      <c r="J22" s="10">
        <f t="shared" si="3"/>
        <v>166392429530.53595</v>
      </c>
      <c r="K22" s="11">
        <f t="shared" si="4"/>
        <v>2.7999999999999137E-3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8447173.6293870714</v>
      </c>
      <c r="D23" s="11">
        <v>2.5999999999999999E-3</v>
      </c>
      <c r="E23" s="10">
        <f t="shared" si="2"/>
        <v>21905.696625180542</v>
      </c>
      <c r="F23" s="3"/>
      <c r="G23" s="28"/>
      <c r="H23" s="10"/>
      <c r="I23" s="10">
        <f t="shared" si="5"/>
        <v>19643</v>
      </c>
      <c r="J23" s="10">
        <f t="shared" si="3"/>
        <v>165927831602.05023</v>
      </c>
      <c r="K23" s="11">
        <f t="shared" si="4"/>
        <v>2.5999999999999357E-3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8425267.9327618908</v>
      </c>
      <c r="D24" s="11">
        <v>2.3999999999999998E-3</v>
      </c>
      <c r="E24" s="10">
        <f t="shared" si="2"/>
        <v>20172.22968737781</v>
      </c>
      <c r="F24" s="3"/>
      <c r="G24" s="28"/>
      <c r="H24" s="10"/>
      <c r="I24" s="10">
        <f t="shared" si="5"/>
        <v>19643</v>
      </c>
      <c r="J24" s="10">
        <f t="shared" si="3"/>
        <v>165497538003.24182</v>
      </c>
      <c r="K24" s="11">
        <f t="shared" si="4"/>
        <v>2.3999999999999577E-3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8405095.703074513</v>
      </c>
      <c r="D25" s="11">
        <v>2.2000000000000001E-3</v>
      </c>
      <c r="E25" s="10">
        <f t="shared" si="2"/>
        <v>18450.61918455828</v>
      </c>
      <c r="F25" s="3"/>
      <c r="G25" s="28"/>
      <c r="H25" s="10"/>
      <c r="I25" s="10">
        <f t="shared" si="5"/>
        <v>19643</v>
      </c>
      <c r="J25" s="10">
        <f t="shared" si="3"/>
        <v>165101294895.49265</v>
      </c>
      <c r="K25" s="11">
        <f t="shared" si="4"/>
        <v>2.1999999999999797E-3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8386645.0838899547</v>
      </c>
      <c r="D26" s="11">
        <v>2.2000000000000001E-3</v>
      </c>
      <c r="E26" s="10">
        <f t="shared" si="2"/>
        <v>18410.116927317344</v>
      </c>
      <c r="F26" s="3"/>
      <c r="G26" s="28"/>
      <c r="H26" s="10"/>
      <c r="I26" s="10">
        <f t="shared" si="5"/>
        <v>19643</v>
      </c>
      <c r="J26" s="10">
        <f t="shared" si="3"/>
        <v>164738869382.85037</v>
      </c>
      <c r="K26" s="11">
        <f t="shared" si="4"/>
        <v>2.1999999999999797E-3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8368234.9669626374</v>
      </c>
      <c r="D27" s="11">
        <v>2.3999999999999998E-3</v>
      </c>
      <c r="E27" s="10">
        <f t="shared" si="2"/>
        <v>20035.678292807192</v>
      </c>
      <c r="F27" s="3"/>
      <c r="G27" s="28"/>
      <c r="H27" s="10"/>
      <c r="I27" s="10">
        <f t="shared" si="5"/>
        <v>19643</v>
      </c>
      <c r="J27" s="10">
        <f t="shared" si="3"/>
        <v>164377239456.04709</v>
      </c>
      <c r="K27" s="11">
        <f t="shared" si="4"/>
        <v>2.3999999999999577E-3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8348199.2886698302</v>
      </c>
      <c r="D28" s="11">
        <v>2.5999999999999999E-3</v>
      </c>
      <c r="E28" s="10">
        <f t="shared" si="2"/>
        <v>21649.030670796521</v>
      </c>
      <c r="F28" s="3"/>
      <c r="G28" s="28"/>
      <c r="H28" s="10"/>
      <c r="I28" s="10">
        <f t="shared" si="5"/>
        <v>19643</v>
      </c>
      <c r="J28" s="10">
        <f t="shared" si="3"/>
        <v>163983678627.34146</v>
      </c>
      <c r="K28" s="11">
        <f t="shared" si="4"/>
        <v>2.5999999999997137E-3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8326550.2579990337</v>
      </c>
      <c r="D29" s="11">
        <v>2.3999999999999998E-3</v>
      </c>
      <c r="E29" s="10">
        <f t="shared" si="2"/>
        <v>19935.874520348385</v>
      </c>
      <c r="F29" s="3"/>
      <c r="G29" s="28"/>
      <c r="H29" s="10"/>
      <c r="I29" s="10">
        <f t="shared" si="5"/>
        <v>19643</v>
      </c>
      <c r="J29" s="10">
        <f t="shared" si="3"/>
        <v>163558426717.87503</v>
      </c>
      <c r="K29" s="11">
        <f t="shared" si="4"/>
        <v>2.3999999999999577E-3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8306614.3834786853</v>
      </c>
      <c r="D30" s="11">
        <v>1.9E-3</v>
      </c>
      <c r="E30" s="10">
        <f t="shared" si="2"/>
        <v>15752.637317705899</v>
      </c>
      <c r="F30" s="3"/>
      <c r="G30" s="28"/>
      <c r="H30" s="10"/>
      <c r="I30" s="10">
        <f t="shared" si="5"/>
        <v>19643</v>
      </c>
      <c r="J30" s="10">
        <f t="shared" si="3"/>
        <v>163166826334.67181</v>
      </c>
      <c r="K30" s="11">
        <f t="shared" si="4"/>
        <v>1.9000000000000128E-3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8290861.7461609794</v>
      </c>
      <c r="D31" s="11">
        <v>1.4E-3</v>
      </c>
      <c r="E31" s="10">
        <f t="shared" si="2"/>
        <v>11590.97907392215</v>
      </c>
      <c r="F31" s="3"/>
      <c r="G31" s="28"/>
      <c r="H31" s="10"/>
      <c r="I31" s="10">
        <f t="shared" si="5"/>
        <v>19643</v>
      </c>
      <c r="J31" s="10">
        <f t="shared" si="3"/>
        <v>162857397279.84012</v>
      </c>
      <c r="K31" s="11">
        <f t="shared" si="4"/>
        <v>1.4000000000000679E-3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8279270.7670870572</v>
      </c>
      <c r="D32" s="11">
        <v>8.9999999999999998E-4</v>
      </c>
      <c r="E32" s="10">
        <f t="shared" si="2"/>
        <v>7444.6435112170875</v>
      </c>
      <c r="F32" s="3"/>
      <c r="G32" s="28"/>
      <c r="H32" s="10"/>
      <c r="I32" s="10">
        <f t="shared" si="5"/>
        <v>19643</v>
      </c>
      <c r="J32" s="10">
        <f t="shared" si="3"/>
        <v>162629715677.89105</v>
      </c>
      <c r="K32" s="11">
        <f t="shared" si="4"/>
        <v>8.9999999999967883E-4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8271826.1235758401</v>
      </c>
      <c r="D33" s="11">
        <v>5.9999999999999995E-4</v>
      </c>
      <c r="E33" s="10">
        <f t="shared" si="2"/>
        <v>4960.1196023831144</v>
      </c>
      <c r="F33" s="3"/>
      <c r="G33" s="28"/>
      <c r="H33" s="10"/>
      <c r="I33" s="10">
        <f t="shared" si="5"/>
        <v>19643</v>
      </c>
      <c r="J33" s="10">
        <f t="shared" si="3"/>
        <v>162483480545.40024</v>
      </c>
      <c r="K33" s="11">
        <f t="shared" si="4"/>
        <v>5.9999999999993392E-4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8266866.003973457</v>
      </c>
      <c r="D34" s="11">
        <v>8.0000000000000004E-4</v>
      </c>
      <c r="E34" s="10">
        <f t="shared" si="2"/>
        <v>6608.2062381878495</v>
      </c>
      <c r="F34" s="3"/>
      <c r="G34" s="28"/>
      <c r="H34" s="10"/>
      <c r="I34" s="10">
        <f t="shared" si="5"/>
        <v>19643</v>
      </c>
      <c r="J34" s="10">
        <f t="shared" ref="J34:J65" si="6">IF(I34="","",I34*C34)</f>
        <v>162386048916.05063</v>
      </c>
      <c r="K34" s="11">
        <f t="shared" ref="K34:K65" si="7">IFERROR(J34/J35-1,"")</f>
        <v>8.0000000000013394E-4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8260257.7977352692</v>
      </c>
      <c r="D35" s="11">
        <v>1.1000000000000001E-3</v>
      </c>
      <c r="E35" s="10">
        <f t="shared" si="2"/>
        <v>9076.2996478965506</v>
      </c>
      <c r="F35" s="3"/>
      <c r="G35" s="28"/>
      <c r="H35" s="10"/>
      <c r="I35" s="10">
        <f t="shared" ref="I35:I66" si="8">IF(H35&lt;&gt;"",H35,I34/(1+IF(G34="",0,G34)/100))</f>
        <v>19643</v>
      </c>
      <c r="J35" s="10">
        <f t="shared" si="6"/>
        <v>162256243920.91388</v>
      </c>
      <c r="K35" s="11">
        <f t="shared" si="7"/>
        <v>1.0999999999998789E-3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8251181.4980873726</v>
      </c>
      <c r="D36" s="11">
        <v>1.4E-3</v>
      </c>
      <c r="E36" s="10">
        <f t="shared" si="2"/>
        <v>11535.504391175695</v>
      </c>
      <c r="F36" s="3"/>
      <c r="G36" s="28"/>
      <c r="H36" s="10"/>
      <c r="I36" s="10">
        <f t="shared" si="8"/>
        <v>19643</v>
      </c>
      <c r="J36" s="10">
        <f t="shared" si="6"/>
        <v>162077958166.93027</v>
      </c>
      <c r="K36" s="11">
        <f t="shared" si="7"/>
        <v>1.4000000000000679E-3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8239645.9936961969</v>
      </c>
      <c r="D37" s="11">
        <v>1.6000000000000001E-3</v>
      </c>
      <c r="E37" s="10">
        <f t="shared" si="2"/>
        <v>13162.373791847378</v>
      </c>
      <c r="F37" s="3"/>
      <c r="G37" s="28"/>
      <c r="H37" s="10"/>
      <c r="I37" s="10">
        <f t="shared" si="8"/>
        <v>19643</v>
      </c>
      <c r="J37" s="10">
        <f t="shared" si="6"/>
        <v>161851366254.17441</v>
      </c>
      <c r="K37" s="11">
        <f t="shared" si="7"/>
        <v>1.6000000000002679E-3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8226483.6199043496</v>
      </c>
      <c r="D38" s="11">
        <v>1.9E-3</v>
      </c>
      <c r="E38" s="10">
        <f t="shared" si="2"/>
        <v>15600.677590396255</v>
      </c>
      <c r="F38" s="3"/>
      <c r="G38" s="28"/>
      <c r="H38" s="10"/>
      <c r="I38" s="10">
        <f t="shared" si="8"/>
        <v>19643</v>
      </c>
      <c r="J38" s="10">
        <f t="shared" si="6"/>
        <v>161592817745.78113</v>
      </c>
      <c r="K38" s="11">
        <f t="shared" si="7"/>
        <v>1.8999999999997907E-3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8210882.9423139533</v>
      </c>
      <c r="D39" s="11">
        <v>2.3E-3</v>
      </c>
      <c r="E39" s="10">
        <f t="shared" si="2"/>
        <v>18841.694869122468</v>
      </c>
      <c r="F39" s="3"/>
      <c r="G39" s="28"/>
      <c r="H39" s="10"/>
      <c r="I39" s="10">
        <f t="shared" si="8"/>
        <v>19643</v>
      </c>
      <c r="J39" s="10">
        <f t="shared" si="6"/>
        <v>161286373635.87299</v>
      </c>
      <c r="K39" s="11">
        <f t="shared" si="7"/>
        <v>2.2999999999999687E-3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8192041.2474448308</v>
      </c>
      <c r="D40" s="11">
        <v>2.8E-3</v>
      </c>
      <c r="E40" s="10">
        <f t="shared" si="2"/>
        <v>22873.66921903193</v>
      </c>
      <c r="F40" s="3"/>
      <c r="G40" s="28"/>
      <c r="H40" s="10"/>
      <c r="I40" s="10">
        <f t="shared" si="8"/>
        <v>19643</v>
      </c>
      <c r="J40" s="10">
        <f t="shared" si="6"/>
        <v>160916266223.55881</v>
      </c>
      <c r="K40" s="11">
        <f t="shared" si="7"/>
        <v>2.7999999999999137E-3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8169167.5782257989</v>
      </c>
      <c r="D41" s="11">
        <v>3.3999999999999998E-3</v>
      </c>
      <c r="E41" s="10">
        <f t="shared" si="2"/>
        <v>27681.054181749932</v>
      </c>
      <c r="F41" s="3"/>
      <c r="G41" s="28"/>
      <c r="H41" s="10"/>
      <c r="I41" s="10">
        <f t="shared" si="8"/>
        <v>19643</v>
      </c>
      <c r="J41" s="10">
        <f t="shared" si="6"/>
        <v>160466958739.08936</v>
      </c>
      <c r="K41" s="11">
        <f t="shared" si="7"/>
        <v>3.4000000000000696E-3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8141486.524044049</v>
      </c>
      <c r="D42" s="11">
        <v>4.1000000000000003E-3</v>
      </c>
      <c r="E42" s="10">
        <f t="shared" si="2"/>
        <v>33243.795188308693</v>
      </c>
      <c r="F42" s="3"/>
      <c r="G42" s="28"/>
      <c r="H42" s="10"/>
      <c r="I42" s="10">
        <f t="shared" si="8"/>
        <v>19643</v>
      </c>
      <c r="J42" s="10">
        <f t="shared" si="6"/>
        <v>159923219791.79724</v>
      </c>
      <c r="K42" s="11">
        <f t="shared" si="7"/>
        <v>4.0999999999999925E-3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8108242.7288557403</v>
      </c>
      <c r="D43" s="11">
        <v>5.0000000000000001E-3</v>
      </c>
      <c r="E43" s="10">
        <f t="shared" si="2"/>
        <v>40339.516063958406</v>
      </c>
      <c r="F43" s="3"/>
      <c r="G43" s="28"/>
      <c r="H43" s="10"/>
      <c r="I43" s="10">
        <f t="shared" si="8"/>
        <v>19643</v>
      </c>
      <c r="J43" s="10">
        <f t="shared" si="6"/>
        <v>159270211922.9133</v>
      </c>
      <c r="K43" s="11">
        <f t="shared" si="7"/>
        <v>4.9999999999998934E-3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8067903.2127917819</v>
      </c>
      <c r="D44" s="11">
        <v>5.8999999999999999E-3</v>
      </c>
      <c r="E44" s="10">
        <f t="shared" si="2"/>
        <v>47321.432503700256</v>
      </c>
      <c r="F44" s="3"/>
      <c r="G44" s="28"/>
      <c r="H44" s="10"/>
      <c r="I44" s="10">
        <f t="shared" si="8"/>
        <v>19643</v>
      </c>
      <c r="J44" s="10">
        <f t="shared" si="6"/>
        <v>158477822808.86896</v>
      </c>
      <c r="K44" s="11">
        <f t="shared" si="7"/>
        <v>5.9000000000000163E-3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8020581.7802880816</v>
      </c>
      <c r="D45" s="11">
        <v>6.7000000000000002E-3</v>
      </c>
      <c r="E45" s="10">
        <f t="shared" si="2"/>
        <v>53380.250251246616</v>
      </c>
      <c r="F45" s="3"/>
      <c r="G45" s="28"/>
      <c r="H45" s="10"/>
      <c r="I45" s="10">
        <f t="shared" si="8"/>
        <v>19643</v>
      </c>
      <c r="J45" s="10">
        <f t="shared" si="6"/>
        <v>157548287910.19879</v>
      </c>
      <c r="K45" s="11">
        <f t="shared" si="7"/>
        <v>6.6999999999999282E-3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7967201.530036835</v>
      </c>
      <c r="D46" s="11">
        <v>7.4000000000000003E-3</v>
      </c>
      <c r="E46" s="10">
        <f t="shared" si="2"/>
        <v>58524.212152346037</v>
      </c>
      <c r="F46" s="3"/>
      <c r="G46" s="28"/>
      <c r="H46" s="10"/>
      <c r="I46" s="10">
        <f t="shared" si="8"/>
        <v>19643</v>
      </c>
      <c r="J46" s="10">
        <f t="shared" si="6"/>
        <v>156499739654.51355</v>
      </c>
      <c r="K46" s="11">
        <f t="shared" si="7"/>
        <v>7.4000000000000732E-3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7908677.317884489</v>
      </c>
      <c r="D47" s="11">
        <v>8.0000000000000002E-3</v>
      </c>
      <c r="E47" s="10">
        <f t="shared" si="2"/>
        <v>62767.280300670303</v>
      </c>
      <c r="F47" s="3"/>
      <c r="G47" s="28"/>
      <c r="H47" s="10"/>
      <c r="I47" s="10">
        <f t="shared" si="8"/>
        <v>19643</v>
      </c>
      <c r="J47" s="10">
        <f t="shared" si="6"/>
        <v>155350148555.20502</v>
      </c>
      <c r="K47" s="11">
        <f t="shared" si="7"/>
        <v>8.0000000000000071E-3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7845910.0375838187</v>
      </c>
      <c r="D48" s="11">
        <v>8.3000000000000001E-3</v>
      </c>
      <c r="E48" s="10">
        <f t="shared" si="2"/>
        <v>64584.997829956934</v>
      </c>
      <c r="F48" s="3"/>
      <c r="G48" s="28"/>
      <c r="H48" s="10"/>
      <c r="I48" s="10">
        <f t="shared" si="8"/>
        <v>19643</v>
      </c>
      <c r="J48" s="10">
        <f t="shared" si="6"/>
        <v>154117210868.25894</v>
      </c>
      <c r="K48" s="11">
        <f t="shared" si="7"/>
        <v>8.2999999999999741E-3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7781325.0397538617</v>
      </c>
      <c r="D49" s="11">
        <v>8.3000000000000001E-3</v>
      </c>
      <c r="E49" s="10">
        <f t="shared" si="2"/>
        <v>64053.354983593337</v>
      </c>
      <c r="F49" s="3"/>
      <c r="G49" s="28"/>
      <c r="H49" s="10"/>
      <c r="I49" s="10">
        <f t="shared" si="8"/>
        <v>19643</v>
      </c>
      <c r="J49" s="10">
        <f t="shared" si="6"/>
        <v>152848567755.8851</v>
      </c>
      <c r="K49" s="11">
        <f t="shared" si="7"/>
        <v>8.2999999999999741E-3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7717271.6847702684</v>
      </c>
      <c r="D50" s="11">
        <v>7.9000000000000008E-3</v>
      </c>
      <c r="E50" s="10">
        <f t="shared" si="2"/>
        <v>60488.586476520635</v>
      </c>
      <c r="F50" s="3"/>
      <c r="G50" s="28"/>
      <c r="H50" s="10"/>
      <c r="I50" s="10">
        <f t="shared" si="8"/>
        <v>19643</v>
      </c>
      <c r="J50" s="10">
        <f t="shared" si="6"/>
        <v>151590367703.94238</v>
      </c>
      <c r="K50" s="11">
        <f t="shared" si="7"/>
        <v>7.9000000000000181E-3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7656783.0982937478</v>
      </c>
      <c r="D51" s="11">
        <v>7.1000000000000004E-3</v>
      </c>
      <c r="E51" s="10">
        <f t="shared" si="2"/>
        <v>53979.902688795701</v>
      </c>
      <c r="F51" s="3"/>
      <c r="G51" s="28"/>
      <c r="H51" s="10"/>
      <c r="I51" s="10">
        <f t="shared" si="8"/>
        <v>19643</v>
      </c>
      <c r="J51" s="10">
        <f t="shared" si="6"/>
        <v>150402190399.78409</v>
      </c>
      <c r="K51" s="11">
        <f t="shared" si="7"/>
        <v>7.1000000000001062E-3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7602803.1956049521</v>
      </c>
      <c r="D52" s="11">
        <v>6.3E-3</v>
      </c>
      <c r="E52" s="10">
        <f t="shared" si="2"/>
        <v>47597.794029922225</v>
      </c>
      <c r="F52" s="3"/>
      <c r="G52" s="28"/>
      <c r="H52" s="10"/>
      <c r="I52" s="10">
        <f t="shared" si="8"/>
        <v>19643</v>
      </c>
      <c r="J52" s="10">
        <f t="shared" si="6"/>
        <v>149341863171.26807</v>
      </c>
      <c r="K52" s="11">
        <f t="shared" si="7"/>
        <v>6.2999999999999723E-3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7555205.4015750298</v>
      </c>
      <c r="D53" s="11">
        <v>5.4999999999999997E-3</v>
      </c>
      <c r="E53" s="10">
        <f t="shared" si="2"/>
        <v>41326.33486689534</v>
      </c>
      <c r="F53" s="3"/>
      <c r="G53" s="28"/>
      <c r="H53" s="10"/>
      <c r="I53" s="10">
        <f t="shared" si="8"/>
        <v>19643</v>
      </c>
      <c r="J53" s="10">
        <f t="shared" si="6"/>
        <v>148406899703.13831</v>
      </c>
      <c r="K53" s="11">
        <f t="shared" si="7"/>
        <v>5.4999999999998384E-3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7513879.0667081345</v>
      </c>
      <c r="D54" s="11">
        <v>4.8999999999999998E-3</v>
      </c>
      <c r="E54" s="10">
        <f t="shared" si="2"/>
        <v>36638.478880355135</v>
      </c>
      <c r="F54" s="3"/>
      <c r="G54" s="28"/>
      <c r="H54" s="10"/>
      <c r="I54" s="10">
        <f t="shared" si="8"/>
        <v>19643</v>
      </c>
      <c r="J54" s="10">
        <f t="shared" si="6"/>
        <v>147595126507.3479</v>
      </c>
      <c r="K54" s="11">
        <f t="shared" si="7"/>
        <v>4.8999999999999044E-3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7477240.5878277794</v>
      </c>
      <c r="D55" s="11">
        <v>4.4000000000000003E-3</v>
      </c>
      <c r="E55" s="10">
        <f t="shared" si="2"/>
        <v>32755.733359659091</v>
      </c>
      <c r="F55" s="3"/>
      <c r="G55" s="28"/>
      <c r="H55" s="10"/>
      <c r="I55" s="10">
        <f t="shared" si="8"/>
        <v>19643</v>
      </c>
      <c r="J55" s="10">
        <f t="shared" si="6"/>
        <v>146875436866.70108</v>
      </c>
      <c r="K55" s="11">
        <f t="shared" si="7"/>
        <v>4.3999999999999595E-3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7444484.8544681203</v>
      </c>
      <c r="D56" s="11">
        <v>4.0000000000000001E-3</v>
      </c>
      <c r="E56" s="10">
        <f t="shared" si="2"/>
        <v>29659.302209036425</v>
      </c>
      <c r="F56" s="3"/>
      <c r="G56" s="28"/>
      <c r="H56" s="10"/>
      <c r="I56" s="10">
        <f t="shared" si="8"/>
        <v>19643</v>
      </c>
      <c r="J56" s="10">
        <f t="shared" si="6"/>
        <v>146232015996.31729</v>
      </c>
      <c r="K56" s="11">
        <f t="shared" si="7"/>
        <v>4.0000000000000036E-3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7414825.5522590838</v>
      </c>
      <c r="D57" s="11">
        <v>3.5000000000000001E-3</v>
      </c>
      <c r="E57" s="10">
        <f t="shared" si="2"/>
        <v>25861.374621731229</v>
      </c>
      <c r="F57" s="3"/>
      <c r="G57" s="28"/>
      <c r="H57" s="10"/>
      <c r="I57" s="10">
        <f t="shared" si="8"/>
        <v>19643</v>
      </c>
      <c r="J57" s="10">
        <f t="shared" si="6"/>
        <v>145649418323.02518</v>
      </c>
      <c r="K57" s="11">
        <f t="shared" si="7"/>
        <v>3.5000000000000586E-3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7388964.1776373526</v>
      </c>
      <c r="D58" s="11">
        <v>3.0000000000000001E-3</v>
      </c>
      <c r="E58" s="10">
        <f t="shared" si="2"/>
        <v>22100.590760629624</v>
      </c>
      <c r="F58" s="3"/>
      <c r="G58" s="28"/>
      <c r="H58" s="10"/>
      <c r="I58" s="10">
        <f t="shared" si="8"/>
        <v>19643</v>
      </c>
      <c r="J58" s="10">
        <f t="shared" si="6"/>
        <v>145141423341.33051</v>
      </c>
      <c r="K58" s="11">
        <f t="shared" si="7"/>
        <v>2.9999999999998916E-3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7366863.586876723</v>
      </c>
      <c r="D59" s="11">
        <v>2.5999999999999999E-3</v>
      </c>
      <c r="E59" s="10">
        <f t="shared" si="2"/>
        <v>19104.174472250976</v>
      </c>
      <c r="F59" s="3"/>
      <c r="G59" s="28"/>
      <c r="H59" s="10"/>
      <c r="I59" s="10">
        <f t="shared" si="8"/>
        <v>19643</v>
      </c>
      <c r="J59" s="10">
        <f t="shared" si="6"/>
        <v>144707301437.01947</v>
      </c>
      <c r="K59" s="11">
        <f t="shared" si="7"/>
        <v>2.5999999999999357E-3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7347759.412404472</v>
      </c>
      <c r="D60" s="11">
        <v>2.3999999999999998E-3</v>
      </c>
      <c r="E60" s="10">
        <f t="shared" si="2"/>
        <v>17592.400827784091</v>
      </c>
      <c r="F60" s="3"/>
      <c r="G60" s="28"/>
      <c r="H60" s="10"/>
      <c r="I60" s="10">
        <f t="shared" si="8"/>
        <v>19643</v>
      </c>
      <c r="J60" s="10">
        <f t="shared" si="6"/>
        <v>144332038137.86105</v>
      </c>
      <c r="K60" s="11">
        <f t="shared" si="7"/>
        <v>2.4000000000001798E-3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7330167.0115766879</v>
      </c>
      <c r="D61" s="11">
        <v>2.5999999999999999E-3</v>
      </c>
      <c r="E61" s="10">
        <f t="shared" si="2"/>
        <v>19009.0108020138</v>
      </c>
      <c r="F61" s="3"/>
      <c r="G61" s="28"/>
      <c r="H61" s="10"/>
      <c r="I61" s="10">
        <f t="shared" si="8"/>
        <v>19643</v>
      </c>
      <c r="J61" s="10">
        <f t="shared" si="6"/>
        <v>143986470608.40088</v>
      </c>
      <c r="K61" s="11">
        <f t="shared" si="7"/>
        <v>2.5999999999999357E-3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7311158.0007746741</v>
      </c>
      <c r="D62" s="11">
        <v>3.2000000000000002E-3</v>
      </c>
      <c r="E62" s="10">
        <f t="shared" si="2"/>
        <v>23321.07815239206</v>
      </c>
      <c r="F62" s="3"/>
      <c r="G62" s="28"/>
      <c r="H62" s="10"/>
      <c r="I62" s="10">
        <f t="shared" si="8"/>
        <v>19643</v>
      </c>
      <c r="J62" s="10">
        <f t="shared" si="6"/>
        <v>143613076609.21692</v>
      </c>
      <c r="K62" s="11">
        <f t="shared" si="7"/>
        <v>3.2000000000000917E-3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7287836.9226222821</v>
      </c>
      <c r="D63" s="11">
        <v>4.0000000000000001E-3</v>
      </c>
      <c r="E63" s="10">
        <f t="shared" si="2"/>
        <v>29035.206863037311</v>
      </c>
      <c r="F63" s="3"/>
      <c r="G63" s="28"/>
      <c r="H63" s="10"/>
      <c r="I63" s="10">
        <f t="shared" si="8"/>
        <v>19643</v>
      </c>
      <c r="J63" s="10">
        <f t="shared" si="6"/>
        <v>143154980671.06949</v>
      </c>
      <c r="K63" s="11">
        <f t="shared" si="7"/>
        <v>4.0000000000000036E-3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7258801.7157592447</v>
      </c>
      <c r="D64" s="11">
        <v>4.7000000000000002E-3</v>
      </c>
      <c r="E64" s="10">
        <f t="shared" si="2"/>
        <v>33956.771239243448</v>
      </c>
      <c r="F64" s="3"/>
      <c r="G64" s="28"/>
      <c r="H64" s="10"/>
      <c r="I64" s="10">
        <f t="shared" si="8"/>
        <v>19643</v>
      </c>
      <c r="J64" s="10">
        <f t="shared" si="6"/>
        <v>142584642102.65884</v>
      </c>
      <c r="K64" s="11">
        <f t="shared" si="7"/>
        <v>4.6999999999999265E-3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7224844.9445200013</v>
      </c>
      <c r="D65" s="11">
        <v>5.1999999999999998E-3</v>
      </c>
      <c r="E65" s="10">
        <f t="shared" si="2"/>
        <v>37374.844520000741</v>
      </c>
      <c r="F65" s="3"/>
      <c r="G65" s="28"/>
      <c r="H65" s="10"/>
      <c r="I65" s="10">
        <f t="shared" si="8"/>
        <v>19643</v>
      </c>
      <c r="J65" s="10">
        <f t="shared" si="6"/>
        <v>141917629245.20639</v>
      </c>
      <c r="K65" s="11">
        <f t="shared" si="7"/>
        <v>5.2000000000000934E-3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7187470.1000000006</v>
      </c>
      <c r="D66" s="11">
        <v>5.1000000000000004E-3</v>
      </c>
      <c r="E66" s="10">
        <f t="shared" si="2"/>
        <v>36470.100000000559</v>
      </c>
      <c r="F66" s="3"/>
      <c r="G66" s="28"/>
      <c r="H66" s="10"/>
      <c r="I66" s="10">
        <f t="shared" si="8"/>
        <v>19643</v>
      </c>
      <c r="J66" s="10">
        <f t="shared" ref="J66:J67" si="9">IF(I66="","",I66*C66)</f>
        <v>141183475174.30002</v>
      </c>
      <c r="K66" s="11">
        <f t="shared" ref="K66" si="10">IFERROR(J66/J67-1,"")</f>
        <v>5.1000000000001044E-3</v>
      </c>
    </row>
    <row r="67" spans="1:11" ht="22.5" customHeight="1">
      <c r="A67" s="3">
        <f t="shared" si="0"/>
        <v>1950</v>
      </c>
      <c r="B67" s="3">
        <v>1700</v>
      </c>
      <c r="C67" s="10">
        <v>7151000</v>
      </c>
      <c r="D67" s="11">
        <v>4.4000000000000003E-3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19643</v>
      </c>
      <c r="J67" s="10">
        <f t="shared" si="9"/>
        <v>140467093000</v>
      </c>
      <c r="K67" s="11"/>
    </row>
  </sheetData>
  <dataValidations count="1">
    <dataValidation type="custom" allowBlank="1" showDropDown="1" sqref="D2:D67" xr:uid="{00000000-0002-0000-3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16057740.199083162</v>
      </c>
      <c r="D2" s="11">
        <v>1.15E-2</v>
      </c>
      <c r="E2" s="10">
        <f t="shared" ref="E2:E66" si="2">SUM(C2-C3)</f>
        <v>182564.52030593902</v>
      </c>
      <c r="F2" s="15"/>
      <c r="G2" s="28"/>
      <c r="H2" s="10"/>
      <c r="I2" s="10">
        <f>IF(H2&lt;&gt;"",H2,1560)</f>
        <v>1560</v>
      </c>
      <c r="J2" s="10">
        <f t="shared" ref="J2:J33" si="3">IF(I2="","",I2*C2)</f>
        <v>25050074710.569733</v>
      </c>
      <c r="K2" s="11">
        <f t="shared" ref="K2:K33" si="4">IFERROR(J2/J3-1,"")</f>
        <v>1.1500000000000066E-2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15875175.678777223</v>
      </c>
      <c r="D3" s="11">
        <v>1.1900000000000001E-2</v>
      </c>
      <c r="E3" s="10">
        <f t="shared" si="2"/>
        <v>186692.94453745335</v>
      </c>
      <c r="F3" s="3"/>
      <c r="G3" s="28"/>
      <c r="H3" s="10"/>
      <c r="I3" s="10">
        <f t="shared" ref="I3:I34" si="5">IF(H3&lt;&gt;"",H3,I2/(1+IF(G2="",0,G2)/100))</f>
        <v>1560</v>
      </c>
      <c r="J3" s="10">
        <f t="shared" si="3"/>
        <v>24765274058.892467</v>
      </c>
      <c r="K3" s="11">
        <f t="shared" si="4"/>
        <v>1.1900000000000022E-2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15688482.73423977</v>
      </c>
      <c r="D4" s="11">
        <v>1.2200000000000001E-2</v>
      </c>
      <c r="E4" s="10">
        <f t="shared" si="2"/>
        <v>189092.56012420915</v>
      </c>
      <c r="F4" s="3"/>
      <c r="G4" s="28"/>
      <c r="H4" s="10"/>
      <c r="I4" s="10">
        <f t="shared" si="5"/>
        <v>1560</v>
      </c>
      <c r="J4" s="10">
        <f t="shared" si="3"/>
        <v>24474033065.41404</v>
      </c>
      <c r="K4" s="11">
        <f t="shared" si="4"/>
        <v>1.2199999999999989E-2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15499390.174115561</v>
      </c>
      <c r="D5" s="11">
        <v>1.2500000000000001E-2</v>
      </c>
      <c r="E5" s="10">
        <f t="shared" si="2"/>
        <v>191350.49597673491</v>
      </c>
      <c r="F5" s="3"/>
      <c r="G5" s="28"/>
      <c r="H5" s="10"/>
      <c r="I5" s="10">
        <f t="shared" si="5"/>
        <v>1560</v>
      </c>
      <c r="J5" s="10">
        <f t="shared" si="3"/>
        <v>24179048671.620274</v>
      </c>
      <c r="K5" s="11">
        <f t="shared" si="4"/>
        <v>1.2499999999999956E-2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15308039.678138826</v>
      </c>
      <c r="D6" s="11">
        <v>1.2699999999999999E-2</v>
      </c>
      <c r="E6" s="10">
        <f t="shared" si="2"/>
        <v>191974.03368456848</v>
      </c>
      <c r="F6" s="3"/>
      <c r="G6" s="28"/>
      <c r="H6" s="10"/>
      <c r="I6" s="10">
        <f t="shared" si="5"/>
        <v>1560</v>
      </c>
      <c r="J6" s="10">
        <f t="shared" si="3"/>
        <v>23880541897.896568</v>
      </c>
      <c r="K6" s="11">
        <f t="shared" si="4"/>
        <v>1.2699999999999934E-2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15116065.644454258</v>
      </c>
      <c r="D7" s="11">
        <v>1.2800000000000001E-2</v>
      </c>
      <c r="E7" s="10">
        <f t="shared" si="2"/>
        <v>191040.32410052605</v>
      </c>
      <c r="F7" s="3"/>
      <c r="G7" s="28"/>
      <c r="H7" s="10"/>
      <c r="I7" s="10">
        <f t="shared" si="5"/>
        <v>1560</v>
      </c>
      <c r="J7" s="10">
        <f t="shared" si="3"/>
        <v>23581062405.34864</v>
      </c>
      <c r="K7" s="11">
        <f t="shared" si="4"/>
        <v>1.2799999999999923E-2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14925025.320353732</v>
      </c>
      <c r="D8" s="11">
        <v>1.2699999999999999E-2</v>
      </c>
      <c r="E8" s="10">
        <f t="shared" si="2"/>
        <v>187170.75300532393</v>
      </c>
      <c r="F8" s="3"/>
      <c r="G8" s="28"/>
      <c r="H8" s="10"/>
      <c r="I8" s="10">
        <f t="shared" si="5"/>
        <v>1560</v>
      </c>
      <c r="J8" s="10">
        <f t="shared" si="3"/>
        <v>23283039499.75182</v>
      </c>
      <c r="K8" s="11">
        <f t="shared" si="4"/>
        <v>1.2699999999999934E-2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14737854.567348408</v>
      </c>
      <c r="D9" s="11">
        <v>1.23E-2</v>
      </c>
      <c r="E9" s="10">
        <f t="shared" si="2"/>
        <v>179073.01311704516</v>
      </c>
      <c r="F9" s="3"/>
      <c r="G9" s="28"/>
      <c r="H9" s="10"/>
      <c r="I9" s="10">
        <f t="shared" si="5"/>
        <v>1560</v>
      </c>
      <c r="J9" s="10">
        <f t="shared" si="3"/>
        <v>22991053125.063515</v>
      </c>
      <c r="K9" s="11">
        <f t="shared" si="4"/>
        <v>1.2299999999999978E-2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14558781.554231362</v>
      </c>
      <c r="D10" s="11">
        <v>1.2200000000000001E-2</v>
      </c>
      <c r="E10" s="10">
        <f t="shared" si="2"/>
        <v>175476.32381112687</v>
      </c>
      <c r="F10" s="3"/>
      <c r="G10" s="28"/>
      <c r="H10" s="10"/>
      <c r="I10" s="10">
        <f t="shared" si="5"/>
        <v>1560</v>
      </c>
      <c r="J10" s="10">
        <f t="shared" si="3"/>
        <v>22711699224.600925</v>
      </c>
      <c r="K10" s="11">
        <f t="shared" si="4"/>
        <v>1.2199999999999989E-2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14383305.230420236</v>
      </c>
      <c r="D11" s="11">
        <v>1.2500000000000001E-2</v>
      </c>
      <c r="E11" s="10">
        <f t="shared" si="2"/>
        <v>177571.66951136105</v>
      </c>
      <c r="F11" s="3"/>
      <c r="G11" s="28"/>
      <c r="H11" s="10"/>
      <c r="I11" s="10">
        <f t="shared" si="5"/>
        <v>1560</v>
      </c>
      <c r="J11" s="10">
        <f t="shared" si="3"/>
        <v>22437956159.455566</v>
      </c>
      <c r="K11" s="11">
        <f t="shared" si="4"/>
        <v>1.2499999999999956E-2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14205733.560908874</v>
      </c>
      <c r="D12" s="11">
        <v>1.3100000000000001E-2</v>
      </c>
      <c r="E12" s="10">
        <f t="shared" si="2"/>
        <v>183688.78654417954</v>
      </c>
      <c r="F12" s="3"/>
      <c r="G12" s="28"/>
      <c r="H12" s="10"/>
      <c r="I12" s="10">
        <f t="shared" si="5"/>
        <v>1560</v>
      </c>
      <c r="J12" s="10">
        <f t="shared" si="3"/>
        <v>22160944355.017845</v>
      </c>
      <c r="K12" s="11">
        <f t="shared" si="4"/>
        <v>1.3100000000000334E-2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14022044.774364695</v>
      </c>
      <c r="D13" s="11">
        <v>1.37E-2</v>
      </c>
      <c r="E13" s="10">
        <f t="shared" si="2"/>
        <v>189505.78416572697</v>
      </c>
      <c r="F13" s="3"/>
      <c r="G13" s="28"/>
      <c r="H13" s="10"/>
      <c r="I13" s="10">
        <f t="shared" si="5"/>
        <v>1560</v>
      </c>
      <c r="J13" s="10">
        <f t="shared" si="3"/>
        <v>21874389848.008923</v>
      </c>
      <c r="K13" s="11">
        <f t="shared" si="4"/>
        <v>1.3700000000000045E-2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13832538.990198968</v>
      </c>
      <c r="D14" s="11">
        <v>1.44E-2</v>
      </c>
      <c r="E14" s="10">
        <f t="shared" si="2"/>
        <v>196360.96358326636</v>
      </c>
      <c r="F14" s="3"/>
      <c r="G14" s="28"/>
      <c r="H14" s="10"/>
      <c r="I14" s="10">
        <f t="shared" si="5"/>
        <v>1560</v>
      </c>
      <c r="J14" s="10">
        <f t="shared" si="3"/>
        <v>21578760824.710388</v>
      </c>
      <c r="K14" s="11">
        <f t="shared" si="4"/>
        <v>1.4399999999999746E-2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13636178.026615702</v>
      </c>
      <c r="D15" s="11">
        <v>1.4999999999999999E-2</v>
      </c>
      <c r="E15" s="10">
        <f t="shared" si="2"/>
        <v>201519.87231451645</v>
      </c>
      <c r="F15" s="3"/>
      <c r="G15" s="28"/>
      <c r="H15" s="10"/>
      <c r="I15" s="10">
        <f t="shared" si="5"/>
        <v>1560</v>
      </c>
      <c r="J15" s="10">
        <f t="shared" si="3"/>
        <v>21272437721.520496</v>
      </c>
      <c r="K15" s="11">
        <f t="shared" si="4"/>
        <v>1.4999999999999902E-2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13434658.154301185</v>
      </c>
      <c r="D16" s="11">
        <v>1.5699999999999999E-2</v>
      </c>
      <c r="E16" s="10">
        <f t="shared" si="2"/>
        <v>207663.81118689477</v>
      </c>
      <c r="F16" s="3"/>
      <c r="G16" s="28"/>
      <c r="H16" s="10"/>
      <c r="I16" s="10">
        <f t="shared" si="5"/>
        <v>1560</v>
      </c>
      <c r="J16" s="10">
        <f t="shared" si="3"/>
        <v>20958066720.70985</v>
      </c>
      <c r="K16" s="11">
        <f t="shared" si="4"/>
        <v>1.5700000000000047E-2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13226994.34311429</v>
      </c>
      <c r="D17" s="11">
        <v>1.6199999999999999E-2</v>
      </c>
      <c r="E17" s="10">
        <f t="shared" si="2"/>
        <v>210861.35441689752</v>
      </c>
      <c r="F17" s="3"/>
      <c r="G17" s="28"/>
      <c r="H17" s="10"/>
      <c r="I17" s="10">
        <f t="shared" si="5"/>
        <v>1560</v>
      </c>
      <c r="J17" s="10">
        <f t="shared" si="3"/>
        <v>20634111175.258293</v>
      </c>
      <c r="K17" s="11">
        <f t="shared" si="4"/>
        <v>1.6199999999999992E-2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13016132.988697393</v>
      </c>
      <c r="D18" s="11">
        <v>1.6199999999999999E-2</v>
      </c>
      <c r="E18" s="10">
        <f t="shared" si="2"/>
        <v>207499.85673774593</v>
      </c>
      <c r="F18" s="3"/>
      <c r="G18" s="28"/>
      <c r="H18" s="10"/>
      <c r="I18" s="10">
        <f t="shared" si="5"/>
        <v>1560</v>
      </c>
      <c r="J18" s="10">
        <f t="shared" si="3"/>
        <v>20305167462.367931</v>
      </c>
      <c r="K18" s="11">
        <f t="shared" si="4"/>
        <v>1.6199999999999992E-2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12808633.131959647</v>
      </c>
      <c r="D19" s="11">
        <v>1.61E-2</v>
      </c>
      <c r="E19" s="10">
        <f t="shared" si="2"/>
        <v>202951.47468216717</v>
      </c>
      <c r="F19" s="3"/>
      <c r="G19" s="28"/>
      <c r="H19" s="10"/>
      <c r="I19" s="10">
        <f t="shared" si="5"/>
        <v>1560</v>
      </c>
      <c r="J19" s="10">
        <f t="shared" si="3"/>
        <v>19981467685.857048</v>
      </c>
      <c r="K19" s="11">
        <f t="shared" si="4"/>
        <v>1.6100000000000003E-2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12605681.65727748</v>
      </c>
      <c r="D20" s="11">
        <v>1.7000000000000001E-2</v>
      </c>
      <c r="E20" s="10">
        <f t="shared" si="2"/>
        <v>210714.44264868833</v>
      </c>
      <c r="F20" s="3"/>
      <c r="G20" s="28"/>
      <c r="H20" s="10"/>
      <c r="I20" s="10">
        <f t="shared" si="5"/>
        <v>1560</v>
      </c>
      <c r="J20" s="10">
        <f t="shared" si="3"/>
        <v>19664863385.352867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12394967.214628791</v>
      </c>
      <c r="D21" s="11">
        <v>1.6899999999999998E-2</v>
      </c>
      <c r="E21" s="10">
        <f t="shared" si="2"/>
        <v>205993.65318834223</v>
      </c>
      <c r="F21" s="3"/>
      <c r="G21" s="28"/>
      <c r="H21" s="10"/>
      <c r="I21" s="10">
        <f t="shared" si="5"/>
        <v>1560</v>
      </c>
      <c r="J21" s="10">
        <f t="shared" si="3"/>
        <v>19336148854.820915</v>
      </c>
      <c r="K21" s="11">
        <f t="shared" si="4"/>
        <v>1.6899999999999915E-2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12188973.561440449</v>
      </c>
      <c r="D22" s="11">
        <v>1.7500000000000002E-2</v>
      </c>
      <c r="E22" s="10">
        <f t="shared" si="2"/>
        <v>209638.36592158116</v>
      </c>
      <c r="F22" s="3"/>
      <c r="G22" s="28"/>
      <c r="H22" s="10"/>
      <c r="I22" s="10">
        <f t="shared" si="5"/>
        <v>1560</v>
      </c>
      <c r="J22" s="10">
        <f t="shared" si="3"/>
        <v>19014798755.847099</v>
      </c>
      <c r="K22" s="11">
        <f t="shared" si="4"/>
        <v>1.7500000000000071E-2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11979335.195518868</v>
      </c>
      <c r="D23" s="11">
        <v>1.7999999999999999E-2</v>
      </c>
      <c r="E23" s="10">
        <f t="shared" si="2"/>
        <v>211815.35709168948</v>
      </c>
      <c r="F23" s="3"/>
      <c r="G23" s="28"/>
      <c r="H23" s="10"/>
      <c r="I23" s="10">
        <f t="shared" si="5"/>
        <v>1560</v>
      </c>
      <c r="J23" s="10">
        <f t="shared" si="3"/>
        <v>18687762905.009434</v>
      </c>
      <c r="K23" s="11">
        <f t="shared" si="4"/>
        <v>1.8000000000000016E-2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11767519.838427179</v>
      </c>
      <c r="D24" s="11">
        <v>1.9E-2</v>
      </c>
      <c r="E24" s="10">
        <f t="shared" si="2"/>
        <v>219414.0107263159</v>
      </c>
      <c r="F24" s="3"/>
      <c r="G24" s="28"/>
      <c r="H24" s="10"/>
      <c r="I24" s="10">
        <f t="shared" si="5"/>
        <v>1560</v>
      </c>
      <c r="J24" s="10">
        <f t="shared" si="3"/>
        <v>18357330947.9464</v>
      </c>
      <c r="K24" s="11">
        <f t="shared" si="4"/>
        <v>1.9000000000000128E-2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11548105.827700863</v>
      </c>
      <c r="D25" s="11">
        <v>1.9300000000000001E-2</v>
      </c>
      <c r="E25" s="10">
        <f t="shared" si="2"/>
        <v>218658.33657865971</v>
      </c>
      <c r="F25" s="3"/>
      <c r="G25" s="28"/>
      <c r="H25" s="10"/>
      <c r="I25" s="10">
        <f t="shared" si="5"/>
        <v>1560</v>
      </c>
      <c r="J25" s="10">
        <f t="shared" si="3"/>
        <v>18015045091.213345</v>
      </c>
      <c r="K25" s="11">
        <f t="shared" si="4"/>
        <v>1.9300000000000095E-2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11329447.491122203</v>
      </c>
      <c r="D26" s="11">
        <v>1.9599999999999999E-2</v>
      </c>
      <c r="E26" s="10">
        <f t="shared" si="2"/>
        <v>217788.51591408066</v>
      </c>
      <c r="F26" s="3"/>
      <c r="G26" s="28"/>
      <c r="H26" s="10"/>
      <c r="I26" s="10">
        <f t="shared" si="5"/>
        <v>1560</v>
      </c>
      <c r="J26" s="10">
        <f t="shared" si="3"/>
        <v>17673938086.150635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11111658.975208122</v>
      </c>
      <c r="D27" s="11">
        <v>1.9800000000000002E-2</v>
      </c>
      <c r="E27" s="10">
        <f t="shared" si="2"/>
        <v>215739.21132488921</v>
      </c>
      <c r="F27" s="3"/>
      <c r="G27" s="28"/>
      <c r="H27" s="10"/>
      <c r="I27" s="10">
        <f t="shared" si="5"/>
        <v>1560</v>
      </c>
      <c r="J27" s="10">
        <f t="shared" si="3"/>
        <v>17334188001.324669</v>
      </c>
      <c r="K27" s="11">
        <f t="shared" si="4"/>
        <v>1.980000000000004E-2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10895919.763883233</v>
      </c>
      <c r="D28" s="11">
        <v>2.06E-2</v>
      </c>
      <c r="E28" s="10">
        <f t="shared" si="2"/>
        <v>219925.48220261931</v>
      </c>
      <c r="F28" s="3"/>
      <c r="G28" s="28"/>
      <c r="H28" s="10"/>
      <c r="I28" s="10">
        <f t="shared" si="5"/>
        <v>1560</v>
      </c>
      <c r="J28" s="10">
        <f t="shared" si="3"/>
        <v>16997634831.657845</v>
      </c>
      <c r="K28" s="11">
        <f t="shared" si="4"/>
        <v>2.0599999999999952E-2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10675994.281680614</v>
      </c>
      <c r="D29" s="11">
        <v>2.0899999999999998E-2</v>
      </c>
      <c r="E29" s="10">
        <f t="shared" si="2"/>
        <v>218560.36877962947</v>
      </c>
      <c r="F29" s="3"/>
      <c r="G29" s="28"/>
      <c r="H29" s="10"/>
      <c r="I29" s="10">
        <f t="shared" si="5"/>
        <v>1560</v>
      </c>
      <c r="J29" s="10">
        <f t="shared" si="3"/>
        <v>16654551079.421757</v>
      </c>
      <c r="K29" s="11">
        <f t="shared" si="4"/>
        <v>2.0899999999999919E-2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10457433.912900984</v>
      </c>
      <c r="D30" s="11">
        <v>2.12E-2</v>
      </c>
      <c r="E30" s="10">
        <f t="shared" si="2"/>
        <v>217095.18111388758</v>
      </c>
      <c r="F30" s="3"/>
      <c r="G30" s="28"/>
      <c r="H30" s="10"/>
      <c r="I30" s="10">
        <f t="shared" si="5"/>
        <v>1560</v>
      </c>
      <c r="J30" s="10">
        <f t="shared" si="3"/>
        <v>16313596904.125536</v>
      </c>
      <c r="K30" s="11">
        <f t="shared" si="4"/>
        <v>2.1200000000000108E-2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10240338.731787097</v>
      </c>
      <c r="D31" s="11">
        <v>2.1499999999999998E-2</v>
      </c>
      <c r="E31" s="10">
        <f t="shared" si="2"/>
        <v>215533.31643017381</v>
      </c>
      <c r="F31" s="3"/>
      <c r="G31" s="28"/>
      <c r="H31" s="10"/>
      <c r="I31" s="10">
        <f t="shared" si="5"/>
        <v>1560</v>
      </c>
      <c r="J31" s="10">
        <f t="shared" si="3"/>
        <v>15974928421.587872</v>
      </c>
      <c r="K31" s="11">
        <f t="shared" si="4"/>
        <v>2.1500000000000075E-2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10024805.415356923</v>
      </c>
      <c r="D32" s="11">
        <v>2.1899999999999999E-2</v>
      </c>
      <c r="E32" s="10">
        <f t="shared" si="2"/>
        <v>214838.28025865182</v>
      </c>
      <c r="F32" s="3"/>
      <c r="G32" s="28"/>
      <c r="H32" s="10"/>
      <c r="I32" s="10">
        <f t="shared" si="5"/>
        <v>1560</v>
      </c>
      <c r="J32" s="10">
        <f t="shared" si="3"/>
        <v>15638696447.9568</v>
      </c>
      <c r="K32" s="11">
        <f t="shared" si="4"/>
        <v>2.1900000000000031E-2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9809967.1350982711</v>
      </c>
      <c r="D33" s="11">
        <v>2.2200000000000001E-2</v>
      </c>
      <c r="E33" s="10">
        <f t="shared" si="2"/>
        <v>213051.5265106447</v>
      </c>
      <c r="F33" s="3"/>
      <c r="G33" s="28"/>
      <c r="H33" s="10"/>
      <c r="I33" s="10">
        <f t="shared" si="5"/>
        <v>1560</v>
      </c>
      <c r="J33" s="10">
        <f t="shared" si="3"/>
        <v>15303548730.753304</v>
      </c>
      <c r="K33" s="11">
        <f t="shared" si="4"/>
        <v>2.2199999999999998E-2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9596915.6085876264</v>
      </c>
      <c r="D34" s="11">
        <v>2.2499999999999999E-2</v>
      </c>
      <c r="E34" s="10">
        <f t="shared" si="2"/>
        <v>211179.07207161002</v>
      </c>
      <c r="F34" s="3"/>
      <c r="G34" s="28"/>
      <c r="H34" s="10"/>
      <c r="I34" s="10">
        <f t="shared" si="5"/>
        <v>1560</v>
      </c>
      <c r="J34" s="10">
        <f t="shared" ref="J34:J65" si="6">IF(I34="","",I34*C34)</f>
        <v>14971188349.396698</v>
      </c>
      <c r="K34" s="11">
        <f t="shared" ref="K34:K65" si="7">IFERROR(J34/J35-1,"")</f>
        <v>2.2499999999999964E-2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9385736.5365160163</v>
      </c>
      <c r="D35" s="11">
        <v>2.2700000000000001E-2</v>
      </c>
      <c r="E35" s="10">
        <f t="shared" si="2"/>
        <v>208327.19211783819</v>
      </c>
      <c r="F35" s="3"/>
      <c r="G35" s="28"/>
      <c r="H35" s="10"/>
      <c r="I35" s="10">
        <f t="shared" ref="I35:I66" si="8">IF(H35&lt;&gt;"",H35,I34/(1+IF(G34="",0,G34)/100))</f>
        <v>1560</v>
      </c>
      <c r="J35" s="10">
        <f t="shared" si="6"/>
        <v>14641748996.964985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9177409.3443981782</v>
      </c>
      <c r="D36" s="11">
        <v>2.29E-2</v>
      </c>
      <c r="E36" s="10">
        <f t="shared" si="2"/>
        <v>205457.69282111339</v>
      </c>
      <c r="F36" s="3"/>
      <c r="G36" s="28"/>
      <c r="H36" s="10"/>
      <c r="I36" s="10">
        <f t="shared" si="8"/>
        <v>1560</v>
      </c>
      <c r="J36" s="10">
        <f t="shared" si="6"/>
        <v>14316758577.261158</v>
      </c>
      <c r="K36" s="11">
        <f t="shared" si="7"/>
        <v>2.289999999999992E-2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8971951.6515770648</v>
      </c>
      <c r="D37" s="11">
        <v>2.3099999999999999E-2</v>
      </c>
      <c r="E37" s="10">
        <f t="shared" si="2"/>
        <v>202572.65482497215</v>
      </c>
      <c r="F37" s="3"/>
      <c r="G37" s="28"/>
      <c r="H37" s="10"/>
      <c r="I37" s="10">
        <f t="shared" si="8"/>
        <v>1560</v>
      </c>
      <c r="J37" s="10">
        <f t="shared" si="6"/>
        <v>13996244576.46022</v>
      </c>
      <c r="K37" s="11">
        <f t="shared" si="7"/>
        <v>2.3099999999999898E-2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8769378.9967520926</v>
      </c>
      <c r="D38" s="11">
        <v>2.3300000000000001E-2</v>
      </c>
      <c r="E38" s="10">
        <f t="shared" si="2"/>
        <v>199674.12354571</v>
      </c>
      <c r="F38" s="3"/>
      <c r="G38" s="28"/>
      <c r="H38" s="10"/>
      <c r="I38" s="10">
        <f t="shared" si="8"/>
        <v>1560</v>
      </c>
      <c r="J38" s="10">
        <f t="shared" si="6"/>
        <v>13680231234.933264</v>
      </c>
      <c r="K38" s="11">
        <f t="shared" si="7"/>
        <v>2.3300000000000098E-2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8569704.8732063826</v>
      </c>
      <c r="D39" s="11">
        <v>2.3599999999999999E-2</v>
      </c>
      <c r="E39" s="10">
        <f t="shared" si="2"/>
        <v>197582.09750651754</v>
      </c>
      <c r="F39" s="3"/>
      <c r="G39" s="28"/>
      <c r="H39" s="10"/>
      <c r="I39" s="10">
        <f t="shared" si="8"/>
        <v>1560</v>
      </c>
      <c r="J39" s="10">
        <f t="shared" si="6"/>
        <v>13368739602.201958</v>
      </c>
      <c r="K39" s="11">
        <f t="shared" si="7"/>
        <v>2.3600000000000065E-2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8372122.7756998651</v>
      </c>
      <c r="D40" s="11">
        <v>2.3800000000000002E-2</v>
      </c>
      <c r="E40" s="10">
        <f t="shared" si="2"/>
        <v>194624.45991566405</v>
      </c>
      <c r="F40" s="3"/>
      <c r="G40" s="28"/>
      <c r="H40" s="10"/>
      <c r="I40" s="10">
        <f t="shared" si="8"/>
        <v>1560</v>
      </c>
      <c r="J40" s="10">
        <f t="shared" si="6"/>
        <v>13060511530.091789</v>
      </c>
      <c r="K40" s="11">
        <f t="shared" si="7"/>
        <v>2.3800000000000043E-2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8177498.315784201</v>
      </c>
      <c r="D41" s="11">
        <v>2.41E-2</v>
      </c>
      <c r="E41" s="10">
        <f t="shared" si="2"/>
        <v>192439.90763636306</v>
      </c>
      <c r="F41" s="3"/>
      <c r="G41" s="28"/>
      <c r="H41" s="10"/>
      <c r="I41" s="10">
        <f t="shared" si="8"/>
        <v>1560</v>
      </c>
      <c r="J41" s="10">
        <f t="shared" si="6"/>
        <v>12756897372.623354</v>
      </c>
      <c r="K41" s="11">
        <f t="shared" si="7"/>
        <v>2.410000000000001E-2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7985058.408147838</v>
      </c>
      <c r="D42" s="11">
        <v>2.4400000000000002E-2</v>
      </c>
      <c r="E42" s="10">
        <f t="shared" si="2"/>
        <v>190194.67508669198</v>
      </c>
      <c r="F42" s="3"/>
      <c r="G42" s="28"/>
      <c r="H42" s="10"/>
      <c r="I42" s="10">
        <f t="shared" si="8"/>
        <v>1560</v>
      </c>
      <c r="J42" s="10">
        <f t="shared" si="6"/>
        <v>12456691116.710627</v>
      </c>
      <c r="K42" s="11">
        <f t="shared" si="7"/>
        <v>2.4399999999999977E-2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7794863.733061146</v>
      </c>
      <c r="D43" s="11">
        <v>2.4799999999999999E-2</v>
      </c>
      <c r="E43" s="10">
        <f t="shared" si="2"/>
        <v>188634.48534339946</v>
      </c>
      <c r="F43" s="3"/>
      <c r="G43" s="28"/>
      <c r="H43" s="10"/>
      <c r="I43" s="10">
        <f t="shared" si="8"/>
        <v>1560</v>
      </c>
      <c r="J43" s="10">
        <f t="shared" si="6"/>
        <v>12159987423.575388</v>
      </c>
      <c r="K43" s="11">
        <f t="shared" si="7"/>
        <v>2.4799999999999933E-2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7606229.2477177465</v>
      </c>
      <c r="D44" s="11">
        <v>2.5100000000000001E-2</v>
      </c>
      <c r="E44" s="10">
        <f t="shared" si="2"/>
        <v>186241.68775506224</v>
      </c>
      <c r="F44" s="3"/>
      <c r="G44" s="28"/>
      <c r="H44" s="10"/>
      <c r="I44" s="10">
        <f t="shared" si="8"/>
        <v>1560</v>
      </c>
      <c r="J44" s="10">
        <f t="shared" si="6"/>
        <v>11865717626.439684</v>
      </c>
      <c r="K44" s="11">
        <f t="shared" si="7"/>
        <v>2.5099999999999678E-2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7419987.5599626843</v>
      </c>
      <c r="D45" s="11">
        <v>2.5499999999999998E-2</v>
      </c>
      <c r="E45" s="10">
        <f t="shared" si="2"/>
        <v>184504.81012096442</v>
      </c>
      <c r="F45" s="3"/>
      <c r="G45" s="28"/>
      <c r="H45" s="10"/>
      <c r="I45" s="10">
        <f t="shared" si="8"/>
        <v>1560</v>
      </c>
      <c r="J45" s="10">
        <f t="shared" si="6"/>
        <v>11575180593.541788</v>
      </c>
      <c r="K45" s="11">
        <f t="shared" si="7"/>
        <v>2.55000000000003E-2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7235482.7498417199</v>
      </c>
      <c r="D46" s="11">
        <v>2.58E-2</v>
      </c>
      <c r="E46" s="10">
        <f t="shared" si="2"/>
        <v>181980.36161621846</v>
      </c>
      <c r="F46" s="3"/>
      <c r="G46" s="28"/>
      <c r="H46" s="10"/>
      <c r="I46" s="10">
        <f t="shared" si="8"/>
        <v>1560</v>
      </c>
      <c r="J46" s="10">
        <f t="shared" si="6"/>
        <v>11287353089.753082</v>
      </c>
      <c r="K46" s="11">
        <f t="shared" si="7"/>
        <v>2.5800000000000045E-2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7053502.3882255014</v>
      </c>
      <c r="D47" s="11">
        <v>2.6100000000000002E-2</v>
      </c>
      <c r="E47" s="10">
        <f t="shared" si="2"/>
        <v>179413.71438718028</v>
      </c>
      <c r="F47" s="3"/>
      <c r="G47" s="28"/>
      <c r="H47" s="10"/>
      <c r="I47" s="10">
        <f t="shared" si="8"/>
        <v>1560</v>
      </c>
      <c r="J47" s="10">
        <f t="shared" si="6"/>
        <v>11003463725.631783</v>
      </c>
      <c r="K47" s="11">
        <f t="shared" si="7"/>
        <v>2.6100000000000012E-2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6874088.6738383211</v>
      </c>
      <c r="D48" s="11">
        <v>2.6599999999999999E-2</v>
      </c>
      <c r="E48" s="10">
        <f t="shared" si="2"/>
        <v>178112.95414387248</v>
      </c>
      <c r="F48" s="3"/>
      <c r="G48" s="28"/>
      <c r="H48" s="10"/>
      <c r="I48" s="10">
        <f t="shared" si="8"/>
        <v>1560</v>
      </c>
      <c r="J48" s="10">
        <f t="shared" si="6"/>
        <v>10723578331.18778</v>
      </c>
      <c r="K48" s="11">
        <f t="shared" si="7"/>
        <v>2.6599999999999957E-2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6695975.7196944486</v>
      </c>
      <c r="D49" s="11">
        <v>2.7199999999999998E-2</v>
      </c>
      <c r="E49" s="10">
        <f t="shared" si="2"/>
        <v>177307.7682785131</v>
      </c>
      <c r="F49" s="3"/>
      <c r="G49" s="28"/>
      <c r="H49" s="10"/>
      <c r="I49" s="10">
        <f t="shared" si="8"/>
        <v>1560</v>
      </c>
      <c r="J49" s="10">
        <f t="shared" si="6"/>
        <v>10445722122.723339</v>
      </c>
      <c r="K49" s="11">
        <f t="shared" si="7"/>
        <v>2.7199999999999891E-2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6518667.9514159355</v>
      </c>
      <c r="D50" s="11">
        <v>2.7799999999999998E-2</v>
      </c>
      <c r="E50" s="10">
        <f t="shared" si="2"/>
        <v>176317.34680809826</v>
      </c>
      <c r="F50" s="3"/>
      <c r="G50" s="28"/>
      <c r="H50" s="10"/>
      <c r="I50" s="10">
        <f t="shared" si="8"/>
        <v>1560</v>
      </c>
      <c r="J50" s="10">
        <f t="shared" si="6"/>
        <v>10169122004.208858</v>
      </c>
      <c r="K50" s="11">
        <f t="shared" si="7"/>
        <v>2.7799999999999825E-2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6342350.6046078373</v>
      </c>
      <c r="D51" s="11">
        <v>2.8299999999999999E-2</v>
      </c>
      <c r="E51" s="10">
        <f t="shared" si="2"/>
        <v>174548.79131615441</v>
      </c>
      <c r="F51" s="3"/>
      <c r="G51" s="28"/>
      <c r="H51" s="10"/>
      <c r="I51" s="10">
        <f t="shared" si="8"/>
        <v>1560</v>
      </c>
      <c r="J51" s="10">
        <f t="shared" si="6"/>
        <v>9894066943.1882267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6167801.8132916829</v>
      </c>
      <c r="D52" s="11">
        <v>2.8799999999999999E-2</v>
      </c>
      <c r="E52" s="10">
        <f t="shared" si="2"/>
        <v>172660.08186508529</v>
      </c>
      <c r="F52" s="3"/>
      <c r="G52" s="28"/>
      <c r="H52" s="10"/>
      <c r="I52" s="10">
        <f t="shared" si="8"/>
        <v>1560</v>
      </c>
      <c r="J52" s="10">
        <f t="shared" si="6"/>
        <v>9621770828.7350254</v>
      </c>
      <c r="K52" s="11">
        <f t="shared" si="7"/>
        <v>2.8799999999999937E-2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5995141.7314265976</v>
      </c>
      <c r="D53" s="11">
        <v>2.93E-2</v>
      </c>
      <c r="E53" s="10">
        <f t="shared" si="2"/>
        <v>170657.3911695322</v>
      </c>
      <c r="F53" s="3"/>
      <c r="G53" s="28"/>
      <c r="H53" s="10"/>
      <c r="I53" s="10">
        <f t="shared" si="8"/>
        <v>1560</v>
      </c>
      <c r="J53" s="10">
        <f t="shared" si="6"/>
        <v>9352421101.0254917</v>
      </c>
      <c r="K53" s="11">
        <f t="shared" si="7"/>
        <v>2.9300000000000104E-2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5824484.3402570654</v>
      </c>
      <c r="D54" s="11">
        <v>2.98E-2</v>
      </c>
      <c r="E54" s="10">
        <f t="shared" si="2"/>
        <v>168546.93468601722</v>
      </c>
      <c r="F54" s="3"/>
      <c r="G54" s="28"/>
      <c r="H54" s="10"/>
      <c r="I54" s="10">
        <f t="shared" si="8"/>
        <v>1560</v>
      </c>
      <c r="J54" s="10">
        <f t="shared" si="6"/>
        <v>9086195570.8010216</v>
      </c>
      <c r="K54" s="11">
        <f t="shared" si="7"/>
        <v>2.9799999999999827E-2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5655937.4055710481</v>
      </c>
      <c r="D55" s="11">
        <v>3.0200000000000001E-2</v>
      </c>
      <c r="E55" s="10">
        <f t="shared" si="2"/>
        <v>165802.08663196024</v>
      </c>
      <c r="F55" s="3"/>
      <c r="G55" s="28"/>
      <c r="H55" s="10"/>
      <c r="I55" s="10">
        <f t="shared" si="8"/>
        <v>1560</v>
      </c>
      <c r="J55" s="10">
        <f t="shared" si="6"/>
        <v>8823262352.690836</v>
      </c>
      <c r="K55" s="11">
        <f t="shared" si="7"/>
        <v>3.0200000000000005E-2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5490135.3189390879</v>
      </c>
      <c r="D56" s="11">
        <v>3.0599999999999999E-2</v>
      </c>
      <c r="E56" s="10">
        <f t="shared" si="2"/>
        <v>163010.03372747544</v>
      </c>
      <c r="F56" s="3"/>
      <c r="G56" s="28"/>
      <c r="H56" s="10"/>
      <c r="I56" s="10">
        <f t="shared" si="8"/>
        <v>1560</v>
      </c>
      <c r="J56" s="10">
        <f t="shared" si="6"/>
        <v>8564611097.5449772</v>
      </c>
      <c r="K56" s="11">
        <f t="shared" si="7"/>
        <v>3.0599999999999961E-2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5327125.2852116125</v>
      </c>
      <c r="D57" s="11">
        <v>3.09E-2</v>
      </c>
      <c r="E57" s="10">
        <f t="shared" si="2"/>
        <v>159674.23737805616</v>
      </c>
      <c r="F57" s="3"/>
      <c r="G57" s="28"/>
      <c r="H57" s="10"/>
      <c r="I57" s="10">
        <f t="shared" si="8"/>
        <v>1560</v>
      </c>
      <c r="J57" s="10">
        <f t="shared" si="6"/>
        <v>8310315444.9301157</v>
      </c>
      <c r="K57" s="11">
        <f t="shared" si="7"/>
        <v>3.0899999999999928E-2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5167451.0478335563</v>
      </c>
      <c r="D58" s="11">
        <v>3.1199999999999999E-2</v>
      </c>
      <c r="E58" s="10">
        <f t="shared" si="2"/>
        <v>156346.46304539032</v>
      </c>
      <c r="F58" s="3"/>
      <c r="G58" s="28"/>
      <c r="H58" s="10"/>
      <c r="I58" s="10">
        <f t="shared" si="8"/>
        <v>1560</v>
      </c>
      <c r="J58" s="10">
        <f t="shared" si="6"/>
        <v>8061223634.620348</v>
      </c>
      <c r="K58" s="11">
        <f t="shared" si="7"/>
        <v>3.1199999999999894E-2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5011104.584788166</v>
      </c>
      <c r="D59" s="11">
        <v>3.1399999999999997E-2</v>
      </c>
      <c r="E59" s="10">
        <f t="shared" si="2"/>
        <v>152558.35171839129</v>
      </c>
      <c r="F59" s="3"/>
      <c r="G59" s="28"/>
      <c r="H59" s="10"/>
      <c r="I59" s="10">
        <f t="shared" si="8"/>
        <v>1560</v>
      </c>
      <c r="J59" s="10">
        <f t="shared" si="6"/>
        <v>7817323152.2695389</v>
      </c>
      <c r="K59" s="11">
        <f t="shared" si="7"/>
        <v>3.1400000000000095E-2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4858546.2330697747</v>
      </c>
      <c r="D60" s="11">
        <v>3.1600000000000003E-2</v>
      </c>
      <c r="E60" s="10">
        <f t="shared" si="2"/>
        <v>148827.12385130394</v>
      </c>
      <c r="F60" s="3"/>
      <c r="G60" s="28"/>
      <c r="H60" s="10"/>
      <c r="I60" s="10">
        <f t="shared" si="8"/>
        <v>1560</v>
      </c>
      <c r="J60" s="10">
        <f t="shared" si="6"/>
        <v>7579332123.5888481</v>
      </c>
      <c r="K60" s="11">
        <f t="shared" si="7"/>
        <v>3.1600000000000072E-2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4709719.1092184708</v>
      </c>
      <c r="D61" s="11">
        <v>3.15E-2</v>
      </c>
      <c r="E61" s="10">
        <f t="shared" si="2"/>
        <v>143825.64414966758</v>
      </c>
      <c r="F61" s="3"/>
      <c r="G61" s="28"/>
      <c r="H61" s="10"/>
      <c r="I61" s="10">
        <f t="shared" si="8"/>
        <v>1560</v>
      </c>
      <c r="J61" s="10">
        <f t="shared" si="6"/>
        <v>7347161810.3808146</v>
      </c>
      <c r="K61" s="11">
        <f t="shared" si="7"/>
        <v>3.1500000000000083E-2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4565893.4650688032</v>
      </c>
      <c r="D62" s="11">
        <v>3.1300000000000001E-2</v>
      </c>
      <c r="E62" s="10">
        <f t="shared" si="2"/>
        <v>138575.06589416694</v>
      </c>
      <c r="F62" s="3"/>
      <c r="G62" s="28"/>
      <c r="H62" s="10"/>
      <c r="I62" s="10">
        <f t="shared" si="8"/>
        <v>1560</v>
      </c>
      <c r="J62" s="10">
        <f t="shared" si="6"/>
        <v>7122793805.5073328</v>
      </c>
      <c r="K62" s="11">
        <f t="shared" si="7"/>
        <v>3.1300000000000106E-2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4427318.3991746362</v>
      </c>
      <c r="D63" s="11">
        <v>3.0800000000000001E-2</v>
      </c>
      <c r="E63" s="10">
        <f t="shared" si="2"/>
        <v>132286.96807778254</v>
      </c>
      <c r="F63" s="3"/>
      <c r="G63" s="28"/>
      <c r="H63" s="10"/>
      <c r="I63" s="10">
        <f t="shared" si="8"/>
        <v>1560</v>
      </c>
      <c r="J63" s="10">
        <f t="shared" si="6"/>
        <v>6906616702.7124329</v>
      </c>
      <c r="K63" s="11">
        <f t="shared" si="7"/>
        <v>3.0799999999999939E-2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4295031.4310968537</v>
      </c>
      <c r="D64" s="11">
        <v>3.0300000000000001E-2</v>
      </c>
      <c r="E64" s="10">
        <f t="shared" si="2"/>
        <v>126312.19291685382</v>
      </c>
      <c r="F64" s="3"/>
      <c r="G64" s="28"/>
      <c r="H64" s="10"/>
      <c r="I64" s="10">
        <f t="shared" si="8"/>
        <v>1560</v>
      </c>
      <c r="J64" s="10">
        <f t="shared" si="6"/>
        <v>6700249032.5110922</v>
      </c>
      <c r="K64" s="11">
        <f t="shared" si="7"/>
        <v>3.0299999999999994E-2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4168719.2381799999</v>
      </c>
      <c r="D65" s="11">
        <v>2.9700000000000001E-2</v>
      </c>
      <c r="E65" s="10">
        <f t="shared" si="2"/>
        <v>120239.83818000043</v>
      </c>
      <c r="F65" s="3"/>
      <c r="G65" s="28"/>
      <c r="H65" s="10"/>
      <c r="I65" s="10">
        <f t="shared" si="8"/>
        <v>1560</v>
      </c>
      <c r="J65" s="10">
        <f t="shared" si="6"/>
        <v>6503202011.5607996</v>
      </c>
      <c r="K65" s="11">
        <f t="shared" si="7"/>
        <v>2.970000000000006E-2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4048479.3999999994</v>
      </c>
      <c r="D66" s="11">
        <v>2.9100000000000001E-2</v>
      </c>
      <c r="E66" s="10">
        <f t="shared" si="2"/>
        <v>114479.39999999944</v>
      </c>
      <c r="F66" s="3"/>
      <c r="G66" s="28"/>
      <c r="H66" s="10"/>
      <c r="I66" s="10">
        <f t="shared" si="8"/>
        <v>1560</v>
      </c>
      <c r="J66" s="10">
        <f t="shared" ref="J66:J67" si="9">IF(I66="","",I66*C66)</f>
        <v>6315627863.999999</v>
      </c>
      <c r="K66" s="11">
        <f t="shared" ref="K66" si="10">IFERROR(J66/J67-1,"")</f>
        <v>2.9099999999999904E-2</v>
      </c>
    </row>
    <row r="67" spans="1:11" ht="22.5" customHeight="1">
      <c r="A67" s="3">
        <f t="shared" si="0"/>
        <v>1950</v>
      </c>
      <c r="B67" s="3">
        <v>1700</v>
      </c>
      <c r="C67" s="10">
        <v>3934000</v>
      </c>
      <c r="D67" s="11">
        <v>2.8500000000000001E-2</v>
      </c>
      <c r="E67" s="3" t="s">
        <v>72</v>
      </c>
      <c r="F67" s="3"/>
      <c r="G67" s="28"/>
      <c r="H67" s="10"/>
      <c r="I67" s="10">
        <f t="shared" ref="I67" si="11">IF(H67&lt;&gt;"",H67,I66/(1+IF(G66="",0,G66)/100))</f>
        <v>1560</v>
      </c>
      <c r="J67" s="10">
        <f t="shared" si="9"/>
        <v>6137040000</v>
      </c>
      <c r="K67" s="11"/>
    </row>
  </sheetData>
  <dataValidations count="1">
    <dataValidation type="custom" allowBlank="1" showDropDown="1" sqref="D2:D67" xr:uid="{00000000-0002-0000-3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15795141.513968688</v>
      </c>
      <c r="D2" s="11">
        <v>2.1899999999999999E-2</v>
      </c>
      <c r="E2" s="10">
        <f t="shared" ref="E2:E66" si="2">SUM(C2-C3)</f>
        <v>338500.43953020312</v>
      </c>
      <c r="F2" s="15">
        <v>15795087</v>
      </c>
      <c r="G2" s="28"/>
      <c r="H2" s="10"/>
      <c r="I2" s="10">
        <f>IF(H2&lt;&gt;"",H2,18651)</f>
        <v>18651</v>
      </c>
      <c r="J2" s="10">
        <f t="shared" ref="J2:J33" si="3">IF(I2="","",I2*C2)</f>
        <v>294595184377.02997</v>
      </c>
      <c r="K2" s="11">
        <f t="shared" ref="K2:K33" si="4">IFERROR(J2/J3-1,"")</f>
        <v>2.1900000000000031E-2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15456641.074438484</v>
      </c>
      <c r="D3" s="11">
        <v>2.0400000000000001E-2</v>
      </c>
      <c r="E3" s="10">
        <f t="shared" si="2"/>
        <v>309011.64045329764</v>
      </c>
      <c r="F3" s="3"/>
      <c r="G3" s="28"/>
      <c r="H3" s="10"/>
      <c r="I3" s="10">
        <f t="shared" ref="I3:I34" si="5">IF(H3&lt;&gt;"",H3,I2/(1+IF(G2="",0,G2)/100))</f>
        <v>18651</v>
      </c>
      <c r="J3" s="10">
        <f t="shared" si="3"/>
        <v>288281812679.35217</v>
      </c>
      <c r="K3" s="11">
        <f t="shared" si="4"/>
        <v>2.0400000000000196E-2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15147629.433985187</v>
      </c>
      <c r="D4" s="11">
        <v>1.9199999999999998E-2</v>
      </c>
      <c r="E4" s="10">
        <f t="shared" si="2"/>
        <v>285355.65652719513</v>
      </c>
      <c r="F4" s="3"/>
      <c r="G4" s="28"/>
      <c r="H4" s="10"/>
      <c r="I4" s="10">
        <f t="shared" si="5"/>
        <v>18651</v>
      </c>
      <c r="J4" s="10">
        <f t="shared" si="3"/>
        <v>282518436573.25769</v>
      </c>
      <c r="K4" s="11">
        <f t="shared" si="4"/>
        <v>1.9199999999999884E-2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14862273.777457992</v>
      </c>
      <c r="D5" s="11">
        <v>1.8800000000000001E-2</v>
      </c>
      <c r="E5" s="10">
        <f t="shared" si="2"/>
        <v>274254.75757382065</v>
      </c>
      <c r="F5" s="3"/>
      <c r="G5" s="28"/>
      <c r="H5" s="10"/>
      <c r="I5" s="10">
        <f t="shared" si="5"/>
        <v>18651</v>
      </c>
      <c r="J5" s="10">
        <f t="shared" si="3"/>
        <v>277196268223.36902</v>
      </c>
      <c r="K5" s="11">
        <f t="shared" si="4"/>
        <v>1.8799999999999928E-2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14588019.019884171</v>
      </c>
      <c r="D6" s="11">
        <v>1.8800000000000001E-2</v>
      </c>
      <c r="E6" s="10">
        <f t="shared" si="2"/>
        <v>269193.91202769987</v>
      </c>
      <c r="F6" s="3"/>
      <c r="G6" s="28"/>
      <c r="H6" s="10"/>
      <c r="I6" s="10">
        <f t="shared" si="5"/>
        <v>18651</v>
      </c>
      <c r="J6" s="10">
        <f t="shared" si="3"/>
        <v>272081142739.85968</v>
      </c>
      <c r="K6" s="11">
        <f t="shared" si="4"/>
        <v>1.8799999999999928E-2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14318825.107856471</v>
      </c>
      <c r="D7" s="11">
        <v>1.8800000000000001E-2</v>
      </c>
      <c r="E7" s="10">
        <f t="shared" si="2"/>
        <v>264226.45467972197</v>
      </c>
      <c r="F7" s="3"/>
      <c r="G7" s="28"/>
      <c r="H7" s="10"/>
      <c r="I7" s="10">
        <f t="shared" si="5"/>
        <v>18651</v>
      </c>
      <c r="J7" s="10">
        <f t="shared" si="3"/>
        <v>267060407086.63104</v>
      </c>
      <c r="K7" s="11">
        <f t="shared" si="4"/>
        <v>1.8799999999999928E-2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14054598.653176749</v>
      </c>
      <c r="D8" s="11">
        <v>1.8700000000000001E-2</v>
      </c>
      <c r="E8" s="10">
        <f t="shared" si="2"/>
        <v>257996.4609938208</v>
      </c>
      <c r="F8" s="3"/>
      <c r="G8" s="28"/>
      <c r="H8" s="10"/>
      <c r="I8" s="10">
        <f t="shared" si="5"/>
        <v>18651</v>
      </c>
      <c r="J8" s="10">
        <f t="shared" si="3"/>
        <v>262132319480.39954</v>
      </c>
      <c r="K8" s="11">
        <f t="shared" si="4"/>
        <v>1.8699999999999939E-2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13796602.192182928</v>
      </c>
      <c r="D9" s="11">
        <v>1.77E-2</v>
      </c>
      <c r="E9" s="10">
        <f t="shared" si="2"/>
        <v>239952.69608100504</v>
      </c>
      <c r="F9" s="3"/>
      <c r="G9" s="28"/>
      <c r="H9" s="10"/>
      <c r="I9" s="10">
        <f t="shared" si="5"/>
        <v>18651</v>
      </c>
      <c r="J9" s="10">
        <f t="shared" si="3"/>
        <v>257320427486.40381</v>
      </c>
      <c r="K9" s="11">
        <f t="shared" si="4"/>
        <v>1.7700000000000049E-2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13556649.496101923</v>
      </c>
      <c r="D10" s="11">
        <v>1.5900000000000001E-2</v>
      </c>
      <c r="E10" s="10">
        <f t="shared" si="2"/>
        <v>212177.11092432402</v>
      </c>
      <c r="F10" s="3"/>
      <c r="G10" s="28"/>
      <c r="H10" s="10"/>
      <c r="I10" s="10">
        <f t="shared" si="5"/>
        <v>18651</v>
      </c>
      <c r="J10" s="10">
        <f t="shared" si="3"/>
        <v>252845069751.79697</v>
      </c>
      <c r="K10" s="11">
        <f t="shared" si="4"/>
        <v>1.5900000000000025E-2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13344472.385177599</v>
      </c>
      <c r="D11" s="11">
        <v>1.46E-2</v>
      </c>
      <c r="E11" s="10">
        <f t="shared" si="2"/>
        <v>192025.72129271924</v>
      </c>
      <c r="F11" s="3"/>
      <c r="G11" s="28"/>
      <c r="H11" s="10"/>
      <c r="I11" s="10">
        <f t="shared" si="5"/>
        <v>18651</v>
      </c>
      <c r="J11" s="10">
        <f t="shared" si="3"/>
        <v>248887754455.94742</v>
      </c>
      <c r="K11" s="11">
        <f t="shared" si="4"/>
        <v>1.4600000000000168E-2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13152446.66388488</v>
      </c>
      <c r="D12" s="11">
        <v>1.9099999999999999E-2</v>
      </c>
      <c r="E12" s="10">
        <f t="shared" si="2"/>
        <v>246503.51415974833</v>
      </c>
      <c r="F12" s="3"/>
      <c r="G12" s="28"/>
      <c r="H12" s="10"/>
      <c r="I12" s="10">
        <f t="shared" si="5"/>
        <v>18651</v>
      </c>
      <c r="J12" s="10">
        <f t="shared" si="3"/>
        <v>245306282728.11688</v>
      </c>
      <c r="K12" s="11">
        <f t="shared" si="4"/>
        <v>1.9099999999999673E-2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12905943.149725132</v>
      </c>
      <c r="D13" s="11">
        <v>2.1299999999999999E-2</v>
      </c>
      <c r="E13" s="10">
        <f t="shared" si="2"/>
        <v>269163.4084883444</v>
      </c>
      <c r="F13" s="3"/>
      <c r="G13" s="28"/>
      <c r="H13" s="10"/>
      <c r="I13" s="10">
        <f t="shared" si="5"/>
        <v>18651</v>
      </c>
      <c r="J13" s="10">
        <f t="shared" si="3"/>
        <v>240708745685.52344</v>
      </c>
      <c r="K13" s="11">
        <f t="shared" si="4"/>
        <v>2.1300000000000097E-2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12636779.741236787</v>
      </c>
      <c r="D14" s="11">
        <v>1.5299999999999999E-2</v>
      </c>
      <c r="E14" s="10">
        <f t="shared" si="2"/>
        <v>190429.16383425891</v>
      </c>
      <c r="F14" s="3"/>
      <c r="G14" s="28"/>
      <c r="H14" s="10"/>
      <c r="I14" s="10">
        <f t="shared" si="5"/>
        <v>18651</v>
      </c>
      <c r="J14" s="10">
        <f t="shared" si="3"/>
        <v>235688578953.80731</v>
      </c>
      <c r="K14" s="11">
        <f t="shared" si="4"/>
        <v>1.5300000000000091E-2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12446350.577402528</v>
      </c>
      <c r="D15" s="11">
        <v>1.2699999999999999E-2</v>
      </c>
      <c r="E15" s="10">
        <f t="shared" si="2"/>
        <v>156086.35561667942</v>
      </c>
      <c r="F15" s="3"/>
      <c r="G15" s="28"/>
      <c r="H15" s="10"/>
      <c r="I15" s="10">
        <f t="shared" si="5"/>
        <v>18651</v>
      </c>
      <c r="J15" s="10">
        <f t="shared" si="3"/>
        <v>232136884619.13455</v>
      </c>
      <c r="K15" s="11">
        <f t="shared" si="4"/>
        <v>1.2699999999999934E-2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12290264.221785849</v>
      </c>
      <c r="D16" s="11">
        <v>1.3899999999999999E-2</v>
      </c>
      <c r="E16" s="10">
        <f t="shared" si="2"/>
        <v>168492.62519264594</v>
      </c>
      <c r="F16" s="3"/>
      <c r="G16" s="28"/>
      <c r="H16" s="10"/>
      <c r="I16" s="10">
        <f t="shared" si="5"/>
        <v>18651</v>
      </c>
      <c r="J16" s="10">
        <f t="shared" si="3"/>
        <v>229225718000.52786</v>
      </c>
      <c r="K16" s="11">
        <f t="shared" si="4"/>
        <v>1.3900000000000023E-2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12121771.596593203</v>
      </c>
      <c r="D17" s="11">
        <v>1.4200000000000001E-2</v>
      </c>
      <c r="E17" s="10">
        <f t="shared" si="2"/>
        <v>169719.14481524751</v>
      </c>
      <c r="F17" s="3"/>
      <c r="G17" s="28"/>
      <c r="H17" s="10"/>
      <c r="I17" s="10">
        <f t="shared" si="5"/>
        <v>18651</v>
      </c>
      <c r="J17" s="10">
        <f t="shared" si="3"/>
        <v>226083162048.05981</v>
      </c>
      <c r="K17" s="11">
        <f t="shared" si="4"/>
        <v>1.419999999999999E-2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11952052.451777956</v>
      </c>
      <c r="D18" s="11">
        <v>1.3299999999999999E-2</v>
      </c>
      <c r="E18" s="10">
        <f t="shared" si="2"/>
        <v>156875.84881935082</v>
      </c>
      <c r="F18" s="3"/>
      <c r="G18" s="28"/>
      <c r="H18" s="10"/>
      <c r="I18" s="10">
        <f t="shared" si="5"/>
        <v>18651</v>
      </c>
      <c r="J18" s="10">
        <f t="shared" si="3"/>
        <v>222917730278.11066</v>
      </c>
      <c r="K18" s="11">
        <f t="shared" si="4"/>
        <v>1.330000000000009E-2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11795176.602958605</v>
      </c>
      <c r="D19" s="11">
        <v>1.17E-2</v>
      </c>
      <c r="E19" s="10">
        <f t="shared" si="2"/>
        <v>136407.5973654408</v>
      </c>
      <c r="F19" s="3"/>
      <c r="G19" s="28"/>
      <c r="H19" s="10"/>
      <c r="I19" s="10">
        <f t="shared" si="5"/>
        <v>18651</v>
      </c>
      <c r="J19" s="10">
        <f t="shared" si="3"/>
        <v>219991838821.78094</v>
      </c>
      <c r="K19" s="11">
        <f t="shared" si="4"/>
        <v>1.1700000000000266E-2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11658769.005593164</v>
      </c>
      <c r="D20" s="11">
        <v>1.0500000000000001E-2</v>
      </c>
      <c r="E20" s="10">
        <f t="shared" si="2"/>
        <v>121145.05151779018</v>
      </c>
      <c r="F20" s="3"/>
      <c r="G20" s="28"/>
      <c r="H20" s="10"/>
      <c r="I20" s="10">
        <f t="shared" si="5"/>
        <v>18651</v>
      </c>
      <c r="J20" s="10">
        <f t="shared" si="3"/>
        <v>217447700723.31808</v>
      </c>
      <c r="K20" s="11">
        <f t="shared" si="4"/>
        <v>1.0499999999999732E-2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11537623.954075374</v>
      </c>
      <c r="D21" s="11">
        <v>1.0800000000000001E-2</v>
      </c>
      <c r="E21" s="10">
        <f t="shared" si="2"/>
        <v>123274.96903839894</v>
      </c>
      <c r="F21" s="3"/>
      <c r="G21" s="28"/>
      <c r="H21" s="10"/>
      <c r="I21" s="10">
        <f t="shared" si="5"/>
        <v>18651</v>
      </c>
      <c r="J21" s="10">
        <f t="shared" si="3"/>
        <v>215188224367.45981</v>
      </c>
      <c r="K21" s="11">
        <f t="shared" si="4"/>
        <v>1.0799999999999921E-2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11414348.985036975</v>
      </c>
      <c r="D22" s="11">
        <v>1.2200000000000001E-2</v>
      </c>
      <c r="E22" s="10">
        <f t="shared" si="2"/>
        <v>137576.6228190586</v>
      </c>
      <c r="F22" s="3"/>
      <c r="G22" s="28"/>
      <c r="H22" s="10"/>
      <c r="I22" s="10">
        <f t="shared" si="5"/>
        <v>18651</v>
      </c>
      <c r="J22" s="10">
        <f t="shared" si="3"/>
        <v>212889022919.92462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11276772.362217916</v>
      </c>
      <c r="D23" s="11">
        <v>1.2699999999999999E-2</v>
      </c>
      <c r="E23" s="10">
        <f t="shared" si="2"/>
        <v>141418.98785441555</v>
      </c>
      <c r="F23" s="3"/>
      <c r="G23" s="28"/>
      <c r="H23" s="10"/>
      <c r="I23" s="10">
        <f t="shared" si="5"/>
        <v>18651</v>
      </c>
      <c r="J23" s="10">
        <f t="shared" si="3"/>
        <v>210323081327.72635</v>
      </c>
      <c r="K23" s="11">
        <f t="shared" si="4"/>
        <v>1.2699999999999934E-2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11135353.374363501</v>
      </c>
      <c r="D24" s="11">
        <v>1.1900000000000001E-2</v>
      </c>
      <c r="E24" s="10">
        <f t="shared" si="2"/>
        <v>130952.37192897126</v>
      </c>
      <c r="F24" s="3"/>
      <c r="G24" s="28"/>
      <c r="H24" s="10"/>
      <c r="I24" s="10">
        <f t="shared" si="5"/>
        <v>18651</v>
      </c>
      <c r="J24" s="10">
        <f t="shared" si="3"/>
        <v>207685475785.25366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11004401.002434529</v>
      </c>
      <c r="D25" s="11">
        <v>1.0800000000000001E-2</v>
      </c>
      <c r="E25" s="10">
        <f t="shared" si="2"/>
        <v>117577.69175533392</v>
      </c>
      <c r="F25" s="3"/>
      <c r="G25" s="28"/>
      <c r="H25" s="10"/>
      <c r="I25" s="10">
        <f t="shared" si="5"/>
        <v>18651</v>
      </c>
      <c r="J25" s="10">
        <f t="shared" si="3"/>
        <v>205243083096.4064</v>
      </c>
      <c r="K25" s="11">
        <f t="shared" si="4"/>
        <v>1.0799999999999921E-2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10886823.310679195</v>
      </c>
      <c r="D26" s="11">
        <v>1.01E-2</v>
      </c>
      <c r="E26" s="10">
        <f t="shared" si="2"/>
        <v>108857.45514093712</v>
      </c>
      <c r="F26" s="3"/>
      <c r="G26" s="28"/>
      <c r="H26" s="10"/>
      <c r="I26" s="10">
        <f t="shared" si="5"/>
        <v>18651</v>
      </c>
      <c r="J26" s="10">
        <f t="shared" si="3"/>
        <v>203050141567.47766</v>
      </c>
      <c r="K26" s="11">
        <f t="shared" si="4"/>
        <v>1.0099999999999998E-2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10777965.855538258</v>
      </c>
      <c r="D27" s="11">
        <v>0.01</v>
      </c>
      <c r="E27" s="10">
        <f t="shared" si="2"/>
        <v>106712.5332231503</v>
      </c>
      <c r="F27" s="3"/>
      <c r="G27" s="28"/>
      <c r="H27" s="10"/>
      <c r="I27" s="10">
        <f t="shared" si="5"/>
        <v>18651</v>
      </c>
      <c r="J27" s="10">
        <f t="shared" si="3"/>
        <v>201019841171.64404</v>
      </c>
      <c r="K27" s="11">
        <f t="shared" si="4"/>
        <v>9.9999999999997868E-3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10671253.322315108</v>
      </c>
      <c r="D28" s="11">
        <v>1.09E-2</v>
      </c>
      <c r="E28" s="10">
        <f t="shared" si="2"/>
        <v>115062.48017928004</v>
      </c>
      <c r="F28" s="3"/>
      <c r="G28" s="28"/>
      <c r="H28" s="10"/>
      <c r="I28" s="10">
        <f t="shared" si="5"/>
        <v>18651</v>
      </c>
      <c r="J28" s="10">
        <f t="shared" si="3"/>
        <v>199029545714.49908</v>
      </c>
      <c r="K28" s="11">
        <f t="shared" si="4"/>
        <v>1.089999999999991E-2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10556190.842135828</v>
      </c>
      <c r="D29" s="11">
        <v>1.26E-2</v>
      </c>
      <c r="E29" s="10">
        <f t="shared" si="2"/>
        <v>131352.9573483225</v>
      </c>
      <c r="F29" s="3"/>
      <c r="G29" s="28"/>
      <c r="H29" s="10"/>
      <c r="I29" s="10">
        <f t="shared" si="5"/>
        <v>18651</v>
      </c>
      <c r="J29" s="10">
        <f t="shared" si="3"/>
        <v>196883515396.67532</v>
      </c>
      <c r="K29" s="11">
        <f t="shared" si="4"/>
        <v>1.2599999999999945E-2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10424837.884787505</v>
      </c>
      <c r="D30" s="11">
        <v>1.46E-2</v>
      </c>
      <c r="E30" s="10">
        <f t="shared" si="2"/>
        <v>150012.45132850111</v>
      </c>
      <c r="F30" s="3"/>
      <c r="G30" s="28"/>
      <c r="H30" s="10"/>
      <c r="I30" s="10">
        <f t="shared" si="5"/>
        <v>18651</v>
      </c>
      <c r="J30" s="10">
        <f t="shared" si="3"/>
        <v>194433651389.17175</v>
      </c>
      <c r="K30" s="11">
        <f t="shared" si="4"/>
        <v>1.4599999999999946E-2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10274825.433459004</v>
      </c>
      <c r="D31" s="11">
        <v>1.6299999999999999E-2</v>
      </c>
      <c r="E31" s="10">
        <f t="shared" si="2"/>
        <v>164793.52018634416</v>
      </c>
      <c r="F31" s="3"/>
      <c r="G31" s="28"/>
      <c r="H31" s="10"/>
      <c r="I31" s="10">
        <f t="shared" si="5"/>
        <v>18651</v>
      </c>
      <c r="J31" s="10">
        <f t="shared" si="3"/>
        <v>191635769159.44388</v>
      </c>
      <c r="K31" s="11">
        <f t="shared" si="4"/>
        <v>1.6299999999999759E-2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10110031.91327266</v>
      </c>
      <c r="D32" s="11">
        <v>1.55E-2</v>
      </c>
      <c r="E32" s="10">
        <f t="shared" si="2"/>
        <v>154313.63333897293</v>
      </c>
      <c r="F32" s="3"/>
      <c r="G32" s="28"/>
      <c r="H32" s="10"/>
      <c r="I32" s="10">
        <f t="shared" si="5"/>
        <v>18651</v>
      </c>
      <c r="J32" s="10">
        <f t="shared" si="3"/>
        <v>188562205214.44839</v>
      </c>
      <c r="K32" s="11">
        <f t="shared" si="4"/>
        <v>1.5500000000000069E-2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9955718.2799336873</v>
      </c>
      <c r="D33" s="11">
        <v>1.32E-2</v>
      </c>
      <c r="E33" s="10">
        <f t="shared" si="2"/>
        <v>129703.39646182954</v>
      </c>
      <c r="F33" s="3"/>
      <c r="G33" s="28"/>
      <c r="H33" s="10"/>
      <c r="I33" s="10">
        <f t="shared" si="5"/>
        <v>18651</v>
      </c>
      <c r="J33" s="10">
        <f t="shared" si="3"/>
        <v>185684101639.04321</v>
      </c>
      <c r="K33" s="11">
        <f t="shared" si="4"/>
        <v>1.3200000000000323E-2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9826014.8834718578</v>
      </c>
      <c r="D34" s="11">
        <v>1.2200000000000001E-2</v>
      </c>
      <c r="E34" s="10">
        <f t="shared" si="2"/>
        <v>118432.50501714647</v>
      </c>
      <c r="F34" s="3"/>
      <c r="G34" s="28"/>
      <c r="H34" s="10"/>
      <c r="I34" s="10">
        <f t="shared" si="5"/>
        <v>18651</v>
      </c>
      <c r="J34" s="10">
        <f t="shared" ref="J34:J65" si="6">IF(I34="","",I34*C34)</f>
        <v>183265003591.63361</v>
      </c>
      <c r="K34" s="11">
        <f t="shared" ref="K34:K65" si="7">IFERROR(J34/J35-1,"")</f>
        <v>1.2199999999999989E-2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9707582.3784547113</v>
      </c>
      <c r="D35" s="11">
        <v>1.1599999999999999E-2</v>
      </c>
      <c r="E35" s="10">
        <f t="shared" si="2"/>
        <v>111316.68207797036</v>
      </c>
      <c r="F35" s="3"/>
      <c r="G35" s="28"/>
      <c r="H35" s="10"/>
      <c r="I35" s="10">
        <f t="shared" ref="I35:I66" si="8">IF(H35&lt;&gt;"",H35,I34/(1+IF(G34="",0,G34)/100))</f>
        <v>18651</v>
      </c>
      <c r="J35" s="10">
        <f t="shared" si="6"/>
        <v>181056118940.55881</v>
      </c>
      <c r="K35" s="11">
        <f t="shared" si="7"/>
        <v>1.1600000000000055E-2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9596265.6963767409</v>
      </c>
      <c r="D36" s="11">
        <v>1.0999999999999999E-2</v>
      </c>
      <c r="E36" s="10">
        <f t="shared" si="2"/>
        <v>104410.4081702698</v>
      </c>
      <c r="F36" s="3"/>
      <c r="G36" s="28"/>
      <c r="H36" s="10"/>
      <c r="I36" s="10">
        <f t="shared" si="8"/>
        <v>18651</v>
      </c>
      <c r="J36" s="10">
        <f t="shared" si="6"/>
        <v>178979951503.12259</v>
      </c>
      <c r="K36" s="11">
        <f t="shared" si="7"/>
        <v>1.0999999999999899E-2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9491855.2882064711</v>
      </c>
      <c r="D37" s="11">
        <v>1.0699999999999999E-2</v>
      </c>
      <c r="E37" s="10">
        <f t="shared" si="2"/>
        <v>100487.63390106708</v>
      </c>
      <c r="F37" s="3"/>
      <c r="G37" s="28"/>
      <c r="H37" s="10"/>
      <c r="I37" s="10">
        <f t="shared" si="8"/>
        <v>18651</v>
      </c>
      <c r="J37" s="10">
        <f t="shared" si="6"/>
        <v>177032592980.3389</v>
      </c>
      <c r="K37" s="11">
        <f t="shared" si="7"/>
        <v>1.0699999999999932E-2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9391367.6543054041</v>
      </c>
      <c r="D38" s="11">
        <v>1.0500000000000001E-2</v>
      </c>
      <c r="E38" s="10">
        <f t="shared" si="2"/>
        <v>97584.720801787451</v>
      </c>
      <c r="F38" s="3"/>
      <c r="G38" s="28"/>
      <c r="H38" s="10"/>
      <c r="I38" s="10">
        <f t="shared" si="8"/>
        <v>18651</v>
      </c>
      <c r="J38" s="10">
        <f t="shared" si="6"/>
        <v>175158398120.4501</v>
      </c>
      <c r="K38" s="11">
        <f t="shared" si="7"/>
        <v>1.0500000000000176E-2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9293782.9335036166</v>
      </c>
      <c r="D39" s="11">
        <v>9.7999999999999997E-3</v>
      </c>
      <c r="E39" s="10">
        <f t="shared" si="2"/>
        <v>90195.160178584978</v>
      </c>
      <c r="F39" s="3"/>
      <c r="G39" s="28"/>
      <c r="H39" s="10"/>
      <c r="I39" s="10">
        <f t="shared" si="8"/>
        <v>18651</v>
      </c>
      <c r="J39" s="10">
        <f t="shared" si="6"/>
        <v>173338345492.77594</v>
      </c>
      <c r="K39" s="11">
        <f t="shared" si="7"/>
        <v>9.8000000000000309E-3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9203587.7733250316</v>
      </c>
      <c r="D40" s="11">
        <v>8.9999999999999993E-3</v>
      </c>
      <c r="E40" s="10">
        <f t="shared" si="2"/>
        <v>82093.448919648305</v>
      </c>
      <c r="F40" s="3"/>
      <c r="G40" s="28"/>
      <c r="H40" s="10"/>
      <c r="I40" s="10">
        <f t="shared" si="8"/>
        <v>18651</v>
      </c>
      <c r="J40" s="10">
        <f t="shared" si="6"/>
        <v>171656115560.28516</v>
      </c>
      <c r="K40" s="11">
        <f t="shared" si="7"/>
        <v>8.999999999999897E-3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9121494.3244053833</v>
      </c>
      <c r="D41" s="11">
        <v>8.8999999999999999E-3</v>
      </c>
      <c r="E41" s="10">
        <f t="shared" si="2"/>
        <v>80465.159567059949</v>
      </c>
      <c r="F41" s="3"/>
      <c r="G41" s="28"/>
      <c r="H41" s="10"/>
      <c r="I41" s="10">
        <f t="shared" si="8"/>
        <v>18651</v>
      </c>
      <c r="J41" s="10">
        <f t="shared" si="6"/>
        <v>170124990644.4848</v>
      </c>
      <c r="K41" s="11">
        <f t="shared" si="7"/>
        <v>8.899999999999908E-3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9041029.1648383234</v>
      </c>
      <c r="D42" s="11">
        <v>9.5999999999999992E-3</v>
      </c>
      <c r="E42" s="10">
        <f t="shared" si="2"/>
        <v>85968.581599097699</v>
      </c>
      <c r="F42" s="3"/>
      <c r="G42" s="28"/>
      <c r="H42" s="10"/>
      <c r="I42" s="10">
        <f t="shared" si="8"/>
        <v>18651</v>
      </c>
      <c r="J42" s="10">
        <f t="shared" si="6"/>
        <v>168624234953.39957</v>
      </c>
      <c r="K42" s="11">
        <f t="shared" si="7"/>
        <v>9.6000000000000529E-3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8955060.5832392257</v>
      </c>
      <c r="D43" s="11">
        <v>1.04E-2</v>
      </c>
      <c r="E43" s="10">
        <f t="shared" si="2"/>
        <v>92174.020255034789</v>
      </c>
      <c r="F43" s="3"/>
      <c r="G43" s="28"/>
      <c r="H43" s="10"/>
      <c r="I43" s="10">
        <f t="shared" si="8"/>
        <v>18651</v>
      </c>
      <c r="J43" s="10">
        <f t="shared" si="6"/>
        <v>167020834937.99481</v>
      </c>
      <c r="K43" s="11">
        <f t="shared" si="7"/>
        <v>1.0399999999999965E-2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8862886.5629841909</v>
      </c>
      <c r="D44" s="11">
        <v>1.03E-2</v>
      </c>
      <c r="E44" s="10">
        <f t="shared" si="2"/>
        <v>90357.053943123668</v>
      </c>
      <c r="F44" s="3"/>
      <c r="G44" s="28"/>
      <c r="H44" s="10"/>
      <c r="I44" s="10">
        <f t="shared" si="8"/>
        <v>18651</v>
      </c>
      <c r="J44" s="10">
        <f t="shared" si="6"/>
        <v>165301697286.21814</v>
      </c>
      <c r="K44" s="11">
        <f t="shared" si="7"/>
        <v>1.0299999999999976E-2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8772529.5090410672</v>
      </c>
      <c r="D45" s="11">
        <v>9.4999999999999998E-3</v>
      </c>
      <c r="E45" s="10">
        <f t="shared" si="2"/>
        <v>82554.760114800185</v>
      </c>
      <c r="F45" s="3"/>
      <c r="G45" s="28"/>
      <c r="H45" s="10"/>
      <c r="I45" s="10">
        <f t="shared" si="8"/>
        <v>18651</v>
      </c>
      <c r="J45" s="10">
        <f t="shared" si="6"/>
        <v>163616447873.12494</v>
      </c>
      <c r="K45" s="11">
        <f t="shared" si="7"/>
        <v>9.5000000000000639E-3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8689974.748926267</v>
      </c>
      <c r="D46" s="11">
        <v>9.2999999999999992E-3</v>
      </c>
      <c r="E46" s="10">
        <f t="shared" si="2"/>
        <v>80072.094684449956</v>
      </c>
      <c r="F46" s="3"/>
      <c r="G46" s="28"/>
      <c r="H46" s="10"/>
      <c r="I46" s="10">
        <f t="shared" si="8"/>
        <v>18651</v>
      </c>
      <c r="J46" s="10">
        <f t="shared" si="6"/>
        <v>162076719042.22382</v>
      </c>
      <c r="K46" s="11">
        <f t="shared" si="7"/>
        <v>9.300000000000086E-3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8609902.6542418171</v>
      </c>
      <c r="D47" s="11">
        <v>9.5999999999999992E-3</v>
      </c>
      <c r="E47" s="10">
        <f t="shared" si="2"/>
        <v>81869.121910382062</v>
      </c>
      <c r="F47" s="3"/>
      <c r="G47" s="28"/>
      <c r="H47" s="10"/>
      <c r="I47" s="10">
        <f t="shared" si="8"/>
        <v>18651</v>
      </c>
      <c r="J47" s="10">
        <f t="shared" si="6"/>
        <v>160583294404.26413</v>
      </c>
      <c r="K47" s="11">
        <f t="shared" si="7"/>
        <v>9.6000000000000529E-3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8528033.532331435</v>
      </c>
      <c r="D48" s="11">
        <v>9.7999999999999997E-3</v>
      </c>
      <c r="E48" s="10">
        <f t="shared" si="2"/>
        <v>82763.644896859303</v>
      </c>
      <c r="F48" s="3"/>
      <c r="G48" s="28"/>
      <c r="H48" s="10"/>
      <c r="I48" s="10">
        <f t="shared" si="8"/>
        <v>18651</v>
      </c>
      <c r="J48" s="10">
        <f t="shared" si="6"/>
        <v>159056353411.51358</v>
      </c>
      <c r="K48" s="11">
        <f t="shared" si="7"/>
        <v>9.8000000000000309E-3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8445269.8874345757</v>
      </c>
      <c r="D49" s="11">
        <v>1.0200000000000001E-2</v>
      </c>
      <c r="E49" s="10">
        <f t="shared" si="2"/>
        <v>85271.978669404052</v>
      </c>
      <c r="F49" s="3"/>
      <c r="G49" s="28"/>
      <c r="H49" s="10"/>
      <c r="I49" s="10">
        <f t="shared" si="8"/>
        <v>18651</v>
      </c>
      <c r="J49" s="10">
        <f t="shared" si="6"/>
        <v>157512728670.54227</v>
      </c>
      <c r="K49" s="11">
        <f t="shared" si="7"/>
        <v>1.0199999999999987E-2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8359997.9087651717</v>
      </c>
      <c r="D50" s="11">
        <v>1.0800000000000001E-2</v>
      </c>
      <c r="E50" s="10">
        <f t="shared" si="2"/>
        <v>89323.285926654935</v>
      </c>
      <c r="F50" s="3"/>
      <c r="G50" s="28"/>
      <c r="H50" s="10"/>
      <c r="I50" s="10">
        <f t="shared" si="8"/>
        <v>18651</v>
      </c>
      <c r="J50" s="10">
        <f t="shared" si="6"/>
        <v>155922320996.37921</v>
      </c>
      <c r="K50" s="11">
        <f t="shared" si="7"/>
        <v>1.0799999999999699E-2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8270674.6228385167</v>
      </c>
      <c r="D51" s="11">
        <v>1.1299999999999999E-2</v>
      </c>
      <c r="E51" s="10">
        <f t="shared" si="2"/>
        <v>92414.341182711534</v>
      </c>
      <c r="F51" s="3"/>
      <c r="G51" s="28"/>
      <c r="H51" s="10"/>
      <c r="I51" s="10">
        <f t="shared" si="8"/>
        <v>18651</v>
      </c>
      <c r="J51" s="10">
        <f t="shared" si="6"/>
        <v>154256352390.56119</v>
      </c>
      <c r="K51" s="11">
        <f t="shared" si="7"/>
        <v>1.130000000000031E-2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8178260.2816558052</v>
      </c>
      <c r="D52" s="11">
        <v>1.0999999999999999E-2</v>
      </c>
      <c r="E52" s="10">
        <f t="shared" si="2"/>
        <v>88982.060433445498</v>
      </c>
      <c r="F52" s="3"/>
      <c r="G52" s="28"/>
      <c r="H52" s="10"/>
      <c r="I52" s="10">
        <f t="shared" si="8"/>
        <v>18651</v>
      </c>
      <c r="J52" s="10">
        <f t="shared" si="6"/>
        <v>152532732513.16241</v>
      </c>
      <c r="K52" s="11">
        <f t="shared" si="7"/>
        <v>1.0999999999999899E-2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8089278.2212223597</v>
      </c>
      <c r="D53" s="11">
        <v>1.0500000000000001E-2</v>
      </c>
      <c r="E53" s="10">
        <f t="shared" si="2"/>
        <v>84054.845445655286</v>
      </c>
      <c r="F53" s="3"/>
      <c r="G53" s="28"/>
      <c r="H53" s="10"/>
      <c r="I53" s="10">
        <f t="shared" si="8"/>
        <v>18651</v>
      </c>
      <c r="J53" s="10">
        <f t="shared" si="6"/>
        <v>150873128104.01822</v>
      </c>
      <c r="K53" s="11">
        <f t="shared" si="7"/>
        <v>1.0499999999999732E-2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8005223.3757767044</v>
      </c>
      <c r="D54" s="11">
        <v>1.06E-2</v>
      </c>
      <c r="E54" s="10">
        <f t="shared" si="2"/>
        <v>83965.335229796357</v>
      </c>
      <c r="F54" s="3"/>
      <c r="G54" s="28"/>
      <c r="H54" s="10"/>
      <c r="I54" s="10">
        <f t="shared" si="8"/>
        <v>18651</v>
      </c>
      <c r="J54" s="10">
        <f t="shared" si="6"/>
        <v>149305421181.61133</v>
      </c>
      <c r="K54" s="11">
        <f t="shared" si="7"/>
        <v>1.0599999999999943E-2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7921258.040546908</v>
      </c>
      <c r="D55" s="11">
        <v>1.06E-2</v>
      </c>
      <c r="E55" s="10">
        <f t="shared" si="2"/>
        <v>83084.638066293672</v>
      </c>
      <c r="F55" s="3"/>
      <c r="G55" s="28"/>
      <c r="H55" s="10"/>
      <c r="I55" s="10">
        <f t="shared" si="8"/>
        <v>18651</v>
      </c>
      <c r="J55" s="10">
        <f t="shared" si="6"/>
        <v>147739383714.24039</v>
      </c>
      <c r="K55" s="11">
        <f t="shared" si="7"/>
        <v>1.0599999999999943E-2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7838173.4024806144</v>
      </c>
      <c r="D56" s="11">
        <v>9.7000000000000003E-3</v>
      </c>
      <c r="E56" s="10">
        <f t="shared" si="2"/>
        <v>75299.873233695515</v>
      </c>
      <c r="F56" s="3"/>
      <c r="G56" s="28"/>
      <c r="H56" s="10"/>
      <c r="I56" s="10">
        <f t="shared" si="8"/>
        <v>18651</v>
      </c>
      <c r="J56" s="10">
        <f t="shared" si="6"/>
        <v>146189772129.66592</v>
      </c>
      <c r="K56" s="11">
        <f t="shared" si="7"/>
        <v>9.7000000000000419E-3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7762873.5292469189</v>
      </c>
      <c r="D57" s="11">
        <v>9.1999999999999998E-3</v>
      </c>
      <c r="E57" s="10">
        <f t="shared" si="2"/>
        <v>70767.376604313031</v>
      </c>
      <c r="F57" s="3"/>
      <c r="G57" s="28"/>
      <c r="H57" s="10"/>
      <c r="I57" s="10">
        <f t="shared" si="8"/>
        <v>18651</v>
      </c>
      <c r="J57" s="10">
        <f t="shared" si="6"/>
        <v>144785354193.98428</v>
      </c>
      <c r="K57" s="11">
        <f t="shared" si="7"/>
        <v>9.200000000000097E-3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7692106.1526426058</v>
      </c>
      <c r="D58" s="11">
        <v>1.09E-2</v>
      </c>
      <c r="E58" s="10">
        <f t="shared" si="2"/>
        <v>82939.912022755481</v>
      </c>
      <c r="F58" s="3"/>
      <c r="G58" s="28"/>
      <c r="H58" s="10"/>
      <c r="I58" s="10">
        <f t="shared" si="8"/>
        <v>18651</v>
      </c>
      <c r="J58" s="10">
        <f t="shared" si="6"/>
        <v>143465471852.93726</v>
      </c>
      <c r="K58" s="11">
        <f t="shared" si="7"/>
        <v>1.089999999999991E-2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7609166.2406198503</v>
      </c>
      <c r="D59" s="11">
        <v>1.2500000000000001E-2</v>
      </c>
      <c r="E59" s="10">
        <f t="shared" si="2"/>
        <v>93940.32395826932</v>
      </c>
      <c r="F59" s="3"/>
      <c r="G59" s="28"/>
      <c r="H59" s="10"/>
      <c r="I59" s="10">
        <f t="shared" si="8"/>
        <v>18651</v>
      </c>
      <c r="J59" s="10">
        <f t="shared" si="6"/>
        <v>141918559553.80084</v>
      </c>
      <c r="K59" s="11">
        <f t="shared" si="7"/>
        <v>1.2499999999999956E-2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7515225.916661581</v>
      </c>
      <c r="D60" s="11">
        <v>1.32E-2</v>
      </c>
      <c r="E60" s="10">
        <f t="shared" si="2"/>
        <v>97908.588728714734</v>
      </c>
      <c r="F60" s="3"/>
      <c r="G60" s="28"/>
      <c r="H60" s="10"/>
      <c r="I60" s="10">
        <f t="shared" si="8"/>
        <v>18651</v>
      </c>
      <c r="J60" s="10">
        <f t="shared" si="6"/>
        <v>140166478571.65515</v>
      </c>
      <c r="K60" s="11">
        <f t="shared" si="7"/>
        <v>1.3200000000000323E-2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7417317.3279328663</v>
      </c>
      <c r="D61" s="11">
        <v>1.3100000000000001E-2</v>
      </c>
      <c r="E61" s="10">
        <f t="shared" si="2"/>
        <v>95910.430358228274</v>
      </c>
      <c r="F61" s="3"/>
      <c r="G61" s="28"/>
      <c r="H61" s="10"/>
      <c r="I61" s="10">
        <f t="shared" si="8"/>
        <v>18651</v>
      </c>
      <c r="J61" s="10">
        <f t="shared" si="6"/>
        <v>138340385483.27588</v>
      </c>
      <c r="K61" s="11">
        <f t="shared" si="7"/>
        <v>1.3100000000000112E-2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7321406.897574638</v>
      </c>
      <c r="D62" s="11">
        <v>1.03E-2</v>
      </c>
      <c r="E62" s="10">
        <f t="shared" si="2"/>
        <v>74641.681723268703</v>
      </c>
      <c r="F62" s="3"/>
      <c r="G62" s="28"/>
      <c r="H62" s="10"/>
      <c r="I62" s="10">
        <f t="shared" si="8"/>
        <v>18651</v>
      </c>
      <c r="J62" s="10">
        <f t="shared" si="6"/>
        <v>136551560046.66457</v>
      </c>
      <c r="K62" s="11">
        <f t="shared" si="7"/>
        <v>1.0299999999999976E-2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7246765.2158513693</v>
      </c>
      <c r="D63" s="11">
        <v>7.4000000000000003E-3</v>
      </c>
      <c r="E63" s="10">
        <f t="shared" si="2"/>
        <v>53232.144726325758</v>
      </c>
      <c r="F63" s="3"/>
      <c r="G63" s="28"/>
      <c r="H63" s="10"/>
      <c r="I63" s="10">
        <f t="shared" si="8"/>
        <v>18651</v>
      </c>
      <c r="J63" s="10">
        <f t="shared" si="6"/>
        <v>135159418040.84389</v>
      </c>
      <c r="K63" s="11">
        <f t="shared" si="7"/>
        <v>7.4000000000000732E-3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7193533.0711250436</v>
      </c>
      <c r="D64" s="11">
        <v>9.4999999999999998E-3</v>
      </c>
      <c r="E64" s="10">
        <f t="shared" si="2"/>
        <v>67695.457331043668</v>
      </c>
      <c r="F64" s="3"/>
      <c r="G64" s="28"/>
      <c r="H64" s="10"/>
      <c r="I64" s="10">
        <f t="shared" si="8"/>
        <v>18651</v>
      </c>
      <c r="J64" s="10">
        <f t="shared" si="6"/>
        <v>134166585309.55319</v>
      </c>
      <c r="K64" s="11">
        <f t="shared" si="7"/>
        <v>9.5000000000000639E-3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7125837.6137939999</v>
      </c>
      <c r="D65" s="11">
        <v>1.23E-2</v>
      </c>
      <c r="E65" s="10">
        <f t="shared" si="2"/>
        <v>86582.833793999627</v>
      </c>
      <c r="F65" s="3"/>
      <c r="G65" s="28"/>
      <c r="H65" s="10"/>
      <c r="I65" s="10">
        <f t="shared" si="8"/>
        <v>18651</v>
      </c>
      <c r="J65" s="10">
        <f t="shared" si="6"/>
        <v>132903997334.87189</v>
      </c>
      <c r="K65" s="11">
        <f t="shared" si="7"/>
        <v>1.2299999999999978E-2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7039254.7800000003</v>
      </c>
      <c r="D66" s="11">
        <v>1.1299999999999999E-2</v>
      </c>
      <c r="E66" s="10">
        <f t="shared" si="2"/>
        <v>78654.780000000261</v>
      </c>
      <c r="F66" s="15">
        <v>15795087</v>
      </c>
      <c r="G66" s="28"/>
      <c r="H66" s="10"/>
      <c r="I66" s="10">
        <f t="shared" si="8"/>
        <v>18651</v>
      </c>
      <c r="J66" s="10">
        <f t="shared" ref="J66:J67" si="9">IF(I66="","",I66*C66)</f>
        <v>131289140901.78</v>
      </c>
      <c r="K66" s="11">
        <f t="shared" ref="K66" si="10">IFERROR(J66/J67-1,"")</f>
        <v>1.1300000000000088E-2</v>
      </c>
    </row>
    <row r="67" spans="1:11" ht="22.5" customHeight="1">
      <c r="A67" s="3">
        <f t="shared" si="0"/>
        <v>1950</v>
      </c>
      <c r="B67" s="3">
        <v>1700</v>
      </c>
      <c r="C67" s="10">
        <v>6960600</v>
      </c>
      <c r="D67" s="11">
        <v>9.7000000000000003E-3</v>
      </c>
      <c r="E67" s="3" t="s">
        <v>72</v>
      </c>
      <c r="F67" s="10">
        <f>SUM(C2)</f>
        <v>15795141.513968688</v>
      </c>
      <c r="G67" s="28"/>
      <c r="H67" s="10"/>
      <c r="I67" s="10">
        <f t="shared" ref="I67" si="11">IF(H67&lt;&gt;"",H67,I66/(1+IF(G66="",0,G66)/100))</f>
        <v>18651</v>
      </c>
      <c r="J67" s="10">
        <f t="shared" si="9"/>
        <v>129822150600</v>
      </c>
      <c r="K67" s="11"/>
    </row>
  </sheetData>
  <dataValidations count="1">
    <dataValidation type="custom" allowBlank="1" showDropDown="1" sqref="D2:D67" xr:uid="{00000000-0002-0000-3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3348448.3447464439</v>
      </c>
      <c r="D2" s="11">
        <v>7.3000000000000001E-3</v>
      </c>
      <c r="E2" s="10">
        <f t="shared" ref="E2:E66" si="2">SUM(C2-C3)</f>
        <v>24266.527267595753</v>
      </c>
      <c r="F2" s="15"/>
      <c r="G2" s="28"/>
      <c r="H2" s="10"/>
      <c r="I2" s="10">
        <f>IF(H2&lt;&gt;"",H2,10437)</f>
        <v>10437</v>
      </c>
      <c r="J2" s="10">
        <f t="shared" ref="J2:J33" si="3">IF(I2="","",I2*C2)</f>
        <v>34947755374.118637</v>
      </c>
      <c r="K2" s="11">
        <f t="shared" ref="K2:K33" si="4">IFERROR(J2/J3-1,"")</f>
        <v>7.3000000000000842E-3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3324181.8174788482</v>
      </c>
      <c r="D3" s="11">
        <v>7.3000000000000001E-3</v>
      </c>
      <c r="E3" s="10">
        <f t="shared" si="2"/>
        <v>24090.665410102345</v>
      </c>
      <c r="F3" s="3"/>
      <c r="G3" s="28"/>
      <c r="H3" s="10"/>
      <c r="I3" s="10">
        <f t="shared" ref="I3:I34" si="5">IF(H3&lt;&gt;"",H3,I2/(1+IF(G2="",0,G2)/100))</f>
        <v>10437</v>
      </c>
      <c r="J3" s="10">
        <f t="shared" si="3"/>
        <v>34694485629.026741</v>
      </c>
      <c r="K3" s="11">
        <f t="shared" si="4"/>
        <v>7.3000000000000842E-3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3300091.1520687458</v>
      </c>
      <c r="D4" s="11">
        <v>7.1999999999999998E-3</v>
      </c>
      <c r="E4" s="10">
        <f t="shared" si="2"/>
        <v>23590.802516774274</v>
      </c>
      <c r="F4" s="3"/>
      <c r="G4" s="28"/>
      <c r="H4" s="10"/>
      <c r="I4" s="10">
        <f t="shared" si="5"/>
        <v>10437</v>
      </c>
      <c r="J4" s="10">
        <f t="shared" si="3"/>
        <v>34443051354.141502</v>
      </c>
      <c r="K4" s="11">
        <f t="shared" si="4"/>
        <v>7.2000000000000952E-3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3276500.3495519715</v>
      </c>
      <c r="D5" s="11">
        <v>7.3000000000000001E-3</v>
      </c>
      <c r="E5" s="10">
        <f t="shared" si="2"/>
        <v>23745.113225185778</v>
      </c>
      <c r="F5" s="3"/>
      <c r="G5" s="28"/>
      <c r="H5" s="10"/>
      <c r="I5" s="10">
        <f t="shared" si="5"/>
        <v>10437</v>
      </c>
      <c r="J5" s="10">
        <f t="shared" si="3"/>
        <v>34196834148.273926</v>
      </c>
      <c r="K5" s="11">
        <f t="shared" si="4"/>
        <v>7.3000000000000842E-3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3252755.2363267858</v>
      </c>
      <c r="D6" s="11">
        <v>7.3000000000000001E-3</v>
      </c>
      <c r="E6" s="10">
        <f t="shared" si="2"/>
        <v>23573.030105416197</v>
      </c>
      <c r="F6" s="3"/>
      <c r="G6" s="28"/>
      <c r="H6" s="10"/>
      <c r="I6" s="10">
        <f t="shared" si="5"/>
        <v>10437</v>
      </c>
      <c r="J6" s="10">
        <f t="shared" si="3"/>
        <v>33949006401.542664</v>
      </c>
      <c r="K6" s="11">
        <f t="shared" si="4"/>
        <v>7.3000000000000842E-3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3229182.2062213696</v>
      </c>
      <c r="D7" s="11">
        <v>9.2999999999999992E-3</v>
      </c>
      <c r="E7" s="10">
        <f t="shared" si="2"/>
        <v>29754.676030772738</v>
      </c>
      <c r="F7" s="3"/>
      <c r="G7" s="28"/>
      <c r="H7" s="10"/>
      <c r="I7" s="10">
        <f t="shared" si="5"/>
        <v>10437</v>
      </c>
      <c r="J7" s="10">
        <f t="shared" si="3"/>
        <v>33702974686.332436</v>
      </c>
      <c r="K7" s="11">
        <f t="shared" si="4"/>
        <v>9.300000000000086E-3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3199427.5301905968</v>
      </c>
      <c r="D8" s="11">
        <v>9.4999999999999998E-3</v>
      </c>
      <c r="E8" s="10">
        <f t="shared" si="2"/>
        <v>30108.530497088563</v>
      </c>
      <c r="F8" s="3"/>
      <c r="G8" s="28"/>
      <c r="H8" s="10"/>
      <c r="I8" s="10">
        <f t="shared" si="5"/>
        <v>10437</v>
      </c>
      <c r="J8" s="10">
        <f t="shared" si="3"/>
        <v>33392425132.599258</v>
      </c>
      <c r="K8" s="11">
        <f t="shared" si="4"/>
        <v>9.5000000000000639E-3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3169318.9996935083</v>
      </c>
      <c r="D9" s="11">
        <v>9.4999999999999998E-3</v>
      </c>
      <c r="E9" s="10">
        <f t="shared" si="2"/>
        <v>29825.191180870403</v>
      </c>
      <c r="F9" s="3"/>
      <c r="G9" s="28"/>
      <c r="H9" s="10"/>
      <c r="I9" s="10">
        <f t="shared" si="5"/>
        <v>10437</v>
      </c>
      <c r="J9" s="10">
        <f t="shared" si="3"/>
        <v>33078182399.801147</v>
      </c>
      <c r="K9" s="11">
        <f t="shared" si="4"/>
        <v>9.500000000000286E-3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3139493.8085126379</v>
      </c>
      <c r="D10" s="11">
        <v>9.2999999999999992E-3</v>
      </c>
      <c r="E10" s="10">
        <f t="shared" si="2"/>
        <v>28928.259604842868</v>
      </c>
      <c r="F10" s="3"/>
      <c r="G10" s="28"/>
      <c r="H10" s="10"/>
      <c r="I10" s="10">
        <f t="shared" si="5"/>
        <v>10437</v>
      </c>
      <c r="J10" s="10">
        <f t="shared" si="3"/>
        <v>32766896879.4464</v>
      </c>
      <c r="K10" s="11">
        <f t="shared" si="4"/>
        <v>9.300000000000086E-3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3110565.548907795</v>
      </c>
      <c r="D11" s="11">
        <v>9.1000000000000004E-3</v>
      </c>
      <c r="E11" s="10">
        <f t="shared" si="2"/>
        <v>28050.883455615025</v>
      </c>
      <c r="F11" s="3"/>
      <c r="G11" s="28"/>
      <c r="H11" s="10"/>
      <c r="I11" s="10">
        <f t="shared" si="5"/>
        <v>10437</v>
      </c>
      <c r="J11" s="10">
        <f t="shared" si="3"/>
        <v>32464972633.950657</v>
      </c>
      <c r="K11" s="11">
        <f t="shared" si="4"/>
        <v>9.100000000000108E-3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3082514.66545218</v>
      </c>
      <c r="D12" s="11">
        <v>9.2999999999999992E-3</v>
      </c>
      <c r="E12" s="10">
        <f t="shared" si="2"/>
        <v>28403.236291197594</v>
      </c>
      <c r="F12" s="3"/>
      <c r="G12" s="28"/>
      <c r="H12" s="10"/>
      <c r="I12" s="10">
        <f t="shared" si="5"/>
        <v>10437</v>
      </c>
      <c r="J12" s="10">
        <f t="shared" si="3"/>
        <v>32172205563.324402</v>
      </c>
      <c r="K12" s="11">
        <f t="shared" si="4"/>
        <v>9.300000000000086E-3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3054111.4291609824</v>
      </c>
      <c r="D13" s="11">
        <v>9.5999999999999992E-3</v>
      </c>
      <c r="E13" s="10">
        <f t="shared" si="2"/>
        <v>29040.679199628998</v>
      </c>
      <c r="F13" s="3"/>
      <c r="G13" s="28"/>
      <c r="H13" s="10"/>
      <c r="I13" s="10">
        <f t="shared" si="5"/>
        <v>10437</v>
      </c>
      <c r="J13" s="10">
        <f t="shared" si="3"/>
        <v>31875760986.153172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3025070.7499613534</v>
      </c>
      <c r="D14" s="11">
        <v>9.7000000000000003E-3</v>
      </c>
      <c r="E14" s="10">
        <f t="shared" si="2"/>
        <v>29061.291744701564</v>
      </c>
      <c r="F14" s="3"/>
      <c r="G14" s="28"/>
      <c r="H14" s="10"/>
      <c r="I14" s="10">
        <f t="shared" si="5"/>
        <v>10437</v>
      </c>
      <c r="J14" s="10">
        <f t="shared" si="3"/>
        <v>31572663417.346645</v>
      </c>
      <c r="K14" s="11">
        <f t="shared" si="4"/>
        <v>9.7000000000000419E-3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2996009.4582166518</v>
      </c>
      <c r="D15" s="11">
        <v>9.9000000000000008E-3</v>
      </c>
      <c r="E15" s="10">
        <f t="shared" si="2"/>
        <v>29369.733276903629</v>
      </c>
      <c r="F15" s="3"/>
      <c r="G15" s="28"/>
      <c r="H15" s="10"/>
      <c r="I15" s="10">
        <f t="shared" si="5"/>
        <v>10437</v>
      </c>
      <c r="J15" s="10">
        <f t="shared" si="3"/>
        <v>31269350715.407196</v>
      </c>
      <c r="K15" s="11">
        <f t="shared" si="4"/>
        <v>9.9000000000000199E-3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2966639.7249397482</v>
      </c>
      <c r="D16" s="11">
        <v>1.11E-2</v>
      </c>
      <c r="E16" s="10">
        <f t="shared" si="2"/>
        <v>32568.193993503693</v>
      </c>
      <c r="F16" s="3"/>
      <c r="G16" s="28"/>
      <c r="H16" s="10"/>
      <c r="I16" s="10">
        <f t="shared" si="5"/>
        <v>10437</v>
      </c>
      <c r="J16" s="10">
        <f t="shared" si="3"/>
        <v>30962818809.196152</v>
      </c>
      <c r="K16" s="11">
        <f t="shared" si="4"/>
        <v>1.110000000000011E-2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2934071.5309462445</v>
      </c>
      <c r="D17" s="11">
        <v>1.15E-2</v>
      </c>
      <c r="E17" s="10">
        <f t="shared" si="2"/>
        <v>33358.203268296551</v>
      </c>
      <c r="F17" s="3"/>
      <c r="G17" s="28"/>
      <c r="H17" s="10"/>
      <c r="I17" s="10">
        <f t="shared" si="5"/>
        <v>10437</v>
      </c>
      <c r="J17" s="10">
        <f t="shared" si="3"/>
        <v>30622904568.485954</v>
      </c>
      <c r="K17" s="11">
        <f t="shared" si="4"/>
        <v>1.1500000000000066E-2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2900713.3276779479</v>
      </c>
      <c r="D18" s="11">
        <v>1.1900000000000001E-2</v>
      </c>
      <c r="E18" s="10">
        <f t="shared" si="2"/>
        <v>34112.549263136461</v>
      </c>
      <c r="F18" s="3"/>
      <c r="G18" s="28"/>
      <c r="H18" s="10"/>
      <c r="I18" s="10">
        <f t="shared" si="5"/>
        <v>10437</v>
      </c>
      <c r="J18" s="10">
        <f t="shared" si="3"/>
        <v>30274745000.974743</v>
      </c>
      <c r="K18" s="11">
        <f t="shared" si="4"/>
        <v>1.1900000000000022E-2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2866600.7784148115</v>
      </c>
      <c r="D19" s="11">
        <v>1.21E-2</v>
      </c>
      <c r="E19" s="10">
        <f t="shared" si="2"/>
        <v>34271.188043492846</v>
      </c>
      <c r="F19" s="3"/>
      <c r="G19" s="28"/>
      <c r="H19" s="10"/>
      <c r="I19" s="10">
        <f t="shared" si="5"/>
        <v>10437</v>
      </c>
      <c r="J19" s="10">
        <f t="shared" si="3"/>
        <v>29918712324.315388</v>
      </c>
      <c r="K19" s="11">
        <f t="shared" si="4"/>
        <v>1.21E-2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2832329.5903713186</v>
      </c>
      <c r="D20" s="11">
        <v>1.21E-2</v>
      </c>
      <c r="E20" s="10">
        <f t="shared" si="2"/>
        <v>33861.464325158391</v>
      </c>
      <c r="F20" s="3"/>
      <c r="G20" s="28"/>
      <c r="H20" s="10"/>
      <c r="I20" s="10">
        <f t="shared" si="5"/>
        <v>10437</v>
      </c>
      <c r="J20" s="10">
        <f t="shared" si="3"/>
        <v>29561023934.705452</v>
      </c>
      <c r="K20" s="11">
        <f t="shared" si="4"/>
        <v>1.21E-2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2798468.1260461602</v>
      </c>
      <c r="D21" s="11">
        <v>1.1900000000000001E-2</v>
      </c>
      <c r="E21" s="10">
        <f t="shared" si="2"/>
        <v>32910.140033550095</v>
      </c>
      <c r="F21" s="3"/>
      <c r="G21" s="28"/>
      <c r="H21" s="10"/>
      <c r="I21" s="10">
        <f t="shared" si="5"/>
        <v>10437</v>
      </c>
      <c r="J21" s="10">
        <f t="shared" si="3"/>
        <v>29207611831.543774</v>
      </c>
      <c r="K21" s="11">
        <f t="shared" si="4"/>
        <v>1.1900000000000022E-2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2765557.9860126101</v>
      </c>
      <c r="D22" s="11">
        <v>1.15E-2</v>
      </c>
      <c r="E22" s="10">
        <f t="shared" si="2"/>
        <v>31442.330043643247</v>
      </c>
      <c r="F22" s="3"/>
      <c r="G22" s="28"/>
      <c r="H22" s="10"/>
      <c r="I22" s="10">
        <f t="shared" si="5"/>
        <v>10437</v>
      </c>
      <c r="J22" s="10">
        <f t="shared" si="3"/>
        <v>28864128700.013611</v>
      </c>
      <c r="K22" s="11">
        <f t="shared" si="4"/>
        <v>1.1500000000000066E-2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2734115.6559689669</v>
      </c>
      <c r="D23" s="11">
        <v>1.11E-2</v>
      </c>
      <c r="E23" s="10">
        <f t="shared" si="2"/>
        <v>30015.511602468323</v>
      </c>
      <c r="F23" s="3"/>
      <c r="G23" s="28"/>
      <c r="H23" s="10"/>
      <c r="I23" s="10">
        <f t="shared" si="5"/>
        <v>10437</v>
      </c>
      <c r="J23" s="10">
        <f t="shared" si="3"/>
        <v>28535965101.348106</v>
      </c>
      <c r="K23" s="11">
        <f t="shared" si="4"/>
        <v>1.1099999999999888E-2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2704100.1443664986</v>
      </c>
      <c r="D24" s="11">
        <v>1.06E-2</v>
      </c>
      <c r="E24" s="10">
        <f t="shared" si="2"/>
        <v>28362.815684034023</v>
      </c>
      <c r="F24" s="3"/>
      <c r="G24" s="28"/>
      <c r="H24" s="10"/>
      <c r="I24" s="10">
        <f t="shared" si="5"/>
        <v>10437</v>
      </c>
      <c r="J24" s="10">
        <f t="shared" si="3"/>
        <v>28222693206.753147</v>
      </c>
      <c r="K24" s="11">
        <f t="shared" si="4"/>
        <v>1.0600000000000165E-2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2675737.3286824645</v>
      </c>
      <c r="D25" s="11">
        <v>1.01E-2</v>
      </c>
      <c r="E25" s="10">
        <f t="shared" si="2"/>
        <v>26754.724304220174</v>
      </c>
      <c r="F25" s="3"/>
      <c r="G25" s="28"/>
      <c r="H25" s="10"/>
      <c r="I25" s="10">
        <f t="shared" si="5"/>
        <v>10437</v>
      </c>
      <c r="J25" s="10">
        <f t="shared" si="3"/>
        <v>27926670499.458881</v>
      </c>
      <c r="K25" s="11">
        <f t="shared" si="4"/>
        <v>1.0099999999999998E-2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2648982.6043782444</v>
      </c>
      <c r="D26" s="11">
        <v>9.5999999999999992E-3</v>
      </c>
      <c r="E26" s="10">
        <f t="shared" si="2"/>
        <v>25188.424130379688</v>
      </c>
      <c r="F26" s="3"/>
      <c r="G26" s="28"/>
      <c r="H26" s="10"/>
      <c r="I26" s="10">
        <f t="shared" si="5"/>
        <v>10437</v>
      </c>
      <c r="J26" s="10">
        <f t="shared" si="3"/>
        <v>27647431441.895737</v>
      </c>
      <c r="K26" s="11">
        <f t="shared" si="4"/>
        <v>9.6000000000000529E-3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2623794.1802478647</v>
      </c>
      <c r="D27" s="11">
        <v>9.4999999999999998E-3</v>
      </c>
      <c r="E27" s="10">
        <f t="shared" si="2"/>
        <v>24691.475693268701</v>
      </c>
      <c r="F27" s="3"/>
      <c r="G27" s="28"/>
      <c r="H27" s="10"/>
      <c r="I27" s="10">
        <f t="shared" si="5"/>
        <v>10437</v>
      </c>
      <c r="J27" s="10">
        <f t="shared" si="3"/>
        <v>27384539859.246964</v>
      </c>
      <c r="K27" s="11">
        <f t="shared" si="4"/>
        <v>9.5000000000000639E-3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2599102.704554596</v>
      </c>
      <c r="D28" s="11">
        <v>9.5999999999999992E-3</v>
      </c>
      <c r="E28" s="10">
        <f t="shared" si="2"/>
        <v>24714.130312722176</v>
      </c>
      <c r="F28" s="3"/>
      <c r="G28" s="28"/>
      <c r="H28" s="10"/>
      <c r="I28" s="10">
        <f t="shared" si="5"/>
        <v>10437</v>
      </c>
      <c r="J28" s="10">
        <f t="shared" si="3"/>
        <v>27126834927.436317</v>
      </c>
      <c r="K28" s="11">
        <f t="shared" si="4"/>
        <v>9.6000000000000529E-3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2574388.5742418738</v>
      </c>
      <c r="D29" s="11">
        <v>9.5999999999999992E-3</v>
      </c>
      <c r="E29" s="10">
        <f t="shared" si="2"/>
        <v>24479.130658401642</v>
      </c>
      <c r="F29" s="3"/>
      <c r="G29" s="28"/>
      <c r="H29" s="10"/>
      <c r="I29" s="10">
        <f t="shared" si="5"/>
        <v>10437</v>
      </c>
      <c r="J29" s="10">
        <f t="shared" si="3"/>
        <v>26868893549.362438</v>
      </c>
      <c r="K29" s="11">
        <f t="shared" si="4"/>
        <v>9.600000000000275E-3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2549909.4435834722</v>
      </c>
      <c r="D30" s="11">
        <v>9.4000000000000004E-3</v>
      </c>
      <c r="E30" s="10">
        <f t="shared" si="2"/>
        <v>23745.93696223991</v>
      </c>
      <c r="F30" s="3"/>
      <c r="G30" s="28"/>
      <c r="H30" s="10"/>
      <c r="I30" s="10">
        <f t="shared" si="5"/>
        <v>10437</v>
      </c>
      <c r="J30" s="10">
        <f t="shared" si="3"/>
        <v>26613404862.680698</v>
      </c>
      <c r="K30" s="11">
        <f t="shared" si="4"/>
        <v>9.400000000000075E-3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2526163.5066212323</v>
      </c>
      <c r="D31" s="11">
        <v>9.1999999999999998E-3</v>
      </c>
      <c r="E31" s="10">
        <f t="shared" si="2"/>
        <v>23028.838942643255</v>
      </c>
      <c r="F31" s="3"/>
      <c r="G31" s="28"/>
      <c r="H31" s="10"/>
      <c r="I31" s="10">
        <f t="shared" si="5"/>
        <v>10437</v>
      </c>
      <c r="J31" s="10">
        <f t="shared" si="3"/>
        <v>26365568518.605801</v>
      </c>
      <c r="K31" s="11">
        <f t="shared" si="4"/>
        <v>9.200000000000097E-3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2503134.667678589</v>
      </c>
      <c r="D32" s="11">
        <v>8.9999999999999993E-3</v>
      </c>
      <c r="E32" s="10">
        <f t="shared" si="2"/>
        <v>22327.266609620303</v>
      </c>
      <c r="F32" s="3"/>
      <c r="G32" s="28"/>
      <c r="H32" s="10"/>
      <c r="I32" s="10">
        <f t="shared" si="5"/>
        <v>10437</v>
      </c>
      <c r="J32" s="10">
        <f t="shared" si="3"/>
        <v>26125216526.561432</v>
      </c>
      <c r="K32" s="11">
        <f t="shared" si="4"/>
        <v>8.999999999999897E-3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2480807.4010689687</v>
      </c>
      <c r="D33" s="11">
        <v>9.1000000000000004E-3</v>
      </c>
      <c r="E33" s="10">
        <f t="shared" si="2"/>
        <v>22371.76429464668</v>
      </c>
      <c r="F33" s="3"/>
      <c r="G33" s="28"/>
      <c r="H33" s="10"/>
      <c r="I33" s="10">
        <f t="shared" si="5"/>
        <v>10437</v>
      </c>
      <c r="J33" s="10">
        <f t="shared" si="3"/>
        <v>25892186844.956825</v>
      </c>
      <c r="K33" s="11">
        <f t="shared" si="4"/>
        <v>9.100000000000108E-3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2458435.636774322</v>
      </c>
      <c r="D34" s="11">
        <v>9.2999999999999992E-3</v>
      </c>
      <c r="E34" s="10">
        <f t="shared" si="2"/>
        <v>22652.780562767759</v>
      </c>
      <c r="F34" s="3"/>
      <c r="G34" s="28"/>
      <c r="H34" s="10"/>
      <c r="I34" s="10">
        <f t="shared" si="5"/>
        <v>10437</v>
      </c>
      <c r="J34" s="10">
        <f t="shared" ref="J34:J65" si="6">IF(I34="","",I34*C34)</f>
        <v>25658692741.013599</v>
      </c>
      <c r="K34" s="11">
        <f t="shared" ref="K34:K65" si="7">IFERROR(J34/J35-1,"")</f>
        <v>9.300000000000086E-3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2435782.8562115543</v>
      </c>
      <c r="D35" s="11">
        <v>9.4000000000000004E-3</v>
      </c>
      <c r="E35" s="10">
        <f t="shared" si="2"/>
        <v>22683.137357230764</v>
      </c>
      <c r="F35" s="3"/>
      <c r="G35" s="28"/>
      <c r="H35" s="10"/>
      <c r="I35" s="10">
        <f t="shared" ref="I35:I66" si="8">IF(H35&lt;&gt;"",H35,I34/(1+IF(G34="",0,G34)/100))</f>
        <v>10437</v>
      </c>
      <c r="J35" s="10">
        <f t="shared" si="6"/>
        <v>25422265670.279991</v>
      </c>
      <c r="K35" s="11">
        <f t="shared" si="7"/>
        <v>9.400000000000075E-3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2413099.7188543235</v>
      </c>
      <c r="D36" s="11">
        <v>9.4999999999999998E-3</v>
      </c>
      <c r="E36" s="10">
        <f t="shared" si="2"/>
        <v>22708.714540977031</v>
      </c>
      <c r="F36" s="3"/>
      <c r="G36" s="28"/>
      <c r="H36" s="10"/>
      <c r="I36" s="10">
        <f t="shared" si="8"/>
        <v>10437</v>
      </c>
      <c r="J36" s="10">
        <f t="shared" si="6"/>
        <v>25185521765.682575</v>
      </c>
      <c r="K36" s="11">
        <f t="shared" si="7"/>
        <v>9.5000000000000639E-3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2390391.0043133465</v>
      </c>
      <c r="D37" s="11">
        <v>9.5999999999999992E-3</v>
      </c>
      <c r="E37" s="10">
        <f t="shared" si="2"/>
        <v>22729.549961775076</v>
      </c>
      <c r="F37" s="3"/>
      <c r="G37" s="28"/>
      <c r="H37" s="10"/>
      <c r="I37" s="10">
        <f t="shared" si="8"/>
        <v>10437</v>
      </c>
      <c r="J37" s="10">
        <f t="shared" si="6"/>
        <v>24948510912.018398</v>
      </c>
      <c r="K37" s="11">
        <f t="shared" si="7"/>
        <v>9.6000000000000529E-3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2367661.4543515714</v>
      </c>
      <c r="D38" s="11">
        <v>9.7999999999999997E-3</v>
      </c>
      <c r="E38" s="10">
        <f t="shared" si="2"/>
        <v>22977.898843974341</v>
      </c>
      <c r="F38" s="3"/>
      <c r="G38" s="28"/>
      <c r="H38" s="10"/>
      <c r="I38" s="10">
        <f t="shared" si="8"/>
        <v>10437</v>
      </c>
      <c r="J38" s="10">
        <f t="shared" si="6"/>
        <v>24711282599.067352</v>
      </c>
      <c r="K38" s="11">
        <f t="shared" si="7"/>
        <v>9.8000000000000309E-3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2344683.555507597</v>
      </c>
      <c r="D39" s="11">
        <v>0.01</v>
      </c>
      <c r="E39" s="10">
        <f t="shared" si="2"/>
        <v>23214.688668392133</v>
      </c>
      <c r="F39" s="3"/>
      <c r="G39" s="28"/>
      <c r="H39" s="10"/>
      <c r="I39" s="10">
        <f t="shared" si="8"/>
        <v>10437</v>
      </c>
      <c r="J39" s="10">
        <f t="shared" si="6"/>
        <v>24471462268.83279</v>
      </c>
      <c r="K39" s="11">
        <f t="shared" si="7"/>
        <v>1.0000000000000009E-2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2321468.8668392049</v>
      </c>
      <c r="D40" s="11">
        <v>1.0200000000000001E-2</v>
      </c>
      <c r="E40" s="10">
        <f t="shared" si="2"/>
        <v>23439.895507582463</v>
      </c>
      <c r="F40" s="3"/>
      <c r="G40" s="28"/>
      <c r="H40" s="10"/>
      <c r="I40" s="10">
        <f t="shared" si="8"/>
        <v>10437</v>
      </c>
      <c r="J40" s="10">
        <f t="shared" si="6"/>
        <v>24229170563.200783</v>
      </c>
      <c r="K40" s="11">
        <f t="shared" si="7"/>
        <v>1.0199999999999987E-2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2298028.9713316225</v>
      </c>
      <c r="D41" s="11">
        <v>1.04E-2</v>
      </c>
      <c r="E41" s="10">
        <f t="shared" si="2"/>
        <v>23653.504851394333</v>
      </c>
      <c r="F41" s="3"/>
      <c r="G41" s="28"/>
      <c r="H41" s="10"/>
      <c r="I41" s="10">
        <f t="shared" si="8"/>
        <v>10437</v>
      </c>
      <c r="J41" s="10">
        <f t="shared" si="6"/>
        <v>23984528373.788143</v>
      </c>
      <c r="K41" s="11">
        <f t="shared" si="7"/>
        <v>1.0399999999999965E-2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2274375.4664802281</v>
      </c>
      <c r="D42" s="11">
        <v>1.0699999999999999E-2</v>
      </c>
      <c r="E42" s="10">
        <f t="shared" si="2"/>
        <v>24078.1809551185</v>
      </c>
      <c r="F42" s="3"/>
      <c r="G42" s="28"/>
      <c r="H42" s="10"/>
      <c r="I42" s="10">
        <f t="shared" si="8"/>
        <v>10437</v>
      </c>
      <c r="J42" s="10">
        <f t="shared" si="6"/>
        <v>23737656743.65414</v>
      </c>
      <c r="K42" s="11">
        <f t="shared" si="7"/>
        <v>1.0699999999999932E-2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2250297.2855251096</v>
      </c>
      <c r="D43" s="11">
        <v>1.0999999999999999E-2</v>
      </c>
      <c r="E43" s="10">
        <f t="shared" si="2"/>
        <v>24483.946726781316</v>
      </c>
      <c r="F43" s="3"/>
      <c r="G43" s="28"/>
      <c r="H43" s="10"/>
      <c r="I43" s="10">
        <f t="shared" si="8"/>
        <v>10437</v>
      </c>
      <c r="J43" s="10">
        <f t="shared" si="6"/>
        <v>23486352769.02557</v>
      </c>
      <c r="K43" s="11">
        <f t="shared" si="7"/>
        <v>1.0999999999999899E-2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2225813.3387983283</v>
      </c>
      <c r="D44" s="11">
        <v>1.11E-2</v>
      </c>
      <c r="E44" s="10">
        <f t="shared" si="2"/>
        <v>24435.296272042207</v>
      </c>
      <c r="F44" s="3"/>
      <c r="G44" s="28"/>
      <c r="H44" s="10"/>
      <c r="I44" s="10">
        <f t="shared" si="8"/>
        <v>10437</v>
      </c>
      <c r="J44" s="10">
        <f t="shared" si="6"/>
        <v>23230813817.038151</v>
      </c>
      <c r="K44" s="11">
        <f t="shared" si="7"/>
        <v>1.110000000000011E-2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2201378.0425262861</v>
      </c>
      <c r="D45" s="11">
        <v>1.11E-2</v>
      </c>
      <c r="E45" s="10">
        <f t="shared" si="2"/>
        <v>24167.042104680091</v>
      </c>
      <c r="F45" s="3"/>
      <c r="G45" s="28"/>
      <c r="H45" s="10"/>
      <c r="I45" s="10">
        <f t="shared" si="8"/>
        <v>10437</v>
      </c>
      <c r="J45" s="10">
        <f t="shared" si="6"/>
        <v>22975782629.846848</v>
      </c>
      <c r="K45" s="11">
        <f t="shared" si="7"/>
        <v>1.110000000000011E-2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2177211.000421606</v>
      </c>
      <c r="D46" s="11">
        <v>1.0999999999999999E-2</v>
      </c>
      <c r="E46" s="10">
        <f t="shared" si="2"/>
        <v>23688.744811708573</v>
      </c>
      <c r="F46" s="3"/>
      <c r="G46" s="28"/>
      <c r="H46" s="10"/>
      <c r="I46" s="10">
        <f t="shared" si="8"/>
        <v>10437</v>
      </c>
      <c r="J46" s="10">
        <f t="shared" si="6"/>
        <v>22723551211.400303</v>
      </c>
      <c r="K46" s="11">
        <f t="shared" si="7"/>
        <v>1.0999999999999899E-2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2153522.2556098974</v>
      </c>
      <c r="D47" s="11">
        <v>1.09E-2</v>
      </c>
      <c r="E47" s="10">
        <f t="shared" si="2"/>
        <v>23220.291409781203</v>
      </c>
      <c r="F47" s="3"/>
      <c r="G47" s="28"/>
      <c r="H47" s="10"/>
      <c r="I47" s="10">
        <f t="shared" si="8"/>
        <v>10437</v>
      </c>
      <c r="J47" s="10">
        <f t="shared" si="6"/>
        <v>22476311781.800499</v>
      </c>
      <c r="K47" s="11">
        <f t="shared" si="7"/>
        <v>1.089999999999991E-2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2130301.9642001162</v>
      </c>
      <c r="D48" s="11">
        <v>1.09E-2</v>
      </c>
      <c r="E48" s="10">
        <f t="shared" si="2"/>
        <v>22969.919289525133</v>
      </c>
      <c r="F48" s="3"/>
      <c r="G48" s="28"/>
      <c r="H48" s="10"/>
      <c r="I48" s="10">
        <f t="shared" si="8"/>
        <v>10437</v>
      </c>
      <c r="J48" s="10">
        <f t="shared" si="6"/>
        <v>22233961600.356613</v>
      </c>
      <c r="K48" s="11">
        <f t="shared" si="7"/>
        <v>1.089999999999991E-2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2107332.0449105911</v>
      </c>
      <c r="D49" s="11">
        <v>1.11E-2</v>
      </c>
      <c r="E49" s="10">
        <f t="shared" si="2"/>
        <v>23134.591730301501</v>
      </c>
      <c r="F49" s="3"/>
      <c r="G49" s="28"/>
      <c r="H49" s="10"/>
      <c r="I49" s="10">
        <f t="shared" si="8"/>
        <v>10437</v>
      </c>
      <c r="J49" s="10">
        <f t="shared" si="6"/>
        <v>21994224552.731838</v>
      </c>
      <c r="K49" s="11">
        <f t="shared" si="7"/>
        <v>1.110000000000011E-2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2084197.4531802896</v>
      </c>
      <c r="D50" s="11">
        <v>1.1599999999999999E-2</v>
      </c>
      <c r="E50" s="10">
        <f t="shared" si="2"/>
        <v>23899.456758492859</v>
      </c>
      <c r="F50" s="3"/>
      <c r="G50" s="28"/>
      <c r="H50" s="10"/>
      <c r="I50" s="10">
        <f t="shared" si="8"/>
        <v>10437</v>
      </c>
      <c r="J50" s="10">
        <f t="shared" si="6"/>
        <v>21752768818.842682</v>
      </c>
      <c r="K50" s="11">
        <f t="shared" si="7"/>
        <v>1.1600000000000055E-2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2060297.9964217967</v>
      </c>
      <c r="D51" s="11">
        <v>1.2500000000000001E-2</v>
      </c>
      <c r="E51" s="10">
        <f t="shared" si="2"/>
        <v>25435.777733602328</v>
      </c>
      <c r="F51" s="3"/>
      <c r="G51" s="28"/>
      <c r="H51" s="10"/>
      <c r="I51" s="10">
        <f t="shared" si="8"/>
        <v>10437</v>
      </c>
      <c r="J51" s="10">
        <f t="shared" si="6"/>
        <v>21503330188.654293</v>
      </c>
      <c r="K51" s="11">
        <f t="shared" si="7"/>
        <v>1.2499999999999956E-2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2034862.2186881944</v>
      </c>
      <c r="D52" s="11">
        <v>1.3599999999999999E-2</v>
      </c>
      <c r="E52" s="10">
        <f t="shared" si="2"/>
        <v>27302.807985556079</v>
      </c>
      <c r="F52" s="3"/>
      <c r="G52" s="28"/>
      <c r="H52" s="10"/>
      <c r="I52" s="10">
        <f t="shared" si="8"/>
        <v>10437</v>
      </c>
      <c r="J52" s="10">
        <f t="shared" si="6"/>
        <v>21237856976.448685</v>
      </c>
      <c r="K52" s="11">
        <f t="shared" si="7"/>
        <v>1.3600000000000056E-2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2007559.4107026383</v>
      </c>
      <c r="D53" s="11">
        <v>1.47E-2</v>
      </c>
      <c r="E53" s="10">
        <f t="shared" si="2"/>
        <v>29083.594498204999</v>
      </c>
      <c r="F53" s="3"/>
      <c r="G53" s="28"/>
      <c r="H53" s="10"/>
      <c r="I53" s="10">
        <f t="shared" si="8"/>
        <v>10437</v>
      </c>
      <c r="J53" s="10">
        <f t="shared" si="6"/>
        <v>20952897569.503437</v>
      </c>
      <c r="K53" s="11">
        <f t="shared" si="7"/>
        <v>1.4699999999999935E-2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1978475.8162044333</v>
      </c>
      <c r="D54" s="11">
        <v>1.55E-2</v>
      </c>
      <c r="E54" s="10">
        <f t="shared" si="2"/>
        <v>30198.301478255773</v>
      </c>
      <c r="F54" s="3"/>
      <c r="G54" s="28"/>
      <c r="H54" s="10"/>
      <c r="I54" s="10">
        <f t="shared" si="8"/>
        <v>10437</v>
      </c>
      <c r="J54" s="10">
        <f t="shared" si="6"/>
        <v>20649352093.72567</v>
      </c>
      <c r="K54" s="11">
        <f t="shared" si="7"/>
        <v>1.5499999999999847E-2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1948277.5147261776</v>
      </c>
      <c r="D55" s="11">
        <v>1.61E-2</v>
      </c>
      <c r="E55" s="10">
        <f t="shared" si="2"/>
        <v>30870.2568517779</v>
      </c>
      <c r="F55" s="3"/>
      <c r="G55" s="28"/>
      <c r="H55" s="10"/>
      <c r="I55" s="10">
        <f t="shared" si="8"/>
        <v>10437</v>
      </c>
      <c r="J55" s="10">
        <f t="shared" si="6"/>
        <v>20334172421.197117</v>
      </c>
      <c r="K55" s="11">
        <f t="shared" si="7"/>
        <v>1.6100000000000225E-2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1917407.2578743997</v>
      </c>
      <c r="D56" s="11">
        <v>1.6500000000000001E-2</v>
      </c>
      <c r="E56" s="10">
        <f t="shared" si="2"/>
        <v>31123.679050592706</v>
      </c>
      <c r="F56" s="3"/>
      <c r="G56" s="28"/>
      <c r="H56" s="10"/>
      <c r="I56" s="10">
        <f t="shared" si="8"/>
        <v>10437</v>
      </c>
      <c r="J56" s="10">
        <f t="shared" si="6"/>
        <v>20011979550.435108</v>
      </c>
      <c r="K56" s="11">
        <f t="shared" si="7"/>
        <v>1.6499999999999737E-2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1886283.578823807</v>
      </c>
      <c r="D57" s="11">
        <v>1.67E-2</v>
      </c>
      <c r="E57" s="10">
        <f t="shared" si="2"/>
        <v>30983.511130478466</v>
      </c>
      <c r="F57" s="3"/>
      <c r="G57" s="28"/>
      <c r="H57" s="10"/>
      <c r="I57" s="10">
        <f t="shared" si="8"/>
        <v>10437</v>
      </c>
      <c r="J57" s="10">
        <f t="shared" si="6"/>
        <v>19687141712.184074</v>
      </c>
      <c r="K57" s="11">
        <f t="shared" si="7"/>
        <v>1.6699999999999937E-2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1855300.0676933285</v>
      </c>
      <c r="D58" s="11">
        <v>1.6799999999999999E-2</v>
      </c>
      <c r="E58" s="10">
        <f t="shared" si="2"/>
        <v>30654.053046073765</v>
      </c>
      <c r="F58" s="3"/>
      <c r="G58" s="28"/>
      <c r="H58" s="10"/>
      <c r="I58" s="10">
        <f t="shared" si="8"/>
        <v>10437</v>
      </c>
      <c r="J58" s="10">
        <f t="shared" si="6"/>
        <v>19363766806.51527</v>
      </c>
      <c r="K58" s="11">
        <f t="shared" si="7"/>
        <v>1.6799999999999926E-2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1824646.0146472547</v>
      </c>
      <c r="D59" s="11">
        <v>1.6899999999999998E-2</v>
      </c>
      <c r="E59" s="10">
        <f t="shared" si="2"/>
        <v>30324.041348744649</v>
      </c>
      <c r="F59" s="3"/>
      <c r="G59" s="28"/>
      <c r="H59" s="10"/>
      <c r="I59" s="10">
        <f t="shared" si="8"/>
        <v>10437</v>
      </c>
      <c r="J59" s="10">
        <f t="shared" si="6"/>
        <v>19043830454.873398</v>
      </c>
      <c r="K59" s="11">
        <f t="shared" si="7"/>
        <v>1.6899999999999915E-2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1794321.9732985101</v>
      </c>
      <c r="D60" s="11">
        <v>1.7100000000000001E-2</v>
      </c>
      <c r="E60" s="10">
        <f t="shared" si="2"/>
        <v>30167.049202049384</v>
      </c>
      <c r="F60" s="3"/>
      <c r="G60" s="28"/>
      <c r="H60" s="10"/>
      <c r="I60" s="10">
        <f t="shared" si="8"/>
        <v>10437</v>
      </c>
      <c r="J60" s="10">
        <f t="shared" si="6"/>
        <v>18727338435.316551</v>
      </c>
      <c r="K60" s="11">
        <f t="shared" si="7"/>
        <v>1.7099999999999893E-2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1764154.9240964607</v>
      </c>
      <c r="D61" s="11">
        <v>1.7100000000000001E-2</v>
      </c>
      <c r="E61" s="10">
        <f t="shared" si="2"/>
        <v>29659.865501965629</v>
      </c>
      <c r="F61" s="3"/>
      <c r="G61" s="28"/>
      <c r="H61" s="10"/>
      <c r="I61" s="10">
        <f t="shared" si="8"/>
        <v>10437</v>
      </c>
      <c r="J61" s="10">
        <f t="shared" si="6"/>
        <v>18412484942.794762</v>
      </c>
      <c r="K61" s="11">
        <f t="shared" si="7"/>
        <v>1.7100000000000115E-2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1734495.0585944951</v>
      </c>
      <c r="D62" s="11">
        <v>1.7000000000000001E-2</v>
      </c>
      <c r="E62" s="10">
        <f t="shared" si="2"/>
        <v>28993.526053201873</v>
      </c>
      <c r="F62" s="3"/>
      <c r="G62" s="28"/>
      <c r="H62" s="10"/>
      <c r="I62" s="10">
        <f t="shared" si="8"/>
        <v>10437</v>
      </c>
      <c r="J62" s="10">
        <f t="shared" si="6"/>
        <v>18102924926.550743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1705501.5325412932</v>
      </c>
      <c r="D63" s="11">
        <v>1.67E-2</v>
      </c>
      <c r="E63" s="10">
        <f t="shared" si="2"/>
        <v>28014.041106953286</v>
      </c>
      <c r="F63" s="3"/>
      <c r="G63" s="28"/>
      <c r="H63" s="10"/>
      <c r="I63" s="10">
        <f t="shared" si="8"/>
        <v>10437</v>
      </c>
      <c r="J63" s="10">
        <f t="shared" si="6"/>
        <v>17800319495.133476</v>
      </c>
      <c r="K63" s="11">
        <f t="shared" si="7"/>
        <v>1.6699999999999937E-2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1677487.4914343399</v>
      </c>
      <c r="D64" s="11">
        <v>1.6199999999999999E-2</v>
      </c>
      <c r="E64" s="10">
        <f t="shared" si="2"/>
        <v>26742.075734339887</v>
      </c>
      <c r="F64" s="3"/>
      <c r="G64" s="28"/>
      <c r="H64" s="10"/>
      <c r="I64" s="10">
        <f t="shared" si="8"/>
        <v>10437</v>
      </c>
      <c r="J64" s="10">
        <f t="shared" si="6"/>
        <v>17507936948.100204</v>
      </c>
      <c r="K64" s="11">
        <f t="shared" si="7"/>
        <v>1.619999999999977E-2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1650745.4157</v>
      </c>
      <c r="D65" s="11">
        <v>1.55E-2</v>
      </c>
      <c r="E65" s="10">
        <f t="shared" si="2"/>
        <v>25196.015700000105</v>
      </c>
      <c r="F65" s="3"/>
      <c r="G65" s="28"/>
      <c r="H65" s="10"/>
      <c r="I65" s="10">
        <f t="shared" si="8"/>
        <v>10437</v>
      </c>
      <c r="J65" s="10">
        <f t="shared" si="6"/>
        <v>17228829903.6609</v>
      </c>
      <c r="K65" s="11">
        <f t="shared" si="7"/>
        <v>1.5500000000000069E-2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1625549.4</v>
      </c>
      <c r="D66" s="11">
        <v>1.47E-2</v>
      </c>
      <c r="E66" s="10">
        <f t="shared" si="2"/>
        <v>23549.399999999907</v>
      </c>
      <c r="F66" s="15">
        <v>3347590</v>
      </c>
      <c r="G66" s="28"/>
      <c r="H66" s="10"/>
      <c r="I66" s="10">
        <f t="shared" si="8"/>
        <v>10437</v>
      </c>
      <c r="J66" s="10">
        <f t="shared" ref="J66:J67" si="9">IF(I66="","",I66*C66)</f>
        <v>16965859087.799999</v>
      </c>
      <c r="K66" s="11">
        <f t="shared" ref="K66" si="10">IFERROR(J66/J67-1,"")</f>
        <v>1.4699999999999935E-2</v>
      </c>
    </row>
    <row r="67" spans="1:11" ht="22.5" customHeight="1">
      <c r="A67" s="3">
        <f t="shared" si="0"/>
        <v>1950</v>
      </c>
      <c r="B67" s="3">
        <v>1700</v>
      </c>
      <c r="C67" s="10">
        <v>1602000</v>
      </c>
      <c r="D67" s="11">
        <v>1.3899999999999999E-2</v>
      </c>
      <c r="E67" s="3" t="s">
        <v>72</v>
      </c>
      <c r="F67" s="10">
        <f>SUM(C2)</f>
        <v>3348448.3447464439</v>
      </c>
      <c r="G67" s="28"/>
      <c r="H67" s="10"/>
      <c r="I67" s="10">
        <f t="shared" ref="I67" si="11">IF(H67&lt;&gt;"",H67,I66/(1+IF(G66="",0,G66)/100))</f>
        <v>10437</v>
      </c>
      <c r="J67" s="10">
        <f t="shared" si="9"/>
        <v>16720074000</v>
      </c>
      <c r="K67" s="11"/>
    </row>
  </sheetData>
  <dataValidations count="1">
    <dataValidation type="custom" allowBlank="1" showDropDown="1" sqref="D2:D67" xr:uid="{00000000-0002-0000-3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833440.93086851214</v>
      </c>
      <c r="D2" s="11">
        <v>2.4500000000000001E-2</v>
      </c>
      <c r="E2" s="10">
        <f t="shared" ref="E2:E66" si="2">SUM(C2-C3)</f>
        <v>19930.993466352927</v>
      </c>
      <c r="F2" s="15"/>
      <c r="G2" s="28"/>
      <c r="H2" s="10"/>
      <c r="I2" s="10">
        <f>IF(H2&lt;&gt;"",H2,16786)</f>
        <v>16786</v>
      </c>
      <c r="J2" s="10">
        <f t="shared" ref="J2:J33" si="3">IF(I2="","",I2*C2)</f>
        <v>13990139465.558846</v>
      </c>
      <c r="K2" s="11">
        <f t="shared" ref="K2:K33" si="4">IFERROR(J2/J3-1,"")</f>
        <v>2.4499999999999966E-2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813509.93740215921</v>
      </c>
      <c r="D3" s="11">
        <v>5.4100000000000002E-2</v>
      </c>
      <c r="E3" s="10">
        <f t="shared" si="2"/>
        <v>41752.09905460279</v>
      </c>
      <c r="F3" s="3"/>
      <c r="G3" s="28"/>
      <c r="H3" s="10"/>
      <c r="I3" s="10">
        <f t="shared" ref="I3:I34" si="5">IF(H3&lt;&gt;"",H3,I2/(1+IF(G2="",0,G2)/100))</f>
        <v>16786</v>
      </c>
      <c r="J3" s="10">
        <f t="shared" si="3"/>
        <v>13655577809.232645</v>
      </c>
      <c r="K3" s="11">
        <f t="shared" si="4"/>
        <v>5.4100000000000037E-2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771757.83834755642</v>
      </c>
      <c r="D4" s="11">
        <v>4.2000000000000003E-2</v>
      </c>
      <c r="E4" s="10">
        <f t="shared" si="2"/>
        <v>31107.321699229768</v>
      </c>
      <c r="F4" s="3"/>
      <c r="G4" s="28"/>
      <c r="H4" s="10"/>
      <c r="I4" s="10">
        <f t="shared" si="5"/>
        <v>16786</v>
      </c>
      <c r="J4" s="10">
        <f t="shared" si="3"/>
        <v>12954727074.502083</v>
      </c>
      <c r="K4" s="11">
        <f t="shared" si="4"/>
        <v>4.2000000000000259E-2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740650.51664832665</v>
      </c>
      <c r="D5" s="11">
        <v>4.5400000000000003E-2</v>
      </c>
      <c r="E5" s="10">
        <f t="shared" si="2"/>
        <v>32165.231926376582</v>
      </c>
      <c r="F5" s="3"/>
      <c r="G5" s="28"/>
      <c r="H5" s="10"/>
      <c r="I5" s="10">
        <f t="shared" si="5"/>
        <v>16786</v>
      </c>
      <c r="J5" s="10">
        <f t="shared" si="3"/>
        <v>12432559572.458811</v>
      </c>
      <c r="K5" s="11">
        <f t="shared" si="4"/>
        <v>4.5400000000000107E-2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708485.28472195007</v>
      </c>
      <c r="D6" s="11">
        <v>-9.9000000000000008E-3</v>
      </c>
      <c r="E6" s="10">
        <f t="shared" si="2"/>
        <v>-7084.137277797563</v>
      </c>
      <c r="F6" s="3"/>
      <c r="G6" s="28"/>
      <c r="H6" s="10"/>
      <c r="I6" s="10">
        <f t="shared" si="5"/>
        <v>16786</v>
      </c>
      <c r="J6" s="10">
        <f t="shared" si="3"/>
        <v>11892633989.342653</v>
      </c>
      <c r="K6" s="11">
        <f t="shared" si="4"/>
        <v>-9.9000000000001309E-3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715569.42199974763</v>
      </c>
      <c r="D7" s="11">
        <v>3.9100000000000003E-2</v>
      </c>
      <c r="E7" s="10">
        <f t="shared" si="2"/>
        <v>26925.959388114745</v>
      </c>
      <c r="F7" s="3"/>
      <c r="G7" s="28"/>
      <c r="H7" s="10"/>
      <c r="I7" s="10">
        <f t="shared" si="5"/>
        <v>16786</v>
      </c>
      <c r="J7" s="10">
        <f t="shared" si="3"/>
        <v>12011548317.687763</v>
      </c>
      <c r="K7" s="11">
        <f t="shared" si="4"/>
        <v>3.9099999999999691E-2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688643.46261163289</v>
      </c>
      <c r="D8" s="11">
        <v>4.0300000000000002E-2</v>
      </c>
      <c r="E8" s="10">
        <f t="shared" si="2"/>
        <v>26677.238818849204</v>
      </c>
      <c r="F8" s="3"/>
      <c r="G8" s="28"/>
      <c r="H8" s="10"/>
      <c r="I8" s="10">
        <f t="shared" si="5"/>
        <v>16786</v>
      </c>
      <c r="J8" s="10">
        <f t="shared" si="3"/>
        <v>11559569163.39887</v>
      </c>
      <c r="K8" s="11">
        <f t="shared" si="4"/>
        <v>4.0300000000000225E-2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661966.22379278368</v>
      </c>
      <c r="D9" s="11">
        <v>4.1500000000000002E-2</v>
      </c>
      <c r="E9" s="10">
        <f t="shared" si="2"/>
        <v>26376.954668651568</v>
      </c>
      <c r="F9" s="3"/>
      <c r="G9" s="28"/>
      <c r="H9" s="10"/>
      <c r="I9" s="10">
        <f t="shared" si="5"/>
        <v>16786</v>
      </c>
      <c r="J9" s="10">
        <f t="shared" si="3"/>
        <v>11111765032.585667</v>
      </c>
      <c r="K9" s="11">
        <f t="shared" si="4"/>
        <v>4.1500000000000092E-2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635589.26912413212</v>
      </c>
      <c r="D10" s="11">
        <v>4.2799999999999998E-2</v>
      </c>
      <c r="E10" s="10">
        <f t="shared" si="2"/>
        <v>26086.709549782099</v>
      </c>
      <c r="F10" s="3"/>
      <c r="G10" s="28"/>
      <c r="H10" s="10"/>
      <c r="I10" s="10">
        <f t="shared" si="5"/>
        <v>16786</v>
      </c>
      <c r="J10" s="10">
        <f t="shared" si="3"/>
        <v>10669001471.517681</v>
      </c>
      <c r="K10" s="11">
        <f t="shared" si="4"/>
        <v>4.2799999999999727E-2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609502.55957435002</v>
      </c>
      <c r="D11" s="11">
        <v>4.4299999999999999E-2</v>
      </c>
      <c r="E11" s="10">
        <f t="shared" si="2"/>
        <v>25855.56199286005</v>
      </c>
      <c r="F11" s="3"/>
      <c r="G11" s="28"/>
      <c r="H11" s="10"/>
      <c r="I11" s="10">
        <f t="shared" si="5"/>
        <v>16786</v>
      </c>
      <c r="J11" s="10">
        <f t="shared" si="3"/>
        <v>10231109965.015039</v>
      </c>
      <c r="K11" s="11">
        <f t="shared" si="4"/>
        <v>4.4300000000000006E-2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583646.99758148997</v>
      </c>
      <c r="D12" s="11">
        <v>4.5900000000000003E-2</v>
      </c>
      <c r="E12" s="10">
        <f t="shared" si="2"/>
        <v>25613.72711443773</v>
      </c>
      <c r="F12" s="3"/>
      <c r="G12" s="28"/>
      <c r="H12" s="10"/>
      <c r="I12" s="10">
        <f t="shared" si="5"/>
        <v>16786</v>
      </c>
      <c r="J12" s="10">
        <f t="shared" si="3"/>
        <v>9797098501.4028912</v>
      </c>
      <c r="K12" s="11">
        <f t="shared" si="4"/>
        <v>4.5900000000000274E-2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558033.27046705224</v>
      </c>
      <c r="D13" s="11">
        <v>4.7699999999999999E-2</v>
      </c>
      <c r="E13" s="10">
        <f t="shared" si="2"/>
        <v>25406.306195741519</v>
      </c>
      <c r="F13" s="3"/>
      <c r="G13" s="28"/>
      <c r="H13" s="10"/>
      <c r="I13" s="10">
        <f t="shared" si="5"/>
        <v>16786</v>
      </c>
      <c r="J13" s="10">
        <f t="shared" si="3"/>
        <v>9367146478.0599384</v>
      </c>
      <c r="K13" s="11">
        <f t="shared" si="4"/>
        <v>4.7699999999999854E-2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532626.96427131072</v>
      </c>
      <c r="D14" s="11">
        <v>4.9799999999999997E-2</v>
      </c>
      <c r="E14" s="10">
        <f t="shared" si="2"/>
        <v>25266.548695667065</v>
      </c>
      <c r="F14" s="3"/>
      <c r="G14" s="28"/>
      <c r="H14" s="10"/>
      <c r="I14" s="10">
        <f t="shared" si="5"/>
        <v>16786</v>
      </c>
      <c r="J14" s="10">
        <f t="shared" si="3"/>
        <v>8940676222.2582226</v>
      </c>
      <c r="K14" s="11">
        <f t="shared" si="4"/>
        <v>4.9800000000000066E-2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507360.41557564365</v>
      </c>
      <c r="D15" s="11">
        <v>5.1999999999999998E-2</v>
      </c>
      <c r="E15" s="10">
        <f t="shared" si="2"/>
        <v>25078.651720469119</v>
      </c>
      <c r="F15" s="3"/>
      <c r="G15" s="28"/>
      <c r="H15" s="10"/>
      <c r="I15" s="10">
        <f t="shared" si="5"/>
        <v>16786</v>
      </c>
      <c r="J15" s="10">
        <f t="shared" si="3"/>
        <v>8516551935.8527546</v>
      </c>
      <c r="K15" s="11">
        <f t="shared" si="4"/>
        <v>5.2000000000000046E-2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482281.76385517453</v>
      </c>
      <c r="D16" s="11">
        <v>4.4600000000000001E-2</v>
      </c>
      <c r="E16" s="10">
        <f t="shared" si="2"/>
        <v>20591.390645166335</v>
      </c>
      <c r="F16" s="3"/>
      <c r="G16" s="28"/>
      <c r="H16" s="10"/>
      <c r="I16" s="10">
        <f t="shared" si="5"/>
        <v>16786</v>
      </c>
      <c r="J16" s="10">
        <f t="shared" si="3"/>
        <v>8095581688.0729599</v>
      </c>
      <c r="K16" s="11">
        <f t="shared" si="4"/>
        <v>4.4599999999999973E-2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461690.3732100082</v>
      </c>
      <c r="D17" s="11">
        <v>3.6200000000000003E-2</v>
      </c>
      <c r="E17" s="10">
        <f t="shared" si="2"/>
        <v>16129.310471146775</v>
      </c>
      <c r="F17" s="3"/>
      <c r="G17" s="28"/>
      <c r="H17" s="10"/>
      <c r="I17" s="10">
        <f t="shared" si="5"/>
        <v>16786</v>
      </c>
      <c r="J17" s="10">
        <f t="shared" si="3"/>
        <v>7749934604.7031975</v>
      </c>
      <c r="K17" s="11">
        <f t="shared" si="4"/>
        <v>3.620000000000001E-2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445561.06273886142</v>
      </c>
      <c r="D18" s="11">
        <v>3.7400000000000003E-2</v>
      </c>
      <c r="E18" s="10">
        <f t="shared" si="2"/>
        <v>16063.219343005097</v>
      </c>
      <c r="F18" s="3"/>
      <c r="G18" s="28"/>
      <c r="H18" s="10"/>
      <c r="I18" s="10">
        <f t="shared" si="5"/>
        <v>16786</v>
      </c>
      <c r="J18" s="10">
        <f t="shared" si="3"/>
        <v>7479187999.1345282</v>
      </c>
      <c r="K18" s="11">
        <f t="shared" si="4"/>
        <v>3.74000000000001E-2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429497.84339585633</v>
      </c>
      <c r="D19" s="11">
        <v>3.8600000000000002E-2</v>
      </c>
      <c r="E19" s="10">
        <f t="shared" si="2"/>
        <v>15962.465583554818</v>
      </c>
      <c r="F19" s="3"/>
      <c r="G19" s="28"/>
      <c r="H19" s="10"/>
      <c r="I19" s="10">
        <f t="shared" si="5"/>
        <v>16786</v>
      </c>
      <c r="J19" s="10">
        <f t="shared" si="3"/>
        <v>7209550799.2428446</v>
      </c>
      <c r="K19" s="11">
        <f t="shared" si="4"/>
        <v>3.8599999999999968E-2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413535.37781230151</v>
      </c>
      <c r="D20" s="11">
        <v>0.04</v>
      </c>
      <c r="E20" s="10">
        <f t="shared" si="2"/>
        <v>15905.206838934682</v>
      </c>
      <c r="F20" s="3"/>
      <c r="G20" s="28"/>
      <c r="H20" s="10"/>
      <c r="I20" s="10">
        <f t="shared" si="5"/>
        <v>16786</v>
      </c>
      <c r="J20" s="10">
        <f t="shared" si="3"/>
        <v>6941604851.9572935</v>
      </c>
      <c r="K20" s="11">
        <f t="shared" si="4"/>
        <v>4.0000000000000036E-2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397630.17097336682</v>
      </c>
      <c r="D21" s="11">
        <v>4.1399999999999999E-2</v>
      </c>
      <c r="E21" s="10">
        <f t="shared" si="2"/>
        <v>15807.460224983108</v>
      </c>
      <c r="F21" s="3"/>
      <c r="G21" s="28"/>
      <c r="H21" s="10"/>
      <c r="I21" s="10">
        <f t="shared" si="5"/>
        <v>16786</v>
      </c>
      <c r="J21" s="10">
        <f t="shared" si="3"/>
        <v>6674620049.9589357</v>
      </c>
      <c r="K21" s="11">
        <f t="shared" si="4"/>
        <v>4.1400000000000103E-2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381822.71074838372</v>
      </c>
      <c r="D22" s="11">
        <v>4.2799999999999998E-2</v>
      </c>
      <c r="E22" s="10">
        <f t="shared" si="2"/>
        <v>15671.281185299973</v>
      </c>
      <c r="F22" s="3"/>
      <c r="G22" s="28"/>
      <c r="H22" s="10"/>
      <c r="I22" s="10">
        <f t="shared" si="5"/>
        <v>16786</v>
      </c>
      <c r="J22" s="10">
        <f t="shared" si="3"/>
        <v>6409276022.6223688</v>
      </c>
      <c r="K22" s="11">
        <f t="shared" si="4"/>
        <v>4.2799999999999949E-2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366151.42956308374</v>
      </c>
      <c r="D23" s="11">
        <v>4.4299999999999999E-2</v>
      </c>
      <c r="E23" s="10">
        <f t="shared" si="2"/>
        <v>15532.422033558018</v>
      </c>
      <c r="F23" s="3"/>
      <c r="G23" s="28"/>
      <c r="H23" s="10"/>
      <c r="I23" s="10">
        <f t="shared" si="5"/>
        <v>16786</v>
      </c>
      <c r="J23" s="10">
        <f t="shared" si="3"/>
        <v>6146217896.6459236</v>
      </c>
      <c r="K23" s="11">
        <f t="shared" si="4"/>
        <v>4.4300000000000006E-2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350619.00752952573</v>
      </c>
      <c r="D24" s="11">
        <v>4.5999999999999999E-2</v>
      </c>
      <c r="E24" s="10">
        <f t="shared" si="2"/>
        <v>15419.191535715305</v>
      </c>
      <c r="F24" s="3"/>
      <c r="G24" s="28"/>
      <c r="H24" s="10"/>
      <c r="I24" s="10">
        <f t="shared" si="5"/>
        <v>16786</v>
      </c>
      <c r="J24" s="10">
        <f t="shared" si="3"/>
        <v>5885490660.3906193</v>
      </c>
      <c r="K24" s="11">
        <f t="shared" si="4"/>
        <v>4.6000000000000263E-2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335199.81599381042</v>
      </c>
      <c r="D25" s="11">
        <v>4.7699999999999999E-2</v>
      </c>
      <c r="E25" s="10">
        <f t="shared" si="2"/>
        <v>15261.077811305528</v>
      </c>
      <c r="F25" s="3"/>
      <c r="G25" s="28"/>
      <c r="H25" s="10"/>
      <c r="I25" s="10">
        <f t="shared" si="5"/>
        <v>16786</v>
      </c>
      <c r="J25" s="10">
        <f t="shared" si="3"/>
        <v>5626664111.2721014</v>
      </c>
      <c r="K25" s="11">
        <f t="shared" si="4"/>
        <v>4.7700000000000076E-2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319938.73818250489</v>
      </c>
      <c r="D26" s="11">
        <v>4.9299999999999997E-2</v>
      </c>
      <c r="E26" s="10">
        <f t="shared" si="2"/>
        <v>15031.906787760847</v>
      </c>
      <c r="F26" s="3"/>
      <c r="G26" s="28"/>
      <c r="H26" s="10"/>
      <c r="I26" s="10">
        <f t="shared" si="5"/>
        <v>16786</v>
      </c>
      <c r="J26" s="10">
        <f t="shared" si="3"/>
        <v>5370491659.1315269</v>
      </c>
      <c r="K26" s="11">
        <f t="shared" si="4"/>
        <v>4.9299999999999899E-2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304906.83139474405</v>
      </c>
      <c r="D27" s="11">
        <v>5.0500000000000003E-2</v>
      </c>
      <c r="E27" s="10">
        <f t="shared" si="2"/>
        <v>14657.586849533138</v>
      </c>
      <c r="F27" s="3"/>
      <c r="G27" s="28"/>
      <c r="H27" s="10"/>
      <c r="I27" s="10">
        <f t="shared" si="5"/>
        <v>16786</v>
      </c>
      <c r="J27" s="10">
        <f t="shared" si="3"/>
        <v>5118166071.7921734</v>
      </c>
      <c r="K27" s="11">
        <f t="shared" si="4"/>
        <v>5.0499999999999989E-2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290249.24454521091</v>
      </c>
      <c r="D28" s="11">
        <v>5.3199999999999997E-2</v>
      </c>
      <c r="E28" s="10">
        <f t="shared" si="2"/>
        <v>14661.279728261696</v>
      </c>
      <c r="F28" s="3"/>
      <c r="G28" s="28"/>
      <c r="H28" s="10"/>
      <c r="I28" s="10">
        <f t="shared" si="5"/>
        <v>16786</v>
      </c>
      <c r="J28" s="10">
        <f t="shared" si="3"/>
        <v>4872123818.9359102</v>
      </c>
      <c r="K28" s="11">
        <f t="shared" si="4"/>
        <v>5.3199999999999914E-2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275587.96481694921</v>
      </c>
      <c r="D29" s="11">
        <v>5.6500000000000002E-2</v>
      </c>
      <c r="E29" s="10">
        <f t="shared" si="2"/>
        <v>14738.021781502728</v>
      </c>
      <c r="F29" s="3"/>
      <c r="G29" s="28"/>
      <c r="H29" s="10"/>
      <c r="I29" s="10">
        <f t="shared" si="5"/>
        <v>16786</v>
      </c>
      <c r="J29" s="10">
        <f t="shared" si="3"/>
        <v>4626019577.4173098</v>
      </c>
      <c r="K29" s="11">
        <f t="shared" si="4"/>
        <v>5.6499999999999995E-2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260849.94303544649</v>
      </c>
      <c r="D30" s="11">
        <v>5.6899999999999999E-2</v>
      </c>
      <c r="E30" s="10">
        <f t="shared" si="2"/>
        <v>14043.298096997722</v>
      </c>
      <c r="F30" s="3"/>
      <c r="G30" s="28"/>
      <c r="H30" s="10"/>
      <c r="I30" s="10">
        <f t="shared" si="5"/>
        <v>16786</v>
      </c>
      <c r="J30" s="10">
        <f t="shared" si="3"/>
        <v>4378627143.793005</v>
      </c>
      <c r="K30" s="11">
        <f t="shared" si="4"/>
        <v>5.6899999999999951E-2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246806.64493844876</v>
      </c>
      <c r="D31" s="11">
        <v>5.74E-2</v>
      </c>
      <c r="E31" s="10">
        <f t="shared" si="2"/>
        <v>13397.674881281389</v>
      </c>
      <c r="F31" s="3"/>
      <c r="G31" s="28"/>
      <c r="H31" s="10"/>
      <c r="I31" s="10">
        <f t="shared" si="5"/>
        <v>16786</v>
      </c>
      <c r="J31" s="10">
        <f t="shared" si="3"/>
        <v>4142896341.936801</v>
      </c>
      <c r="K31" s="11">
        <f t="shared" si="4"/>
        <v>5.7399999999999896E-2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233408.97005716737</v>
      </c>
      <c r="D32" s="11">
        <v>5.9499999999999997E-2</v>
      </c>
      <c r="E32" s="10">
        <f t="shared" si="2"/>
        <v>13107.912900803611</v>
      </c>
      <c r="F32" s="3"/>
      <c r="G32" s="28"/>
      <c r="H32" s="10"/>
      <c r="I32" s="10">
        <f t="shared" si="5"/>
        <v>16786</v>
      </c>
      <c r="J32" s="10">
        <f t="shared" si="3"/>
        <v>3918002971.3796115</v>
      </c>
      <c r="K32" s="11">
        <f t="shared" si="4"/>
        <v>5.9499999999999886E-2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220301.05715636376</v>
      </c>
      <c r="D33" s="11">
        <v>6.0900000000000003E-2</v>
      </c>
      <c r="E33" s="10">
        <f t="shared" si="2"/>
        <v>12646.181902933866</v>
      </c>
      <c r="F33" s="3"/>
      <c r="G33" s="28"/>
      <c r="H33" s="10"/>
      <c r="I33" s="10">
        <f t="shared" si="5"/>
        <v>16786</v>
      </c>
      <c r="J33" s="10">
        <f t="shared" si="3"/>
        <v>3697973545.426722</v>
      </c>
      <c r="K33" s="11">
        <f t="shared" si="4"/>
        <v>6.0899999999999954E-2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207654.8752534299</v>
      </c>
      <c r="D34" s="11">
        <v>6.0999999999999999E-2</v>
      </c>
      <c r="E34" s="10">
        <f t="shared" si="2"/>
        <v>11938.687455663719</v>
      </c>
      <c r="F34" s="3"/>
      <c r="G34" s="28"/>
      <c r="H34" s="10"/>
      <c r="I34" s="10">
        <f t="shared" si="5"/>
        <v>16786</v>
      </c>
      <c r="J34" s="10">
        <f t="shared" ref="J34:J65" si="6">IF(I34="","",I34*C34)</f>
        <v>3485694736.0040741</v>
      </c>
      <c r="K34" s="11">
        <f t="shared" ref="K34:K65" si="7">IFERROR(J34/J35-1,"")</f>
        <v>6.0999999999999943E-2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195716.18779776618</v>
      </c>
      <c r="D35" s="11">
        <v>5.9799999999999999E-2</v>
      </c>
      <c r="E35" s="10">
        <f t="shared" si="2"/>
        <v>11043.430864603171</v>
      </c>
      <c r="F35" s="3"/>
      <c r="G35" s="28"/>
      <c r="H35" s="10"/>
      <c r="I35" s="10">
        <f t="shared" ref="I35:I66" si="8">IF(H35&lt;&gt;"",H35,I34/(1+IF(G34="",0,G34)/100))</f>
        <v>16786</v>
      </c>
      <c r="J35" s="10">
        <f t="shared" si="6"/>
        <v>3285291928.3733029</v>
      </c>
      <c r="K35" s="11">
        <f t="shared" si="7"/>
        <v>5.9800000000000075E-2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184672.75693316301</v>
      </c>
      <c r="D36" s="11">
        <v>5.8599999999999999E-2</v>
      </c>
      <c r="E36" s="10">
        <f t="shared" si="2"/>
        <v>10222.769276670471</v>
      </c>
      <c r="F36" s="3"/>
      <c r="G36" s="28"/>
      <c r="H36" s="10"/>
      <c r="I36" s="10">
        <f t="shared" si="8"/>
        <v>16786</v>
      </c>
      <c r="J36" s="10">
        <f t="shared" si="6"/>
        <v>3099916897.880074</v>
      </c>
      <c r="K36" s="11">
        <f t="shared" si="7"/>
        <v>5.8599999999999985E-2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174449.98765649254</v>
      </c>
      <c r="D37" s="11">
        <v>5.8099999999999999E-2</v>
      </c>
      <c r="E37" s="10">
        <f t="shared" si="2"/>
        <v>9579.0041421814822</v>
      </c>
      <c r="F37" s="3"/>
      <c r="G37" s="28"/>
      <c r="H37" s="10"/>
      <c r="I37" s="10">
        <f t="shared" si="8"/>
        <v>16786</v>
      </c>
      <c r="J37" s="10">
        <f t="shared" si="6"/>
        <v>2928317492.8018837</v>
      </c>
      <c r="K37" s="11">
        <f t="shared" si="7"/>
        <v>5.8100000000000041E-2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164870.98351431105</v>
      </c>
      <c r="D38" s="11">
        <v>5.7099999999999998E-2</v>
      </c>
      <c r="E38" s="10">
        <f t="shared" si="2"/>
        <v>8905.6221347716928</v>
      </c>
      <c r="F38" s="3"/>
      <c r="G38" s="28"/>
      <c r="H38" s="10"/>
      <c r="I38" s="10">
        <f t="shared" si="8"/>
        <v>16786</v>
      </c>
      <c r="J38" s="10">
        <f t="shared" si="6"/>
        <v>2767524329.2712255</v>
      </c>
      <c r="K38" s="11">
        <f t="shared" si="7"/>
        <v>5.7099999999999929E-2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155965.36137953936</v>
      </c>
      <c r="D39" s="11">
        <v>5.1400000000000001E-2</v>
      </c>
      <c r="E39" s="10">
        <f t="shared" si="2"/>
        <v>7624.7095062852895</v>
      </c>
      <c r="F39" s="3"/>
      <c r="G39" s="28"/>
      <c r="H39" s="10"/>
      <c r="I39" s="10">
        <f t="shared" si="8"/>
        <v>16786</v>
      </c>
      <c r="J39" s="10">
        <f t="shared" si="6"/>
        <v>2618034556.1169477</v>
      </c>
      <c r="K39" s="11">
        <f t="shared" si="7"/>
        <v>5.1400000000000112E-2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148340.65187325407</v>
      </c>
      <c r="D40" s="11">
        <v>4.6300000000000001E-2</v>
      </c>
      <c r="E40" s="10">
        <f t="shared" si="2"/>
        <v>6564.2475214868318</v>
      </c>
      <c r="F40" s="3"/>
      <c r="G40" s="28"/>
      <c r="H40" s="10"/>
      <c r="I40" s="10">
        <f t="shared" si="8"/>
        <v>16786</v>
      </c>
      <c r="J40" s="10">
        <f t="shared" si="6"/>
        <v>2490046182.3444428</v>
      </c>
      <c r="K40" s="11">
        <f t="shared" si="7"/>
        <v>4.6300000000000008E-2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141776.40435176724</v>
      </c>
      <c r="D41" s="11">
        <v>4.3499999999999997E-2</v>
      </c>
      <c r="E41" s="10">
        <f t="shared" si="2"/>
        <v>5910.18072764916</v>
      </c>
      <c r="F41" s="3"/>
      <c r="G41" s="28"/>
      <c r="H41" s="10"/>
      <c r="I41" s="10">
        <f t="shared" si="8"/>
        <v>16786</v>
      </c>
      <c r="J41" s="10">
        <f t="shared" si="6"/>
        <v>2379858723.4487648</v>
      </c>
      <c r="K41" s="11">
        <f t="shared" si="7"/>
        <v>4.3500000000000094E-2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135866.22362411808</v>
      </c>
      <c r="D42" s="11">
        <v>4.3499999999999997E-2</v>
      </c>
      <c r="E42" s="10">
        <f t="shared" si="2"/>
        <v>5663.80520138875</v>
      </c>
      <c r="F42" s="3"/>
      <c r="G42" s="28"/>
      <c r="H42" s="10"/>
      <c r="I42" s="10">
        <f t="shared" si="8"/>
        <v>16786</v>
      </c>
      <c r="J42" s="10">
        <f t="shared" si="6"/>
        <v>2280650429.754446</v>
      </c>
      <c r="K42" s="11">
        <f t="shared" si="7"/>
        <v>4.3500000000000094E-2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130202.41842272933</v>
      </c>
      <c r="D43" s="11">
        <v>4.3499999999999997E-2</v>
      </c>
      <c r="E43" s="10">
        <f t="shared" si="2"/>
        <v>5427.7002409091947</v>
      </c>
      <c r="F43" s="3"/>
      <c r="G43" s="28"/>
      <c r="H43" s="10"/>
      <c r="I43" s="10">
        <f t="shared" si="8"/>
        <v>16786</v>
      </c>
      <c r="J43" s="10">
        <f t="shared" si="6"/>
        <v>2185577795.6439347</v>
      </c>
      <c r="K43" s="11">
        <f t="shared" si="7"/>
        <v>4.3500000000000316E-2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124774.71818182014</v>
      </c>
      <c r="D44" s="11">
        <v>4.3400000000000001E-2</v>
      </c>
      <c r="E44" s="10">
        <f t="shared" si="2"/>
        <v>5189.9777353756945</v>
      </c>
      <c r="F44" s="3"/>
      <c r="G44" s="28"/>
      <c r="H44" s="10"/>
      <c r="I44" s="10">
        <f t="shared" si="8"/>
        <v>16786</v>
      </c>
      <c r="J44" s="10">
        <f t="shared" si="6"/>
        <v>2094468419.4000328</v>
      </c>
      <c r="K44" s="11">
        <f t="shared" si="7"/>
        <v>4.3400000000000105E-2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119584.74044644444</v>
      </c>
      <c r="D45" s="11">
        <v>4.3099999999999999E-2</v>
      </c>
      <c r="E45" s="10">
        <f t="shared" si="2"/>
        <v>4941.1392131547764</v>
      </c>
      <c r="F45" s="3"/>
      <c r="G45" s="28"/>
      <c r="H45" s="10"/>
      <c r="I45" s="10">
        <f t="shared" si="8"/>
        <v>16786</v>
      </c>
      <c r="J45" s="10">
        <f t="shared" si="6"/>
        <v>2007349453.1340163</v>
      </c>
      <c r="K45" s="11">
        <f t="shared" si="7"/>
        <v>4.3099999999999916E-2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114643.60123328966</v>
      </c>
      <c r="D46" s="11">
        <v>4.2700000000000002E-2</v>
      </c>
      <c r="E46" s="10">
        <f t="shared" si="2"/>
        <v>4694.8132470139681</v>
      </c>
      <c r="F46" s="3"/>
      <c r="G46" s="28"/>
      <c r="H46" s="10"/>
      <c r="I46" s="10">
        <f t="shared" si="8"/>
        <v>16786</v>
      </c>
      <c r="J46" s="10">
        <f t="shared" si="6"/>
        <v>1924407490.3020003</v>
      </c>
      <c r="K46" s="11">
        <f t="shared" si="7"/>
        <v>4.269999999999996E-2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109948.7879862757</v>
      </c>
      <c r="D47" s="11">
        <v>4.2200000000000001E-2</v>
      </c>
      <c r="E47" s="10">
        <f t="shared" si="2"/>
        <v>4451.9658923631068</v>
      </c>
      <c r="F47" s="3"/>
      <c r="G47" s="28"/>
      <c r="H47" s="10"/>
      <c r="I47" s="10">
        <f t="shared" si="8"/>
        <v>16786</v>
      </c>
      <c r="J47" s="10">
        <f t="shared" si="6"/>
        <v>1845600355.1376238</v>
      </c>
      <c r="K47" s="11">
        <f t="shared" si="7"/>
        <v>4.2200000000000015E-2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105496.82209391259</v>
      </c>
      <c r="D48" s="11">
        <v>4.1700000000000001E-2</v>
      </c>
      <c r="E48" s="10">
        <f t="shared" si="2"/>
        <v>4223.1136424269644</v>
      </c>
      <c r="F48" s="3"/>
      <c r="G48" s="28"/>
      <c r="H48" s="10"/>
      <c r="I48" s="10">
        <f t="shared" si="8"/>
        <v>16786</v>
      </c>
      <c r="J48" s="10">
        <f t="shared" si="6"/>
        <v>1770869655.6684167</v>
      </c>
      <c r="K48" s="11">
        <f t="shared" si="7"/>
        <v>4.170000000000007E-2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101273.70845148563</v>
      </c>
      <c r="D49" s="11">
        <v>4.1099999999999998E-2</v>
      </c>
      <c r="E49" s="10">
        <f t="shared" si="2"/>
        <v>3998.0303691826412</v>
      </c>
      <c r="F49" s="3"/>
      <c r="G49" s="28"/>
      <c r="H49" s="10"/>
      <c r="I49" s="10">
        <f t="shared" si="8"/>
        <v>16786</v>
      </c>
      <c r="J49" s="10">
        <f t="shared" si="6"/>
        <v>1699980470.0666378</v>
      </c>
      <c r="K49" s="11">
        <f t="shared" si="7"/>
        <v>4.1099999999999914E-2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97275.678082302984</v>
      </c>
      <c r="D50" s="11">
        <v>4.0599999999999997E-2</v>
      </c>
      <c r="E50" s="10">
        <f t="shared" si="2"/>
        <v>3795.3032194325351</v>
      </c>
      <c r="F50" s="3"/>
      <c r="G50" s="28"/>
      <c r="H50" s="10"/>
      <c r="I50" s="10">
        <f t="shared" si="8"/>
        <v>16786</v>
      </c>
      <c r="J50" s="10">
        <f t="shared" si="6"/>
        <v>1632869532.2895379</v>
      </c>
      <c r="K50" s="11">
        <f t="shared" si="7"/>
        <v>4.0599999999999969E-2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93480.374862870449</v>
      </c>
      <c r="D51" s="11">
        <v>0.04</v>
      </c>
      <c r="E51" s="10">
        <f t="shared" si="2"/>
        <v>3595.399033187321</v>
      </c>
      <c r="F51" s="3"/>
      <c r="G51" s="28"/>
      <c r="H51" s="10"/>
      <c r="I51" s="10">
        <f t="shared" si="8"/>
        <v>16786</v>
      </c>
      <c r="J51" s="10">
        <f t="shared" si="6"/>
        <v>1569161572.4481432</v>
      </c>
      <c r="K51" s="11">
        <f t="shared" si="7"/>
        <v>3.9999999999999813E-2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89884.975829683128</v>
      </c>
      <c r="D52" s="11">
        <v>3.95E-2</v>
      </c>
      <c r="E52" s="10">
        <f t="shared" si="2"/>
        <v>3415.5426120947523</v>
      </c>
      <c r="F52" s="3"/>
      <c r="G52" s="28"/>
      <c r="H52" s="10"/>
      <c r="I52" s="10">
        <f t="shared" si="8"/>
        <v>16786</v>
      </c>
      <c r="J52" s="10">
        <f t="shared" si="6"/>
        <v>1508809204.277061</v>
      </c>
      <c r="K52" s="11">
        <f t="shared" si="7"/>
        <v>3.9500000000000091E-2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86469.433217588376</v>
      </c>
      <c r="D53" s="11">
        <v>3.8899999999999997E-2</v>
      </c>
      <c r="E53" s="10">
        <f t="shared" si="2"/>
        <v>3237.7138821486005</v>
      </c>
      <c r="F53" s="3"/>
      <c r="G53" s="28"/>
      <c r="H53" s="10"/>
      <c r="I53" s="10">
        <f t="shared" si="8"/>
        <v>16786</v>
      </c>
      <c r="J53" s="10">
        <f t="shared" si="6"/>
        <v>1451475905.9904385</v>
      </c>
      <c r="K53" s="11">
        <f t="shared" si="7"/>
        <v>3.8899999999999935E-2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83231.719335439775</v>
      </c>
      <c r="D54" s="11">
        <v>3.8399999999999997E-2</v>
      </c>
      <c r="E54" s="10">
        <f t="shared" si="2"/>
        <v>3077.9064161025453</v>
      </c>
      <c r="F54" s="3"/>
      <c r="G54" s="28"/>
      <c r="H54" s="10"/>
      <c r="I54" s="10">
        <f t="shared" si="8"/>
        <v>16786</v>
      </c>
      <c r="J54" s="10">
        <f t="shared" si="6"/>
        <v>1397127640.7646921</v>
      </c>
      <c r="K54" s="11">
        <f t="shared" si="7"/>
        <v>3.839999999999999E-2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80153.81291933723</v>
      </c>
      <c r="D55" s="11">
        <v>3.7900000000000003E-2</v>
      </c>
      <c r="E55" s="10">
        <f t="shared" si="2"/>
        <v>2926.8999996559287</v>
      </c>
      <c r="F55" s="3"/>
      <c r="G55" s="28"/>
      <c r="H55" s="10"/>
      <c r="I55" s="10">
        <f t="shared" si="8"/>
        <v>16786</v>
      </c>
      <c r="J55" s="10">
        <f t="shared" si="6"/>
        <v>1345461903.6639948</v>
      </c>
      <c r="K55" s="11">
        <f t="shared" si="7"/>
        <v>3.7900000000000045E-2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77226.912919681301</v>
      </c>
      <c r="D56" s="11">
        <v>3.7400000000000003E-2</v>
      </c>
      <c r="E56" s="10">
        <f t="shared" si="2"/>
        <v>2784.1589967188047</v>
      </c>
      <c r="F56" s="3"/>
      <c r="G56" s="28"/>
      <c r="H56" s="10"/>
      <c r="I56" s="10">
        <f t="shared" si="8"/>
        <v>16786</v>
      </c>
      <c r="J56" s="10">
        <f t="shared" si="6"/>
        <v>1296330960.2697704</v>
      </c>
      <c r="K56" s="11">
        <f t="shared" si="7"/>
        <v>3.74000000000001E-2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74442.753922962496</v>
      </c>
      <c r="D57" s="11">
        <v>3.73E-2</v>
      </c>
      <c r="E57" s="10">
        <f t="shared" si="2"/>
        <v>2676.8675612903753</v>
      </c>
      <c r="F57" s="3"/>
      <c r="G57" s="28"/>
      <c r="H57" s="10"/>
      <c r="I57" s="10">
        <f t="shared" si="8"/>
        <v>16786</v>
      </c>
      <c r="J57" s="10">
        <f t="shared" si="6"/>
        <v>1249596067.3508484</v>
      </c>
      <c r="K57" s="11">
        <f t="shared" si="7"/>
        <v>3.7300000000000111E-2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71765.886361672121</v>
      </c>
      <c r="D58" s="11">
        <v>3.7199999999999997E-2</v>
      </c>
      <c r="E58" s="10">
        <f t="shared" si="2"/>
        <v>2573.9403901409532</v>
      </c>
      <c r="F58" s="3"/>
      <c r="G58" s="28"/>
      <c r="H58" s="10"/>
      <c r="I58" s="10">
        <f t="shared" si="8"/>
        <v>16786</v>
      </c>
      <c r="J58" s="10">
        <f t="shared" si="6"/>
        <v>1204662168.4670281</v>
      </c>
      <c r="K58" s="11">
        <f t="shared" si="7"/>
        <v>3.71999999999999E-2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69191.945971531168</v>
      </c>
      <c r="D59" s="11">
        <v>3.7100000000000001E-2</v>
      </c>
      <c r="E59" s="10">
        <f t="shared" si="2"/>
        <v>2475.1915876422718</v>
      </c>
      <c r="F59" s="3"/>
      <c r="G59" s="28"/>
      <c r="H59" s="10"/>
      <c r="I59" s="10">
        <f t="shared" si="8"/>
        <v>16786</v>
      </c>
      <c r="J59" s="10">
        <f t="shared" si="6"/>
        <v>1161456005.0781221</v>
      </c>
      <c r="K59" s="11">
        <f t="shared" si="7"/>
        <v>3.7099999999999911E-2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66716.754383888896</v>
      </c>
      <c r="D60" s="11">
        <v>3.6900000000000002E-2</v>
      </c>
      <c r="E60" s="10">
        <f t="shared" si="2"/>
        <v>2374.2388241541994</v>
      </c>
      <c r="F60" s="3"/>
      <c r="G60" s="28"/>
      <c r="H60" s="10"/>
      <c r="I60" s="10">
        <f t="shared" si="8"/>
        <v>16786</v>
      </c>
      <c r="J60" s="10">
        <f t="shared" si="6"/>
        <v>1119907439.0879591</v>
      </c>
      <c r="K60" s="11">
        <f t="shared" si="7"/>
        <v>3.6899999999999933E-2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64342.515559734697</v>
      </c>
      <c r="D61" s="11">
        <v>3.6700000000000003E-2</v>
      </c>
      <c r="E61" s="10">
        <f t="shared" si="2"/>
        <v>2277.7759439010915</v>
      </c>
      <c r="F61" s="3"/>
      <c r="G61" s="28"/>
      <c r="H61" s="10"/>
      <c r="I61" s="10">
        <f t="shared" si="8"/>
        <v>16786</v>
      </c>
      <c r="J61" s="10">
        <f t="shared" si="6"/>
        <v>1080053466.1857066</v>
      </c>
      <c r="K61" s="11">
        <f t="shared" si="7"/>
        <v>3.6699999999999955E-2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62064.739615833605</v>
      </c>
      <c r="D62" s="11">
        <v>3.6600000000000001E-2</v>
      </c>
      <c r="E62" s="10">
        <f t="shared" si="2"/>
        <v>2191.3654928993928</v>
      </c>
      <c r="F62" s="3"/>
      <c r="G62" s="28"/>
      <c r="H62" s="10"/>
      <c r="I62" s="10">
        <f t="shared" si="8"/>
        <v>16786</v>
      </c>
      <c r="J62" s="10">
        <f t="shared" si="6"/>
        <v>1041818719.1913829</v>
      </c>
      <c r="K62" s="11">
        <f t="shared" si="7"/>
        <v>3.6599999999999966E-2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59873.374122934212</v>
      </c>
      <c r="D63" s="11">
        <v>3.6400000000000002E-2</v>
      </c>
      <c r="E63" s="10">
        <f t="shared" si="2"/>
        <v>2102.8471806974194</v>
      </c>
      <c r="F63" s="3"/>
      <c r="G63" s="28"/>
      <c r="H63" s="10"/>
      <c r="I63" s="10">
        <f t="shared" si="8"/>
        <v>16786</v>
      </c>
      <c r="J63" s="10">
        <f t="shared" si="6"/>
        <v>1005034458.0275737</v>
      </c>
      <c r="K63" s="11">
        <f t="shared" si="7"/>
        <v>3.6399999999999988E-2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57770.526942236793</v>
      </c>
      <c r="D64" s="11">
        <v>3.6200000000000003E-2</v>
      </c>
      <c r="E64" s="10">
        <f t="shared" si="2"/>
        <v>2018.233039286788</v>
      </c>
      <c r="F64" s="3"/>
      <c r="G64" s="28"/>
      <c r="H64" s="10"/>
      <c r="I64" s="10">
        <f t="shared" si="8"/>
        <v>16786</v>
      </c>
      <c r="J64" s="10">
        <f t="shared" si="6"/>
        <v>969736065.25238681</v>
      </c>
      <c r="K64" s="11">
        <f t="shared" si="7"/>
        <v>3.620000000000001E-2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55752.293902950005</v>
      </c>
      <c r="D65" s="11">
        <v>3.5900000000000001E-2</v>
      </c>
      <c r="E65" s="10">
        <f t="shared" si="2"/>
        <v>1932.1434029500015</v>
      </c>
      <c r="F65" s="3"/>
      <c r="G65" s="28"/>
      <c r="H65" s="10"/>
      <c r="I65" s="10">
        <f t="shared" si="8"/>
        <v>16786</v>
      </c>
      <c r="J65" s="10">
        <f t="shared" si="6"/>
        <v>935858005.45491874</v>
      </c>
      <c r="K65" s="11">
        <f t="shared" si="7"/>
        <v>3.5899999999999821E-2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53820.150500000003</v>
      </c>
      <c r="D66" s="11">
        <v>3.5700000000000003E-2</v>
      </c>
      <c r="E66" s="10">
        <f t="shared" si="2"/>
        <v>1855.1505000000034</v>
      </c>
      <c r="F66" s="16">
        <v>833491</v>
      </c>
      <c r="G66" s="28"/>
      <c r="H66" s="10"/>
      <c r="I66" s="10">
        <f t="shared" si="8"/>
        <v>16786</v>
      </c>
      <c r="J66" s="10">
        <f t="shared" ref="J66:J67" si="9">IF(I66="","",I66*C66)</f>
        <v>903425046.2930001</v>
      </c>
      <c r="K66" s="11">
        <f t="shared" ref="K66" si="10">IFERROR(J66/J67-1,"")</f>
        <v>3.5700000000000065E-2</v>
      </c>
    </row>
    <row r="67" spans="1:11" ht="22.5" customHeight="1">
      <c r="A67" s="3">
        <f t="shared" si="0"/>
        <v>1950</v>
      </c>
      <c r="B67" s="3">
        <v>1700</v>
      </c>
      <c r="C67" s="10">
        <v>51965</v>
      </c>
      <c r="D67" s="11">
        <v>3.5400000000000001E-2</v>
      </c>
      <c r="E67" s="3" t="s">
        <v>72</v>
      </c>
      <c r="F67" s="10">
        <f>SUM(C2)</f>
        <v>833440.93086851214</v>
      </c>
      <c r="G67" s="28"/>
      <c r="H67" s="10"/>
      <c r="I67" s="10">
        <f t="shared" ref="I67" si="11">IF(H67&lt;&gt;"",H67,I66/(1+IF(G66="",0,G66)/100))</f>
        <v>16786</v>
      </c>
      <c r="J67" s="10">
        <f t="shared" si="9"/>
        <v>872284490</v>
      </c>
      <c r="K67" s="11"/>
    </row>
  </sheetData>
  <dataValidations count="1">
    <dataValidation type="custom" allowBlank="1" showDropDown="1" sqref="D2:D67" xr:uid="{00000000-0002-0000-3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17078344.980818417</v>
      </c>
      <c r="D2" s="11">
        <v>2.0299999999999999E-2</v>
      </c>
      <c r="E2" s="10">
        <f t="shared" ref="E2:E66" si="2">SUM(C2-C3)</f>
        <v>339792.61306538805</v>
      </c>
      <c r="F2" s="15"/>
      <c r="G2" s="28"/>
      <c r="H2" s="10"/>
      <c r="I2" s="10">
        <f>IF(H2&lt;&gt;"",H2,9325)</f>
        <v>9325</v>
      </c>
      <c r="J2" s="10">
        <f t="shared" ref="J2:J33" si="3">IF(I2="","",I2*C2)</f>
        <v>159255566946.13174</v>
      </c>
      <c r="K2" s="11">
        <f t="shared" ref="K2:K33" si="4">IFERROR(J2/J3-1,"")</f>
        <v>2.0300000000000207E-2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16738552.367753029</v>
      </c>
      <c r="D3" s="11">
        <v>1.6799999999999999E-2</v>
      </c>
      <c r="E3" s="10">
        <f t="shared" si="2"/>
        <v>276561.44746090658</v>
      </c>
      <c r="F3" s="3"/>
      <c r="G3" s="28"/>
      <c r="H3" s="10"/>
      <c r="I3" s="10">
        <f t="shared" ref="I3:I34" si="5">IF(H3&lt;&gt;"",H3,I2/(1+IF(G2="",0,G2)/100))</f>
        <v>9325</v>
      </c>
      <c r="J3" s="10">
        <f t="shared" si="3"/>
        <v>156087000829.297</v>
      </c>
      <c r="K3" s="11">
        <f t="shared" si="4"/>
        <v>1.6799999999999926E-2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16461990.920292122</v>
      </c>
      <c r="D4" s="11">
        <v>1.67E-2</v>
      </c>
      <c r="E4" s="10">
        <f t="shared" si="2"/>
        <v>270399.5754587166</v>
      </c>
      <c r="F4" s="3"/>
      <c r="G4" s="28"/>
      <c r="H4" s="10"/>
      <c r="I4" s="10">
        <f t="shared" si="5"/>
        <v>9325</v>
      </c>
      <c r="J4" s="10">
        <f t="shared" si="3"/>
        <v>153508065331.72403</v>
      </c>
      <c r="K4" s="11">
        <f t="shared" si="4"/>
        <v>1.6699999999999937E-2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16191591.344833406</v>
      </c>
      <c r="D5" s="11">
        <v>1.49E-2</v>
      </c>
      <c r="E5" s="10">
        <f t="shared" si="2"/>
        <v>237712.79046016</v>
      </c>
      <c r="F5" s="3"/>
      <c r="G5" s="28"/>
      <c r="H5" s="10"/>
      <c r="I5" s="10">
        <f t="shared" si="5"/>
        <v>9325</v>
      </c>
      <c r="J5" s="10">
        <f t="shared" si="3"/>
        <v>150986589290.5715</v>
      </c>
      <c r="K5" s="11">
        <f t="shared" si="4"/>
        <v>1.4899999999999913E-2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15953878.554373246</v>
      </c>
      <c r="D6" s="11">
        <v>1.24E-2</v>
      </c>
      <c r="E6" s="10">
        <f t="shared" si="2"/>
        <v>195405.07119145431</v>
      </c>
      <c r="F6" s="3"/>
      <c r="G6" s="28"/>
      <c r="H6" s="10"/>
      <c r="I6" s="10">
        <f t="shared" si="5"/>
        <v>9325</v>
      </c>
      <c r="J6" s="10">
        <f t="shared" si="3"/>
        <v>148769917519.53052</v>
      </c>
      <c r="K6" s="11">
        <f t="shared" si="4"/>
        <v>1.2399999999999967E-2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15758473.483181791</v>
      </c>
      <c r="D7" s="11">
        <v>1.1900000000000001E-2</v>
      </c>
      <c r="E7" s="10">
        <f t="shared" si="2"/>
        <v>185320.52025878429</v>
      </c>
      <c r="F7" s="3"/>
      <c r="G7" s="28"/>
      <c r="H7" s="10"/>
      <c r="I7" s="10">
        <f t="shared" si="5"/>
        <v>9325</v>
      </c>
      <c r="J7" s="10">
        <f t="shared" si="3"/>
        <v>146947765230.6702</v>
      </c>
      <c r="K7" s="11">
        <f t="shared" si="4"/>
        <v>1.1900000000000022E-2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15573152.962923007</v>
      </c>
      <c r="D8" s="11">
        <v>1.2E-2</v>
      </c>
      <c r="E8" s="10">
        <f t="shared" si="2"/>
        <v>184661.89284098521</v>
      </c>
      <c r="F8" s="3"/>
      <c r="G8" s="28"/>
      <c r="H8" s="10"/>
      <c r="I8" s="10">
        <f t="shared" si="5"/>
        <v>9325</v>
      </c>
      <c r="J8" s="10">
        <f t="shared" si="3"/>
        <v>145219651379.25705</v>
      </c>
      <c r="K8" s="11">
        <f t="shared" si="4"/>
        <v>1.2000000000000011E-2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15388491.070082022</v>
      </c>
      <c r="D9" s="11">
        <v>1.1599999999999999E-2</v>
      </c>
      <c r="E9" s="10">
        <f t="shared" si="2"/>
        <v>176459.56545368955</v>
      </c>
      <c r="F9" s="3"/>
      <c r="G9" s="28"/>
      <c r="H9" s="10"/>
      <c r="I9" s="10">
        <f t="shared" si="5"/>
        <v>9325</v>
      </c>
      <c r="J9" s="10">
        <f t="shared" si="3"/>
        <v>143497679228.51486</v>
      </c>
      <c r="K9" s="11">
        <f t="shared" si="4"/>
        <v>1.1600000000000055E-2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15212031.504628332</v>
      </c>
      <c r="D10" s="11">
        <v>1.06E-2</v>
      </c>
      <c r="E10" s="10">
        <f t="shared" si="2"/>
        <v>159556.23782808147</v>
      </c>
      <c r="F10" s="3"/>
      <c r="G10" s="28"/>
      <c r="H10" s="10"/>
      <c r="I10" s="10">
        <f t="shared" si="5"/>
        <v>9325</v>
      </c>
      <c r="J10" s="10">
        <f t="shared" si="3"/>
        <v>141852193780.65921</v>
      </c>
      <c r="K10" s="11">
        <f t="shared" si="4"/>
        <v>1.0599999999999943E-2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15052475.266800251</v>
      </c>
      <c r="D11" s="11">
        <v>1.03E-2</v>
      </c>
      <c r="E11" s="10">
        <f t="shared" si="2"/>
        <v>153459.85870339721</v>
      </c>
      <c r="F11" s="3"/>
      <c r="G11" s="28"/>
      <c r="H11" s="10"/>
      <c r="I11" s="10">
        <f t="shared" si="5"/>
        <v>9325</v>
      </c>
      <c r="J11" s="10">
        <f t="shared" si="3"/>
        <v>140364331862.91235</v>
      </c>
      <c r="K11" s="11">
        <f t="shared" si="4"/>
        <v>1.0299999999999976E-2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14899015.408096854</v>
      </c>
      <c r="D12" s="11">
        <v>1.0200000000000001E-2</v>
      </c>
      <c r="E12" s="10">
        <f t="shared" si="2"/>
        <v>150435.5149105005</v>
      </c>
      <c r="F12" s="3"/>
      <c r="G12" s="28"/>
      <c r="H12" s="10"/>
      <c r="I12" s="10">
        <f t="shared" si="5"/>
        <v>9325</v>
      </c>
      <c r="J12" s="10">
        <f t="shared" si="3"/>
        <v>138933318680.50317</v>
      </c>
      <c r="K12" s="11">
        <f t="shared" si="4"/>
        <v>1.0200000000000209E-2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14748579.893186353</v>
      </c>
      <c r="D13" s="11">
        <v>1.01E-2</v>
      </c>
      <c r="E13" s="10">
        <f t="shared" si="2"/>
        <v>147471.19782316871</v>
      </c>
      <c r="F13" s="3"/>
      <c r="G13" s="28"/>
      <c r="H13" s="10"/>
      <c r="I13" s="10">
        <f t="shared" si="5"/>
        <v>9325</v>
      </c>
      <c r="J13" s="10">
        <f t="shared" si="3"/>
        <v>137530507503.96274</v>
      </c>
      <c r="K13" s="11">
        <f t="shared" si="4"/>
        <v>1.0099999999999998E-2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14601108.695363184</v>
      </c>
      <c r="D14" s="11">
        <v>0.01</v>
      </c>
      <c r="E14" s="10">
        <f t="shared" si="2"/>
        <v>144565.43262735754</v>
      </c>
      <c r="F14" s="3"/>
      <c r="G14" s="28"/>
      <c r="H14" s="10"/>
      <c r="I14" s="10">
        <f t="shared" si="5"/>
        <v>9325</v>
      </c>
      <c r="J14" s="10">
        <f t="shared" si="3"/>
        <v>136155338584.26169</v>
      </c>
      <c r="K14" s="11">
        <f t="shared" si="4"/>
        <v>1.0000000000000009E-2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14456543.262735827</v>
      </c>
      <c r="D15" s="11">
        <v>9.4999999999999998E-3</v>
      </c>
      <c r="E15" s="10">
        <f t="shared" si="2"/>
        <v>136044.73600395396</v>
      </c>
      <c r="F15" s="3"/>
      <c r="G15" s="28"/>
      <c r="H15" s="10"/>
      <c r="I15" s="10">
        <f t="shared" si="5"/>
        <v>9325</v>
      </c>
      <c r="J15" s="10">
        <f t="shared" si="3"/>
        <v>134807265925.01158</v>
      </c>
      <c r="K15" s="11">
        <f t="shared" si="4"/>
        <v>9.5000000000000639E-3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14320498.526731873</v>
      </c>
      <c r="D16" s="11">
        <v>8.6E-3</v>
      </c>
      <c r="E16" s="10">
        <f t="shared" si="2"/>
        <v>122106.17423150316</v>
      </c>
      <c r="F16" s="3"/>
      <c r="G16" s="28"/>
      <c r="H16" s="10"/>
      <c r="I16" s="10">
        <f t="shared" si="5"/>
        <v>9325</v>
      </c>
      <c r="J16" s="10">
        <f t="shared" si="3"/>
        <v>133538648761.77472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14198392.35250037</v>
      </c>
      <c r="D17" s="11">
        <v>9.1999999999999998E-3</v>
      </c>
      <c r="E17" s="10">
        <f t="shared" si="2"/>
        <v>129434.41304300912</v>
      </c>
      <c r="F17" s="3"/>
      <c r="G17" s="28"/>
      <c r="H17" s="10"/>
      <c r="I17" s="10">
        <f t="shared" si="5"/>
        <v>9325</v>
      </c>
      <c r="J17" s="10">
        <f t="shared" si="3"/>
        <v>132400008687.06595</v>
      </c>
      <c r="K17" s="11">
        <f t="shared" si="4"/>
        <v>9.200000000000097E-3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14068957.939457361</v>
      </c>
      <c r="D18" s="11">
        <v>1.0999999999999999E-2</v>
      </c>
      <c r="E18" s="10">
        <f t="shared" si="2"/>
        <v>153074.71546392702</v>
      </c>
      <c r="F18" s="3"/>
      <c r="G18" s="28"/>
      <c r="H18" s="10"/>
      <c r="I18" s="10">
        <f t="shared" si="5"/>
        <v>9325</v>
      </c>
      <c r="J18" s="10">
        <f t="shared" si="3"/>
        <v>131193032785.4399</v>
      </c>
      <c r="K18" s="11">
        <f t="shared" si="4"/>
        <v>1.0999999999999899E-2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13915883.223993434</v>
      </c>
      <c r="D19" s="11">
        <v>1.2200000000000001E-2</v>
      </c>
      <c r="E19" s="10">
        <f t="shared" si="2"/>
        <v>167727.49983473681</v>
      </c>
      <c r="F19" s="3"/>
      <c r="G19" s="28"/>
      <c r="H19" s="10"/>
      <c r="I19" s="10">
        <f t="shared" si="5"/>
        <v>9325</v>
      </c>
      <c r="J19" s="10">
        <f t="shared" si="3"/>
        <v>129765611063.73877</v>
      </c>
      <c r="K19" s="11">
        <f t="shared" si="4"/>
        <v>1.2199999999999989E-2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13748155.724158697</v>
      </c>
      <c r="D20" s="11">
        <v>1.21E-2</v>
      </c>
      <c r="E20" s="10">
        <f t="shared" si="2"/>
        <v>164363.88129860722</v>
      </c>
      <c r="F20" s="3"/>
      <c r="G20" s="28"/>
      <c r="H20" s="10"/>
      <c r="I20" s="10">
        <f t="shared" si="5"/>
        <v>9325</v>
      </c>
      <c r="J20" s="10">
        <f t="shared" si="3"/>
        <v>128201552127.77985</v>
      </c>
      <c r="K20" s="11">
        <f t="shared" si="4"/>
        <v>1.21E-2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13583791.84286009</v>
      </c>
      <c r="D21" s="11">
        <v>1.3100000000000001E-2</v>
      </c>
      <c r="E21" s="10">
        <f t="shared" si="2"/>
        <v>175646.70135373436</v>
      </c>
      <c r="F21" s="3"/>
      <c r="G21" s="28"/>
      <c r="H21" s="10"/>
      <c r="I21" s="10">
        <f t="shared" si="5"/>
        <v>9325</v>
      </c>
      <c r="J21" s="10">
        <f t="shared" si="3"/>
        <v>126668858934.67033</v>
      </c>
      <c r="K21" s="11">
        <f t="shared" si="4"/>
        <v>1.3100000000000112E-2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13408145.141506355</v>
      </c>
      <c r="D22" s="11">
        <v>1.2200000000000001E-2</v>
      </c>
      <c r="E22" s="10">
        <f t="shared" si="2"/>
        <v>161607.75610193424</v>
      </c>
      <c r="F22" s="3"/>
      <c r="G22" s="28"/>
      <c r="H22" s="10"/>
      <c r="I22" s="10">
        <f t="shared" si="5"/>
        <v>9325</v>
      </c>
      <c r="J22" s="10">
        <f t="shared" si="3"/>
        <v>125030953444.54677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13246537.385404421</v>
      </c>
      <c r="D23" s="11">
        <v>1.6299999999999999E-2</v>
      </c>
      <c r="E23" s="10">
        <f t="shared" si="2"/>
        <v>212455.53417503834</v>
      </c>
      <c r="F23" s="3"/>
      <c r="G23" s="28"/>
      <c r="H23" s="10"/>
      <c r="I23" s="10">
        <f t="shared" si="5"/>
        <v>9325</v>
      </c>
      <c r="J23" s="10">
        <f t="shared" si="3"/>
        <v>123523961118.89622</v>
      </c>
      <c r="K23" s="11">
        <f t="shared" si="4"/>
        <v>1.6299999999999981E-2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13034081.851229383</v>
      </c>
      <c r="D24" s="11">
        <v>2.01E-2</v>
      </c>
      <c r="E24" s="10">
        <f t="shared" si="2"/>
        <v>256822.90482277237</v>
      </c>
      <c r="F24" s="3"/>
      <c r="G24" s="28"/>
      <c r="H24" s="10"/>
      <c r="I24" s="10">
        <f t="shared" si="5"/>
        <v>9325</v>
      </c>
      <c r="J24" s="10">
        <f t="shared" si="3"/>
        <v>121542813262.71399</v>
      </c>
      <c r="K24" s="11">
        <f t="shared" si="4"/>
        <v>2.0100000000000007E-2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12777258.94640661</v>
      </c>
      <c r="D25" s="11">
        <v>1.8100000000000002E-2</v>
      </c>
      <c r="E25" s="10">
        <f t="shared" si="2"/>
        <v>227156.84798149392</v>
      </c>
      <c r="F25" s="3"/>
      <c r="G25" s="28"/>
      <c r="H25" s="10"/>
      <c r="I25" s="10">
        <f t="shared" si="5"/>
        <v>9325</v>
      </c>
      <c r="J25" s="10">
        <f t="shared" si="3"/>
        <v>119147939675.24164</v>
      </c>
      <c r="K25" s="11">
        <f t="shared" si="4"/>
        <v>1.8100000000000005E-2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12550102.098425116</v>
      </c>
      <c r="D26" s="11">
        <v>2.3099999999999999E-2</v>
      </c>
      <c r="E26" s="10">
        <f t="shared" si="2"/>
        <v>283361.70313128643</v>
      </c>
      <c r="F26" s="3"/>
      <c r="G26" s="28"/>
      <c r="H26" s="10"/>
      <c r="I26" s="10">
        <f t="shared" si="5"/>
        <v>9325</v>
      </c>
      <c r="J26" s="10">
        <f t="shared" si="3"/>
        <v>117029702067.81421</v>
      </c>
      <c r="K26" s="11">
        <f t="shared" si="4"/>
        <v>2.3099999999999898E-2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12266740.39529383</v>
      </c>
      <c r="D27" s="11">
        <v>2.8199999999999999E-2</v>
      </c>
      <c r="E27" s="10">
        <f t="shared" si="2"/>
        <v>336434.62278475612</v>
      </c>
      <c r="F27" s="3"/>
      <c r="G27" s="28"/>
      <c r="H27" s="10"/>
      <c r="I27" s="10">
        <f t="shared" si="5"/>
        <v>9325</v>
      </c>
      <c r="J27" s="10">
        <f t="shared" si="3"/>
        <v>114387354186.11496</v>
      </c>
      <c r="K27" s="11">
        <f t="shared" si="4"/>
        <v>2.8200000000000003E-2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11930305.772509074</v>
      </c>
      <c r="D28" s="11">
        <v>2.98E-2</v>
      </c>
      <c r="E28" s="10">
        <f t="shared" si="2"/>
        <v>345235.10586596467</v>
      </c>
      <c r="F28" s="3"/>
      <c r="G28" s="28"/>
      <c r="H28" s="10"/>
      <c r="I28" s="10">
        <f t="shared" si="5"/>
        <v>9325</v>
      </c>
      <c r="J28" s="10">
        <f t="shared" si="3"/>
        <v>111250101328.64711</v>
      </c>
      <c r="K28" s="11">
        <f t="shared" si="4"/>
        <v>2.9800000000000049E-2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11585070.666643109</v>
      </c>
      <c r="D29" s="11">
        <v>3.09E-2</v>
      </c>
      <c r="E29" s="10">
        <f t="shared" si="2"/>
        <v>347248.69880616106</v>
      </c>
      <c r="F29" s="3"/>
      <c r="G29" s="28"/>
      <c r="H29" s="10"/>
      <c r="I29" s="10">
        <f t="shared" si="5"/>
        <v>9325</v>
      </c>
      <c r="J29" s="10">
        <f t="shared" si="3"/>
        <v>108030783966.44699</v>
      </c>
      <c r="K29" s="11">
        <f t="shared" si="4"/>
        <v>3.0899999999999928E-2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11237821.967836948</v>
      </c>
      <c r="D30" s="11">
        <v>3.1699999999999999E-2</v>
      </c>
      <c r="E30" s="10">
        <f t="shared" si="2"/>
        <v>345293.16310985014</v>
      </c>
      <c r="F30" s="3"/>
      <c r="G30" s="28"/>
      <c r="H30" s="10"/>
      <c r="I30" s="10">
        <f t="shared" si="5"/>
        <v>9325</v>
      </c>
      <c r="J30" s="10">
        <f t="shared" si="3"/>
        <v>104792689850.07954</v>
      </c>
      <c r="K30" s="11">
        <f t="shared" si="4"/>
        <v>3.1700000000000061E-2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10892528.804727098</v>
      </c>
      <c r="D31" s="11">
        <v>3.2500000000000001E-2</v>
      </c>
      <c r="E31" s="10">
        <f t="shared" si="2"/>
        <v>342864.10281223245</v>
      </c>
      <c r="F31" s="3"/>
      <c r="G31" s="28"/>
      <c r="H31" s="10"/>
      <c r="I31" s="10">
        <f t="shared" si="5"/>
        <v>9325</v>
      </c>
      <c r="J31" s="10">
        <f t="shared" si="3"/>
        <v>101572831104.08018</v>
      </c>
      <c r="K31" s="11">
        <f t="shared" si="4"/>
        <v>3.2499999999999751E-2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10549664.701914866</v>
      </c>
      <c r="D32" s="11">
        <v>3.39E-2</v>
      </c>
      <c r="E32" s="10">
        <f t="shared" si="2"/>
        <v>345907.37343545258</v>
      </c>
      <c r="F32" s="3"/>
      <c r="G32" s="28"/>
      <c r="H32" s="10"/>
      <c r="I32" s="10">
        <f t="shared" si="5"/>
        <v>9325</v>
      </c>
      <c r="J32" s="10">
        <f t="shared" si="3"/>
        <v>98375623345.356125</v>
      </c>
      <c r="K32" s="11">
        <f t="shared" si="4"/>
        <v>3.3900000000000041E-2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10203757.328479413</v>
      </c>
      <c r="D33" s="11">
        <v>3.5200000000000002E-2</v>
      </c>
      <c r="E33" s="10">
        <f t="shared" si="2"/>
        <v>346959.29092201963</v>
      </c>
      <c r="F33" s="3"/>
      <c r="G33" s="28"/>
      <c r="H33" s="10"/>
      <c r="I33" s="10">
        <f t="shared" si="5"/>
        <v>9325</v>
      </c>
      <c r="J33" s="10">
        <f t="shared" si="3"/>
        <v>95150037088.070526</v>
      </c>
      <c r="K33" s="11">
        <f t="shared" si="4"/>
        <v>3.5199999999999898E-2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9856798.0375573933</v>
      </c>
      <c r="D34" s="11">
        <v>3.56E-2</v>
      </c>
      <c r="E34" s="10">
        <f t="shared" si="2"/>
        <v>338839.32998942025</v>
      </c>
      <c r="F34" s="3"/>
      <c r="G34" s="28"/>
      <c r="H34" s="10"/>
      <c r="I34" s="10">
        <f t="shared" si="5"/>
        <v>9325</v>
      </c>
      <c r="J34" s="10">
        <f t="shared" ref="J34:J65" si="6">IF(I34="","",I34*C34)</f>
        <v>91914641700.222687</v>
      </c>
      <c r="K34" s="11">
        <f t="shared" ref="K34:K65" si="7">IFERROR(J34/J35-1,"")</f>
        <v>3.5599999999999854E-2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9517958.7075679731</v>
      </c>
      <c r="D35" s="11">
        <v>3.5200000000000002E-2</v>
      </c>
      <c r="E35" s="10">
        <f t="shared" si="2"/>
        <v>323640.0178771168</v>
      </c>
      <c r="F35" s="3"/>
      <c r="G35" s="28"/>
      <c r="H35" s="10"/>
      <c r="I35" s="10">
        <f t="shared" ref="I35:I66" si="8">IF(H35&lt;&gt;"",H35,I34/(1+IF(G34="",0,G34)/100))</f>
        <v>9325</v>
      </c>
      <c r="J35" s="10">
        <f t="shared" si="6"/>
        <v>88754964948.07135</v>
      </c>
      <c r="K35" s="11">
        <f t="shared" si="7"/>
        <v>3.5199999999999898E-2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9194318.6896908563</v>
      </c>
      <c r="D36" s="11">
        <v>3.4599999999999999E-2</v>
      </c>
      <c r="E36" s="10">
        <f t="shared" si="2"/>
        <v>307484.46420191787</v>
      </c>
      <c r="F36" s="3"/>
      <c r="G36" s="28"/>
      <c r="H36" s="10"/>
      <c r="I36" s="10">
        <f t="shared" si="8"/>
        <v>9325</v>
      </c>
      <c r="J36" s="10">
        <f t="shared" si="6"/>
        <v>85737021781.367233</v>
      </c>
      <c r="K36" s="11">
        <f t="shared" si="7"/>
        <v>3.4599999999999964E-2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8886834.2254889384</v>
      </c>
      <c r="D37" s="11">
        <v>3.09E-2</v>
      </c>
      <c r="E37" s="10">
        <f t="shared" si="2"/>
        <v>266372.27429198474</v>
      </c>
      <c r="F37" s="3"/>
      <c r="G37" s="28"/>
      <c r="H37" s="10"/>
      <c r="I37" s="10">
        <f t="shared" si="8"/>
        <v>9325</v>
      </c>
      <c r="J37" s="10">
        <f t="shared" si="6"/>
        <v>82869729152.684357</v>
      </c>
      <c r="K37" s="11">
        <f t="shared" si="7"/>
        <v>3.0899999999999928E-2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8620461.9511969537</v>
      </c>
      <c r="D38" s="11">
        <v>2.7400000000000001E-2</v>
      </c>
      <c r="E38" s="10">
        <f t="shared" si="2"/>
        <v>229901.36019349471</v>
      </c>
      <c r="F38" s="3"/>
      <c r="G38" s="28"/>
      <c r="H38" s="10"/>
      <c r="I38" s="10">
        <f t="shared" si="8"/>
        <v>9325</v>
      </c>
      <c r="J38" s="10">
        <f t="shared" si="6"/>
        <v>80385807694.911591</v>
      </c>
      <c r="K38" s="11">
        <f t="shared" si="7"/>
        <v>2.7399999999999869E-2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8390560.5910034589</v>
      </c>
      <c r="D39" s="11">
        <v>2.7699999999999999E-2</v>
      </c>
      <c r="E39" s="10">
        <f t="shared" si="2"/>
        <v>226154.06088430062</v>
      </c>
      <c r="F39" s="3"/>
      <c r="G39" s="28"/>
      <c r="H39" s="10"/>
      <c r="I39" s="10">
        <f t="shared" si="8"/>
        <v>9325</v>
      </c>
      <c r="J39" s="10">
        <f t="shared" si="6"/>
        <v>78241977511.107254</v>
      </c>
      <c r="K39" s="11">
        <f t="shared" si="7"/>
        <v>2.7700000000000058E-2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8164406.5301191583</v>
      </c>
      <c r="D40" s="11">
        <v>2.7400000000000001E-2</v>
      </c>
      <c r="E40" s="10">
        <f t="shared" si="2"/>
        <v>217738.69858406205</v>
      </c>
      <c r="F40" s="3"/>
      <c r="G40" s="28"/>
      <c r="H40" s="10"/>
      <c r="I40" s="10">
        <f t="shared" si="8"/>
        <v>9325</v>
      </c>
      <c r="J40" s="10">
        <f t="shared" si="6"/>
        <v>76133090893.361145</v>
      </c>
      <c r="K40" s="11">
        <f t="shared" si="7"/>
        <v>2.7399999999999869E-2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7946667.8315350963</v>
      </c>
      <c r="D41" s="11">
        <v>2.81E-2</v>
      </c>
      <c r="E41" s="10">
        <f t="shared" si="2"/>
        <v>217198.09947100095</v>
      </c>
      <c r="F41" s="3"/>
      <c r="G41" s="28"/>
      <c r="H41" s="10"/>
      <c r="I41" s="10">
        <f t="shared" si="8"/>
        <v>9325</v>
      </c>
      <c r="J41" s="10">
        <f t="shared" si="6"/>
        <v>74102677529.064774</v>
      </c>
      <c r="K41" s="11">
        <f t="shared" si="7"/>
        <v>2.8099999999999792E-2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7729469.7320640953</v>
      </c>
      <c r="D42" s="11">
        <v>2.86E-2</v>
      </c>
      <c r="E42" s="10">
        <f t="shared" si="2"/>
        <v>214916.23015461117</v>
      </c>
      <c r="F42" s="3"/>
      <c r="G42" s="28"/>
      <c r="H42" s="10"/>
      <c r="I42" s="10">
        <f t="shared" si="8"/>
        <v>9325</v>
      </c>
      <c r="J42" s="10">
        <f t="shared" si="6"/>
        <v>72077305251.497696</v>
      </c>
      <c r="K42" s="11">
        <f t="shared" si="7"/>
        <v>2.8600000000000181E-2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7514553.5019094842</v>
      </c>
      <c r="D43" s="11">
        <v>2.9000000000000001E-2</v>
      </c>
      <c r="E43" s="10">
        <f t="shared" si="2"/>
        <v>211780.41939297784</v>
      </c>
      <c r="F43" s="3"/>
      <c r="G43" s="28"/>
      <c r="H43" s="10"/>
      <c r="I43" s="10">
        <f t="shared" si="8"/>
        <v>9325</v>
      </c>
      <c r="J43" s="10">
        <f t="shared" si="6"/>
        <v>70073211405.305939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7302773.0825165063</v>
      </c>
      <c r="D44" s="11">
        <v>2.9100000000000001E-2</v>
      </c>
      <c r="E44" s="10">
        <f t="shared" si="2"/>
        <v>206501.50296494924</v>
      </c>
      <c r="F44" s="3"/>
      <c r="G44" s="28"/>
      <c r="H44" s="10"/>
      <c r="I44" s="10">
        <f t="shared" si="8"/>
        <v>9325</v>
      </c>
      <c r="J44" s="10">
        <f t="shared" si="6"/>
        <v>68098358994.466423</v>
      </c>
      <c r="K44" s="11">
        <f t="shared" si="7"/>
        <v>2.9099999999999904E-2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7096271.5795515571</v>
      </c>
      <c r="D45" s="11">
        <v>2.9700000000000001E-2</v>
      </c>
      <c r="E45" s="10">
        <f t="shared" si="2"/>
        <v>204680.26212749537</v>
      </c>
      <c r="F45" s="3"/>
      <c r="G45" s="28"/>
      <c r="H45" s="10"/>
      <c r="I45" s="10">
        <f t="shared" si="8"/>
        <v>9325</v>
      </c>
      <c r="J45" s="10">
        <f t="shared" si="6"/>
        <v>66172732479.318268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6891591.3174240617</v>
      </c>
      <c r="D46" s="11">
        <v>3.0800000000000001E-2</v>
      </c>
      <c r="E46" s="10">
        <f t="shared" si="2"/>
        <v>205918.71612016018</v>
      </c>
      <c r="F46" s="3"/>
      <c r="G46" s="28"/>
      <c r="H46" s="10"/>
      <c r="I46" s="10">
        <f t="shared" si="8"/>
        <v>9325</v>
      </c>
      <c r="J46" s="10">
        <f t="shared" si="6"/>
        <v>64264089034.979378</v>
      </c>
      <c r="K46" s="11">
        <f t="shared" si="7"/>
        <v>3.0799999999999939E-2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6685672.6013039015</v>
      </c>
      <c r="D47" s="11">
        <v>3.1399999999999997E-2</v>
      </c>
      <c r="E47" s="10">
        <f t="shared" si="2"/>
        <v>203538.99523069896</v>
      </c>
      <c r="F47" s="3"/>
      <c r="G47" s="28"/>
      <c r="H47" s="10"/>
      <c r="I47" s="10">
        <f t="shared" si="8"/>
        <v>9325</v>
      </c>
      <c r="J47" s="10">
        <f t="shared" si="6"/>
        <v>62343897007.158882</v>
      </c>
      <c r="K47" s="11">
        <f t="shared" si="7"/>
        <v>3.1400000000000095E-2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6482133.6060732026</v>
      </c>
      <c r="D48" s="11">
        <v>3.1699999999999999E-2</v>
      </c>
      <c r="E48" s="10">
        <f t="shared" si="2"/>
        <v>199169.94796212204</v>
      </c>
      <c r="F48" s="3"/>
      <c r="G48" s="28"/>
      <c r="H48" s="10"/>
      <c r="I48" s="10">
        <f t="shared" si="8"/>
        <v>9325</v>
      </c>
      <c r="J48" s="10">
        <f t="shared" si="6"/>
        <v>60445895876.632614</v>
      </c>
      <c r="K48" s="11">
        <f t="shared" si="7"/>
        <v>3.1700000000000061E-2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6282963.6581110805</v>
      </c>
      <c r="D49" s="11">
        <v>3.1699999999999999E-2</v>
      </c>
      <c r="E49" s="10">
        <f t="shared" si="2"/>
        <v>193050.2548823515</v>
      </c>
      <c r="F49" s="3"/>
      <c r="G49" s="28"/>
      <c r="H49" s="10"/>
      <c r="I49" s="10">
        <f t="shared" si="8"/>
        <v>9325</v>
      </c>
      <c r="J49" s="10">
        <f t="shared" si="6"/>
        <v>58588636111.885826</v>
      </c>
      <c r="K49" s="11">
        <f t="shared" si="7"/>
        <v>3.1700000000000284E-2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6089913.403228729</v>
      </c>
      <c r="D50" s="11">
        <v>3.15E-2</v>
      </c>
      <c r="E50" s="10">
        <f t="shared" si="2"/>
        <v>185974.0884165829</v>
      </c>
      <c r="F50" s="3"/>
      <c r="G50" s="28"/>
      <c r="H50" s="10"/>
      <c r="I50" s="10">
        <f t="shared" si="8"/>
        <v>9325</v>
      </c>
      <c r="J50" s="10">
        <f t="shared" si="6"/>
        <v>56788442485.107895</v>
      </c>
      <c r="K50" s="11">
        <f t="shared" si="7"/>
        <v>3.1500000000000083E-2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5903939.3148121461</v>
      </c>
      <c r="D51" s="11">
        <v>3.1199999999999999E-2</v>
      </c>
      <c r="E51" s="10">
        <f t="shared" si="2"/>
        <v>178629.66119291913</v>
      </c>
      <c r="F51" s="3"/>
      <c r="G51" s="28"/>
      <c r="H51" s="10"/>
      <c r="I51" s="10">
        <f t="shared" si="8"/>
        <v>9325</v>
      </c>
      <c r="J51" s="10">
        <f t="shared" si="6"/>
        <v>55054234110.62326</v>
      </c>
      <c r="K51" s="11">
        <f t="shared" si="7"/>
        <v>3.1199999999999894E-2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5725309.653619227</v>
      </c>
      <c r="D52" s="11">
        <v>3.1E-2</v>
      </c>
      <c r="E52" s="10">
        <f t="shared" si="2"/>
        <v>172148.01092356537</v>
      </c>
      <c r="F52" s="3"/>
      <c r="G52" s="28"/>
      <c r="H52" s="10"/>
      <c r="I52" s="10">
        <f t="shared" si="8"/>
        <v>9325</v>
      </c>
      <c r="J52" s="10">
        <f t="shared" si="6"/>
        <v>53388512519.99929</v>
      </c>
      <c r="K52" s="11">
        <f t="shared" si="7"/>
        <v>3.0999999999999917E-2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5553161.6426956616</v>
      </c>
      <c r="D53" s="11">
        <v>3.0800000000000001E-2</v>
      </c>
      <c r="E53" s="10">
        <f t="shared" si="2"/>
        <v>165926.83216436394</v>
      </c>
      <c r="F53" s="3"/>
      <c r="G53" s="28"/>
      <c r="H53" s="10"/>
      <c r="I53" s="10">
        <f t="shared" si="8"/>
        <v>9325</v>
      </c>
      <c r="J53" s="10">
        <f t="shared" si="6"/>
        <v>51783232318.137047</v>
      </c>
      <c r="K53" s="11">
        <f t="shared" si="7"/>
        <v>3.0799999999999939E-2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5387234.8105312977</v>
      </c>
      <c r="D54" s="11">
        <v>3.0200000000000001E-2</v>
      </c>
      <c r="E54" s="10">
        <f t="shared" si="2"/>
        <v>157925.15169680212</v>
      </c>
      <c r="F54" s="3"/>
      <c r="G54" s="28"/>
      <c r="H54" s="10"/>
      <c r="I54" s="10">
        <f t="shared" si="8"/>
        <v>9325</v>
      </c>
      <c r="J54" s="10">
        <f t="shared" si="6"/>
        <v>50235964608.204353</v>
      </c>
      <c r="K54" s="11">
        <f t="shared" si="7"/>
        <v>3.0200000000000227E-2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5229309.6588344956</v>
      </c>
      <c r="D55" s="11">
        <v>2.8500000000000001E-2</v>
      </c>
      <c r="E55" s="10">
        <f t="shared" si="2"/>
        <v>144905.51801340096</v>
      </c>
      <c r="F55" s="3"/>
      <c r="G55" s="28"/>
      <c r="H55" s="10"/>
      <c r="I55" s="10">
        <f t="shared" si="8"/>
        <v>9325</v>
      </c>
      <c r="J55" s="10">
        <f t="shared" si="6"/>
        <v>48763312568.631668</v>
      </c>
      <c r="K55" s="11">
        <f t="shared" si="7"/>
        <v>2.849999999999997E-2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5084404.1408210946</v>
      </c>
      <c r="D56" s="11">
        <v>2.6599999999999999E-2</v>
      </c>
      <c r="E56" s="10">
        <f t="shared" si="2"/>
        <v>131740.84370333236</v>
      </c>
      <c r="F56" s="3"/>
      <c r="G56" s="28"/>
      <c r="H56" s="10"/>
      <c r="I56" s="10">
        <f t="shared" si="8"/>
        <v>9325</v>
      </c>
      <c r="J56" s="10">
        <f t="shared" si="6"/>
        <v>47412068613.156708</v>
      </c>
      <c r="K56" s="11">
        <f t="shared" si="7"/>
        <v>2.6599999999999957E-2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4952663.2971177623</v>
      </c>
      <c r="D57" s="11">
        <v>2.53E-2</v>
      </c>
      <c r="E57" s="10">
        <f t="shared" si="2"/>
        <v>122210.45685855858</v>
      </c>
      <c r="F57" s="3"/>
      <c r="G57" s="28"/>
      <c r="H57" s="10"/>
      <c r="I57" s="10">
        <f t="shared" si="8"/>
        <v>9325</v>
      </c>
      <c r="J57" s="10">
        <f t="shared" si="6"/>
        <v>46183585245.623131</v>
      </c>
      <c r="K57" s="11">
        <f t="shared" si="7"/>
        <v>2.53000000000001E-2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4830452.8402592037</v>
      </c>
      <c r="D58" s="11">
        <v>2.46E-2</v>
      </c>
      <c r="E58" s="10">
        <f t="shared" si="2"/>
        <v>115976.12714266684</v>
      </c>
      <c r="F58" s="3"/>
      <c r="G58" s="28"/>
      <c r="H58" s="10"/>
      <c r="I58" s="10">
        <f t="shared" si="8"/>
        <v>9325</v>
      </c>
      <c r="J58" s="10">
        <f t="shared" si="6"/>
        <v>45043972735.417076</v>
      </c>
      <c r="K58" s="11">
        <f t="shared" si="7"/>
        <v>2.4599999999999955E-2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4714476.7131165368</v>
      </c>
      <c r="D59" s="11">
        <v>2.4500000000000001E-2</v>
      </c>
      <c r="E59" s="10">
        <f t="shared" si="2"/>
        <v>112742.4885030305</v>
      </c>
      <c r="F59" s="3"/>
      <c r="G59" s="28"/>
      <c r="H59" s="10"/>
      <c r="I59" s="10">
        <f t="shared" si="8"/>
        <v>9325</v>
      </c>
      <c r="J59" s="10">
        <f t="shared" si="6"/>
        <v>43962495349.811707</v>
      </c>
      <c r="K59" s="11">
        <f t="shared" si="7"/>
        <v>2.4499999999999744E-2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4601734.2246135063</v>
      </c>
      <c r="D60" s="11">
        <v>2.3900000000000001E-2</v>
      </c>
      <c r="E60" s="10">
        <f t="shared" si="2"/>
        <v>107414.2474541096</v>
      </c>
      <c r="F60" s="3"/>
      <c r="G60" s="28"/>
      <c r="H60" s="10"/>
      <c r="I60" s="10">
        <f t="shared" si="8"/>
        <v>9325</v>
      </c>
      <c r="J60" s="10">
        <f t="shared" si="6"/>
        <v>42911171644.52095</v>
      </c>
      <c r="K60" s="11">
        <f t="shared" si="7"/>
        <v>2.3900000000000032E-2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4494319.9771593967</v>
      </c>
      <c r="D61" s="11">
        <v>2.3199999999999998E-2</v>
      </c>
      <c r="E61" s="10">
        <f t="shared" si="2"/>
        <v>101904.04952120688</v>
      </c>
      <c r="F61" s="3"/>
      <c r="G61" s="28"/>
      <c r="H61" s="10"/>
      <c r="I61" s="10">
        <f t="shared" si="8"/>
        <v>9325</v>
      </c>
      <c r="J61" s="10">
        <f t="shared" si="6"/>
        <v>41909533787.011375</v>
      </c>
      <c r="K61" s="11">
        <f t="shared" si="7"/>
        <v>2.3200000000000331E-2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4392415.9276381899</v>
      </c>
      <c r="D62" s="11">
        <v>2.24E-2</v>
      </c>
      <c r="E62" s="10">
        <f t="shared" si="2"/>
        <v>96234.464768285863</v>
      </c>
      <c r="F62" s="3"/>
      <c r="G62" s="28"/>
      <c r="H62" s="10"/>
      <c r="I62" s="10">
        <f t="shared" si="8"/>
        <v>9325</v>
      </c>
      <c r="J62" s="10">
        <f t="shared" si="6"/>
        <v>40959278525.22612</v>
      </c>
      <c r="K62" s="11">
        <f t="shared" si="7"/>
        <v>2.2399999999999975E-2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4296181.462869904</v>
      </c>
      <c r="D63" s="11">
        <v>2.1899999999999999E-2</v>
      </c>
      <c r="E63" s="10">
        <f t="shared" si="2"/>
        <v>92070.040157403797</v>
      </c>
      <c r="F63" s="3"/>
      <c r="G63" s="28"/>
      <c r="H63" s="10"/>
      <c r="I63" s="10">
        <f t="shared" si="8"/>
        <v>9325</v>
      </c>
      <c r="J63" s="10">
        <f t="shared" si="6"/>
        <v>40061892141.261856</v>
      </c>
      <c r="K63" s="11">
        <f t="shared" si="7"/>
        <v>2.1900000000000031E-2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4204111.4227125002</v>
      </c>
      <c r="D64" s="11">
        <v>2.1499999999999998E-2</v>
      </c>
      <c r="E64" s="10">
        <f t="shared" si="2"/>
        <v>88485.94771250058</v>
      </c>
      <c r="F64" s="3"/>
      <c r="G64" s="28"/>
      <c r="H64" s="10"/>
      <c r="I64" s="10">
        <f t="shared" si="8"/>
        <v>9325</v>
      </c>
      <c r="J64" s="10">
        <f t="shared" si="6"/>
        <v>39203339016.794067</v>
      </c>
      <c r="K64" s="11">
        <f t="shared" si="7"/>
        <v>2.1500000000000075E-2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4115625.4749999996</v>
      </c>
      <c r="D65" s="11">
        <v>2.1000000000000001E-2</v>
      </c>
      <c r="E65" s="10">
        <f t="shared" si="2"/>
        <v>84650.474999999627</v>
      </c>
      <c r="F65" s="3"/>
      <c r="G65" s="28"/>
      <c r="H65" s="10"/>
      <c r="I65" s="10">
        <f t="shared" si="8"/>
        <v>9325</v>
      </c>
      <c r="J65" s="10">
        <f t="shared" si="6"/>
        <v>38378207554.375</v>
      </c>
      <c r="K65" s="11">
        <f t="shared" si="7"/>
        <v>2.0999999999999908E-2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4030975</v>
      </c>
      <c r="D66" s="11">
        <v>2.0500000000000001E-2</v>
      </c>
      <c r="E66" s="10">
        <f t="shared" si="2"/>
        <v>80975</v>
      </c>
      <c r="F66" s="10">
        <v>17079116</v>
      </c>
      <c r="G66" s="28"/>
      <c r="H66" s="10"/>
      <c r="I66" s="10">
        <f t="shared" si="8"/>
        <v>9325</v>
      </c>
      <c r="J66" s="10">
        <f t="shared" ref="J66:J67" si="9">IF(I66="","",I66*C66)</f>
        <v>37588841875</v>
      </c>
      <c r="K66" s="11">
        <f t="shared" ref="K66" si="10">IFERROR(J66/J67-1,"")</f>
        <v>2.0499999999999963E-2</v>
      </c>
    </row>
    <row r="67" spans="1:11" ht="22.5" customHeight="1">
      <c r="A67" s="3">
        <f t="shared" si="0"/>
        <v>1950</v>
      </c>
      <c r="B67" s="3">
        <v>1700</v>
      </c>
      <c r="C67" s="10">
        <v>3950000</v>
      </c>
      <c r="D67" s="11">
        <v>2.01E-2</v>
      </c>
      <c r="E67" s="3" t="s">
        <v>72</v>
      </c>
      <c r="F67" s="10">
        <f>SUM(C2)</f>
        <v>17078344.980818417</v>
      </c>
      <c r="G67" s="28"/>
      <c r="H67" s="10"/>
      <c r="I67" s="10">
        <f t="shared" ref="I67" si="11">IF(H67&lt;&gt;"",H67,I66/(1+IF(G66="",0,G66)/100))</f>
        <v>9325</v>
      </c>
      <c r="J67" s="10">
        <f t="shared" si="9"/>
        <v>36833750000</v>
      </c>
      <c r="K67" s="11"/>
    </row>
  </sheetData>
  <dataValidations count="1">
    <dataValidation type="custom" allowBlank="1" showDropDown="1" sqref="D2:D67" xr:uid="{00000000-0002-0000-3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20606628.225290135</v>
      </c>
      <c r="D2" s="11">
        <v>1.0200000000000001E-2</v>
      </c>
      <c r="E2" s="10">
        <f t="shared" ref="E2:E66" si="2">SUM(C2-C3)</f>
        <v>208065.34141552076</v>
      </c>
      <c r="F2" s="15"/>
      <c r="G2" s="28"/>
      <c r="H2" s="10"/>
      <c r="I2" s="10">
        <f>IF(H2&lt;&gt;"",H2,4722)</f>
        <v>4722</v>
      </c>
      <c r="J2" s="10">
        <f t="shared" ref="J2:J33" si="3">IF(I2="","",I2*C2)</f>
        <v>97304498479.820023</v>
      </c>
      <c r="K2" s="11">
        <f t="shared" ref="K2:K33" si="4">IFERROR(J2/J3-1,"")</f>
        <v>1.0199999999999987E-2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20398562.883874614</v>
      </c>
      <c r="D3" s="11">
        <v>1.09E-2</v>
      </c>
      <c r="E3" s="10">
        <f t="shared" si="2"/>
        <v>219946.91407085955</v>
      </c>
      <c r="F3" s="3"/>
      <c r="G3" s="28"/>
      <c r="H3" s="10"/>
      <c r="I3" s="10">
        <f t="shared" ref="I3:I34" si="5">IF(H3&lt;&gt;"",H3,I2/(1+IF(G2="",0,G2)/100))</f>
        <v>4722</v>
      </c>
      <c r="J3" s="10">
        <f t="shared" si="3"/>
        <v>96322013937.65593</v>
      </c>
      <c r="K3" s="11">
        <f t="shared" si="4"/>
        <v>1.089999999999991E-2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20178615.969803754</v>
      </c>
      <c r="D4" s="11">
        <v>1.15E-2</v>
      </c>
      <c r="E4" s="10">
        <f t="shared" si="2"/>
        <v>229415.80193054304</v>
      </c>
      <c r="F4" s="3"/>
      <c r="G4" s="28"/>
      <c r="H4" s="10"/>
      <c r="I4" s="10">
        <f t="shared" si="5"/>
        <v>4722</v>
      </c>
      <c r="J4" s="10">
        <f t="shared" si="3"/>
        <v>95283424609.41333</v>
      </c>
      <c r="K4" s="11">
        <f t="shared" si="4"/>
        <v>1.1500000000000066E-2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19949200.167873211</v>
      </c>
      <c r="D5" s="11">
        <v>1.23E-2</v>
      </c>
      <c r="E5" s="10">
        <f t="shared" si="2"/>
        <v>242393.71931723878</v>
      </c>
      <c r="F5" s="3"/>
      <c r="G5" s="28"/>
      <c r="H5" s="10"/>
      <c r="I5" s="10">
        <f t="shared" si="5"/>
        <v>4722</v>
      </c>
      <c r="J5" s="10">
        <f t="shared" si="3"/>
        <v>94200123192.697296</v>
      </c>
      <c r="K5" s="11">
        <f t="shared" si="4"/>
        <v>1.2299999999999978E-2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19706806.448555972</v>
      </c>
      <c r="D6" s="11">
        <v>1.47E-2</v>
      </c>
      <c r="E6" s="10">
        <f t="shared" si="2"/>
        <v>285493.30323619768</v>
      </c>
      <c r="F6" s="3"/>
      <c r="G6" s="28"/>
      <c r="H6" s="10"/>
      <c r="I6" s="10">
        <f t="shared" si="5"/>
        <v>4722</v>
      </c>
      <c r="J6" s="10">
        <f t="shared" si="3"/>
        <v>93055540050.081299</v>
      </c>
      <c r="K6" s="11">
        <f t="shared" si="4"/>
        <v>1.4699999999999713E-2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19421313.145319775</v>
      </c>
      <c r="D7" s="11">
        <v>1.8200000000000001E-2</v>
      </c>
      <c r="E7" s="10">
        <f t="shared" si="2"/>
        <v>347149.77336949483</v>
      </c>
      <c r="F7" s="3"/>
      <c r="G7" s="28"/>
      <c r="H7" s="10"/>
      <c r="I7" s="10">
        <f t="shared" si="5"/>
        <v>4722</v>
      </c>
      <c r="J7" s="10">
        <f t="shared" si="3"/>
        <v>91707440672.199982</v>
      </c>
      <c r="K7" s="11">
        <f t="shared" si="4"/>
        <v>1.8199999999999994E-2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19074163.37195028</v>
      </c>
      <c r="D8" s="11">
        <v>1.83E-2</v>
      </c>
      <c r="E8" s="10">
        <f t="shared" si="2"/>
        <v>342784.23814857006</v>
      </c>
      <c r="F8" s="3"/>
      <c r="G8" s="28"/>
      <c r="H8" s="10"/>
      <c r="I8" s="10">
        <f t="shared" si="5"/>
        <v>4722</v>
      </c>
      <c r="J8" s="10">
        <f t="shared" si="3"/>
        <v>90068199442.349228</v>
      </c>
      <c r="K8" s="11">
        <f t="shared" si="4"/>
        <v>1.8299999999999983E-2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18731379.13380171</v>
      </c>
      <c r="D9" s="11">
        <v>1.8200000000000001E-2</v>
      </c>
      <c r="E9" s="10">
        <f t="shared" si="2"/>
        <v>334817.42313414812</v>
      </c>
      <c r="F9" s="3"/>
      <c r="G9" s="28"/>
      <c r="H9" s="10"/>
      <c r="I9" s="10">
        <f t="shared" si="5"/>
        <v>4722</v>
      </c>
      <c r="J9" s="10">
        <f t="shared" si="3"/>
        <v>88449572269.811676</v>
      </c>
      <c r="K9" s="11">
        <f t="shared" si="4"/>
        <v>1.8199999999999772E-2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18396561.710667562</v>
      </c>
      <c r="D10" s="11">
        <v>1.7899999999999999E-2</v>
      </c>
      <c r="E10" s="10">
        <f t="shared" si="2"/>
        <v>323507.66737493873</v>
      </c>
      <c r="F10" s="3"/>
      <c r="G10" s="28"/>
      <c r="H10" s="10"/>
      <c r="I10" s="10">
        <f t="shared" si="5"/>
        <v>4722</v>
      </c>
      <c r="J10" s="10">
        <f t="shared" si="3"/>
        <v>86868564397.772232</v>
      </c>
      <c r="K10" s="11">
        <f t="shared" si="4"/>
        <v>1.7900000000000027E-2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18073054.043292623</v>
      </c>
      <c r="D11" s="11">
        <v>1.7500000000000002E-2</v>
      </c>
      <c r="E11" s="10">
        <f t="shared" si="2"/>
        <v>310838.76732935756</v>
      </c>
      <c r="F11" s="3"/>
      <c r="G11" s="28"/>
      <c r="H11" s="10"/>
      <c r="I11" s="10">
        <f t="shared" si="5"/>
        <v>4722</v>
      </c>
      <c r="J11" s="10">
        <f t="shared" si="3"/>
        <v>85340961192.427765</v>
      </c>
      <c r="K11" s="11">
        <f t="shared" si="4"/>
        <v>1.7500000000000071E-2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17762215.275963265</v>
      </c>
      <c r="D12" s="11">
        <v>1.6199999999999999E-2</v>
      </c>
      <c r="E12" s="10">
        <f t="shared" si="2"/>
        <v>283160.68438358977</v>
      </c>
      <c r="F12" s="3"/>
      <c r="G12" s="28"/>
      <c r="H12" s="10"/>
      <c r="I12" s="10">
        <f t="shared" si="5"/>
        <v>4722</v>
      </c>
      <c r="J12" s="10">
        <f t="shared" si="3"/>
        <v>83873180533.098541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17479054.591579676</v>
      </c>
      <c r="D13" s="11">
        <v>1.49E-2</v>
      </c>
      <c r="E13" s="10">
        <f t="shared" si="2"/>
        <v>256614.35945860296</v>
      </c>
      <c r="F13" s="3"/>
      <c r="G13" s="28"/>
      <c r="H13" s="10"/>
      <c r="I13" s="10">
        <f t="shared" si="5"/>
        <v>4722</v>
      </c>
      <c r="J13" s="10">
        <f t="shared" si="3"/>
        <v>82536095781.439224</v>
      </c>
      <c r="K13" s="11">
        <f t="shared" si="4"/>
        <v>1.4899999999999913E-2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17222440.232121073</v>
      </c>
      <c r="D14" s="11">
        <v>1.41E-2</v>
      </c>
      <c r="E14" s="10">
        <f t="shared" si="2"/>
        <v>239460.0209771283</v>
      </c>
      <c r="F14" s="3"/>
      <c r="G14" s="28"/>
      <c r="H14" s="10"/>
      <c r="I14" s="10">
        <f t="shared" si="5"/>
        <v>4722</v>
      </c>
      <c r="J14" s="10">
        <f t="shared" si="3"/>
        <v>81324362776.075699</v>
      </c>
      <c r="K14" s="11">
        <f t="shared" si="4"/>
        <v>1.4100000000000001E-2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16982980.211143944</v>
      </c>
      <c r="D15" s="11">
        <v>1.3599999999999999E-2</v>
      </c>
      <c r="E15" s="10">
        <f t="shared" si="2"/>
        <v>227869.50559545867</v>
      </c>
      <c r="F15" s="3"/>
      <c r="G15" s="28"/>
      <c r="H15" s="10"/>
      <c r="I15" s="10">
        <f t="shared" si="5"/>
        <v>4722</v>
      </c>
      <c r="J15" s="10">
        <f t="shared" si="3"/>
        <v>80193632557.021698</v>
      </c>
      <c r="K15" s="11">
        <f t="shared" si="4"/>
        <v>1.3599999999999834E-2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16755110.705548486</v>
      </c>
      <c r="D16" s="11">
        <v>1.4500000000000001E-2</v>
      </c>
      <c r="E16" s="10">
        <f t="shared" si="2"/>
        <v>239476.69317935221</v>
      </c>
      <c r="F16" s="3"/>
      <c r="G16" s="28"/>
      <c r="H16" s="10"/>
      <c r="I16" s="10">
        <f t="shared" si="5"/>
        <v>4722</v>
      </c>
      <c r="J16" s="10">
        <f t="shared" si="3"/>
        <v>79117632751.599945</v>
      </c>
      <c r="K16" s="11">
        <f t="shared" si="4"/>
        <v>1.4499999999999957E-2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16515634.012369134</v>
      </c>
      <c r="D17" s="11">
        <v>1.55E-2</v>
      </c>
      <c r="E17" s="10">
        <f t="shared" si="2"/>
        <v>252085.00954379328</v>
      </c>
      <c r="F17" s="3"/>
      <c r="G17" s="28"/>
      <c r="H17" s="10"/>
      <c r="I17" s="10">
        <f t="shared" si="5"/>
        <v>4722</v>
      </c>
      <c r="J17" s="10">
        <f t="shared" si="3"/>
        <v>77986823806.407043</v>
      </c>
      <c r="K17" s="11">
        <f t="shared" si="4"/>
        <v>1.5499999999999847E-2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16263549.00282534</v>
      </c>
      <c r="D18" s="11">
        <v>1.61E-2</v>
      </c>
      <c r="E18" s="10">
        <f t="shared" si="2"/>
        <v>257694.2613379471</v>
      </c>
      <c r="F18" s="3"/>
      <c r="G18" s="28"/>
      <c r="H18" s="10"/>
      <c r="I18" s="10">
        <f t="shared" si="5"/>
        <v>4722</v>
      </c>
      <c r="J18" s="10">
        <f t="shared" si="3"/>
        <v>76796478391.341263</v>
      </c>
      <c r="K18" s="11">
        <f t="shared" si="4"/>
        <v>1.6100000000000225E-2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16005854.741487393</v>
      </c>
      <c r="D19" s="11">
        <v>1.7600000000000001E-2</v>
      </c>
      <c r="E19" s="10">
        <f t="shared" si="2"/>
        <v>276830.82100056857</v>
      </c>
      <c r="F19" s="3"/>
      <c r="G19" s="28"/>
      <c r="H19" s="10"/>
      <c r="I19" s="10">
        <f t="shared" si="5"/>
        <v>4722</v>
      </c>
      <c r="J19" s="10">
        <f t="shared" si="3"/>
        <v>75579646089.303467</v>
      </c>
      <c r="K19" s="11">
        <f t="shared" si="4"/>
        <v>1.760000000000006E-2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15729023.920486825</v>
      </c>
      <c r="D20" s="11">
        <v>1.9099999999999999E-2</v>
      </c>
      <c r="E20" s="10">
        <f t="shared" si="2"/>
        <v>294793.79538935982</v>
      </c>
      <c r="F20" s="3"/>
      <c r="G20" s="28"/>
      <c r="H20" s="10"/>
      <c r="I20" s="10">
        <f t="shared" si="5"/>
        <v>4722</v>
      </c>
      <c r="J20" s="10">
        <f t="shared" si="3"/>
        <v>74272450952.538788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15434230.125097465</v>
      </c>
      <c r="D21" s="11">
        <v>2.06E-2</v>
      </c>
      <c r="E21" s="10">
        <f t="shared" si="2"/>
        <v>311527.67056340165</v>
      </c>
      <c r="F21" s="3"/>
      <c r="G21" s="28"/>
      <c r="H21" s="10"/>
      <c r="I21" s="10">
        <f t="shared" si="5"/>
        <v>4722</v>
      </c>
      <c r="J21" s="10">
        <f t="shared" si="3"/>
        <v>72880434650.710236</v>
      </c>
      <c r="K21" s="11">
        <f t="shared" si="4"/>
        <v>2.0600000000000174E-2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15122702.454534063</v>
      </c>
      <c r="D22" s="11">
        <v>2.2100000000000002E-2</v>
      </c>
      <c r="E22" s="10">
        <f t="shared" si="2"/>
        <v>326985.34805322625</v>
      </c>
      <c r="F22" s="3"/>
      <c r="G22" s="28"/>
      <c r="H22" s="10"/>
      <c r="I22" s="10">
        <f t="shared" si="5"/>
        <v>4722</v>
      </c>
      <c r="J22" s="10">
        <f t="shared" si="3"/>
        <v>71409400990.309845</v>
      </c>
      <c r="K22" s="11">
        <f t="shared" si="4"/>
        <v>2.2100000000000009E-2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14795717.106480837</v>
      </c>
      <c r="D23" s="11">
        <v>2.29E-2</v>
      </c>
      <c r="E23" s="10">
        <f t="shared" si="2"/>
        <v>331236.60351785086</v>
      </c>
      <c r="F23" s="3"/>
      <c r="G23" s="28"/>
      <c r="H23" s="10"/>
      <c r="I23" s="10">
        <f t="shared" si="5"/>
        <v>4722</v>
      </c>
      <c r="J23" s="10">
        <f t="shared" si="3"/>
        <v>69865376176.802505</v>
      </c>
      <c r="K23" s="11">
        <f t="shared" si="4"/>
        <v>2.289999999999992E-2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14464480.502962986</v>
      </c>
      <c r="D24" s="11">
        <v>2.29E-2</v>
      </c>
      <c r="E24" s="10">
        <f t="shared" si="2"/>
        <v>323821.10032051243</v>
      </c>
      <c r="F24" s="3"/>
      <c r="G24" s="28"/>
      <c r="H24" s="10"/>
      <c r="I24" s="10">
        <f t="shared" si="5"/>
        <v>4722</v>
      </c>
      <c r="J24" s="10">
        <f t="shared" si="3"/>
        <v>68301276934.991219</v>
      </c>
      <c r="K24" s="11">
        <f t="shared" si="4"/>
        <v>2.289999999999992E-2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14140659.402642474</v>
      </c>
      <c r="D25" s="11">
        <v>2.1700000000000001E-2</v>
      </c>
      <c r="E25" s="10">
        <f t="shared" si="2"/>
        <v>300335.03869760409</v>
      </c>
      <c r="F25" s="3"/>
      <c r="G25" s="28"/>
      <c r="H25" s="10"/>
      <c r="I25" s="10">
        <f t="shared" si="5"/>
        <v>4722</v>
      </c>
      <c r="J25" s="10">
        <f t="shared" si="3"/>
        <v>66772193699.277763</v>
      </c>
      <c r="K25" s="11">
        <f t="shared" si="4"/>
        <v>2.1700000000000053E-2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13840324.363944869</v>
      </c>
      <c r="D26" s="11">
        <v>2.0500000000000001E-2</v>
      </c>
      <c r="E26" s="10">
        <f t="shared" si="2"/>
        <v>278027.09403318912</v>
      </c>
      <c r="F26" s="3"/>
      <c r="G26" s="28"/>
      <c r="H26" s="10"/>
      <c r="I26" s="10">
        <f t="shared" si="5"/>
        <v>4722</v>
      </c>
      <c r="J26" s="10">
        <f t="shared" si="3"/>
        <v>65354011646.547676</v>
      </c>
      <c r="K26" s="11">
        <f t="shared" si="4"/>
        <v>2.0499999999999963E-2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13562297.26991168</v>
      </c>
      <c r="D27" s="11">
        <v>2.0400000000000001E-2</v>
      </c>
      <c r="E27" s="10">
        <f t="shared" si="2"/>
        <v>271139.61613700353</v>
      </c>
      <c r="F27" s="3"/>
      <c r="G27" s="28"/>
      <c r="H27" s="10"/>
      <c r="I27" s="10">
        <f t="shared" si="5"/>
        <v>4722</v>
      </c>
      <c r="J27" s="10">
        <f t="shared" si="3"/>
        <v>64041167708.522957</v>
      </c>
      <c r="K27" s="11">
        <f t="shared" si="4"/>
        <v>2.0399999999999974E-2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13291157.653774677</v>
      </c>
      <c r="D28" s="11">
        <v>2.0299999999999999E-2</v>
      </c>
      <c r="E28" s="10">
        <f t="shared" si="2"/>
        <v>264442.32125024498</v>
      </c>
      <c r="F28" s="3"/>
      <c r="G28" s="28"/>
      <c r="H28" s="10"/>
      <c r="I28" s="10">
        <f t="shared" si="5"/>
        <v>4722</v>
      </c>
      <c r="J28" s="10">
        <f t="shared" si="3"/>
        <v>62760846441.124023</v>
      </c>
      <c r="K28" s="11">
        <f t="shared" si="4"/>
        <v>2.0299999999999985E-2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13026715.332524432</v>
      </c>
      <c r="D29" s="11">
        <v>2.0299999999999999E-2</v>
      </c>
      <c r="E29" s="10">
        <f t="shared" si="2"/>
        <v>259180.94800573029</v>
      </c>
      <c r="F29" s="3"/>
      <c r="G29" s="28"/>
      <c r="H29" s="10"/>
      <c r="I29" s="10">
        <f t="shared" si="5"/>
        <v>4722</v>
      </c>
      <c r="J29" s="10">
        <f t="shared" si="3"/>
        <v>61512149800.180367</v>
      </c>
      <c r="K29" s="11">
        <f t="shared" si="4"/>
        <v>2.0299999999999985E-2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12767534.384518702</v>
      </c>
      <c r="D30" s="11">
        <v>2.0500000000000001E-2</v>
      </c>
      <c r="E30" s="10">
        <f t="shared" si="2"/>
        <v>256476.68288352154</v>
      </c>
      <c r="F30" s="3"/>
      <c r="G30" s="28"/>
      <c r="H30" s="10"/>
      <c r="I30" s="10">
        <f t="shared" si="5"/>
        <v>4722</v>
      </c>
      <c r="J30" s="10">
        <f t="shared" si="3"/>
        <v>60288297363.697311</v>
      </c>
      <c r="K30" s="11">
        <f t="shared" si="4"/>
        <v>2.0499999999999963E-2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12511057.70163518</v>
      </c>
      <c r="D31" s="11">
        <v>2.0799999999999999E-2</v>
      </c>
      <c r="E31" s="10">
        <f t="shared" si="2"/>
        <v>254927.50802704878</v>
      </c>
      <c r="F31" s="3"/>
      <c r="G31" s="28"/>
      <c r="H31" s="10"/>
      <c r="I31" s="10">
        <f t="shared" si="5"/>
        <v>4722</v>
      </c>
      <c r="J31" s="10">
        <f t="shared" si="3"/>
        <v>59077214467.121323</v>
      </c>
      <c r="K31" s="11">
        <f t="shared" si="4"/>
        <v>2.079999999999993E-2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12256130.193608131</v>
      </c>
      <c r="D32" s="11">
        <v>2.1100000000000001E-2</v>
      </c>
      <c r="E32" s="10">
        <f t="shared" si="2"/>
        <v>253260.54949087277</v>
      </c>
      <c r="F32" s="3"/>
      <c r="G32" s="28"/>
      <c r="H32" s="10"/>
      <c r="I32" s="10">
        <f t="shared" si="5"/>
        <v>4722</v>
      </c>
      <c r="J32" s="10">
        <f t="shared" si="3"/>
        <v>57873446774.217598</v>
      </c>
      <c r="K32" s="11">
        <f t="shared" si="4"/>
        <v>2.1099999999999897E-2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12002869.644117258</v>
      </c>
      <c r="D33" s="11">
        <v>2.1399999999999999E-2</v>
      </c>
      <c r="E33" s="10">
        <f t="shared" si="2"/>
        <v>251479.74386539124</v>
      </c>
      <c r="F33" s="3"/>
      <c r="G33" s="28"/>
      <c r="H33" s="10"/>
      <c r="I33" s="10">
        <f t="shared" si="5"/>
        <v>4722</v>
      </c>
      <c r="J33" s="10">
        <f t="shared" si="3"/>
        <v>56677550459.521698</v>
      </c>
      <c r="K33" s="11">
        <f t="shared" si="4"/>
        <v>2.1400000000000086E-2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11751389.900251867</v>
      </c>
      <c r="D34" s="11">
        <v>2.1499999999999998E-2</v>
      </c>
      <c r="E34" s="10">
        <f t="shared" si="2"/>
        <v>247337.13446443155</v>
      </c>
      <c r="F34" s="3"/>
      <c r="G34" s="28"/>
      <c r="H34" s="10"/>
      <c r="I34" s="10">
        <f t="shared" si="5"/>
        <v>4722</v>
      </c>
      <c r="J34" s="10">
        <f t="shared" ref="J34:J65" si="6">IF(I34="","",I34*C34)</f>
        <v>55490063108.989319</v>
      </c>
      <c r="K34" s="11">
        <f t="shared" ref="K34:K65" si="7">IFERROR(J34/J35-1,"")</f>
        <v>2.1500000000000075E-2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11504052.765787436</v>
      </c>
      <c r="D35" s="11">
        <v>2.1399999999999999E-2</v>
      </c>
      <c r="E35" s="10">
        <f t="shared" si="2"/>
        <v>241028.71469341218</v>
      </c>
      <c r="F35" s="3"/>
      <c r="G35" s="28"/>
      <c r="H35" s="10"/>
      <c r="I35" s="10">
        <f t="shared" ref="I35:I66" si="8">IF(H35&lt;&gt;"",H35,I34/(1+IF(G34="",0,G34)/100))</f>
        <v>4722</v>
      </c>
      <c r="J35" s="10">
        <f t="shared" si="6"/>
        <v>54322137160.048271</v>
      </c>
      <c r="K35" s="11">
        <f t="shared" si="7"/>
        <v>2.1400000000000086E-2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11263024.051094024</v>
      </c>
      <c r="D36" s="11">
        <v>2.06E-2</v>
      </c>
      <c r="E36" s="10">
        <f t="shared" si="2"/>
        <v>227335.19052766636</v>
      </c>
      <c r="F36" s="3"/>
      <c r="G36" s="28"/>
      <c r="H36" s="10"/>
      <c r="I36" s="10">
        <f t="shared" si="8"/>
        <v>4722</v>
      </c>
      <c r="J36" s="10">
        <f t="shared" si="6"/>
        <v>53183999569.265976</v>
      </c>
      <c r="K36" s="11">
        <f t="shared" si="7"/>
        <v>2.0599999999999952E-2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11035688.860566357</v>
      </c>
      <c r="D37" s="11">
        <v>1.9599999999999999E-2</v>
      </c>
      <c r="E37" s="10">
        <f t="shared" si="2"/>
        <v>212141.52772371657</v>
      </c>
      <c r="F37" s="3"/>
      <c r="G37" s="28"/>
      <c r="H37" s="10"/>
      <c r="I37" s="10">
        <f t="shared" si="8"/>
        <v>4722</v>
      </c>
      <c r="J37" s="10">
        <f t="shared" si="6"/>
        <v>52110522799.594337</v>
      </c>
      <c r="K37" s="11">
        <f t="shared" si="7"/>
        <v>1.9600000000000062E-2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10823547.332842641</v>
      </c>
      <c r="D38" s="11">
        <v>1.8100000000000002E-2</v>
      </c>
      <c r="E38" s="10">
        <f t="shared" si="2"/>
        <v>192423.34419453144</v>
      </c>
      <c r="F38" s="3"/>
      <c r="G38" s="28"/>
      <c r="H38" s="10"/>
      <c r="I38" s="10">
        <f t="shared" si="8"/>
        <v>4722</v>
      </c>
      <c r="J38" s="10">
        <f t="shared" si="6"/>
        <v>51108790505.682945</v>
      </c>
      <c r="K38" s="11">
        <f t="shared" si="7"/>
        <v>1.8100000000000005E-2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10631123.988648109</v>
      </c>
      <c r="D39" s="11">
        <v>1.6299999999999999E-2</v>
      </c>
      <c r="E39" s="10">
        <f t="shared" si="2"/>
        <v>170508.03996355832</v>
      </c>
      <c r="F39" s="3"/>
      <c r="G39" s="28"/>
      <c r="H39" s="10"/>
      <c r="I39" s="10">
        <f t="shared" si="8"/>
        <v>4722</v>
      </c>
      <c r="J39" s="10">
        <f t="shared" si="6"/>
        <v>50200167474.39637</v>
      </c>
      <c r="K39" s="11">
        <f t="shared" si="7"/>
        <v>1.6299999999999981E-2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10460615.948684551</v>
      </c>
      <c r="D40" s="11">
        <v>1.4800000000000001E-2</v>
      </c>
      <c r="E40" s="10">
        <f t="shared" si="2"/>
        <v>152559.23929890618</v>
      </c>
      <c r="F40" s="3"/>
      <c r="G40" s="28"/>
      <c r="H40" s="10"/>
      <c r="I40" s="10">
        <f t="shared" si="8"/>
        <v>4722</v>
      </c>
      <c r="J40" s="10">
        <f t="shared" si="6"/>
        <v>49395028509.688446</v>
      </c>
      <c r="K40" s="11">
        <f t="shared" si="7"/>
        <v>1.4799999999999702E-2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10308056.709385645</v>
      </c>
      <c r="D41" s="11">
        <v>1.3899999999999999E-2</v>
      </c>
      <c r="E41" s="10">
        <f t="shared" si="2"/>
        <v>141317.67261116579</v>
      </c>
      <c r="F41" s="3"/>
      <c r="G41" s="28"/>
      <c r="H41" s="10"/>
      <c r="I41" s="10">
        <f t="shared" si="8"/>
        <v>4722</v>
      </c>
      <c r="J41" s="10">
        <f t="shared" si="6"/>
        <v>48674643781.719017</v>
      </c>
      <c r="K41" s="11">
        <f t="shared" si="7"/>
        <v>1.3900000000000245E-2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10166739.036774479</v>
      </c>
      <c r="D42" s="11">
        <v>1.32E-2</v>
      </c>
      <c r="E42" s="10">
        <f t="shared" si="2"/>
        <v>132452.58121340722</v>
      </c>
      <c r="F42" s="3"/>
      <c r="G42" s="28"/>
      <c r="H42" s="10"/>
      <c r="I42" s="10">
        <f t="shared" si="8"/>
        <v>4722</v>
      </c>
      <c r="J42" s="10">
        <f t="shared" si="6"/>
        <v>48007341731.649086</v>
      </c>
      <c r="K42" s="11">
        <f t="shared" si="7"/>
        <v>1.3200000000000101E-2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10034286.455561072</v>
      </c>
      <c r="D43" s="11">
        <v>1.12E-2</v>
      </c>
      <c r="E43" s="10">
        <f t="shared" si="2"/>
        <v>111139.24871665798</v>
      </c>
      <c r="F43" s="3"/>
      <c r="G43" s="28"/>
      <c r="H43" s="10"/>
      <c r="I43" s="10">
        <f t="shared" si="8"/>
        <v>4722</v>
      </c>
      <c r="J43" s="10">
        <f t="shared" si="6"/>
        <v>47381900643.159378</v>
      </c>
      <c r="K43" s="11">
        <f t="shared" si="7"/>
        <v>1.1200000000000099E-2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9923147.2068444137</v>
      </c>
      <c r="D44" s="11">
        <v>1.0500000000000001E-2</v>
      </c>
      <c r="E44" s="10">
        <f t="shared" si="2"/>
        <v>103110.3866124358</v>
      </c>
      <c r="F44" s="3"/>
      <c r="G44" s="28"/>
      <c r="H44" s="10"/>
      <c r="I44" s="10">
        <f t="shared" si="8"/>
        <v>4722</v>
      </c>
      <c r="J44" s="10">
        <f t="shared" si="6"/>
        <v>46857101110.719322</v>
      </c>
      <c r="K44" s="11">
        <f t="shared" si="7"/>
        <v>1.0499999999999954E-2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9820036.8202319779</v>
      </c>
      <c r="D45" s="11">
        <v>1.43E-2</v>
      </c>
      <c r="E45" s="10">
        <f t="shared" si="2"/>
        <v>138446.73817343637</v>
      </c>
      <c r="F45" s="3"/>
      <c r="G45" s="28"/>
      <c r="H45" s="10"/>
      <c r="I45" s="10">
        <f t="shared" si="8"/>
        <v>4722</v>
      </c>
      <c r="J45" s="10">
        <f t="shared" si="6"/>
        <v>46370213865.135399</v>
      </c>
      <c r="K45" s="11">
        <f t="shared" si="7"/>
        <v>1.4299999999999979E-2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9681590.0820585415</v>
      </c>
      <c r="D46" s="11">
        <v>2.3300000000000001E-2</v>
      </c>
      <c r="E46" s="10">
        <f t="shared" si="2"/>
        <v>220444.68768881634</v>
      </c>
      <c r="F46" s="3"/>
      <c r="G46" s="28"/>
      <c r="H46" s="10"/>
      <c r="I46" s="10">
        <f t="shared" si="8"/>
        <v>4722</v>
      </c>
      <c r="J46" s="10">
        <f t="shared" si="6"/>
        <v>45716468367.480431</v>
      </c>
      <c r="K46" s="11">
        <f t="shared" si="7"/>
        <v>2.3300000000000098E-2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9461145.3943697251</v>
      </c>
      <c r="D47" s="11">
        <v>3.5000000000000003E-2</v>
      </c>
      <c r="E47" s="10">
        <f t="shared" si="2"/>
        <v>319942.11478544958</v>
      </c>
      <c r="F47" s="3"/>
      <c r="G47" s="28"/>
      <c r="H47" s="10"/>
      <c r="I47" s="10">
        <f t="shared" si="8"/>
        <v>4722</v>
      </c>
      <c r="J47" s="10">
        <f t="shared" si="6"/>
        <v>44675528552.213844</v>
      </c>
      <c r="K47" s="11">
        <f t="shared" si="7"/>
        <v>3.499999999999992E-2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9141203.2795842756</v>
      </c>
      <c r="D48" s="11">
        <v>4.6199999999999998E-2</v>
      </c>
      <c r="E48" s="10">
        <f t="shared" si="2"/>
        <v>403673.85922079347</v>
      </c>
      <c r="F48" s="3"/>
      <c r="G48" s="28"/>
      <c r="H48" s="10"/>
      <c r="I48" s="10">
        <f t="shared" si="8"/>
        <v>4722</v>
      </c>
      <c r="J48" s="10">
        <f t="shared" si="6"/>
        <v>43164761886.196953</v>
      </c>
      <c r="K48" s="11">
        <f t="shared" si="7"/>
        <v>4.6200000000000241E-2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8737529.4203634821</v>
      </c>
      <c r="D49" s="11">
        <v>0.05</v>
      </c>
      <c r="E49" s="10">
        <f t="shared" si="2"/>
        <v>416072.82954111788</v>
      </c>
      <c r="F49" s="3"/>
      <c r="G49" s="28"/>
      <c r="H49" s="10"/>
      <c r="I49" s="10">
        <f t="shared" si="8"/>
        <v>4722</v>
      </c>
      <c r="J49" s="10">
        <f t="shared" si="6"/>
        <v>41258613922.95636</v>
      </c>
      <c r="K49" s="11">
        <f t="shared" si="7"/>
        <v>4.9999999999999822E-2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8321456.5908223642</v>
      </c>
      <c r="D50" s="11">
        <v>4.5499999999999999E-2</v>
      </c>
      <c r="E50" s="10">
        <f t="shared" si="2"/>
        <v>362148.51734329853</v>
      </c>
      <c r="F50" s="3"/>
      <c r="G50" s="28"/>
      <c r="H50" s="10"/>
      <c r="I50" s="10">
        <f t="shared" si="8"/>
        <v>4722</v>
      </c>
      <c r="J50" s="10">
        <f t="shared" si="6"/>
        <v>39293918021.863205</v>
      </c>
      <c r="K50" s="11">
        <f t="shared" si="7"/>
        <v>4.5500000000000096E-2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7959308.0734790657</v>
      </c>
      <c r="D51" s="11">
        <v>3.85E-2</v>
      </c>
      <c r="E51" s="10">
        <f t="shared" si="2"/>
        <v>295073.04846311361</v>
      </c>
      <c r="F51" s="3"/>
      <c r="G51" s="28"/>
      <c r="H51" s="10"/>
      <c r="I51" s="10">
        <f t="shared" si="8"/>
        <v>4722</v>
      </c>
      <c r="J51" s="10">
        <f t="shared" si="6"/>
        <v>37583852722.968147</v>
      </c>
      <c r="K51" s="11">
        <f t="shared" si="7"/>
        <v>3.8499999999999757E-2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7664235.0250159521</v>
      </c>
      <c r="D52" s="11">
        <v>3.3399999999999999E-2</v>
      </c>
      <c r="E52" s="10">
        <f t="shared" si="2"/>
        <v>247711.87326836959</v>
      </c>
      <c r="F52" s="3"/>
      <c r="G52" s="28"/>
      <c r="H52" s="10"/>
      <c r="I52" s="10">
        <f t="shared" si="8"/>
        <v>4722</v>
      </c>
      <c r="J52" s="10">
        <f t="shared" si="6"/>
        <v>36190517788.125328</v>
      </c>
      <c r="K52" s="11">
        <f t="shared" si="7"/>
        <v>3.3400000000000096E-2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7416523.1517475825</v>
      </c>
      <c r="D53" s="11">
        <v>3.0300000000000001E-2</v>
      </c>
      <c r="E53" s="10">
        <f t="shared" si="2"/>
        <v>218111.86207701825</v>
      </c>
      <c r="F53" s="3"/>
      <c r="G53" s="28"/>
      <c r="H53" s="10"/>
      <c r="I53" s="10">
        <f t="shared" si="8"/>
        <v>4722</v>
      </c>
      <c r="J53" s="10">
        <f t="shared" si="6"/>
        <v>35020822322.552086</v>
      </c>
      <c r="K53" s="11">
        <f t="shared" si="7"/>
        <v>3.0299999999999994E-2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7198411.2896705642</v>
      </c>
      <c r="D54" s="11">
        <v>2.81E-2</v>
      </c>
      <c r="E54" s="10">
        <f t="shared" si="2"/>
        <v>196746.77292067185</v>
      </c>
      <c r="F54" s="3"/>
      <c r="G54" s="28"/>
      <c r="H54" s="10"/>
      <c r="I54" s="10">
        <f t="shared" si="8"/>
        <v>4722</v>
      </c>
      <c r="J54" s="10">
        <f t="shared" si="6"/>
        <v>33990898109.824406</v>
      </c>
      <c r="K54" s="11">
        <f t="shared" si="7"/>
        <v>2.8100000000000014E-2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7001664.5167498924</v>
      </c>
      <c r="D55" s="11">
        <v>2.6800000000000001E-2</v>
      </c>
      <c r="E55" s="10">
        <f t="shared" si="2"/>
        <v>182746.9897242859</v>
      </c>
      <c r="F55" s="3"/>
      <c r="G55" s="28"/>
      <c r="H55" s="10"/>
      <c r="I55" s="10">
        <f t="shared" si="8"/>
        <v>4722</v>
      </c>
      <c r="J55" s="10">
        <f t="shared" si="6"/>
        <v>33061859848.092991</v>
      </c>
      <c r="K55" s="11">
        <f t="shared" si="7"/>
        <v>2.6799999999999935E-2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6818917.5270256065</v>
      </c>
      <c r="D56" s="11">
        <v>2.5999999999999999E-2</v>
      </c>
      <c r="E56" s="10">
        <f t="shared" si="2"/>
        <v>172799.07963222824</v>
      </c>
      <c r="F56" s="3"/>
      <c r="G56" s="28"/>
      <c r="H56" s="10"/>
      <c r="I56" s="10">
        <f t="shared" si="8"/>
        <v>4722</v>
      </c>
      <c r="J56" s="10">
        <f t="shared" si="6"/>
        <v>32198928562.614914</v>
      </c>
      <c r="K56" s="11">
        <f t="shared" si="7"/>
        <v>2.6000000000000023E-2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6646118.4473933782</v>
      </c>
      <c r="D57" s="11">
        <v>2.47E-2</v>
      </c>
      <c r="E57" s="10">
        <f t="shared" si="2"/>
        <v>160202.13296634704</v>
      </c>
      <c r="F57" s="3"/>
      <c r="G57" s="28"/>
      <c r="H57" s="10"/>
      <c r="I57" s="10">
        <f t="shared" si="8"/>
        <v>4722</v>
      </c>
      <c r="J57" s="10">
        <f t="shared" si="6"/>
        <v>31382971308.591534</v>
      </c>
      <c r="K57" s="11">
        <f t="shared" si="7"/>
        <v>2.4699999999999944E-2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6485916.3144270312</v>
      </c>
      <c r="D58" s="11">
        <v>2.2800000000000001E-2</v>
      </c>
      <c r="E58" s="10">
        <f t="shared" si="2"/>
        <v>144582.41295359377</v>
      </c>
      <c r="F58" s="3"/>
      <c r="G58" s="28"/>
      <c r="H58" s="10"/>
      <c r="I58" s="10">
        <f t="shared" si="8"/>
        <v>4722</v>
      </c>
      <c r="J58" s="10">
        <f t="shared" si="6"/>
        <v>30626496836.724442</v>
      </c>
      <c r="K58" s="11">
        <f t="shared" si="7"/>
        <v>2.2799999999999931E-2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6341333.9014734374</v>
      </c>
      <c r="D59" s="11">
        <v>2.1499999999999998E-2</v>
      </c>
      <c r="E59" s="10">
        <f t="shared" si="2"/>
        <v>133469.0933741359</v>
      </c>
      <c r="F59" s="3"/>
      <c r="G59" s="28"/>
      <c r="H59" s="10"/>
      <c r="I59" s="10">
        <f t="shared" si="8"/>
        <v>4722</v>
      </c>
      <c r="J59" s="10">
        <f t="shared" si="6"/>
        <v>29943778682.757572</v>
      </c>
      <c r="K59" s="11">
        <f t="shared" si="7"/>
        <v>2.1500000000000075E-2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6207864.8080993015</v>
      </c>
      <c r="D60" s="11">
        <v>2.1399999999999999E-2</v>
      </c>
      <c r="E60" s="10">
        <f t="shared" si="2"/>
        <v>130064.91765549779</v>
      </c>
      <c r="F60" s="3"/>
      <c r="G60" s="28"/>
      <c r="H60" s="10"/>
      <c r="I60" s="10">
        <f t="shared" si="8"/>
        <v>4722</v>
      </c>
      <c r="J60" s="10">
        <f t="shared" si="6"/>
        <v>29313537623.844902</v>
      </c>
      <c r="K60" s="11">
        <f t="shared" si="7"/>
        <v>2.1400000000000086E-2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6077799.8904438037</v>
      </c>
      <c r="D61" s="11">
        <v>2.2599999999999999E-2</v>
      </c>
      <c r="E61" s="10">
        <f t="shared" si="2"/>
        <v>134322.58705655206</v>
      </c>
      <c r="F61" s="3"/>
      <c r="G61" s="28"/>
      <c r="H61" s="10"/>
      <c r="I61" s="10">
        <f t="shared" si="8"/>
        <v>4722</v>
      </c>
      <c r="J61" s="10">
        <f t="shared" si="6"/>
        <v>28699371082.67564</v>
      </c>
      <c r="K61" s="11">
        <f t="shared" si="7"/>
        <v>2.2599999999999953E-2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5943477.3033872517</v>
      </c>
      <c r="D62" s="11">
        <v>2.4400000000000002E-2</v>
      </c>
      <c r="E62" s="10">
        <f t="shared" si="2"/>
        <v>141566.62065857928</v>
      </c>
      <c r="F62" s="3"/>
      <c r="G62" s="28"/>
      <c r="H62" s="10"/>
      <c r="I62" s="10">
        <f t="shared" si="8"/>
        <v>4722</v>
      </c>
      <c r="J62" s="10">
        <f t="shared" si="6"/>
        <v>28065099826.594601</v>
      </c>
      <c r="K62" s="11">
        <f t="shared" si="7"/>
        <v>2.4399999999999977E-2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5801910.6827286724</v>
      </c>
      <c r="D63" s="11">
        <v>2.6700000000000002E-2</v>
      </c>
      <c r="E63" s="10">
        <f t="shared" si="2"/>
        <v>150882.45371467341</v>
      </c>
      <c r="F63" s="3"/>
      <c r="G63" s="28"/>
      <c r="H63" s="10"/>
      <c r="I63" s="10">
        <f t="shared" si="8"/>
        <v>4722</v>
      </c>
      <c r="J63" s="10">
        <f t="shared" si="6"/>
        <v>27396622243.844791</v>
      </c>
      <c r="K63" s="11">
        <f t="shared" si="7"/>
        <v>2.6699999999999946E-2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5651028.229013999</v>
      </c>
      <c r="D64" s="11">
        <v>2.92E-2</v>
      </c>
      <c r="E64" s="10">
        <f t="shared" si="2"/>
        <v>160328.43401399907</v>
      </c>
      <c r="F64" s="3"/>
      <c r="G64" s="28"/>
      <c r="H64" s="10"/>
      <c r="I64" s="10">
        <f t="shared" si="8"/>
        <v>4722</v>
      </c>
      <c r="J64" s="10">
        <f t="shared" si="6"/>
        <v>26684155297.404102</v>
      </c>
      <c r="K64" s="11">
        <f t="shared" si="7"/>
        <v>2.9199999999999893E-2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5490699.7949999999</v>
      </c>
      <c r="D65" s="11">
        <v>3.0499999999999999E-2</v>
      </c>
      <c r="E65" s="10">
        <f t="shared" si="2"/>
        <v>162509.79499999993</v>
      </c>
      <c r="F65" s="3"/>
      <c r="G65" s="28"/>
      <c r="H65" s="10"/>
      <c r="I65" s="10">
        <f t="shared" si="8"/>
        <v>4722</v>
      </c>
      <c r="J65" s="10">
        <f t="shared" si="6"/>
        <v>25927084431.989998</v>
      </c>
      <c r="K65" s="11">
        <f t="shared" si="7"/>
        <v>3.0499999999999972E-2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5328190</v>
      </c>
      <c r="D66" s="11">
        <v>0.03</v>
      </c>
      <c r="E66" s="10">
        <f t="shared" si="2"/>
        <v>155190</v>
      </c>
      <c r="F66" s="10">
        <v>20605956</v>
      </c>
      <c r="G66" s="28"/>
      <c r="H66" s="10"/>
      <c r="I66" s="10">
        <f t="shared" si="8"/>
        <v>4722</v>
      </c>
      <c r="J66" s="10">
        <f t="shared" ref="J66:J67" si="9">IF(I66="","",I66*C66)</f>
        <v>25159713180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5173000</v>
      </c>
      <c r="D67" s="11">
        <v>2.7799999999999998E-2</v>
      </c>
      <c r="E67" s="3" t="s">
        <v>72</v>
      </c>
      <c r="F67" s="10">
        <f>SUM(C2)</f>
        <v>20606628.225290135</v>
      </c>
      <c r="G67" s="28"/>
      <c r="H67" s="10"/>
      <c r="I67" s="10">
        <f t="shared" ref="I67" si="11">IF(H67&lt;&gt;"",H67,I66/(1+IF(G66="",0,G66)/100))</f>
        <v>4722</v>
      </c>
      <c r="J67" s="10">
        <f t="shared" si="9"/>
        <v>24426906000</v>
      </c>
      <c r="K67" s="11"/>
    </row>
  </sheetData>
  <dataValidations count="1">
    <dataValidation type="custom" allowBlank="1" showDropDown="1" sqref="D2:D67" xr:uid="{00000000-0002-0000-3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238996.80525892126</v>
      </c>
      <c r="D2" s="11">
        <v>1.3100000000000001E-2</v>
      </c>
      <c r="E2" s="10">
        <f t="shared" ref="E2:E66" si="2">SUM(C2-C3)</f>
        <v>3090.3742462658265</v>
      </c>
      <c r="F2" s="15"/>
      <c r="G2" s="28"/>
      <c r="H2" s="10"/>
      <c r="I2" s="10">
        <f>IF(H2&lt;&gt;"",H2,3127)</f>
        <v>3127</v>
      </c>
      <c r="J2" s="10">
        <f t="shared" ref="J2:J33" si="3">IF(I2="","",I2*C2)</f>
        <v>747343010.04464674</v>
      </c>
      <c r="K2" s="11">
        <f t="shared" ref="K2:K33" si="4">IFERROR(J2/J3-1,"")</f>
        <v>1.3100000000000112E-2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235906.43101265543</v>
      </c>
      <c r="D3" s="11">
        <v>1.255E-2</v>
      </c>
      <c r="E3" s="10">
        <f t="shared" si="2"/>
        <v>2923.9303829034034</v>
      </c>
      <c r="F3" s="3"/>
      <c r="G3" s="28"/>
      <c r="H3" s="10"/>
      <c r="I3" s="10">
        <f t="shared" ref="I3:I34" si="5">IF(H3&lt;&gt;"",H3,I2/(1+IF(G2="",0,G2)/100))</f>
        <v>3127</v>
      </c>
      <c r="J3" s="10">
        <f t="shared" si="3"/>
        <v>737679409.77657354</v>
      </c>
      <c r="K3" s="11">
        <f t="shared" si="4"/>
        <v>1.2550000000000061E-2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232982.50062975203</v>
      </c>
      <c r="D4" s="11">
        <v>1.3429999999999999E-2</v>
      </c>
      <c r="E4" s="10">
        <f t="shared" si="2"/>
        <v>3087.4899928535451</v>
      </c>
      <c r="F4" s="3"/>
      <c r="G4" s="28"/>
      <c r="H4" s="10"/>
      <c r="I4" s="10">
        <f t="shared" si="5"/>
        <v>3127</v>
      </c>
      <c r="J4" s="10">
        <f t="shared" si="3"/>
        <v>728536279.46923459</v>
      </c>
      <c r="K4" s="11">
        <f t="shared" si="4"/>
        <v>1.3430000000000053E-2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229895.01063689849</v>
      </c>
      <c r="D5" s="11">
        <v>1.4069999999999999E-2</v>
      </c>
      <c r="E5" s="10">
        <f t="shared" si="2"/>
        <v>3189.7431140465196</v>
      </c>
      <c r="F5" s="3"/>
      <c r="G5" s="28"/>
      <c r="H5" s="10"/>
      <c r="I5" s="10">
        <f t="shared" si="5"/>
        <v>3127</v>
      </c>
      <c r="J5" s="10">
        <f t="shared" si="3"/>
        <v>718881698.26158154</v>
      </c>
      <c r="K5" s="11">
        <f t="shared" si="4"/>
        <v>1.4070000000000027E-2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226705.26752285197</v>
      </c>
      <c r="D6" s="11">
        <v>1.5299999999999999E-2</v>
      </c>
      <c r="E6" s="10">
        <f t="shared" si="2"/>
        <v>3416.3208835808618</v>
      </c>
      <c r="F6" s="3"/>
      <c r="G6" s="28"/>
      <c r="H6" s="10"/>
      <c r="I6" s="10">
        <f t="shared" si="5"/>
        <v>3127</v>
      </c>
      <c r="J6" s="10">
        <f t="shared" si="3"/>
        <v>708907371.54395807</v>
      </c>
      <c r="K6" s="11">
        <f t="shared" si="4"/>
        <v>1.5300000000000091E-2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223288.9466392711</v>
      </c>
      <c r="D7" s="11">
        <v>2.018E-2</v>
      </c>
      <c r="E7" s="10">
        <f t="shared" si="2"/>
        <v>4416.8391295462789</v>
      </c>
      <c r="F7" s="3"/>
      <c r="G7" s="28"/>
      <c r="H7" s="10"/>
      <c r="I7" s="10">
        <f t="shared" si="5"/>
        <v>3127</v>
      </c>
      <c r="J7" s="10">
        <f t="shared" si="3"/>
        <v>698224536.14100075</v>
      </c>
      <c r="K7" s="11">
        <f t="shared" si="4"/>
        <v>2.0180000000000309E-2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218872.10750972482</v>
      </c>
      <c r="D8" s="11">
        <v>2.1420000000000002E-2</v>
      </c>
      <c r="E8" s="10">
        <f t="shared" si="2"/>
        <v>4589.9243630027922</v>
      </c>
      <c r="F8" s="3"/>
      <c r="G8" s="28"/>
      <c r="H8" s="10"/>
      <c r="I8" s="10">
        <f t="shared" si="5"/>
        <v>3127</v>
      </c>
      <c r="J8" s="10">
        <f t="shared" si="3"/>
        <v>684413080.18290949</v>
      </c>
      <c r="K8" s="11">
        <f t="shared" si="4"/>
        <v>2.1419999999999995E-2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214282.18314672203</v>
      </c>
      <c r="D9" s="11">
        <v>2.12E-2</v>
      </c>
      <c r="E9" s="10">
        <f t="shared" si="2"/>
        <v>4448.4746207506105</v>
      </c>
      <c r="F9" s="3"/>
      <c r="G9" s="28"/>
      <c r="H9" s="10"/>
      <c r="I9" s="10">
        <f t="shared" si="5"/>
        <v>3127</v>
      </c>
      <c r="J9" s="10">
        <f t="shared" si="3"/>
        <v>670060386.69979978</v>
      </c>
      <c r="K9" s="11">
        <f t="shared" si="4"/>
        <v>2.1199999999999886E-2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209833.70852597142</v>
      </c>
      <c r="D10" s="11">
        <v>2.0580000000000001E-2</v>
      </c>
      <c r="E10" s="10">
        <f t="shared" si="2"/>
        <v>4231.2976165165892</v>
      </c>
      <c r="F10" s="3"/>
      <c r="G10" s="28"/>
      <c r="H10" s="10"/>
      <c r="I10" s="10">
        <f t="shared" si="5"/>
        <v>3127</v>
      </c>
      <c r="J10" s="10">
        <f t="shared" si="3"/>
        <v>656150006.5607127</v>
      </c>
      <c r="K10" s="11">
        <f t="shared" si="4"/>
        <v>2.0580000000000265E-2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205602.41090945483</v>
      </c>
      <c r="D11" s="11">
        <v>2.001E-2</v>
      </c>
      <c r="E11" s="10">
        <f t="shared" si="2"/>
        <v>4033.3959885669756</v>
      </c>
      <c r="F11" s="3"/>
      <c r="G11" s="28"/>
      <c r="H11" s="10"/>
      <c r="I11" s="10">
        <f t="shared" si="5"/>
        <v>3127</v>
      </c>
      <c r="J11" s="10">
        <f t="shared" si="3"/>
        <v>642918738.91386521</v>
      </c>
      <c r="K11" s="11">
        <f t="shared" si="4"/>
        <v>2.0009999999999861E-2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201569.01492088786</v>
      </c>
      <c r="D12" s="11">
        <v>2.002E-2</v>
      </c>
      <c r="E12" s="10">
        <f t="shared" si="2"/>
        <v>3956.2083868121845</v>
      </c>
      <c r="F12" s="3"/>
      <c r="G12" s="28"/>
      <c r="H12" s="10"/>
      <c r="I12" s="10">
        <f t="shared" si="5"/>
        <v>3127</v>
      </c>
      <c r="J12" s="10">
        <f t="shared" si="3"/>
        <v>630306309.65761638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197612.80653407567</v>
      </c>
      <c r="D13" s="11">
        <v>2.018E-2</v>
      </c>
      <c r="E13" s="10">
        <f t="shared" si="2"/>
        <v>3908.9439470070647</v>
      </c>
      <c r="F13" s="3"/>
      <c r="G13" s="28"/>
      <c r="H13" s="10"/>
      <c r="I13" s="10">
        <f t="shared" si="5"/>
        <v>3127</v>
      </c>
      <c r="J13" s="10">
        <f t="shared" si="3"/>
        <v>617935246.03205466</v>
      </c>
      <c r="K13" s="11">
        <f t="shared" si="4"/>
        <v>2.0180000000000087E-2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193703.86258706861</v>
      </c>
      <c r="D14" s="11">
        <v>1.9959999999999999E-2</v>
      </c>
      <c r="E14" s="10">
        <f t="shared" si="2"/>
        <v>3790.6673764048319</v>
      </c>
      <c r="F14" s="3"/>
      <c r="G14" s="28"/>
      <c r="H14" s="10"/>
      <c r="I14" s="10">
        <f t="shared" si="5"/>
        <v>3127</v>
      </c>
      <c r="J14" s="10">
        <f t="shared" si="3"/>
        <v>605711978.30976355</v>
      </c>
      <c r="K14" s="11">
        <f t="shared" si="4"/>
        <v>1.9959999999999978E-2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189913.19521066378</v>
      </c>
      <c r="D15" s="11">
        <v>2.1049999999999999E-2</v>
      </c>
      <c r="E15" s="10">
        <f t="shared" si="2"/>
        <v>3915.2566075946088</v>
      </c>
      <c r="F15" s="3"/>
      <c r="G15" s="28"/>
      <c r="H15" s="10"/>
      <c r="I15" s="10">
        <f t="shared" si="5"/>
        <v>3127</v>
      </c>
      <c r="J15" s="10">
        <f t="shared" si="3"/>
        <v>593858561.42374563</v>
      </c>
      <c r="K15" s="11">
        <f t="shared" si="4"/>
        <v>2.1050000000000013E-2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185997.93860306917</v>
      </c>
      <c r="D16" s="11">
        <v>2.1219999999999999E-2</v>
      </c>
      <c r="E16" s="10">
        <f t="shared" si="2"/>
        <v>3864.8638463378302</v>
      </c>
      <c r="F16" s="3"/>
      <c r="G16" s="28"/>
      <c r="H16" s="10"/>
      <c r="I16" s="10">
        <f t="shared" si="5"/>
        <v>3127</v>
      </c>
      <c r="J16" s="10">
        <f t="shared" si="3"/>
        <v>581615554.01179731</v>
      </c>
      <c r="K16" s="11">
        <f t="shared" si="4"/>
        <v>2.1220000000000017E-2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182133.07475673134</v>
      </c>
      <c r="D17" s="11">
        <v>1.7219999999999999E-2</v>
      </c>
      <c r="E17" s="10">
        <f t="shared" si="2"/>
        <v>3083.2381857522705</v>
      </c>
      <c r="F17" s="3"/>
      <c r="G17" s="28"/>
      <c r="H17" s="10"/>
      <c r="I17" s="10">
        <f t="shared" si="5"/>
        <v>3127</v>
      </c>
      <c r="J17" s="10">
        <f t="shared" si="3"/>
        <v>569530124.76429892</v>
      </c>
      <c r="K17" s="11">
        <f t="shared" si="4"/>
        <v>1.7220000000000013E-2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179049.83657097907</v>
      </c>
      <c r="D18" s="11">
        <v>1.6619999999999999E-2</v>
      </c>
      <c r="E18" s="10">
        <f t="shared" si="2"/>
        <v>2927.1589028444141</v>
      </c>
      <c r="F18" s="3"/>
      <c r="G18" s="28"/>
      <c r="H18" s="10"/>
      <c r="I18" s="10">
        <f t="shared" si="5"/>
        <v>3127</v>
      </c>
      <c r="J18" s="10">
        <f t="shared" si="3"/>
        <v>559888838.95745158</v>
      </c>
      <c r="K18" s="11">
        <f t="shared" si="4"/>
        <v>1.6620000000000079E-2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176122.67766813465</v>
      </c>
      <c r="D19" s="11">
        <v>1.738E-2</v>
      </c>
      <c r="E19" s="10">
        <f t="shared" si="2"/>
        <v>3008.7205742909864</v>
      </c>
      <c r="F19" s="3"/>
      <c r="G19" s="28"/>
      <c r="H19" s="10"/>
      <c r="I19" s="10">
        <f t="shared" si="5"/>
        <v>3127</v>
      </c>
      <c r="J19" s="10">
        <f t="shared" si="3"/>
        <v>550735613.06825709</v>
      </c>
      <c r="K19" s="11">
        <f t="shared" si="4"/>
        <v>1.7379999999999951E-2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173113.95709384367</v>
      </c>
      <c r="D20" s="11">
        <v>1.8190000000000001E-2</v>
      </c>
      <c r="E20" s="10">
        <f t="shared" si="2"/>
        <v>3092.6869047397922</v>
      </c>
      <c r="F20" s="3"/>
      <c r="G20" s="28"/>
      <c r="H20" s="10"/>
      <c r="I20" s="10">
        <f t="shared" si="5"/>
        <v>3127</v>
      </c>
      <c r="J20" s="10">
        <f t="shared" si="3"/>
        <v>541327343.8324492</v>
      </c>
      <c r="K20" s="11">
        <f t="shared" si="4"/>
        <v>1.819000000000015E-2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170021.27018910387</v>
      </c>
      <c r="D21" s="11">
        <v>1.839E-2</v>
      </c>
      <c r="E21" s="10">
        <f t="shared" si="2"/>
        <v>3070.2296357757004</v>
      </c>
      <c r="F21" s="3"/>
      <c r="G21" s="28"/>
      <c r="H21" s="10"/>
      <c r="I21" s="10">
        <f t="shared" si="5"/>
        <v>3127</v>
      </c>
      <c r="J21" s="10">
        <f t="shared" si="3"/>
        <v>531656511.88132781</v>
      </c>
      <c r="K21" s="11">
        <f t="shared" si="4"/>
        <v>1.8389999999999906E-2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166951.04055332817</v>
      </c>
      <c r="D22" s="11">
        <v>1.5469999999999999E-2</v>
      </c>
      <c r="E22" s="10">
        <f t="shared" si="2"/>
        <v>2543.3864096034376</v>
      </c>
      <c r="F22" s="3"/>
      <c r="G22" s="28"/>
      <c r="H22" s="10"/>
      <c r="I22" s="10">
        <f t="shared" si="5"/>
        <v>3127</v>
      </c>
      <c r="J22" s="10">
        <f t="shared" si="3"/>
        <v>522055903.8102572</v>
      </c>
      <c r="K22" s="11">
        <f t="shared" si="4"/>
        <v>1.5470000000000095E-2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164407.65414372474</v>
      </c>
      <c r="D23" s="11">
        <v>1.4619999999999999E-2</v>
      </c>
      <c r="E23" s="10">
        <f t="shared" si="2"/>
        <v>2369.0050497538759</v>
      </c>
      <c r="F23" s="3"/>
      <c r="G23" s="28"/>
      <c r="H23" s="10"/>
      <c r="I23" s="10">
        <f t="shared" si="5"/>
        <v>3127</v>
      </c>
      <c r="J23" s="10">
        <f t="shared" si="3"/>
        <v>514102734.50742728</v>
      </c>
      <c r="K23" s="11">
        <f t="shared" si="4"/>
        <v>1.4620000000000077E-2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162038.64909397086</v>
      </c>
      <c r="D24" s="11">
        <v>1.5089999999999999E-2</v>
      </c>
      <c r="E24" s="10">
        <f t="shared" si="2"/>
        <v>2408.814208422933</v>
      </c>
      <c r="F24" s="3"/>
      <c r="G24" s="28"/>
      <c r="H24" s="10"/>
      <c r="I24" s="10">
        <f t="shared" si="5"/>
        <v>3127</v>
      </c>
      <c r="J24" s="10">
        <f t="shared" si="3"/>
        <v>506694855.71684688</v>
      </c>
      <c r="K24" s="11">
        <f t="shared" si="4"/>
        <v>1.5090000000000048E-2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159629.83488554793</v>
      </c>
      <c r="D25" s="11">
        <v>1.5570000000000001E-2</v>
      </c>
      <c r="E25" s="10">
        <f t="shared" si="2"/>
        <v>2447.3315765215666</v>
      </c>
      <c r="F25" s="3"/>
      <c r="G25" s="28"/>
      <c r="H25" s="10"/>
      <c r="I25" s="10">
        <f t="shared" si="5"/>
        <v>3127</v>
      </c>
      <c r="J25" s="10">
        <f t="shared" si="3"/>
        <v>499162493.6871084</v>
      </c>
      <c r="K25" s="11">
        <f t="shared" si="4"/>
        <v>1.5570000000000306E-2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157182.50330902636</v>
      </c>
      <c r="D26" s="11">
        <v>1.7559999999999999E-2</v>
      </c>
      <c r="E26" s="10">
        <f t="shared" si="2"/>
        <v>2712.4933744511509</v>
      </c>
      <c r="F26" s="3"/>
      <c r="G26" s="28"/>
      <c r="H26" s="10"/>
      <c r="I26" s="10">
        <f t="shared" si="5"/>
        <v>3127</v>
      </c>
      <c r="J26" s="10">
        <f t="shared" si="3"/>
        <v>491509687.84732544</v>
      </c>
      <c r="K26" s="11">
        <f t="shared" si="4"/>
        <v>1.756000000000002E-2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154470.00993457521</v>
      </c>
      <c r="D27" s="11">
        <v>2.248E-2</v>
      </c>
      <c r="E27" s="10">
        <f t="shared" si="2"/>
        <v>3396.140583022905</v>
      </c>
      <c r="F27" s="3"/>
      <c r="G27" s="28"/>
      <c r="H27" s="10"/>
      <c r="I27" s="10">
        <f t="shared" si="5"/>
        <v>3127</v>
      </c>
      <c r="J27" s="10">
        <f t="shared" si="3"/>
        <v>483027721.06541669</v>
      </c>
      <c r="K27" s="11">
        <f t="shared" si="4"/>
        <v>2.2480000000000055E-2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151073.8693515523</v>
      </c>
      <c r="D28" s="11">
        <v>2.367E-2</v>
      </c>
      <c r="E28" s="10">
        <f t="shared" si="2"/>
        <v>3493.2336471238232</v>
      </c>
      <c r="F28" s="3"/>
      <c r="G28" s="28"/>
      <c r="H28" s="10"/>
      <c r="I28" s="10">
        <f t="shared" si="5"/>
        <v>3127</v>
      </c>
      <c r="J28" s="10">
        <f t="shared" si="3"/>
        <v>472407989.46230406</v>
      </c>
      <c r="K28" s="11">
        <f t="shared" si="4"/>
        <v>2.367000000000008E-2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147580.63570442848</v>
      </c>
      <c r="D29" s="11">
        <v>2.3959999999999999E-2</v>
      </c>
      <c r="E29" s="10">
        <f t="shared" si="2"/>
        <v>3453.2911749268533</v>
      </c>
      <c r="F29" s="3"/>
      <c r="G29" s="28"/>
      <c r="H29" s="10"/>
      <c r="I29" s="10">
        <f t="shared" si="5"/>
        <v>3127</v>
      </c>
      <c r="J29" s="10">
        <f t="shared" si="3"/>
        <v>461484647.84774786</v>
      </c>
      <c r="K29" s="11">
        <f t="shared" si="4"/>
        <v>2.3959999999999981E-2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144127.34452950163</v>
      </c>
      <c r="D30" s="11">
        <v>2.4049999999999998E-2</v>
      </c>
      <c r="E30" s="10">
        <f t="shared" si="2"/>
        <v>3384.8568291924312</v>
      </c>
      <c r="F30" s="3"/>
      <c r="G30" s="28"/>
      <c r="H30" s="10"/>
      <c r="I30" s="10">
        <f t="shared" si="5"/>
        <v>3127</v>
      </c>
      <c r="J30" s="10">
        <f t="shared" si="3"/>
        <v>450686206.34375161</v>
      </c>
      <c r="K30" s="11">
        <f t="shared" si="4"/>
        <v>2.4049999999999905E-2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140742.4877003092</v>
      </c>
      <c r="D31" s="11">
        <v>2.452E-2</v>
      </c>
      <c r="E31" s="10">
        <f t="shared" si="2"/>
        <v>3368.4123281259381</v>
      </c>
      <c r="F31" s="3"/>
      <c r="G31" s="28"/>
      <c r="H31" s="10"/>
      <c r="I31" s="10">
        <f t="shared" si="5"/>
        <v>3127</v>
      </c>
      <c r="J31" s="10">
        <f t="shared" si="3"/>
        <v>440101759.03886688</v>
      </c>
      <c r="K31" s="11">
        <f t="shared" si="4"/>
        <v>2.4520000000000097E-2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137374.07537218326</v>
      </c>
      <c r="D32" s="11">
        <v>2.1909999999999999E-2</v>
      </c>
      <c r="E32" s="10">
        <f t="shared" si="2"/>
        <v>2945.3337293935474</v>
      </c>
      <c r="F32" s="3"/>
      <c r="G32" s="28"/>
      <c r="H32" s="10"/>
      <c r="I32" s="10">
        <f t="shared" si="5"/>
        <v>3127</v>
      </c>
      <c r="J32" s="10">
        <f t="shared" si="3"/>
        <v>429568733.68881702</v>
      </c>
      <c r="K32" s="11">
        <f t="shared" si="4"/>
        <v>2.1910000000000096E-2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134428.74164278971</v>
      </c>
      <c r="D33" s="11">
        <v>1.6570000000000001E-2</v>
      </c>
      <c r="E33" s="10">
        <f t="shared" si="2"/>
        <v>2191.1764551590313</v>
      </c>
      <c r="F33" s="3"/>
      <c r="G33" s="28"/>
      <c r="H33" s="10"/>
      <c r="I33" s="10">
        <f t="shared" si="5"/>
        <v>3127</v>
      </c>
      <c r="J33" s="10">
        <f t="shared" si="3"/>
        <v>420358675.11700344</v>
      </c>
      <c r="K33" s="11">
        <f t="shared" si="4"/>
        <v>1.6569999999999974E-2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132237.56518763068</v>
      </c>
      <c r="D34" s="11">
        <v>1.6150000000000001E-2</v>
      </c>
      <c r="E34" s="10">
        <f t="shared" si="2"/>
        <v>2101.6943145994592</v>
      </c>
      <c r="F34" s="3"/>
      <c r="G34" s="28"/>
      <c r="H34" s="10"/>
      <c r="I34" s="10">
        <f t="shared" si="5"/>
        <v>3127</v>
      </c>
      <c r="J34" s="10">
        <f t="shared" ref="J34:J65" si="6">IF(I34="","",I34*C34)</f>
        <v>413506866.34172112</v>
      </c>
      <c r="K34" s="11">
        <f t="shared" ref="K34:K65" si="7">IFERROR(J34/J35-1,"")</f>
        <v>1.6150000000000109E-2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130135.87087303122</v>
      </c>
      <c r="D35" s="11">
        <v>1.6379999999999999E-2</v>
      </c>
      <c r="E35" s="10">
        <f t="shared" si="2"/>
        <v>2097.2722455186595</v>
      </c>
      <c r="F35" s="3"/>
      <c r="G35" s="28"/>
      <c r="H35" s="10"/>
      <c r="I35" s="10">
        <f t="shared" ref="I35:I66" si="8">IF(H35&lt;&gt;"",H35,I34/(1+IF(G34="",0,G34)/100))</f>
        <v>3127</v>
      </c>
      <c r="J35" s="10">
        <f t="shared" si="6"/>
        <v>406934868.21996862</v>
      </c>
      <c r="K35" s="11">
        <f t="shared" si="7"/>
        <v>1.6380000000000061E-2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128038.59862751256</v>
      </c>
      <c r="D36" s="11">
        <v>1.5949999999999999E-2</v>
      </c>
      <c r="E36" s="10">
        <f t="shared" si="2"/>
        <v>2010.1536966472922</v>
      </c>
      <c r="F36" s="3"/>
      <c r="G36" s="28"/>
      <c r="H36" s="10"/>
      <c r="I36" s="10">
        <f t="shared" si="8"/>
        <v>3127</v>
      </c>
      <c r="J36" s="10">
        <f t="shared" si="6"/>
        <v>400376697.90823179</v>
      </c>
      <c r="K36" s="11">
        <f t="shared" si="7"/>
        <v>1.5950000000000131E-2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126028.44493086527</v>
      </c>
      <c r="D37" s="11">
        <v>1.5650000000000001E-2</v>
      </c>
      <c r="E37" s="10">
        <f t="shared" si="2"/>
        <v>1941.9535894924775</v>
      </c>
      <c r="F37" s="3"/>
      <c r="G37" s="28"/>
      <c r="H37" s="10"/>
      <c r="I37" s="10">
        <f t="shared" si="8"/>
        <v>3127</v>
      </c>
      <c r="J37" s="10">
        <f t="shared" si="6"/>
        <v>394090947.29881567</v>
      </c>
      <c r="K37" s="11">
        <f t="shared" si="7"/>
        <v>1.564999999999972E-2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124086.49134137279</v>
      </c>
      <c r="D38" s="11">
        <v>1.6539999999999999E-2</v>
      </c>
      <c r="E38" s="10">
        <f t="shared" si="2"/>
        <v>2018.996366878142</v>
      </c>
      <c r="F38" s="3"/>
      <c r="G38" s="28"/>
      <c r="H38" s="10"/>
      <c r="I38" s="10">
        <f t="shared" si="8"/>
        <v>3127</v>
      </c>
      <c r="J38" s="10">
        <f t="shared" si="6"/>
        <v>388018458.42447275</v>
      </c>
      <c r="K38" s="11">
        <f t="shared" si="7"/>
        <v>1.6539999999999999E-2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122067.49497449465</v>
      </c>
      <c r="D39" s="11">
        <v>-6.3600000000000002E-3</v>
      </c>
      <c r="E39" s="10">
        <f t="shared" si="2"/>
        <v>-781.318453401429</v>
      </c>
      <c r="F39" s="3"/>
      <c r="G39" s="28"/>
      <c r="H39" s="10"/>
      <c r="I39" s="10">
        <f t="shared" si="8"/>
        <v>3127</v>
      </c>
      <c r="J39" s="10">
        <f t="shared" si="6"/>
        <v>381705056.78524476</v>
      </c>
      <c r="K39" s="11">
        <f t="shared" si="7"/>
        <v>-6.3600000000001433E-3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122848.81342789608</v>
      </c>
      <c r="D40" s="11">
        <v>-7.0400000000000003E-3</v>
      </c>
      <c r="E40" s="10">
        <f t="shared" si="2"/>
        <v>-870.98739781299082</v>
      </c>
      <c r="F40" s="3"/>
      <c r="G40" s="28"/>
      <c r="H40" s="10"/>
      <c r="I40" s="10">
        <f t="shared" si="8"/>
        <v>3127</v>
      </c>
      <c r="J40" s="10">
        <f t="shared" si="6"/>
        <v>384148239.58903104</v>
      </c>
      <c r="K40" s="11">
        <f t="shared" si="7"/>
        <v>-7.0399999999999352E-3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123719.80082570907</v>
      </c>
      <c r="D41" s="11">
        <v>-6.0200000000000002E-3</v>
      </c>
      <c r="E41" s="10">
        <f t="shared" si="2"/>
        <v>-749.30401111769606</v>
      </c>
      <c r="F41" s="3"/>
      <c r="G41" s="28"/>
      <c r="H41" s="10"/>
      <c r="I41" s="10">
        <f t="shared" si="8"/>
        <v>3127</v>
      </c>
      <c r="J41" s="10">
        <f t="shared" si="6"/>
        <v>386871817.18199223</v>
      </c>
      <c r="K41" s="11">
        <f t="shared" si="7"/>
        <v>-6.0200000000000253E-3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124469.10483682677</v>
      </c>
      <c r="D42" s="11">
        <v>-4.6899999999999997E-3</v>
      </c>
      <c r="E42" s="10">
        <f t="shared" si="2"/>
        <v>-586.51083751264377</v>
      </c>
      <c r="F42" s="3"/>
      <c r="G42" s="28"/>
      <c r="H42" s="10"/>
      <c r="I42" s="10">
        <f t="shared" si="8"/>
        <v>3127</v>
      </c>
      <c r="J42" s="10">
        <f t="shared" si="6"/>
        <v>389214890.82475728</v>
      </c>
      <c r="K42" s="11">
        <f t="shared" si="7"/>
        <v>-4.689999999999972E-3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125055.61567433941</v>
      </c>
      <c r="D43" s="11">
        <v>-2.9199999999999999E-3</v>
      </c>
      <c r="E43" s="10">
        <f t="shared" si="2"/>
        <v>-366.23179460933898</v>
      </c>
      <c r="F43" s="3"/>
      <c r="G43" s="28"/>
      <c r="H43" s="10"/>
      <c r="I43" s="10">
        <f t="shared" si="8"/>
        <v>3127</v>
      </c>
      <c r="J43" s="10">
        <f t="shared" si="6"/>
        <v>391048910.21365935</v>
      </c>
      <c r="K43" s="11">
        <f t="shared" si="7"/>
        <v>-2.9200000000000337E-3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125421.84746894875</v>
      </c>
      <c r="D44" s="11">
        <v>1.5959999999999998E-2</v>
      </c>
      <c r="E44" s="10">
        <f t="shared" si="2"/>
        <v>1970.2869065754785</v>
      </c>
      <c r="F44" s="3"/>
      <c r="G44" s="28"/>
      <c r="H44" s="10"/>
      <c r="I44" s="10">
        <f t="shared" si="8"/>
        <v>3127</v>
      </c>
      <c r="J44" s="10">
        <f t="shared" si="6"/>
        <v>392194117.03540272</v>
      </c>
      <c r="K44" s="11">
        <f t="shared" si="7"/>
        <v>1.5959999999999974E-2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123451.56056237327</v>
      </c>
      <c r="D45" s="11">
        <v>1.874E-2</v>
      </c>
      <c r="E45" s="10">
        <f t="shared" si="2"/>
        <v>2270.9251084073185</v>
      </c>
      <c r="F45" s="3"/>
      <c r="G45" s="28"/>
      <c r="H45" s="10"/>
      <c r="I45" s="10">
        <f t="shared" si="8"/>
        <v>3127</v>
      </c>
      <c r="J45" s="10">
        <f t="shared" si="6"/>
        <v>386033029.87854123</v>
      </c>
      <c r="K45" s="11">
        <f t="shared" si="7"/>
        <v>1.8739999999999979E-2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121180.63545396595</v>
      </c>
      <c r="D46" s="11">
        <v>1.9300000000000001E-2</v>
      </c>
      <c r="E46" s="10">
        <f t="shared" si="2"/>
        <v>2294.5023685485648</v>
      </c>
      <c r="F46" s="3"/>
      <c r="G46" s="28"/>
      <c r="H46" s="10"/>
      <c r="I46" s="10">
        <f t="shared" si="8"/>
        <v>3127</v>
      </c>
      <c r="J46" s="10">
        <f t="shared" si="6"/>
        <v>378931847.06455153</v>
      </c>
      <c r="K46" s="11">
        <f t="shared" si="7"/>
        <v>1.9300000000000095E-2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118886.13308541739</v>
      </c>
      <c r="D47" s="11">
        <v>2.0029999999999999E-2</v>
      </c>
      <c r="E47" s="10">
        <f t="shared" si="2"/>
        <v>2334.5286370998074</v>
      </c>
      <c r="F47" s="3"/>
      <c r="G47" s="28"/>
      <c r="H47" s="10"/>
      <c r="I47" s="10">
        <f t="shared" si="8"/>
        <v>3127</v>
      </c>
      <c r="J47" s="10">
        <f t="shared" si="6"/>
        <v>371756938.15810019</v>
      </c>
      <c r="K47" s="11">
        <f t="shared" si="7"/>
        <v>2.0029999999999992E-2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116551.60444831758</v>
      </c>
      <c r="D48" s="11">
        <v>2.0369999999999999E-2</v>
      </c>
      <c r="E48" s="10">
        <f t="shared" si="2"/>
        <v>2326.7600797869673</v>
      </c>
      <c r="F48" s="3"/>
      <c r="G48" s="28"/>
      <c r="H48" s="10"/>
      <c r="I48" s="10">
        <f t="shared" si="8"/>
        <v>3127</v>
      </c>
      <c r="J48" s="10">
        <f t="shared" si="6"/>
        <v>364456867.10988909</v>
      </c>
      <c r="K48" s="11">
        <f t="shared" si="7"/>
        <v>2.0369999999999999E-2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114224.84436853061</v>
      </c>
      <c r="D49" s="11">
        <v>9.2599999999999991E-3</v>
      </c>
      <c r="E49" s="10">
        <f t="shared" si="2"/>
        <v>1048.017417565934</v>
      </c>
      <c r="F49" s="3"/>
      <c r="G49" s="28"/>
      <c r="H49" s="10"/>
      <c r="I49" s="10">
        <f t="shared" si="8"/>
        <v>3127</v>
      </c>
      <c r="J49" s="10">
        <f t="shared" si="6"/>
        <v>357181088.34039521</v>
      </c>
      <c r="K49" s="11">
        <f t="shared" si="7"/>
        <v>9.260000000000046E-3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113176.82695096468</v>
      </c>
      <c r="D50" s="11">
        <v>1.004E-2</v>
      </c>
      <c r="E50" s="10">
        <f t="shared" si="2"/>
        <v>1125.0003391822975</v>
      </c>
      <c r="F50" s="3"/>
      <c r="G50" s="28"/>
      <c r="H50" s="10"/>
      <c r="I50" s="10">
        <f t="shared" si="8"/>
        <v>3127</v>
      </c>
      <c r="J50" s="10">
        <f t="shared" si="6"/>
        <v>353903937.87566656</v>
      </c>
      <c r="K50" s="11">
        <f t="shared" si="7"/>
        <v>1.0040000000000049E-2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112051.82661178238</v>
      </c>
      <c r="D51" s="11">
        <v>1.0840000000000001E-2</v>
      </c>
      <c r="E51" s="10">
        <f t="shared" si="2"/>
        <v>1201.6162799965532</v>
      </c>
      <c r="F51" s="3"/>
      <c r="G51" s="28"/>
      <c r="H51" s="10"/>
      <c r="I51" s="10">
        <f t="shared" si="8"/>
        <v>3127</v>
      </c>
      <c r="J51" s="10">
        <f t="shared" si="6"/>
        <v>350386061.81504351</v>
      </c>
      <c r="K51" s="11">
        <f t="shared" si="7"/>
        <v>1.0839999999999961E-2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110850.21033178583</v>
      </c>
      <c r="D52" s="11">
        <v>2.5860000000000001E-2</v>
      </c>
      <c r="E52" s="10">
        <f t="shared" si="2"/>
        <v>2794.3251897724695</v>
      </c>
      <c r="F52" s="3"/>
      <c r="G52" s="28"/>
      <c r="H52" s="10"/>
      <c r="I52" s="10">
        <f t="shared" si="8"/>
        <v>3127</v>
      </c>
      <c r="J52" s="10">
        <f t="shared" si="6"/>
        <v>346628607.70749426</v>
      </c>
      <c r="K52" s="11">
        <f t="shared" si="7"/>
        <v>2.5859999999999994E-2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108055.88514201336</v>
      </c>
      <c r="D53" s="11">
        <v>2.5340000000000001E-2</v>
      </c>
      <c r="E53" s="10">
        <f t="shared" si="2"/>
        <v>2670.4665081813</v>
      </c>
      <c r="F53" s="3"/>
      <c r="G53" s="28"/>
      <c r="H53" s="10"/>
      <c r="I53" s="10">
        <f t="shared" si="8"/>
        <v>3127</v>
      </c>
      <c r="J53" s="10">
        <f t="shared" si="6"/>
        <v>337890752.83907574</v>
      </c>
      <c r="K53" s="11">
        <f t="shared" si="7"/>
        <v>2.5339999999999918E-2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105385.41863383206</v>
      </c>
      <c r="D54" s="11">
        <v>2.5059999999999999E-2</v>
      </c>
      <c r="E54" s="10">
        <f t="shared" si="2"/>
        <v>2576.3941534776823</v>
      </c>
      <c r="F54" s="3"/>
      <c r="G54" s="28"/>
      <c r="H54" s="10"/>
      <c r="I54" s="10">
        <f t="shared" si="8"/>
        <v>3127</v>
      </c>
      <c r="J54" s="10">
        <f t="shared" si="6"/>
        <v>329540204.06799287</v>
      </c>
      <c r="K54" s="11">
        <f t="shared" si="7"/>
        <v>2.5060000000000082E-2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102809.02448035438</v>
      </c>
      <c r="D55" s="11">
        <v>2.4889999999999999E-2</v>
      </c>
      <c r="E55" s="10">
        <f t="shared" si="2"/>
        <v>2496.7719651045772</v>
      </c>
      <c r="F55" s="3"/>
      <c r="G55" s="28"/>
      <c r="H55" s="10"/>
      <c r="I55" s="10">
        <f t="shared" si="8"/>
        <v>3127</v>
      </c>
      <c r="J55" s="10">
        <f t="shared" si="6"/>
        <v>321483819.55006814</v>
      </c>
      <c r="K55" s="11">
        <f t="shared" si="7"/>
        <v>2.4890000000000301E-2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100312.2525152498</v>
      </c>
      <c r="D56" s="11">
        <v>2.479E-2</v>
      </c>
      <c r="E56" s="10">
        <f t="shared" si="2"/>
        <v>2426.5856808253884</v>
      </c>
      <c r="F56" s="3"/>
      <c r="G56" s="28"/>
      <c r="H56" s="10"/>
      <c r="I56" s="10">
        <f t="shared" si="8"/>
        <v>3127</v>
      </c>
      <c r="J56" s="10">
        <f t="shared" si="6"/>
        <v>313676413.6151861</v>
      </c>
      <c r="K56" s="11">
        <f t="shared" si="7"/>
        <v>2.4789999999999868E-2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97885.66683442441</v>
      </c>
      <c r="D57" s="11">
        <v>2.4070000000000001E-2</v>
      </c>
      <c r="E57" s="10">
        <f t="shared" si="2"/>
        <v>2300.7294430113107</v>
      </c>
      <c r="F57" s="3"/>
      <c r="G57" s="28"/>
      <c r="H57" s="10"/>
      <c r="I57" s="10">
        <f t="shared" si="8"/>
        <v>3127</v>
      </c>
      <c r="J57" s="10">
        <f t="shared" si="6"/>
        <v>306088480.19124514</v>
      </c>
      <c r="K57" s="11">
        <f t="shared" si="7"/>
        <v>2.4069999999999814E-2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95584.937391413099</v>
      </c>
      <c r="D58" s="11">
        <v>2.3699999999999999E-2</v>
      </c>
      <c r="E58" s="10">
        <f t="shared" si="2"/>
        <v>2212.9168859788042</v>
      </c>
      <c r="F58" s="3"/>
      <c r="G58" s="28"/>
      <c r="H58" s="10"/>
      <c r="I58" s="10">
        <f t="shared" si="8"/>
        <v>3127</v>
      </c>
      <c r="J58" s="10">
        <f t="shared" si="6"/>
        <v>298894099.22294879</v>
      </c>
      <c r="K58" s="11">
        <f t="shared" si="7"/>
        <v>2.3700000000000276E-2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93372.020505434295</v>
      </c>
      <c r="D59" s="11">
        <v>2.274E-2</v>
      </c>
      <c r="E59" s="10">
        <f t="shared" si="2"/>
        <v>2076.0699163947575</v>
      </c>
      <c r="F59" s="3"/>
      <c r="G59" s="28"/>
      <c r="H59" s="10"/>
      <c r="I59" s="10">
        <f t="shared" si="8"/>
        <v>3127</v>
      </c>
      <c r="J59" s="10">
        <f t="shared" si="6"/>
        <v>291974308.12049305</v>
      </c>
      <c r="K59" s="11">
        <f t="shared" si="7"/>
        <v>2.2740000000000204E-2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91295.950589039538</v>
      </c>
      <c r="D60" s="11">
        <v>2.2759999999999999E-2</v>
      </c>
      <c r="E60" s="10">
        <f t="shared" si="2"/>
        <v>2031.6553594259894</v>
      </c>
      <c r="F60" s="3"/>
      <c r="G60" s="28"/>
      <c r="H60" s="10"/>
      <c r="I60" s="10">
        <f t="shared" si="8"/>
        <v>3127</v>
      </c>
      <c r="J60" s="10">
        <f t="shared" si="6"/>
        <v>285482437.49192661</v>
      </c>
      <c r="K60" s="11">
        <f t="shared" si="7"/>
        <v>2.2759999999999669E-2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89264.295229613548</v>
      </c>
      <c r="D61" s="11">
        <v>2.247E-2</v>
      </c>
      <c r="E61" s="10">
        <f t="shared" si="2"/>
        <v>1961.6895496292418</v>
      </c>
      <c r="F61" s="3"/>
      <c r="G61" s="28"/>
      <c r="H61" s="10"/>
      <c r="I61" s="10">
        <f t="shared" si="8"/>
        <v>3127</v>
      </c>
      <c r="J61" s="10">
        <f t="shared" si="6"/>
        <v>279129451.18300158</v>
      </c>
      <c r="K61" s="11">
        <f t="shared" si="7"/>
        <v>2.246999999999999E-2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87302.605679984306</v>
      </c>
      <c r="D62" s="11">
        <v>2.2239999999999999E-2</v>
      </c>
      <c r="E62" s="10">
        <f t="shared" si="2"/>
        <v>1899.368005872253</v>
      </c>
      <c r="F62" s="3"/>
      <c r="G62" s="28"/>
      <c r="H62" s="10"/>
      <c r="I62" s="10">
        <f t="shared" si="8"/>
        <v>3127</v>
      </c>
      <c r="J62" s="10">
        <f t="shared" si="6"/>
        <v>272995247.96131092</v>
      </c>
      <c r="K62" s="11">
        <f t="shared" si="7"/>
        <v>2.2240000000000038E-2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85403.237674112053</v>
      </c>
      <c r="D63" s="11">
        <v>2.1440000000000001E-2</v>
      </c>
      <c r="E63" s="10">
        <f t="shared" si="2"/>
        <v>1792.6118183475774</v>
      </c>
      <c r="F63" s="3"/>
      <c r="G63" s="28"/>
      <c r="H63" s="10"/>
      <c r="I63" s="10">
        <f t="shared" si="8"/>
        <v>3127</v>
      </c>
      <c r="J63" s="10">
        <f t="shared" si="6"/>
        <v>267055924.2069484</v>
      </c>
      <c r="K63" s="11">
        <f t="shared" si="7"/>
        <v>2.1439999999999904E-2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83610.625855764476</v>
      </c>
      <c r="D64" s="11">
        <v>2.1239999999999998E-2</v>
      </c>
      <c r="E64" s="10">
        <f t="shared" si="2"/>
        <v>1738.9543037644762</v>
      </c>
      <c r="F64" s="3"/>
      <c r="G64" s="28"/>
      <c r="H64" s="10"/>
      <c r="I64" s="10">
        <f t="shared" si="8"/>
        <v>3127</v>
      </c>
      <c r="J64" s="10">
        <f t="shared" si="6"/>
        <v>261450427.05097553</v>
      </c>
      <c r="K64" s="11">
        <f t="shared" si="7"/>
        <v>2.1239999999999926E-2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81871.671552</v>
      </c>
      <c r="D65" s="11">
        <v>2.0799999999999999E-2</v>
      </c>
      <c r="E65" s="10">
        <f t="shared" si="2"/>
        <v>1668.2315519999975</v>
      </c>
      <c r="F65" s="3"/>
      <c r="G65" s="28"/>
      <c r="H65" s="10"/>
      <c r="I65" s="10">
        <f t="shared" si="8"/>
        <v>3127</v>
      </c>
      <c r="J65" s="10">
        <f t="shared" si="6"/>
        <v>256012716.943104</v>
      </c>
      <c r="K65" s="11">
        <f t="shared" si="7"/>
        <v>2.079999999999993E-2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80203.44</v>
      </c>
      <c r="D66" s="11">
        <v>2.0400000000000001E-2</v>
      </c>
      <c r="E66" s="10">
        <f t="shared" si="2"/>
        <v>1603.4400000000023</v>
      </c>
      <c r="F66" s="10">
        <v>239092</v>
      </c>
      <c r="G66" s="28"/>
      <c r="H66" s="10"/>
      <c r="I66" s="10">
        <f t="shared" si="8"/>
        <v>3127</v>
      </c>
      <c r="J66" s="10">
        <f t="shared" ref="J66:J67" si="9">IF(I66="","",I66*C66)</f>
        <v>250796156.88</v>
      </c>
      <c r="K66" s="11">
        <f t="shared" ref="K66" si="10">IFERROR(J66/J67-1,"")</f>
        <v>2.0399999999999974E-2</v>
      </c>
    </row>
    <row r="67" spans="1:11" ht="22.5" customHeight="1">
      <c r="A67" s="3">
        <f t="shared" si="0"/>
        <v>1950</v>
      </c>
      <c r="B67" s="3">
        <v>1700</v>
      </c>
      <c r="C67" s="10">
        <v>78600</v>
      </c>
      <c r="D67" s="11">
        <v>2.0209999999999999E-2</v>
      </c>
      <c r="E67" s="3" t="s">
        <v>72</v>
      </c>
      <c r="F67" s="10">
        <f>SUM(C2)</f>
        <v>238996.80525892126</v>
      </c>
      <c r="G67" s="28"/>
      <c r="H67" s="10"/>
      <c r="I67" s="10">
        <f t="shared" ref="I67" si="11">IF(H67&lt;&gt;"",H67,I66/(1+IF(G66="",0,G66)/100))</f>
        <v>3127</v>
      </c>
      <c r="J67" s="10">
        <f t="shared" si="9"/>
        <v>245782200</v>
      </c>
      <c r="K67" s="11"/>
    </row>
  </sheetData>
  <dataValidations count="1">
    <dataValidation type="custom" allowBlank="1" showDropDown="1" sqref="D2:D67" xr:uid="{00000000-0002-0000-3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22832299.420154601</v>
      </c>
      <c r="D2" s="11">
        <v>8.2500000000000004E-3</v>
      </c>
      <c r="E2" s="10">
        <f t="shared" ref="E2:E66" si="2">SUM(C2-C3)</f>
        <v>186825.16262462363</v>
      </c>
      <c r="F2" s="15">
        <v>22833760</v>
      </c>
      <c r="G2" s="28"/>
      <c r="H2" s="10"/>
      <c r="I2" s="10">
        <f>IF(H2&lt;&gt;"",H2,2937)</f>
        <v>2937</v>
      </c>
      <c r="J2" s="10">
        <f t="shared" ref="J2:J33" si="3">IF(I2="","",I2*C2)</f>
        <v>67058463396.994064</v>
      </c>
      <c r="K2" s="11">
        <f t="shared" ref="K2:K33" si="4">IFERROR(J2/J3-1,"")</f>
        <v>8.2500000000000906E-3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22645474.257529978</v>
      </c>
      <c r="D3" s="11">
        <v>8.6199999999999992E-3</v>
      </c>
      <c r="E3" s="10">
        <f t="shared" si="2"/>
        <v>193535.71027731895</v>
      </c>
      <c r="F3" s="3"/>
      <c r="G3" s="28"/>
      <c r="H3" s="10"/>
      <c r="I3" s="10">
        <f t="shared" ref="I3:I34" si="5">IF(H3&lt;&gt;"",H3,I2/(1+IF(G2="",0,G2)/100))</f>
        <v>2937</v>
      </c>
      <c r="J3" s="10">
        <f t="shared" si="3"/>
        <v>66509757894.365547</v>
      </c>
      <c r="K3" s="11">
        <f t="shared" si="4"/>
        <v>8.620000000000072E-3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22451938.547252659</v>
      </c>
      <c r="D4" s="11">
        <v>8.9700000000000005E-3</v>
      </c>
      <c r="E4" s="10">
        <f t="shared" si="2"/>
        <v>199603.44585949555</v>
      </c>
      <c r="F4" s="3"/>
      <c r="G4" s="28"/>
      <c r="H4" s="10"/>
      <c r="I4" s="10">
        <f t="shared" si="5"/>
        <v>2937</v>
      </c>
      <c r="J4" s="10">
        <f t="shared" si="3"/>
        <v>65941343513.281059</v>
      </c>
      <c r="K4" s="11">
        <f t="shared" si="4"/>
        <v>8.9699999999999225E-3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22252335.101393163</v>
      </c>
      <c r="D5" s="11">
        <v>8.8400000000000006E-3</v>
      </c>
      <c r="E5" s="10">
        <f t="shared" si="2"/>
        <v>194986.95759120956</v>
      </c>
      <c r="F5" s="3"/>
      <c r="G5" s="28"/>
      <c r="H5" s="10"/>
      <c r="I5" s="10">
        <f t="shared" si="5"/>
        <v>2937</v>
      </c>
      <c r="J5" s="10">
        <f t="shared" si="3"/>
        <v>65355108192.791718</v>
      </c>
      <c r="K5" s="11">
        <f t="shared" si="4"/>
        <v>8.839999999999959E-3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22057348.143801954</v>
      </c>
      <c r="D6" s="11">
        <v>6.3600000000000002E-3</v>
      </c>
      <c r="E6" s="10">
        <f t="shared" si="2"/>
        <v>139398.16188498959</v>
      </c>
      <c r="F6" s="3"/>
      <c r="G6" s="28"/>
      <c r="H6" s="10"/>
      <c r="I6" s="10">
        <f t="shared" si="5"/>
        <v>2937</v>
      </c>
      <c r="J6" s="10">
        <f t="shared" si="3"/>
        <v>64782431498.346336</v>
      </c>
      <c r="K6" s="11">
        <f t="shared" si="4"/>
        <v>6.3599999999999213E-3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21917949.981916964</v>
      </c>
      <c r="D7" s="11">
        <v>6.0499999999999998E-3</v>
      </c>
      <c r="E7" s="10">
        <f t="shared" si="2"/>
        <v>131806.17006172612</v>
      </c>
      <c r="F7" s="3"/>
      <c r="G7" s="28"/>
      <c r="H7" s="10"/>
      <c r="I7" s="10">
        <f t="shared" si="5"/>
        <v>2937</v>
      </c>
      <c r="J7" s="10">
        <f t="shared" si="3"/>
        <v>64373019096.890121</v>
      </c>
      <c r="K7" s="11">
        <f t="shared" si="4"/>
        <v>6.0500000000001108E-3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21786143.811855238</v>
      </c>
      <c r="D8" s="11">
        <v>5.7299999999999999E-3</v>
      </c>
      <c r="E8" s="10">
        <f t="shared" si="2"/>
        <v>124123.37709119916</v>
      </c>
      <c r="F8" s="3"/>
      <c r="G8" s="28"/>
      <c r="H8" s="10"/>
      <c r="I8" s="10">
        <f t="shared" si="5"/>
        <v>2937</v>
      </c>
      <c r="J8" s="10">
        <f t="shared" si="3"/>
        <v>63985904375.418831</v>
      </c>
      <c r="K8" s="11">
        <f t="shared" si="4"/>
        <v>5.7300000000000129E-3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21662020.434764039</v>
      </c>
      <c r="D9" s="11">
        <v>6.5500000000000003E-3</v>
      </c>
      <c r="E9" s="10">
        <f t="shared" si="2"/>
        <v>140962.92667796463</v>
      </c>
      <c r="F9" s="3"/>
      <c r="G9" s="28"/>
      <c r="H9" s="10"/>
      <c r="I9" s="10">
        <f t="shared" si="5"/>
        <v>2937</v>
      </c>
      <c r="J9" s="10">
        <f t="shared" si="3"/>
        <v>63621354016.901985</v>
      </c>
      <c r="K9" s="11">
        <f t="shared" si="4"/>
        <v>6.5500000000000558E-3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21521057.508086074</v>
      </c>
      <c r="D10" s="11">
        <v>6.7600000000000004E-3</v>
      </c>
      <c r="E10" s="10">
        <f t="shared" si="2"/>
        <v>144505.49163123593</v>
      </c>
      <c r="F10" s="3"/>
      <c r="G10" s="28"/>
      <c r="H10" s="10"/>
      <c r="I10" s="10">
        <f t="shared" si="5"/>
        <v>2937</v>
      </c>
      <c r="J10" s="10">
        <f t="shared" si="3"/>
        <v>63207345901.248802</v>
      </c>
      <c r="K10" s="11">
        <f t="shared" si="4"/>
        <v>6.7600000000000993E-3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21376552.016454838</v>
      </c>
      <c r="D11" s="11">
        <v>6.96E-3</v>
      </c>
      <c r="E11" s="10">
        <f t="shared" si="2"/>
        <v>147752.44501720741</v>
      </c>
      <c r="F11" s="3"/>
      <c r="G11" s="28"/>
      <c r="H11" s="10"/>
      <c r="I11" s="10">
        <f t="shared" si="5"/>
        <v>2937</v>
      </c>
      <c r="J11" s="10">
        <f t="shared" si="3"/>
        <v>62782933272.327858</v>
      </c>
      <c r="K11" s="11">
        <f t="shared" si="4"/>
        <v>6.9600000000000772E-3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21228799.571437631</v>
      </c>
      <c r="D12" s="11">
        <v>6.43E-3</v>
      </c>
      <c r="E12" s="10">
        <f t="shared" si="2"/>
        <v>135629.08621994779</v>
      </c>
      <c r="F12" s="3"/>
      <c r="G12" s="28"/>
      <c r="H12" s="10"/>
      <c r="I12" s="10">
        <f t="shared" si="5"/>
        <v>2937</v>
      </c>
      <c r="J12" s="10">
        <f t="shared" si="3"/>
        <v>62348984341.312325</v>
      </c>
      <c r="K12" s="11">
        <f t="shared" si="4"/>
        <v>6.4299999999999358E-3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21093170.485217683</v>
      </c>
      <c r="D13" s="11">
        <v>6.3600000000000002E-3</v>
      </c>
      <c r="E13" s="10">
        <f t="shared" si="2"/>
        <v>133304.74610078335</v>
      </c>
      <c r="F13" s="3"/>
      <c r="G13" s="28"/>
      <c r="H13" s="10"/>
      <c r="I13" s="10">
        <f t="shared" si="5"/>
        <v>2937</v>
      </c>
      <c r="J13" s="10">
        <f t="shared" si="3"/>
        <v>61950641715.084335</v>
      </c>
      <c r="K13" s="11">
        <f t="shared" si="4"/>
        <v>6.3600000000001433E-3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20959865.7391169</v>
      </c>
      <c r="D14" s="11">
        <v>7.2399999999999999E-3</v>
      </c>
      <c r="E14" s="10">
        <f t="shared" si="2"/>
        <v>150658.65925817564</v>
      </c>
      <c r="F14" s="3"/>
      <c r="G14" s="28"/>
      <c r="H14" s="10"/>
      <c r="I14" s="10">
        <f t="shared" si="5"/>
        <v>2937</v>
      </c>
      <c r="J14" s="10">
        <f t="shared" si="3"/>
        <v>61559125675.786331</v>
      </c>
      <c r="K14" s="11">
        <f t="shared" si="4"/>
        <v>7.2399999999999132E-3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20809207.079858724</v>
      </c>
      <c r="D15" s="11">
        <v>7.43E-3</v>
      </c>
      <c r="E15" s="10">
        <f t="shared" si="2"/>
        <v>153472.11081995815</v>
      </c>
      <c r="F15" s="3"/>
      <c r="G15" s="28"/>
      <c r="H15" s="10"/>
      <c r="I15" s="10">
        <f t="shared" si="5"/>
        <v>2937</v>
      </c>
      <c r="J15" s="10">
        <f t="shared" si="3"/>
        <v>61116641193.545074</v>
      </c>
      <c r="K15" s="11">
        <f t="shared" si="4"/>
        <v>7.4300000000000477E-3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20655734.969038766</v>
      </c>
      <c r="D16" s="11">
        <v>1.345E-2</v>
      </c>
      <c r="E16" s="10">
        <f t="shared" si="2"/>
        <v>274132.55250241235</v>
      </c>
      <c r="F16" s="3"/>
      <c r="G16" s="28"/>
      <c r="H16" s="10"/>
      <c r="I16" s="10">
        <f t="shared" si="5"/>
        <v>2937</v>
      </c>
      <c r="J16" s="10">
        <f t="shared" si="3"/>
        <v>60665893604.066856</v>
      </c>
      <c r="K16" s="11">
        <f t="shared" si="4"/>
        <v>1.3449999999999962E-2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20381602.416536354</v>
      </c>
      <c r="D17" s="11">
        <v>1.8190000000000001E-2</v>
      </c>
      <c r="E17" s="10">
        <f t="shared" si="2"/>
        <v>364118.04079473764</v>
      </c>
      <c r="F17" s="3"/>
      <c r="G17" s="28"/>
      <c r="H17" s="10"/>
      <c r="I17" s="10">
        <f t="shared" si="5"/>
        <v>2937</v>
      </c>
      <c r="J17" s="10">
        <f t="shared" si="3"/>
        <v>59860766297.367271</v>
      </c>
      <c r="K17" s="11">
        <f t="shared" si="4"/>
        <v>1.8189999999999928E-2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20017484.375741616</v>
      </c>
      <c r="D18" s="11">
        <v>1.8249999999999999E-2</v>
      </c>
      <c r="E18" s="10">
        <f t="shared" si="2"/>
        <v>358771.50980337337</v>
      </c>
      <c r="F18" s="3"/>
      <c r="G18" s="28"/>
      <c r="H18" s="10"/>
      <c r="I18" s="10">
        <f t="shared" si="5"/>
        <v>2937</v>
      </c>
      <c r="J18" s="10">
        <f t="shared" si="3"/>
        <v>58791351611.553123</v>
      </c>
      <c r="K18" s="11">
        <f t="shared" si="4"/>
        <v>1.8249999999999877E-2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19658712.865938243</v>
      </c>
      <c r="D19" s="11">
        <v>1.8919999999999999E-2</v>
      </c>
      <c r="E19" s="10">
        <f t="shared" si="2"/>
        <v>365036.35950177908</v>
      </c>
      <c r="F19" s="3"/>
      <c r="G19" s="28"/>
      <c r="H19" s="10"/>
      <c r="I19" s="10">
        <f t="shared" si="5"/>
        <v>2937</v>
      </c>
      <c r="J19" s="10">
        <f t="shared" si="3"/>
        <v>57737639687.26062</v>
      </c>
      <c r="K19" s="11">
        <f t="shared" si="4"/>
        <v>1.8920000000000048E-2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19293676.506436463</v>
      </c>
      <c r="D20" s="11">
        <v>1.8839999999999999E-2</v>
      </c>
      <c r="E20" s="10">
        <f t="shared" si="2"/>
        <v>356771.29419856146</v>
      </c>
      <c r="F20" s="3"/>
      <c r="G20" s="28"/>
      <c r="H20" s="10"/>
      <c r="I20" s="10">
        <f t="shared" si="5"/>
        <v>2937</v>
      </c>
      <c r="J20" s="10">
        <f t="shared" si="3"/>
        <v>56665527899.403893</v>
      </c>
      <c r="K20" s="11">
        <f t="shared" si="4"/>
        <v>1.8839999999999968E-2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18936905.212237902</v>
      </c>
      <c r="D21" s="11">
        <v>1.9130000000000001E-2</v>
      </c>
      <c r="E21" s="10">
        <f t="shared" si="2"/>
        <v>355462.98971683159</v>
      </c>
      <c r="F21" s="3"/>
      <c r="G21" s="28"/>
      <c r="H21" s="10"/>
      <c r="I21" s="10">
        <f t="shared" si="5"/>
        <v>2937</v>
      </c>
      <c r="J21" s="10">
        <f t="shared" si="3"/>
        <v>55617690608.34272</v>
      </c>
      <c r="K21" s="11">
        <f t="shared" si="4"/>
        <v>1.9130000000000313E-2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18581442.22252107</v>
      </c>
      <c r="D22" s="11">
        <v>1.932E-2</v>
      </c>
      <c r="E22" s="10">
        <f t="shared" si="2"/>
        <v>352189.16899413988</v>
      </c>
      <c r="F22" s="3"/>
      <c r="G22" s="28"/>
      <c r="H22" s="10"/>
      <c r="I22" s="10">
        <f t="shared" si="5"/>
        <v>2937</v>
      </c>
      <c r="J22" s="10">
        <f t="shared" si="3"/>
        <v>54573695807.54438</v>
      </c>
      <c r="K22" s="11">
        <f t="shared" si="4"/>
        <v>1.9320000000000004E-2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18229253.053526931</v>
      </c>
      <c r="D23" s="11">
        <v>1.3729999999999999E-2</v>
      </c>
      <c r="E23" s="10">
        <f t="shared" si="2"/>
        <v>246897.73847565427</v>
      </c>
      <c r="F23" s="3"/>
      <c r="G23" s="28"/>
      <c r="H23" s="10"/>
      <c r="I23" s="10">
        <f t="shared" si="5"/>
        <v>2937</v>
      </c>
      <c r="J23" s="10">
        <f t="shared" si="3"/>
        <v>53539316218.208595</v>
      </c>
      <c r="K23" s="11">
        <f t="shared" si="4"/>
        <v>1.373000000000002E-2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17982355.315051276</v>
      </c>
      <c r="D24" s="11">
        <v>1.542E-2</v>
      </c>
      <c r="E24" s="10">
        <f t="shared" si="2"/>
        <v>273077.07053051144</v>
      </c>
      <c r="F24" s="3"/>
      <c r="G24" s="28"/>
      <c r="H24" s="10"/>
      <c r="I24" s="10">
        <f t="shared" si="5"/>
        <v>2937</v>
      </c>
      <c r="J24" s="10">
        <f t="shared" si="3"/>
        <v>52814177560.305595</v>
      </c>
      <c r="K24" s="11">
        <f t="shared" si="4"/>
        <v>1.5419999999999989E-2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17709278.244520765</v>
      </c>
      <c r="D25" s="11">
        <v>1.857E-2</v>
      </c>
      <c r="E25" s="10">
        <f t="shared" si="2"/>
        <v>322865.68129902706</v>
      </c>
      <c r="F25" s="3"/>
      <c r="G25" s="28"/>
      <c r="H25" s="10"/>
      <c r="I25" s="10">
        <f t="shared" si="5"/>
        <v>2937</v>
      </c>
      <c r="J25" s="10">
        <f t="shared" si="3"/>
        <v>52012150204.157486</v>
      </c>
      <c r="K25" s="11">
        <f t="shared" si="4"/>
        <v>1.8569999999999975E-2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17386412.563221738</v>
      </c>
      <c r="D26" s="11">
        <v>1.3180000000000001E-2</v>
      </c>
      <c r="E26" s="10">
        <f t="shared" si="2"/>
        <v>226171.97100540996</v>
      </c>
      <c r="F26" s="3"/>
      <c r="G26" s="28"/>
      <c r="H26" s="10"/>
      <c r="I26" s="10">
        <f t="shared" si="5"/>
        <v>2937</v>
      </c>
      <c r="J26" s="10">
        <f t="shared" si="3"/>
        <v>51063893698.182243</v>
      </c>
      <c r="K26" s="11">
        <f t="shared" si="4"/>
        <v>1.317999999999997E-2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17160240.592216328</v>
      </c>
      <c r="D27" s="11">
        <v>1.7600000000000001E-3</v>
      </c>
      <c r="E27" s="10">
        <f t="shared" si="2"/>
        <v>30148.961270462722</v>
      </c>
      <c r="F27" s="3"/>
      <c r="G27" s="28"/>
      <c r="H27" s="10"/>
      <c r="I27" s="10">
        <f t="shared" si="5"/>
        <v>2937</v>
      </c>
      <c r="J27" s="10">
        <f t="shared" si="3"/>
        <v>50399626619.339355</v>
      </c>
      <c r="K27" s="11">
        <f t="shared" si="4"/>
        <v>1.7599999999999838E-3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17130091.630945865</v>
      </c>
      <c r="D28" s="11">
        <v>1.102E-2</v>
      </c>
      <c r="E28" s="10">
        <f t="shared" si="2"/>
        <v>186715.99945898727</v>
      </c>
      <c r="F28" s="3"/>
      <c r="G28" s="28"/>
      <c r="H28" s="10"/>
      <c r="I28" s="10">
        <f t="shared" si="5"/>
        <v>2937</v>
      </c>
      <c r="J28" s="10">
        <f t="shared" si="3"/>
        <v>50311079120.088005</v>
      </c>
      <c r="K28" s="11">
        <f t="shared" si="4"/>
        <v>1.102000000000003E-2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16943375.631486878</v>
      </c>
      <c r="D29" s="11">
        <v>0.01</v>
      </c>
      <c r="E29" s="10">
        <f t="shared" si="2"/>
        <v>167756.19437115826</v>
      </c>
      <c r="F29" s="3"/>
      <c r="G29" s="28"/>
      <c r="H29" s="10"/>
      <c r="I29" s="10">
        <f t="shared" si="5"/>
        <v>2937</v>
      </c>
      <c r="J29" s="10">
        <f t="shared" si="3"/>
        <v>49762694229.676964</v>
      </c>
      <c r="K29" s="11">
        <f t="shared" si="4"/>
        <v>1.0000000000000231E-2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16775619.43711572</v>
      </c>
      <c r="D30" s="11">
        <v>1.026E-2</v>
      </c>
      <c r="E30" s="10">
        <f t="shared" si="2"/>
        <v>170369.86065449193</v>
      </c>
      <c r="F30" s="3"/>
      <c r="G30" s="28"/>
      <c r="H30" s="10"/>
      <c r="I30" s="10">
        <f t="shared" si="5"/>
        <v>2937</v>
      </c>
      <c r="J30" s="10">
        <f t="shared" si="3"/>
        <v>49269994286.808868</v>
      </c>
      <c r="K30" s="11">
        <f t="shared" si="4"/>
        <v>1.0259999999999936E-2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16605249.576461228</v>
      </c>
      <c r="D31" s="11">
        <v>1.3180000000000001E-2</v>
      </c>
      <c r="E31" s="10">
        <f t="shared" si="2"/>
        <v>216010.17530720867</v>
      </c>
      <c r="F31" s="3"/>
      <c r="G31" s="28"/>
      <c r="H31" s="10"/>
      <c r="I31" s="10">
        <f t="shared" si="5"/>
        <v>2937</v>
      </c>
      <c r="J31" s="10">
        <f t="shared" si="3"/>
        <v>48769618006.066628</v>
      </c>
      <c r="K31" s="11">
        <f t="shared" si="4"/>
        <v>1.317999999999997E-2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16389239.401154019</v>
      </c>
      <c r="D32" s="11">
        <v>1.074E-2</v>
      </c>
      <c r="E32" s="10">
        <f t="shared" si="2"/>
        <v>174150.05952905118</v>
      </c>
      <c r="F32" s="3"/>
      <c r="G32" s="28"/>
      <c r="H32" s="10"/>
      <c r="I32" s="10">
        <f t="shared" si="5"/>
        <v>2937</v>
      </c>
      <c r="J32" s="10">
        <f t="shared" si="3"/>
        <v>48135196121.189354</v>
      </c>
      <c r="K32" s="11">
        <f t="shared" si="4"/>
        <v>1.0739999999999972E-2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16215089.341624968</v>
      </c>
      <c r="D33" s="11">
        <v>2.4399999999999999E-3</v>
      </c>
      <c r="E33" s="10">
        <f t="shared" si="2"/>
        <v>39468.51481741108</v>
      </c>
      <c r="F33" s="3"/>
      <c r="G33" s="28"/>
      <c r="H33" s="10"/>
      <c r="I33" s="10">
        <f t="shared" si="5"/>
        <v>2937</v>
      </c>
      <c r="J33" s="10">
        <f t="shared" si="3"/>
        <v>47623717396.352531</v>
      </c>
      <c r="K33" s="11">
        <f t="shared" si="4"/>
        <v>2.4399999999999977E-3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16175620.826807557</v>
      </c>
      <c r="D34" s="11">
        <v>4.45E-3</v>
      </c>
      <c r="E34" s="10">
        <f t="shared" si="2"/>
        <v>71662.61404678598</v>
      </c>
      <c r="F34" s="3"/>
      <c r="G34" s="28"/>
      <c r="H34" s="10"/>
      <c r="I34" s="10">
        <f t="shared" si="5"/>
        <v>2937</v>
      </c>
      <c r="J34" s="10">
        <f t="shared" ref="J34:J65" si="6">IF(I34="","",I34*C34)</f>
        <v>47507798368.333794</v>
      </c>
      <c r="K34" s="11">
        <f t="shared" ref="K34:K65" si="7">IFERROR(J34/J35-1,"")</f>
        <v>4.450000000000065E-3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16103958.212760771</v>
      </c>
      <c r="D35" s="11">
        <v>8.8999999999999999E-3</v>
      </c>
      <c r="E35" s="10">
        <f t="shared" si="2"/>
        <v>142060.88620633259</v>
      </c>
      <c r="F35" s="3"/>
      <c r="G35" s="28"/>
      <c r="H35" s="10"/>
      <c r="I35" s="10">
        <f t="shared" ref="I35:I66" si="8">IF(H35&lt;&gt;"",H35,I34/(1+IF(G34="",0,G34)/100))</f>
        <v>2937</v>
      </c>
      <c r="J35" s="10">
        <f t="shared" si="6"/>
        <v>47297325270.87838</v>
      </c>
      <c r="K35" s="11">
        <f t="shared" si="7"/>
        <v>8.8999999999996859E-3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15961897.326554438</v>
      </c>
      <c r="D36" s="11">
        <v>1.5779999999999999E-2</v>
      </c>
      <c r="E36" s="10">
        <f t="shared" si="2"/>
        <v>247965.83887557127</v>
      </c>
      <c r="F36" s="3"/>
      <c r="G36" s="28"/>
      <c r="H36" s="10"/>
      <c r="I36" s="10">
        <f t="shared" si="8"/>
        <v>2937</v>
      </c>
      <c r="J36" s="10">
        <f t="shared" si="6"/>
        <v>46880092448.090385</v>
      </c>
      <c r="K36" s="11">
        <f t="shared" si="7"/>
        <v>1.5779999999999905E-2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15713931.487678867</v>
      </c>
      <c r="D37" s="11">
        <v>1.7819999999999999E-2</v>
      </c>
      <c r="E37" s="10">
        <f t="shared" si="2"/>
        <v>275119.62735104188</v>
      </c>
      <c r="F37" s="3"/>
      <c r="G37" s="28"/>
      <c r="H37" s="10"/>
      <c r="I37" s="10">
        <f t="shared" si="8"/>
        <v>2937</v>
      </c>
      <c r="J37" s="10">
        <f t="shared" si="6"/>
        <v>46151816779.312836</v>
      </c>
      <c r="K37" s="11">
        <f t="shared" si="7"/>
        <v>1.7820000000000169E-2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15438811.860327825</v>
      </c>
      <c r="D38" s="11">
        <v>1.866E-2</v>
      </c>
      <c r="E38" s="10">
        <f t="shared" si="2"/>
        <v>282810.97649236768</v>
      </c>
      <c r="F38" s="3"/>
      <c r="G38" s="28"/>
      <c r="H38" s="10"/>
      <c r="I38" s="10">
        <f t="shared" si="8"/>
        <v>2937</v>
      </c>
      <c r="J38" s="10">
        <f t="shared" si="6"/>
        <v>45343790433.782822</v>
      </c>
      <c r="K38" s="11">
        <f t="shared" si="7"/>
        <v>1.8659999999999899E-2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15156000.883835457</v>
      </c>
      <c r="D39" s="11">
        <v>1.865E-2</v>
      </c>
      <c r="E39" s="10">
        <f t="shared" si="2"/>
        <v>277484.33366075903</v>
      </c>
      <c r="F39" s="3"/>
      <c r="G39" s="28"/>
      <c r="H39" s="10"/>
      <c r="I39" s="10">
        <f t="shared" si="8"/>
        <v>2937</v>
      </c>
      <c r="J39" s="10">
        <f t="shared" si="6"/>
        <v>44513174595.824738</v>
      </c>
      <c r="K39" s="11">
        <f t="shared" si="7"/>
        <v>1.8650000000000055E-2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14878516.550174698</v>
      </c>
      <c r="D40" s="11">
        <v>1.813E-2</v>
      </c>
      <c r="E40" s="10">
        <f t="shared" si="2"/>
        <v>264944.06908220612</v>
      </c>
      <c r="F40" s="3"/>
      <c r="G40" s="28"/>
      <c r="H40" s="10"/>
      <c r="I40" s="10">
        <f t="shared" si="8"/>
        <v>2937</v>
      </c>
      <c r="J40" s="10">
        <f t="shared" si="6"/>
        <v>43698203107.863091</v>
      </c>
      <c r="K40" s="11">
        <f t="shared" si="7"/>
        <v>1.8129999999999979E-2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14613572.481092492</v>
      </c>
      <c r="D41" s="11">
        <v>1.8159999999999999E-2</v>
      </c>
      <c r="E41" s="10">
        <f t="shared" si="2"/>
        <v>260649.08880396001</v>
      </c>
      <c r="F41" s="3"/>
      <c r="G41" s="28"/>
      <c r="H41" s="10"/>
      <c r="I41" s="10">
        <f t="shared" si="8"/>
        <v>2937</v>
      </c>
      <c r="J41" s="10">
        <f t="shared" si="6"/>
        <v>42920062376.968651</v>
      </c>
      <c r="K41" s="11">
        <f t="shared" si="7"/>
        <v>1.8159999999999954E-2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14352923.392288532</v>
      </c>
      <c r="D42" s="11">
        <v>1.8079999999999999E-2</v>
      </c>
      <c r="E42" s="10">
        <f t="shared" si="2"/>
        <v>254892.40033452958</v>
      </c>
      <c r="F42" s="3"/>
      <c r="G42" s="28"/>
      <c r="H42" s="10"/>
      <c r="I42" s="10">
        <f t="shared" si="8"/>
        <v>2937</v>
      </c>
      <c r="J42" s="10">
        <f t="shared" si="6"/>
        <v>42154536003.151421</v>
      </c>
      <c r="K42" s="11">
        <f t="shared" si="7"/>
        <v>1.8080000000000096E-2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14098030.991954003</v>
      </c>
      <c r="D43" s="11">
        <v>1.8159999999999999E-2</v>
      </c>
      <c r="E43" s="10">
        <f t="shared" si="2"/>
        <v>251453.84106023051</v>
      </c>
      <c r="F43" s="3"/>
      <c r="G43" s="28"/>
      <c r="H43" s="10"/>
      <c r="I43" s="10">
        <f t="shared" si="8"/>
        <v>2937</v>
      </c>
      <c r="J43" s="10">
        <f t="shared" si="6"/>
        <v>41405917023.368904</v>
      </c>
      <c r="K43" s="11">
        <f t="shared" si="7"/>
        <v>1.8159999999999954E-2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13846577.150893772</v>
      </c>
      <c r="D44" s="11">
        <v>1.899E-2</v>
      </c>
      <c r="E44" s="10">
        <f t="shared" si="2"/>
        <v>258046.20270608552</v>
      </c>
      <c r="F44" s="3"/>
      <c r="G44" s="28"/>
      <c r="H44" s="10"/>
      <c r="I44" s="10">
        <f t="shared" si="8"/>
        <v>2937</v>
      </c>
      <c r="J44" s="10">
        <f t="shared" si="6"/>
        <v>40667397092.175011</v>
      </c>
      <c r="K44" s="11">
        <f t="shared" si="7"/>
        <v>1.8990000000000284E-2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13588530.948187687</v>
      </c>
      <c r="D45" s="11">
        <v>1.9939999999999999E-2</v>
      </c>
      <c r="E45" s="10">
        <f t="shared" si="2"/>
        <v>265658.08489407599</v>
      </c>
      <c r="F45" s="3"/>
      <c r="G45" s="28"/>
      <c r="H45" s="10"/>
      <c r="I45" s="10">
        <f t="shared" si="8"/>
        <v>2937</v>
      </c>
      <c r="J45" s="10">
        <f t="shared" si="6"/>
        <v>39909515394.827232</v>
      </c>
      <c r="K45" s="11">
        <f t="shared" si="7"/>
        <v>1.9940000000000069E-2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13322872.863293611</v>
      </c>
      <c r="D46" s="11">
        <v>2.0650000000000002E-2</v>
      </c>
      <c r="E46" s="10">
        <f t="shared" si="2"/>
        <v>269551.09452507086</v>
      </c>
      <c r="F46" s="3"/>
      <c r="G46" s="28"/>
      <c r="H46" s="10"/>
      <c r="I46" s="10">
        <f t="shared" si="8"/>
        <v>2937</v>
      </c>
      <c r="J46" s="10">
        <f t="shared" si="6"/>
        <v>39129277599.493332</v>
      </c>
      <c r="K46" s="11">
        <f t="shared" si="7"/>
        <v>2.0650000000000057E-2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13053321.76876854</v>
      </c>
      <c r="D47" s="11">
        <v>2.2009999999999998E-2</v>
      </c>
      <c r="E47" s="10">
        <f t="shared" si="2"/>
        <v>281116.24360876717</v>
      </c>
      <c r="F47" s="3"/>
      <c r="G47" s="28"/>
      <c r="H47" s="10"/>
      <c r="I47" s="10">
        <f t="shared" si="8"/>
        <v>2937</v>
      </c>
      <c r="J47" s="10">
        <f t="shared" si="6"/>
        <v>38337606034.873199</v>
      </c>
      <c r="K47" s="11">
        <f t="shared" si="7"/>
        <v>2.2010000000000085E-2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12772205.525159772</v>
      </c>
      <c r="D48" s="11">
        <v>2.298E-2</v>
      </c>
      <c r="E48" s="10">
        <f t="shared" si="2"/>
        <v>286912.04419262521</v>
      </c>
      <c r="F48" s="3"/>
      <c r="G48" s="28"/>
      <c r="H48" s="10"/>
      <c r="I48" s="10">
        <f t="shared" si="8"/>
        <v>2937</v>
      </c>
      <c r="J48" s="10">
        <f t="shared" si="6"/>
        <v>37511967627.394249</v>
      </c>
      <c r="K48" s="11">
        <f t="shared" si="7"/>
        <v>2.298E-2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12485293.480967147</v>
      </c>
      <c r="D49" s="11">
        <v>2.3810000000000001E-2</v>
      </c>
      <c r="E49" s="10">
        <f t="shared" si="2"/>
        <v>290361.33440953866</v>
      </c>
      <c r="F49" s="3"/>
      <c r="G49" s="28"/>
      <c r="H49" s="10"/>
      <c r="I49" s="10">
        <f t="shared" si="8"/>
        <v>2937</v>
      </c>
      <c r="J49" s="10">
        <f t="shared" si="6"/>
        <v>36669306953.60051</v>
      </c>
      <c r="K49" s="11">
        <f t="shared" si="7"/>
        <v>2.3810000000000109E-2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12194932.146557609</v>
      </c>
      <c r="D50" s="11">
        <v>2.427E-2</v>
      </c>
      <c r="E50" s="10">
        <f t="shared" si="2"/>
        <v>288957.99271379039</v>
      </c>
      <c r="F50" s="3"/>
      <c r="G50" s="28"/>
      <c r="H50" s="10"/>
      <c r="I50" s="10">
        <f t="shared" si="8"/>
        <v>2937</v>
      </c>
      <c r="J50" s="10">
        <f t="shared" si="6"/>
        <v>35816515714.439697</v>
      </c>
      <c r="K50" s="11">
        <f t="shared" si="7"/>
        <v>2.4270000000000014E-2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11905974.153843818</v>
      </c>
      <c r="D51" s="11">
        <v>2.4029999999999999E-2</v>
      </c>
      <c r="E51" s="10">
        <f t="shared" si="2"/>
        <v>279386.89190440439</v>
      </c>
      <c r="F51" s="3"/>
      <c r="G51" s="28"/>
      <c r="H51" s="10"/>
      <c r="I51" s="10">
        <f t="shared" si="8"/>
        <v>2937</v>
      </c>
      <c r="J51" s="10">
        <f t="shared" si="6"/>
        <v>34967846089.839294</v>
      </c>
      <c r="K51" s="11">
        <f t="shared" si="7"/>
        <v>2.4029999999999996E-2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11626587.261939414</v>
      </c>
      <c r="D52" s="11">
        <v>2.4289999999999999E-2</v>
      </c>
      <c r="E52" s="10">
        <f t="shared" si="2"/>
        <v>275712.7420872096</v>
      </c>
      <c r="F52" s="3"/>
      <c r="G52" s="28"/>
      <c r="H52" s="10"/>
      <c r="I52" s="10">
        <f t="shared" si="8"/>
        <v>2937</v>
      </c>
      <c r="J52" s="10">
        <f t="shared" si="6"/>
        <v>34147286788.316059</v>
      </c>
      <c r="K52" s="11">
        <f t="shared" si="7"/>
        <v>2.4289999999999923E-2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11350874.519852204</v>
      </c>
      <c r="D53" s="11">
        <v>2.4590000000000001E-2</v>
      </c>
      <c r="E53" s="10">
        <f t="shared" si="2"/>
        <v>272419.21592360362</v>
      </c>
      <c r="F53" s="3"/>
      <c r="G53" s="28"/>
      <c r="H53" s="10"/>
      <c r="I53" s="10">
        <f t="shared" si="8"/>
        <v>2937</v>
      </c>
      <c r="J53" s="10">
        <f t="shared" si="6"/>
        <v>33337518464.805923</v>
      </c>
      <c r="K53" s="11">
        <f t="shared" si="7"/>
        <v>2.458999999999989E-2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11078455.303928601</v>
      </c>
      <c r="D54" s="11">
        <v>2.4510000000000001E-2</v>
      </c>
      <c r="E54" s="10">
        <f t="shared" si="2"/>
        <v>265036.88543722406</v>
      </c>
      <c r="F54" s="3"/>
      <c r="G54" s="28"/>
      <c r="H54" s="10"/>
      <c r="I54" s="10">
        <f t="shared" si="8"/>
        <v>2937</v>
      </c>
      <c r="J54" s="10">
        <f t="shared" si="6"/>
        <v>32537423227.638302</v>
      </c>
      <c r="K54" s="11">
        <f t="shared" si="7"/>
        <v>2.4510000000000032E-2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10813418.418491377</v>
      </c>
      <c r="D55" s="11">
        <v>2.443E-2</v>
      </c>
      <c r="E55" s="10">
        <f t="shared" si="2"/>
        <v>257871.99902750179</v>
      </c>
      <c r="F55" s="3"/>
      <c r="G55" s="28"/>
      <c r="H55" s="10"/>
      <c r="I55" s="10">
        <f t="shared" si="8"/>
        <v>2937</v>
      </c>
      <c r="J55" s="10">
        <f t="shared" si="6"/>
        <v>31759009895.109173</v>
      </c>
      <c r="K55" s="11">
        <f t="shared" si="7"/>
        <v>2.4429999999999952E-2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10555546.419463875</v>
      </c>
      <c r="D56" s="11">
        <v>2.4340000000000001E-2</v>
      </c>
      <c r="E56" s="10">
        <f t="shared" si="2"/>
        <v>250817.11135926656</v>
      </c>
      <c r="F56" s="3"/>
      <c r="G56" s="28"/>
      <c r="H56" s="10"/>
      <c r="I56" s="10">
        <f t="shared" si="8"/>
        <v>2937</v>
      </c>
      <c r="J56" s="10">
        <f t="shared" si="6"/>
        <v>31001639833.965401</v>
      </c>
      <c r="K56" s="11">
        <f t="shared" si="7"/>
        <v>2.4340000000000028E-2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10304729.308104608</v>
      </c>
      <c r="D57" s="11">
        <v>2.4330000000000001E-2</v>
      </c>
      <c r="E57" s="10">
        <f t="shared" si="2"/>
        <v>244759.07575311139</v>
      </c>
      <c r="F57" s="3"/>
      <c r="G57" s="28"/>
      <c r="H57" s="10"/>
      <c r="I57" s="10">
        <f t="shared" si="8"/>
        <v>2937</v>
      </c>
      <c r="J57" s="10">
        <f t="shared" si="6"/>
        <v>30264989977.903233</v>
      </c>
      <c r="K57" s="11">
        <f t="shared" si="7"/>
        <v>2.4329999999999741E-2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10059970.232351497</v>
      </c>
      <c r="D58" s="11">
        <v>2.4119999999999999E-2</v>
      </c>
      <c r="E58" s="10">
        <f t="shared" si="2"/>
        <v>236931.68964996003</v>
      </c>
      <c r="F58" s="3"/>
      <c r="G58" s="28"/>
      <c r="H58" s="10"/>
      <c r="I58" s="10">
        <f t="shared" si="8"/>
        <v>2937</v>
      </c>
      <c r="J58" s="10">
        <f t="shared" si="6"/>
        <v>29546132572.416348</v>
      </c>
      <c r="K58" s="11">
        <f t="shared" si="7"/>
        <v>2.4119999999999919E-2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9823038.5427015368</v>
      </c>
      <c r="D59" s="11">
        <v>2.3369999999999998E-2</v>
      </c>
      <c r="E59" s="10">
        <f t="shared" si="2"/>
        <v>224322.00547498278</v>
      </c>
      <c r="F59" s="3"/>
      <c r="G59" s="28"/>
      <c r="H59" s="10"/>
      <c r="I59" s="10">
        <f t="shared" si="8"/>
        <v>2937</v>
      </c>
      <c r="J59" s="10">
        <f t="shared" si="6"/>
        <v>28850264199.914413</v>
      </c>
      <c r="K59" s="11">
        <f t="shared" si="7"/>
        <v>2.3369999999999891E-2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9598716.537226554</v>
      </c>
      <c r="D60" s="11">
        <v>2.2270000000000002E-2</v>
      </c>
      <c r="E60" s="10">
        <f t="shared" si="2"/>
        <v>209106.61301225238</v>
      </c>
      <c r="F60" s="3"/>
      <c r="G60" s="28"/>
      <c r="H60" s="10"/>
      <c r="I60" s="10">
        <f t="shared" si="8"/>
        <v>2937</v>
      </c>
      <c r="J60" s="10">
        <f t="shared" si="6"/>
        <v>28191430469.834389</v>
      </c>
      <c r="K60" s="11">
        <f t="shared" si="7"/>
        <v>2.2270000000000012E-2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9389609.9242143016</v>
      </c>
      <c r="D61" s="11">
        <v>2.1250000000000002E-2</v>
      </c>
      <c r="E61" s="10">
        <f t="shared" si="2"/>
        <v>195377.44028352946</v>
      </c>
      <c r="F61" s="3"/>
      <c r="G61" s="28"/>
      <c r="H61" s="10"/>
      <c r="I61" s="10">
        <f t="shared" si="8"/>
        <v>2937</v>
      </c>
      <c r="J61" s="10">
        <f t="shared" si="6"/>
        <v>27577284347.417404</v>
      </c>
      <c r="K61" s="11">
        <f t="shared" si="7"/>
        <v>2.1250000000000213E-2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9194232.4839307722</v>
      </c>
      <c r="D62" s="11">
        <v>2.095E-2</v>
      </c>
      <c r="E62" s="10">
        <f t="shared" si="2"/>
        <v>188666.60516024195</v>
      </c>
      <c r="F62" s="3"/>
      <c r="G62" s="28"/>
      <c r="H62" s="10"/>
      <c r="I62" s="10">
        <f t="shared" si="8"/>
        <v>2937</v>
      </c>
      <c r="J62" s="10">
        <f t="shared" si="6"/>
        <v>27003460805.304676</v>
      </c>
      <c r="K62" s="11">
        <f t="shared" si="7"/>
        <v>2.0949999999999802E-2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9005565.8787705302</v>
      </c>
      <c r="D63" s="11">
        <v>2.0619999999999999E-2</v>
      </c>
      <c r="E63" s="10">
        <f t="shared" si="2"/>
        <v>181943.10166393779</v>
      </c>
      <c r="F63" s="3"/>
      <c r="G63" s="28"/>
      <c r="H63" s="10"/>
      <c r="I63" s="10">
        <f t="shared" si="8"/>
        <v>2937</v>
      </c>
      <c r="J63" s="10">
        <f t="shared" si="6"/>
        <v>26449346985.949047</v>
      </c>
      <c r="K63" s="11">
        <f t="shared" si="7"/>
        <v>2.0620000000000083E-2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8823622.7771065924</v>
      </c>
      <c r="D64" s="11">
        <v>2.0230000000000001E-2</v>
      </c>
      <c r="E64" s="10">
        <f t="shared" si="2"/>
        <v>174962.39944019169</v>
      </c>
      <c r="F64" s="3"/>
      <c r="G64" s="28"/>
      <c r="H64" s="10"/>
      <c r="I64" s="10">
        <f t="shared" si="8"/>
        <v>2937</v>
      </c>
      <c r="J64" s="10">
        <f t="shared" si="6"/>
        <v>25914980096.362061</v>
      </c>
      <c r="K64" s="11">
        <f t="shared" si="7"/>
        <v>2.022999999999997E-2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8648660.3776664007</v>
      </c>
      <c r="D65" s="11">
        <v>1.9689999999999999E-2</v>
      </c>
      <c r="E65" s="10">
        <f t="shared" si="2"/>
        <v>167003.81766640022</v>
      </c>
      <c r="F65" s="3"/>
      <c r="G65" s="28"/>
      <c r="H65" s="10"/>
      <c r="I65" s="10">
        <f t="shared" si="8"/>
        <v>2937</v>
      </c>
      <c r="J65" s="10">
        <f t="shared" si="6"/>
        <v>25401115529.206219</v>
      </c>
      <c r="K65" s="11">
        <f t="shared" si="7"/>
        <v>1.9689999999999985E-2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8481656.5600000005</v>
      </c>
      <c r="D66" s="11">
        <v>1.8939999999999999E-2</v>
      </c>
      <c r="E66" s="10">
        <f t="shared" si="2"/>
        <v>157656.56000000052</v>
      </c>
      <c r="F66" s="24">
        <f>SUM(F2)</f>
        <v>22833760</v>
      </c>
      <c r="G66" s="28"/>
      <c r="H66" s="10"/>
      <c r="I66" s="10">
        <f t="shared" si="8"/>
        <v>2937</v>
      </c>
      <c r="J66" s="10">
        <f t="shared" ref="J66:J67" si="9">IF(I66="","",I66*C66)</f>
        <v>24910625316.720001</v>
      </c>
      <c r="K66" s="11">
        <f t="shared" ref="K66" si="10">IFERROR(J66/J67-1,"")</f>
        <v>1.8939999999999957E-2</v>
      </c>
    </row>
    <row r="67" spans="1:11" ht="22.5" customHeight="1">
      <c r="A67" s="3">
        <f t="shared" si="0"/>
        <v>1950</v>
      </c>
      <c r="B67" s="3">
        <v>1700</v>
      </c>
      <c r="C67" s="10">
        <v>8324000</v>
      </c>
      <c r="D67" s="11">
        <v>1.7899999999999999E-2</v>
      </c>
      <c r="E67" s="3" t="s">
        <v>72</v>
      </c>
      <c r="F67" s="10">
        <f>SUM(C2)</f>
        <v>22832299.420154601</v>
      </c>
      <c r="G67" s="28"/>
      <c r="H67" s="10"/>
      <c r="I67" s="10">
        <f t="shared" ref="I67" si="11">IF(H67&lt;&gt;"",H67,I66/(1+IF(G66="",0,G66)/100))</f>
        <v>2937</v>
      </c>
      <c r="J67" s="10">
        <f t="shared" si="9"/>
        <v>24447588000</v>
      </c>
      <c r="K67" s="11"/>
    </row>
  </sheetData>
  <dataValidations count="1">
    <dataValidation type="custom" allowBlank="1" showDropDown="1" sqref="D2:D67" xr:uid="{00000000-0002-0000-3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6" t="s">
        <v>75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>SUM(C3*(1+E1))</f>
        <v>1724704.1780236477</v>
      </c>
      <c r="D2" s="11">
        <v>1.917E-2</v>
      </c>
      <c r="E2" s="10">
        <f t="shared" ref="E2:E66" si="1">SUM(C2-C3)</f>
        <v>17076.278990333201</v>
      </c>
      <c r="F2" s="15">
        <v>1724423</v>
      </c>
      <c r="G2" s="28"/>
      <c r="H2" s="10"/>
      <c r="I2" s="10">
        <f>IF(H2&lt;&gt;"",H2,2444)</f>
        <v>2444</v>
      </c>
      <c r="J2" s="10">
        <f t="shared" ref="J2:J33" si="2">IF(I2="","",I2*C2)</f>
        <v>4215177011.0897951</v>
      </c>
      <c r="K2" s="11">
        <f t="shared" ref="K2:K33" si="3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ref="C3:C66" si="4">SUM(C4*(1+D3))</f>
        <v>1707627.8990333145</v>
      </c>
      <c r="D3" s="11">
        <v>1.983E-2</v>
      </c>
      <c r="E3" s="10">
        <f t="shared" si="1"/>
        <v>33203.829302757047</v>
      </c>
      <c r="F3" s="3"/>
      <c r="G3" s="28"/>
      <c r="H3" s="10"/>
      <c r="I3" s="10">
        <f t="shared" ref="I3:I34" si="5">IF(H3&lt;&gt;"",H3,I2/(1+IF(G2="",0,G2)/100))</f>
        <v>2444</v>
      </c>
      <c r="J3" s="10">
        <f t="shared" si="2"/>
        <v>4173442585.2374206</v>
      </c>
      <c r="K3" s="11">
        <f t="shared" si="3"/>
        <v>1.9830000000000014E-2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4"/>
        <v>1674424.0697305575</v>
      </c>
      <c r="D4" s="11">
        <v>2.2630000000000001E-2</v>
      </c>
      <c r="E4" s="10">
        <f t="shared" si="1"/>
        <v>37053.691655830946</v>
      </c>
      <c r="F4" s="3"/>
      <c r="G4" s="28"/>
      <c r="H4" s="10"/>
      <c r="I4" s="10">
        <f t="shared" si="5"/>
        <v>2444</v>
      </c>
      <c r="J4" s="10">
        <f t="shared" si="2"/>
        <v>4092292426.4214826</v>
      </c>
      <c r="K4" s="11">
        <f t="shared" si="3"/>
        <v>2.2629999999999928E-2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4"/>
        <v>1637370.3780747266</v>
      </c>
      <c r="D5" s="11">
        <v>2.5520000000000001E-2</v>
      </c>
      <c r="E5" s="10">
        <f t="shared" si="1"/>
        <v>40745.857758470811</v>
      </c>
      <c r="F5" s="3"/>
      <c r="G5" s="28"/>
      <c r="H5" s="10"/>
      <c r="I5" s="10">
        <f t="shared" si="5"/>
        <v>2444</v>
      </c>
      <c r="J5" s="10">
        <f t="shared" si="2"/>
        <v>4001733204.0146317</v>
      </c>
      <c r="K5" s="11">
        <f t="shared" si="3"/>
        <v>2.5519999999999987E-2</v>
      </c>
    </row>
    <row r="6" spans="1:13" ht="22.5" customHeight="1">
      <c r="A6" s="3">
        <f t="shared" si="0"/>
        <v>2011</v>
      </c>
      <c r="B6" s="3">
        <v>1761</v>
      </c>
      <c r="C6" s="10">
        <f t="shared" si="4"/>
        <v>1596624.5203162557</v>
      </c>
      <c r="D6" s="11">
        <v>7.6299999999999996E-3</v>
      </c>
      <c r="E6" s="10">
        <f t="shared" si="1"/>
        <v>12089.998402204365</v>
      </c>
      <c r="F6" s="3"/>
      <c r="G6" s="28"/>
      <c r="H6" s="10"/>
      <c r="I6" s="10">
        <f t="shared" si="5"/>
        <v>2444</v>
      </c>
      <c r="J6" s="10">
        <f t="shared" si="2"/>
        <v>3902150327.6529288</v>
      </c>
      <c r="K6" s="11">
        <f t="shared" si="3"/>
        <v>7.6300000000000257E-3</v>
      </c>
    </row>
    <row r="7" spans="1:13" ht="22.5" customHeight="1">
      <c r="A7" s="3">
        <f t="shared" si="0"/>
        <v>2010</v>
      </c>
      <c r="B7" s="3">
        <v>1760</v>
      </c>
      <c r="C7" s="10">
        <f t="shared" si="4"/>
        <v>1584534.5219140514</v>
      </c>
      <c r="D7" s="11">
        <v>3.1900000000000001E-3</v>
      </c>
      <c r="E7" s="10">
        <f t="shared" si="1"/>
        <v>5038.5920163735282</v>
      </c>
      <c r="F7" s="3"/>
      <c r="G7" s="28"/>
      <c r="H7" s="10"/>
      <c r="I7" s="10">
        <f t="shared" si="5"/>
        <v>2444</v>
      </c>
      <c r="J7" s="10">
        <f t="shared" si="2"/>
        <v>3872602371.5579414</v>
      </c>
      <c r="K7" s="11">
        <f t="shared" si="3"/>
        <v>3.1899999999998041E-3</v>
      </c>
    </row>
    <row r="8" spans="1:13" ht="22.5" customHeight="1">
      <c r="A8" s="3">
        <f t="shared" si="0"/>
        <v>2009</v>
      </c>
      <c r="B8" s="3">
        <v>1759</v>
      </c>
      <c r="C8" s="10">
        <f t="shared" si="4"/>
        <v>1579495.9298976779</v>
      </c>
      <c r="D8" s="11">
        <v>2.2000000000000001E-3</v>
      </c>
      <c r="E8" s="10">
        <f t="shared" si="1"/>
        <v>3467.2630670273211</v>
      </c>
      <c r="F8" s="3"/>
      <c r="G8" s="28"/>
      <c r="H8" s="10"/>
      <c r="I8" s="10">
        <f t="shared" si="5"/>
        <v>2444</v>
      </c>
      <c r="J8" s="10">
        <f t="shared" si="2"/>
        <v>3860288052.6699247</v>
      </c>
      <c r="K8" s="11">
        <f t="shared" si="3"/>
        <v>2.1999999999999797E-3</v>
      </c>
    </row>
    <row r="9" spans="1:13" ht="22.5" customHeight="1">
      <c r="A9" s="3">
        <f t="shared" si="0"/>
        <v>2008</v>
      </c>
      <c r="B9" s="3">
        <v>1758</v>
      </c>
      <c r="C9" s="10">
        <f t="shared" si="4"/>
        <v>1576028.6668306505</v>
      </c>
      <c r="D9" s="11">
        <v>-8.9999999999999998E-4</v>
      </c>
      <c r="E9" s="10">
        <f t="shared" si="1"/>
        <v>-1419.7035333276726</v>
      </c>
      <c r="F9" s="3"/>
      <c r="G9" s="28"/>
      <c r="H9" s="10"/>
      <c r="I9" s="10">
        <f t="shared" si="5"/>
        <v>2444</v>
      </c>
      <c r="J9" s="10">
        <f t="shared" si="2"/>
        <v>3851814061.7341099</v>
      </c>
      <c r="K9" s="11">
        <f t="shared" si="3"/>
        <v>-9.0000000000012292E-4</v>
      </c>
    </row>
    <row r="10" spans="1:13" ht="22.5" customHeight="1">
      <c r="A10" s="3">
        <f t="shared" si="0"/>
        <v>2007</v>
      </c>
      <c r="B10" s="3">
        <v>1757</v>
      </c>
      <c r="C10" s="10">
        <f t="shared" si="4"/>
        <v>1577448.3703639782</v>
      </c>
      <c r="D10" s="11">
        <v>-1.1999999999999999E-3</v>
      </c>
      <c r="E10" s="10">
        <f t="shared" si="1"/>
        <v>-1895.2122991958167</v>
      </c>
      <c r="F10" s="3"/>
      <c r="G10" s="28"/>
      <c r="H10" s="10"/>
      <c r="I10" s="10">
        <f t="shared" si="5"/>
        <v>2444</v>
      </c>
      <c r="J10" s="10">
        <f t="shared" si="2"/>
        <v>3855283817.1695628</v>
      </c>
      <c r="K10" s="11">
        <f t="shared" si="3"/>
        <v>-1.1999999999999789E-3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4"/>
        <v>1579343.582663174</v>
      </c>
      <c r="D11" s="11">
        <v>-1.49E-3</v>
      </c>
      <c r="E11" s="10">
        <f t="shared" si="1"/>
        <v>-2356.7334710399155</v>
      </c>
      <c r="F11" s="3"/>
      <c r="G11" s="28"/>
      <c r="H11" s="10"/>
      <c r="I11" s="10">
        <f t="shared" si="5"/>
        <v>2444</v>
      </c>
      <c r="J11" s="10">
        <f t="shared" si="2"/>
        <v>3859915716.0287971</v>
      </c>
      <c r="K11" s="11">
        <f t="shared" si="3"/>
        <v>-1.4900000000001024E-3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4"/>
        <v>1581700.3161342139</v>
      </c>
      <c r="D12" s="11">
        <v>-1.5900000000000001E-3</v>
      </c>
      <c r="E12" s="10">
        <f t="shared" si="1"/>
        <v>-2518.9085672753863</v>
      </c>
      <c r="F12" s="3"/>
      <c r="G12" s="28"/>
      <c r="H12" s="10"/>
      <c r="I12" s="10">
        <f t="shared" si="5"/>
        <v>2444</v>
      </c>
      <c r="J12" s="10">
        <f t="shared" si="2"/>
        <v>3865675572.632019</v>
      </c>
      <c r="K12" s="11">
        <f t="shared" si="3"/>
        <v>-1.5899999999998693E-3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4"/>
        <v>1584219.2247014893</v>
      </c>
      <c r="D13" s="11">
        <v>-5.9999999999999995E-4</v>
      </c>
      <c r="E13" s="10">
        <f t="shared" si="1"/>
        <v>-951.10219613858499</v>
      </c>
      <c r="F13" s="3"/>
      <c r="G13" s="28"/>
      <c r="H13" s="10"/>
      <c r="I13" s="10">
        <f t="shared" si="5"/>
        <v>2444</v>
      </c>
      <c r="J13" s="10">
        <f t="shared" si="2"/>
        <v>3871831785.1704397</v>
      </c>
      <c r="K13" s="11">
        <f t="shared" si="3"/>
        <v>-6.0000000000015596E-4</v>
      </c>
    </row>
    <row r="14" spans="1:13" ht="22.5" customHeight="1">
      <c r="A14" s="3">
        <f t="shared" si="0"/>
        <v>2003</v>
      </c>
      <c r="B14" s="3">
        <v>1753</v>
      </c>
      <c r="C14" s="10">
        <f t="shared" si="4"/>
        <v>1585170.3268976279</v>
      </c>
      <c r="D14" s="11">
        <v>8.0000000000000004E-4</v>
      </c>
      <c r="E14" s="10">
        <f t="shared" si="1"/>
        <v>1267.1225634671282</v>
      </c>
      <c r="F14" s="3"/>
      <c r="G14" s="28"/>
      <c r="H14" s="10"/>
      <c r="I14" s="10">
        <f t="shared" si="5"/>
        <v>2444</v>
      </c>
      <c r="J14" s="10">
        <f t="shared" si="2"/>
        <v>3874156278.9378028</v>
      </c>
      <c r="K14" s="11">
        <f t="shared" si="3"/>
        <v>7.9999999999991189E-4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4"/>
        <v>1583903.2043341608</v>
      </c>
      <c r="D15" s="11">
        <v>-5.2599999999999999E-3</v>
      </c>
      <c r="E15" s="10">
        <f t="shared" si="1"/>
        <v>-8375.3853819065262</v>
      </c>
      <c r="F15" s="3"/>
      <c r="G15" s="28"/>
      <c r="H15" s="10"/>
      <c r="I15" s="10">
        <f t="shared" si="5"/>
        <v>2444</v>
      </c>
      <c r="J15" s="10">
        <f t="shared" si="2"/>
        <v>3871059431.3926888</v>
      </c>
      <c r="K15" s="11">
        <f t="shared" si="3"/>
        <v>-5.2600000000000424E-3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4"/>
        <v>1592278.5897160673</v>
      </c>
      <c r="D16" s="11">
        <v>-4.4400000000000004E-3</v>
      </c>
      <c r="E16" s="10">
        <f t="shared" si="1"/>
        <v>-7101.2464726779144</v>
      </c>
      <c r="F16" s="3"/>
      <c r="G16" s="28"/>
      <c r="H16" s="10"/>
      <c r="I16" s="10">
        <f t="shared" si="5"/>
        <v>2444</v>
      </c>
      <c r="J16" s="10">
        <f t="shared" si="2"/>
        <v>3891528873.2660685</v>
      </c>
      <c r="K16" s="11">
        <f t="shared" si="3"/>
        <v>-4.4399999999998885E-3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4"/>
        <v>1599379.8361887452</v>
      </c>
      <c r="D17" s="11">
        <v>-2.8500000000000001E-3</v>
      </c>
      <c r="E17" s="10">
        <f t="shared" si="1"/>
        <v>-4571.2606259218883</v>
      </c>
      <c r="F17" s="3"/>
      <c r="G17" s="28"/>
      <c r="H17" s="10"/>
      <c r="I17" s="10">
        <f t="shared" si="5"/>
        <v>2444</v>
      </c>
      <c r="J17" s="10">
        <f t="shared" si="2"/>
        <v>3908884319.6452932</v>
      </c>
      <c r="K17" s="11">
        <f t="shared" si="3"/>
        <v>-2.8500000000001302E-3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4"/>
        <v>1603951.0968146671</v>
      </c>
      <c r="D18" s="11">
        <v>-9.7999999999999997E-4</v>
      </c>
      <c r="E18" s="10">
        <f t="shared" si="1"/>
        <v>-1573.4140206186567</v>
      </c>
      <c r="F18" s="3"/>
      <c r="G18" s="28"/>
      <c r="H18" s="10"/>
      <c r="I18" s="10">
        <f t="shared" si="5"/>
        <v>2444</v>
      </c>
      <c r="J18" s="10">
        <f t="shared" si="2"/>
        <v>3920056480.6150465</v>
      </c>
      <c r="K18" s="11">
        <f t="shared" si="3"/>
        <v>-9.8000000000009191E-4</v>
      </c>
    </row>
    <row r="19" spans="1:13" ht="22.5" customHeight="1">
      <c r="A19" s="3">
        <f t="shared" si="0"/>
        <v>1998</v>
      </c>
      <c r="B19" s="3">
        <v>1748</v>
      </c>
      <c r="C19" s="10">
        <f t="shared" si="4"/>
        <v>1605524.5108352858</v>
      </c>
      <c r="D19" s="11">
        <v>-1.1800000000000001E-3</v>
      </c>
      <c r="E19" s="10">
        <f t="shared" si="1"/>
        <v>-1896.7570961590391</v>
      </c>
      <c r="F19" s="3"/>
      <c r="G19" s="28"/>
      <c r="H19" s="10"/>
      <c r="I19" s="10">
        <f t="shared" si="5"/>
        <v>2444</v>
      </c>
      <c r="J19" s="10">
        <f t="shared" si="2"/>
        <v>3923901904.4814386</v>
      </c>
      <c r="K19" s="11">
        <f t="shared" si="3"/>
        <v>-1.1799999999998478E-3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4"/>
        <v>1607421.2679314448</v>
      </c>
      <c r="D20" s="11">
        <v>1.3699999999999999E-3</v>
      </c>
      <c r="E20" s="10">
        <f t="shared" si="1"/>
        <v>2199.1542956810445</v>
      </c>
      <c r="F20" s="3"/>
      <c r="G20" s="28"/>
      <c r="H20" s="10"/>
      <c r="I20" s="10">
        <f t="shared" si="5"/>
        <v>2444</v>
      </c>
      <c r="J20" s="10">
        <f t="shared" si="2"/>
        <v>3928537578.824451</v>
      </c>
      <c r="K20" s="11">
        <f t="shared" si="3"/>
        <v>1.3699999999998713E-3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4"/>
        <v>1605222.1136357638</v>
      </c>
      <c r="D21" s="11">
        <v>1.3699999999999999E-3</v>
      </c>
      <c r="E21" s="10">
        <f t="shared" si="1"/>
        <v>2196.145576241659</v>
      </c>
      <c r="F21" s="3"/>
      <c r="G21" s="28"/>
      <c r="H21" s="10"/>
      <c r="I21" s="10">
        <f t="shared" si="5"/>
        <v>2444</v>
      </c>
      <c r="J21" s="10">
        <f t="shared" si="2"/>
        <v>3923162845.7258067</v>
      </c>
      <c r="K21" s="11">
        <f t="shared" si="3"/>
        <v>1.3700000000000934E-3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4"/>
        <v>1603025.9680595221</v>
      </c>
      <c r="D22" s="11">
        <v>2.2599999999999999E-3</v>
      </c>
      <c r="E22" s="10">
        <f t="shared" si="1"/>
        <v>3614.6695346659981</v>
      </c>
      <c r="F22" s="3"/>
      <c r="G22" s="28"/>
      <c r="H22" s="10"/>
      <c r="I22" s="10">
        <f t="shared" si="5"/>
        <v>2444</v>
      </c>
      <c r="J22" s="10">
        <f t="shared" si="2"/>
        <v>3917795465.9374719</v>
      </c>
      <c r="K22" s="11">
        <f t="shared" si="3"/>
        <v>2.2599999999997067E-3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4"/>
        <v>1599411.2985248561</v>
      </c>
      <c r="D23" s="11">
        <v>3.0599999999999998E-3</v>
      </c>
      <c r="E23" s="10">
        <f t="shared" si="1"/>
        <v>4879.2680133653339</v>
      </c>
      <c r="F23" s="3"/>
      <c r="G23" s="28"/>
      <c r="H23" s="10"/>
      <c r="I23" s="10">
        <f t="shared" si="5"/>
        <v>2444</v>
      </c>
      <c r="J23" s="10">
        <f t="shared" si="2"/>
        <v>3908961213.5947485</v>
      </c>
      <c r="K23" s="11">
        <f t="shared" si="3"/>
        <v>3.0600000000000627E-3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4"/>
        <v>1594532.0305114908</v>
      </c>
      <c r="D24" s="11">
        <v>3.96E-3</v>
      </c>
      <c r="E24" s="10">
        <f t="shared" si="1"/>
        <v>6289.4406558284536</v>
      </c>
      <c r="F24" s="3"/>
      <c r="G24" s="28"/>
      <c r="H24" s="10"/>
      <c r="I24" s="10">
        <f t="shared" si="5"/>
        <v>2444</v>
      </c>
      <c r="J24" s="10">
        <f t="shared" si="2"/>
        <v>3897036282.5700836</v>
      </c>
      <c r="K24" s="11">
        <f t="shared" si="3"/>
        <v>3.9599999999999635E-3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4"/>
        <v>1588242.5898556623</v>
      </c>
      <c r="D25" s="11">
        <v>1.217E-2</v>
      </c>
      <c r="E25" s="10">
        <f t="shared" si="1"/>
        <v>19096.507818393642</v>
      </c>
      <c r="F25" s="3"/>
      <c r="G25" s="28"/>
      <c r="H25" s="10"/>
      <c r="I25" s="10">
        <f t="shared" si="5"/>
        <v>2444</v>
      </c>
      <c r="J25" s="10">
        <f t="shared" si="2"/>
        <v>3881664889.6072388</v>
      </c>
      <c r="K25" s="11">
        <f t="shared" si="3"/>
        <v>1.2170000000000014E-2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4"/>
        <v>1569146.0820372687</v>
      </c>
      <c r="D26" s="11">
        <v>2.2339999999999999E-2</v>
      </c>
      <c r="E26" s="10">
        <f t="shared" si="1"/>
        <v>34288.713610650739</v>
      </c>
      <c r="F26" s="3"/>
      <c r="G26" s="28"/>
      <c r="H26" s="10"/>
      <c r="I26" s="10">
        <f t="shared" si="5"/>
        <v>2444</v>
      </c>
      <c r="J26" s="10">
        <f t="shared" si="2"/>
        <v>3834993024.4990845</v>
      </c>
      <c r="K26" s="11">
        <f t="shared" si="3"/>
        <v>2.2340000000000027E-2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4"/>
        <v>1534857.3684266179</v>
      </c>
      <c r="D27" s="11">
        <v>2.453E-2</v>
      </c>
      <c r="E27" s="10">
        <f t="shared" si="1"/>
        <v>36748.607895820402</v>
      </c>
      <c r="F27" s="3"/>
      <c r="G27" s="28"/>
      <c r="H27" s="10"/>
      <c r="I27" s="10">
        <f t="shared" si="5"/>
        <v>2444</v>
      </c>
      <c r="J27" s="10">
        <f t="shared" si="2"/>
        <v>3751191408.4346542</v>
      </c>
      <c r="K27" s="11">
        <f t="shared" si="3"/>
        <v>2.4529999999999941E-2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4"/>
        <v>1498108.7605307975</v>
      </c>
      <c r="D28" s="11">
        <v>2.4170000000000001E-2</v>
      </c>
      <c r="E28" s="10">
        <f t="shared" si="1"/>
        <v>35354.764093880309</v>
      </c>
      <c r="F28" s="3"/>
      <c r="G28" s="28"/>
      <c r="H28" s="10"/>
      <c r="I28" s="10">
        <f t="shared" si="5"/>
        <v>2444</v>
      </c>
      <c r="J28" s="10">
        <f t="shared" si="2"/>
        <v>3661377810.7372694</v>
      </c>
      <c r="K28" s="11">
        <f t="shared" si="3"/>
        <v>2.4170000000000025E-2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4"/>
        <v>1462753.9964369172</v>
      </c>
      <c r="D29" s="11">
        <v>2.4549999999999999E-2</v>
      </c>
      <c r="E29" s="10">
        <f t="shared" si="1"/>
        <v>35050.129922918743</v>
      </c>
      <c r="F29" s="3"/>
      <c r="G29" s="28"/>
      <c r="H29" s="10"/>
      <c r="I29" s="10">
        <f t="shared" si="5"/>
        <v>2444</v>
      </c>
      <c r="J29" s="10">
        <f t="shared" si="2"/>
        <v>3574970767.2918258</v>
      </c>
      <c r="K29" s="11">
        <f t="shared" si="3"/>
        <v>2.4550000000000072E-2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4"/>
        <v>1427703.8665139985</v>
      </c>
      <c r="D30" s="11">
        <v>2.3699999999999999E-2</v>
      </c>
      <c r="E30" s="10">
        <f t="shared" si="1"/>
        <v>33053.220314918319</v>
      </c>
      <c r="F30" s="3"/>
      <c r="G30" s="28"/>
      <c r="H30" s="10"/>
      <c r="I30" s="10">
        <f t="shared" si="5"/>
        <v>2444</v>
      </c>
      <c r="J30" s="10">
        <f t="shared" si="2"/>
        <v>3489308249.7602124</v>
      </c>
      <c r="K30" s="11">
        <f t="shared" si="3"/>
        <v>2.3700000000000054E-2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4"/>
        <v>1394650.6461990802</v>
      </c>
      <c r="D31" s="11">
        <v>2.2540000000000001E-2</v>
      </c>
      <c r="E31" s="10">
        <f t="shared" si="1"/>
        <v>30742.489844238153</v>
      </c>
      <c r="F31" s="3"/>
      <c r="G31" s="28"/>
      <c r="H31" s="10"/>
      <c r="I31" s="10">
        <f t="shared" si="5"/>
        <v>2444</v>
      </c>
      <c r="J31" s="10">
        <f t="shared" si="2"/>
        <v>3408526179.3105521</v>
      </c>
      <c r="K31" s="11">
        <f t="shared" si="3"/>
        <v>2.2540000000000227E-2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4"/>
        <v>1363908.156354842</v>
      </c>
      <c r="D32" s="11">
        <v>2.1520000000000001E-2</v>
      </c>
      <c r="E32" s="10">
        <f t="shared" si="1"/>
        <v>28732.970010138117</v>
      </c>
      <c r="F32" s="3"/>
      <c r="G32" s="28"/>
      <c r="H32" s="10"/>
      <c r="I32" s="10">
        <f t="shared" si="5"/>
        <v>2444</v>
      </c>
      <c r="J32" s="10">
        <f t="shared" si="2"/>
        <v>3333391534.1312337</v>
      </c>
      <c r="K32" s="11">
        <f t="shared" si="3"/>
        <v>2.1519999999999984E-2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4"/>
        <v>1335175.1863447039</v>
      </c>
      <c r="D33" s="11">
        <v>1.958E-2</v>
      </c>
      <c r="E33" s="10">
        <f t="shared" si="1"/>
        <v>25640.68552602944</v>
      </c>
      <c r="F33" s="3"/>
      <c r="G33" s="28"/>
      <c r="H33" s="10"/>
      <c r="I33" s="10">
        <f t="shared" si="5"/>
        <v>2444</v>
      </c>
      <c r="J33" s="10">
        <f t="shared" si="2"/>
        <v>3263168155.4264565</v>
      </c>
      <c r="K33" s="11">
        <f t="shared" si="3"/>
        <v>1.9579999999999931E-2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4"/>
        <v>1309534.5008186745</v>
      </c>
      <c r="D34" s="11">
        <v>1.9109999999999999E-2</v>
      </c>
      <c r="E34" s="10">
        <f t="shared" si="1"/>
        <v>24555.940291671082</v>
      </c>
      <c r="F34" s="3"/>
      <c r="G34" s="28"/>
      <c r="H34" s="10"/>
      <c r="I34" s="10">
        <f t="shared" si="5"/>
        <v>2444</v>
      </c>
      <c r="J34" s="10">
        <f t="shared" ref="J34:J65" si="6">IF(I34="","",I34*C34)</f>
        <v>3200502320.0008402</v>
      </c>
      <c r="K34" s="11">
        <f t="shared" ref="K34:K65" si="7">IFERROR(J34/J35-1,"")</f>
        <v>1.910999999999996E-2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4"/>
        <v>1284978.5605270034</v>
      </c>
      <c r="D35" s="11">
        <v>2.4510000000000001E-2</v>
      </c>
      <c r="E35" s="10">
        <f t="shared" si="1"/>
        <v>30741.353933604201</v>
      </c>
      <c r="F35" s="3"/>
      <c r="G35" s="28"/>
      <c r="H35" s="10"/>
      <c r="I35" s="10">
        <f t="shared" ref="I35:I66" si="8">IF(H35&lt;&gt;"",H35,I34/(1+IF(G34="",0,G34)/100))</f>
        <v>2444</v>
      </c>
      <c r="J35" s="10">
        <f t="shared" si="6"/>
        <v>3140487601.9279962</v>
      </c>
      <c r="K35" s="11">
        <f t="shared" si="7"/>
        <v>2.4510000000000032E-2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4"/>
        <v>1254237.2065933992</v>
      </c>
      <c r="D36" s="11">
        <v>2.6030000000000001E-2</v>
      </c>
      <c r="E36" s="10">
        <f t="shared" si="1"/>
        <v>31819.532067898661</v>
      </c>
      <c r="F36" s="3"/>
      <c r="G36" s="28"/>
      <c r="H36" s="10"/>
      <c r="I36" s="10">
        <f t="shared" si="8"/>
        <v>2444</v>
      </c>
      <c r="J36" s="10">
        <f t="shared" si="6"/>
        <v>3065355732.9142675</v>
      </c>
      <c r="K36" s="11">
        <f t="shared" si="7"/>
        <v>2.6029999999999998E-2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4"/>
        <v>1222417.6745255005</v>
      </c>
      <c r="D37" s="11">
        <v>2.3140000000000001E-2</v>
      </c>
      <c r="E37" s="10">
        <f t="shared" si="1"/>
        <v>27646.993557597278</v>
      </c>
      <c r="F37" s="3"/>
      <c r="G37" s="28"/>
      <c r="H37" s="10"/>
      <c r="I37" s="10">
        <f t="shared" si="8"/>
        <v>2444</v>
      </c>
      <c r="J37" s="10">
        <f t="shared" si="6"/>
        <v>2987588796.5403233</v>
      </c>
      <c r="K37" s="11">
        <f t="shared" si="7"/>
        <v>2.3139999999999938E-2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4"/>
        <v>1194770.6809679032</v>
      </c>
      <c r="D38" s="11">
        <v>2.478E-2</v>
      </c>
      <c r="E38" s="10">
        <f t="shared" si="1"/>
        <v>28890.510621191468</v>
      </c>
      <c r="F38" s="3"/>
      <c r="G38" s="28"/>
      <c r="H38" s="10"/>
      <c r="I38" s="10">
        <f t="shared" si="8"/>
        <v>2444</v>
      </c>
      <c r="J38" s="10">
        <f t="shared" si="6"/>
        <v>2920019544.2855554</v>
      </c>
      <c r="K38" s="11">
        <f t="shared" si="7"/>
        <v>2.4780000000000024E-2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4"/>
        <v>1165880.1703467118</v>
      </c>
      <c r="D39" s="11">
        <v>2.1100000000000001E-2</v>
      </c>
      <c r="E39" s="10">
        <f t="shared" si="1"/>
        <v>24091.735965444706</v>
      </c>
      <c r="F39" s="3"/>
      <c r="G39" s="28"/>
      <c r="H39" s="10"/>
      <c r="I39" s="10">
        <f t="shared" si="8"/>
        <v>2444</v>
      </c>
      <c r="J39" s="10">
        <f t="shared" si="6"/>
        <v>2849411136.3273635</v>
      </c>
      <c r="K39" s="11">
        <f t="shared" si="7"/>
        <v>2.1099999999999897E-2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4"/>
        <v>1141788.4343812671</v>
      </c>
      <c r="D40" s="11">
        <v>1.619E-2</v>
      </c>
      <c r="E40" s="10">
        <f t="shared" si="1"/>
        <v>18191.041786115384</v>
      </c>
      <c r="F40" s="3"/>
      <c r="G40" s="28"/>
      <c r="H40" s="10"/>
      <c r="I40" s="10">
        <f t="shared" si="8"/>
        <v>2444</v>
      </c>
      <c r="J40" s="10">
        <f t="shared" si="6"/>
        <v>2790530933.6278167</v>
      </c>
      <c r="K40" s="11">
        <f t="shared" si="7"/>
        <v>1.6189999999999927E-2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4"/>
        <v>1123597.3925951517</v>
      </c>
      <c r="D41" s="11">
        <v>1.1469999999999999E-2</v>
      </c>
      <c r="E41" s="10">
        <f t="shared" si="1"/>
        <v>12741.51689428906</v>
      </c>
      <c r="F41" s="3"/>
      <c r="G41" s="28"/>
      <c r="H41" s="10"/>
      <c r="I41" s="10">
        <f t="shared" si="8"/>
        <v>2444</v>
      </c>
      <c r="J41" s="10">
        <f t="shared" si="6"/>
        <v>2746072027.5025506</v>
      </c>
      <c r="K41" s="11">
        <f t="shared" si="7"/>
        <v>1.1470000000000091E-2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4"/>
        <v>1110855.8757008626</v>
      </c>
      <c r="D42" s="11">
        <v>1.0449999999999999E-2</v>
      </c>
      <c r="E42" s="10">
        <f t="shared" si="1"/>
        <v>11488.390223241178</v>
      </c>
      <c r="F42" s="3"/>
      <c r="G42" s="28"/>
      <c r="H42" s="10"/>
      <c r="I42" s="10">
        <f t="shared" si="8"/>
        <v>2444</v>
      </c>
      <c r="J42" s="10">
        <f t="shared" si="6"/>
        <v>2714931760.2129083</v>
      </c>
      <c r="K42" s="11">
        <f t="shared" si="7"/>
        <v>1.045000000000007E-2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4"/>
        <v>1099367.4854776214</v>
      </c>
      <c r="D43" s="11">
        <v>7.9399999999999991E-3</v>
      </c>
      <c r="E43" s="10">
        <f t="shared" si="1"/>
        <v>8660.2157218607608</v>
      </c>
      <c r="F43" s="3"/>
      <c r="G43" s="28"/>
      <c r="H43" s="10"/>
      <c r="I43" s="10">
        <f t="shared" si="8"/>
        <v>2444</v>
      </c>
      <c r="J43" s="10">
        <f t="shared" si="6"/>
        <v>2686854134.5073066</v>
      </c>
      <c r="K43" s="11">
        <f t="shared" si="7"/>
        <v>7.9399999999998361E-3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4"/>
        <v>1090707.2697557607</v>
      </c>
      <c r="D44" s="11">
        <v>8.7399999999999995E-3</v>
      </c>
      <c r="E44" s="10">
        <f t="shared" si="1"/>
        <v>9450.1869041232858</v>
      </c>
      <c r="F44" s="3"/>
      <c r="G44" s="28"/>
      <c r="H44" s="10"/>
      <c r="I44" s="10">
        <f t="shared" si="8"/>
        <v>2444</v>
      </c>
      <c r="J44" s="10">
        <f t="shared" si="6"/>
        <v>2665688567.2830791</v>
      </c>
      <c r="K44" s="11">
        <f t="shared" si="7"/>
        <v>8.73999999999997E-3</v>
      </c>
    </row>
    <row r="45" spans="1:13" ht="22.5" customHeight="1">
      <c r="A45" s="3">
        <f t="shared" si="0"/>
        <v>1972</v>
      </c>
      <c r="B45" s="3">
        <v>1722</v>
      </c>
      <c r="C45" s="10">
        <f t="shared" si="4"/>
        <v>1081257.0828516374</v>
      </c>
      <c r="D45" s="11">
        <v>7.0499999999999998E-3</v>
      </c>
      <c r="E45" s="10">
        <f t="shared" si="1"/>
        <v>7569.4974768918473</v>
      </c>
      <c r="F45" s="3"/>
      <c r="G45" s="28"/>
      <c r="H45" s="10"/>
      <c r="I45" s="10">
        <f t="shared" si="8"/>
        <v>2444</v>
      </c>
      <c r="J45" s="10">
        <f t="shared" si="6"/>
        <v>2642592310.4894018</v>
      </c>
      <c r="K45" s="11">
        <f t="shared" si="7"/>
        <v>7.0500000000000007E-3</v>
      </c>
    </row>
    <row r="46" spans="1:13" ht="22.5" customHeight="1">
      <c r="A46" s="3">
        <f t="shared" si="0"/>
        <v>1971</v>
      </c>
      <c r="B46" s="3">
        <v>1721</v>
      </c>
      <c r="C46" s="10">
        <f t="shared" si="4"/>
        <v>1073687.5853747455</v>
      </c>
      <c r="D46" s="11">
        <v>7.6899999999999998E-3</v>
      </c>
      <c r="E46" s="10">
        <f t="shared" si="1"/>
        <v>8193.6483755239751</v>
      </c>
      <c r="F46" s="3"/>
      <c r="G46" s="28"/>
      <c r="H46" s="10"/>
      <c r="I46" s="10">
        <f t="shared" si="8"/>
        <v>2444</v>
      </c>
      <c r="J46" s="10">
        <f t="shared" si="6"/>
        <v>2624092458.6558781</v>
      </c>
      <c r="K46" s="11">
        <f t="shared" si="7"/>
        <v>7.6899999999999746E-3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4"/>
        <v>1065493.9369992216</v>
      </c>
      <c r="D47" s="11">
        <v>7.9000000000000008E-3</v>
      </c>
      <c r="E47" s="10">
        <f t="shared" si="1"/>
        <v>8351.4258381722029</v>
      </c>
      <c r="F47" s="3"/>
      <c r="G47" s="28"/>
      <c r="H47" s="10"/>
      <c r="I47" s="10">
        <f t="shared" si="8"/>
        <v>2444</v>
      </c>
      <c r="J47" s="10">
        <f t="shared" si="6"/>
        <v>2604067182.0260973</v>
      </c>
      <c r="K47" s="11">
        <f t="shared" si="7"/>
        <v>7.8999999999997961E-3</v>
      </c>
    </row>
    <row r="48" spans="1:13" ht="22.5" customHeight="1">
      <c r="A48" s="3">
        <f t="shared" si="0"/>
        <v>1969</v>
      </c>
      <c r="B48" s="3">
        <v>1719</v>
      </c>
      <c r="C48" s="10">
        <f t="shared" si="4"/>
        <v>1057142.5111610494</v>
      </c>
      <c r="D48" s="11">
        <v>3.1E-2</v>
      </c>
      <c r="E48" s="10">
        <f t="shared" si="1"/>
        <v>31786.050287092687</v>
      </c>
      <c r="F48" s="3"/>
      <c r="G48" s="28"/>
      <c r="H48" s="10"/>
      <c r="I48" s="10">
        <f t="shared" si="8"/>
        <v>2444</v>
      </c>
      <c r="J48" s="10">
        <f t="shared" si="6"/>
        <v>2583656297.2776046</v>
      </c>
      <c r="K48" s="11">
        <f t="shared" si="7"/>
        <v>3.0999999999999917E-2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4"/>
        <v>1025356.4608739567</v>
      </c>
      <c r="D49" s="11">
        <v>4.7730000000000002E-2</v>
      </c>
      <c r="E49" s="10">
        <f t="shared" si="1"/>
        <v>46710.759334479342</v>
      </c>
      <c r="F49" s="3"/>
      <c r="G49" s="28"/>
      <c r="H49" s="10"/>
      <c r="I49" s="10">
        <f t="shared" si="8"/>
        <v>2444</v>
      </c>
      <c r="J49" s="10">
        <f t="shared" si="6"/>
        <v>2505971190.3759503</v>
      </c>
      <c r="K49" s="11">
        <f t="shared" si="7"/>
        <v>4.773000000000005E-2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4"/>
        <v>978645.70153947733</v>
      </c>
      <c r="D50" s="11">
        <v>1.3860000000000001E-2</v>
      </c>
      <c r="E50" s="10">
        <f t="shared" si="1"/>
        <v>13378.60199962242</v>
      </c>
      <c r="F50" s="3"/>
      <c r="G50" s="28"/>
      <c r="H50" s="10"/>
      <c r="I50" s="10">
        <f t="shared" si="8"/>
        <v>2444</v>
      </c>
      <c r="J50" s="10">
        <f t="shared" si="6"/>
        <v>2391810094.5624828</v>
      </c>
      <c r="K50" s="11">
        <f t="shared" si="7"/>
        <v>1.3860000000000205E-2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4"/>
        <v>965267.09953985491</v>
      </c>
      <c r="D51" s="11">
        <v>1.6049999999999998E-2</v>
      </c>
      <c r="E51" s="10">
        <f t="shared" si="1"/>
        <v>15247.80960347876</v>
      </c>
      <c r="F51" s="3"/>
      <c r="G51" s="28"/>
      <c r="H51" s="10"/>
      <c r="I51" s="10">
        <f t="shared" si="8"/>
        <v>2444</v>
      </c>
      <c r="J51" s="10">
        <f t="shared" si="6"/>
        <v>2359112791.2754054</v>
      </c>
      <c r="K51" s="11">
        <f t="shared" si="7"/>
        <v>1.6049999999999898E-2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4"/>
        <v>950019.28993637615</v>
      </c>
      <c r="D52" s="11">
        <v>5.6090000000000001E-2</v>
      </c>
      <c r="E52" s="10">
        <f t="shared" si="1"/>
        <v>50456.478115057689</v>
      </c>
      <c r="F52" s="3"/>
      <c r="G52" s="28"/>
      <c r="H52" s="10"/>
      <c r="I52" s="10">
        <f t="shared" si="8"/>
        <v>2444</v>
      </c>
      <c r="J52" s="10">
        <f t="shared" si="6"/>
        <v>2321847144.6045032</v>
      </c>
      <c r="K52" s="11">
        <f t="shared" si="7"/>
        <v>5.6089999999999751E-2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4"/>
        <v>899562.81182131846</v>
      </c>
      <c r="D53" s="11">
        <v>5.5690000000000003E-2</v>
      </c>
      <c r="E53" s="10">
        <f t="shared" si="1"/>
        <v>47453.942909688689</v>
      </c>
      <c r="F53" s="3"/>
      <c r="G53" s="28"/>
      <c r="H53" s="10"/>
      <c r="I53" s="10">
        <f t="shared" si="8"/>
        <v>2444</v>
      </c>
      <c r="J53" s="10">
        <f t="shared" si="6"/>
        <v>2198531512.0913024</v>
      </c>
      <c r="K53" s="11">
        <f t="shared" si="7"/>
        <v>5.5690000000000017E-2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4"/>
        <v>852108.86891162978</v>
      </c>
      <c r="D54" s="11">
        <v>5.1479999999999998E-2</v>
      </c>
      <c r="E54" s="10">
        <f t="shared" si="1"/>
        <v>41718.876794205047</v>
      </c>
      <c r="F54" s="3"/>
      <c r="G54" s="28"/>
      <c r="H54" s="10"/>
      <c r="I54" s="10">
        <f t="shared" si="8"/>
        <v>2444</v>
      </c>
      <c r="J54" s="10">
        <f t="shared" si="6"/>
        <v>2082554075.6200233</v>
      </c>
      <c r="K54" s="11">
        <f t="shared" si="7"/>
        <v>5.147999999999997E-2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4"/>
        <v>810389.99211742473</v>
      </c>
      <c r="D55" s="11">
        <v>4.5600000000000002E-2</v>
      </c>
      <c r="E55" s="10">
        <f t="shared" si="1"/>
        <v>35342.180222412571</v>
      </c>
      <c r="F55" s="3"/>
      <c r="G55" s="28"/>
      <c r="H55" s="10"/>
      <c r="I55" s="10">
        <f t="shared" si="8"/>
        <v>2444</v>
      </c>
      <c r="J55" s="10">
        <f t="shared" si="6"/>
        <v>1980593140.7349861</v>
      </c>
      <c r="K55" s="11">
        <f t="shared" si="7"/>
        <v>4.5600000000000085E-2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4"/>
        <v>775047.81189501216</v>
      </c>
      <c r="D56" s="11">
        <v>3.8339999999999999E-2</v>
      </c>
      <c r="E56" s="10">
        <f t="shared" si="1"/>
        <v>28618.11459450156</v>
      </c>
      <c r="F56" s="3"/>
      <c r="G56" s="28"/>
      <c r="H56" s="10"/>
      <c r="I56" s="10">
        <f t="shared" si="8"/>
        <v>2444</v>
      </c>
      <c r="J56" s="10">
        <f t="shared" si="6"/>
        <v>1894216852.2714097</v>
      </c>
      <c r="K56" s="11">
        <f t="shared" si="7"/>
        <v>3.8340000000000041E-2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4"/>
        <v>746429.6973005106</v>
      </c>
      <c r="D57" s="11">
        <v>3.2340000000000001E-2</v>
      </c>
      <c r="E57" s="10">
        <f t="shared" si="1"/>
        <v>23383.319846851402</v>
      </c>
      <c r="F57" s="3"/>
      <c r="G57" s="28"/>
      <c r="H57" s="10"/>
      <c r="I57" s="10">
        <f t="shared" si="8"/>
        <v>2444</v>
      </c>
      <c r="J57" s="10">
        <f t="shared" si="6"/>
        <v>1824274180.2024479</v>
      </c>
      <c r="K57" s="11">
        <f t="shared" si="7"/>
        <v>3.2340000000000257E-2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4"/>
        <v>723046.3774536592</v>
      </c>
      <c r="D58" s="11">
        <v>3.5709999999999999E-2</v>
      </c>
      <c r="E58" s="10">
        <f t="shared" si="1"/>
        <v>24929.744946819148</v>
      </c>
      <c r="F58" s="3"/>
      <c r="G58" s="28"/>
      <c r="H58" s="10"/>
      <c r="I58" s="10">
        <f t="shared" si="8"/>
        <v>2444</v>
      </c>
      <c r="J58" s="10">
        <f t="shared" si="6"/>
        <v>1767125346.496743</v>
      </c>
      <c r="K58" s="11">
        <f t="shared" si="7"/>
        <v>3.5709999999999686E-2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4"/>
        <v>698116.63250684005</v>
      </c>
      <c r="D59" s="11">
        <v>3.5839999999999997E-2</v>
      </c>
      <c r="E59" s="10">
        <f t="shared" si="1"/>
        <v>24154.792351178941</v>
      </c>
      <c r="F59" s="3"/>
      <c r="G59" s="28"/>
      <c r="H59" s="10"/>
      <c r="I59" s="10">
        <f t="shared" si="8"/>
        <v>2444</v>
      </c>
      <c r="J59" s="10">
        <f t="shared" si="6"/>
        <v>1706197049.8467171</v>
      </c>
      <c r="K59" s="11">
        <f t="shared" si="7"/>
        <v>3.5840000000000094E-2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4"/>
        <v>673961.84015566111</v>
      </c>
      <c r="D60" s="11">
        <v>2.9819999999999999E-2</v>
      </c>
      <c r="E60" s="10">
        <f t="shared" si="1"/>
        <v>19515.587261309498</v>
      </c>
      <c r="F60" s="3"/>
      <c r="G60" s="28"/>
      <c r="H60" s="10"/>
      <c r="I60" s="10">
        <f t="shared" si="8"/>
        <v>2444</v>
      </c>
      <c r="J60" s="10">
        <f t="shared" si="6"/>
        <v>1647162737.3404357</v>
      </c>
      <c r="K60" s="11">
        <f t="shared" si="7"/>
        <v>2.9819999999999958E-2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4"/>
        <v>654446.25289435161</v>
      </c>
      <c r="D61" s="11">
        <v>3.7310000000000003E-2</v>
      </c>
      <c r="E61" s="10">
        <f t="shared" si="1"/>
        <v>23539.144224473159</v>
      </c>
      <c r="F61" s="3"/>
      <c r="G61" s="28"/>
      <c r="H61" s="10"/>
      <c r="I61" s="10">
        <f t="shared" si="8"/>
        <v>2444</v>
      </c>
      <c r="J61" s="10">
        <f t="shared" si="6"/>
        <v>1599466642.0737953</v>
      </c>
      <c r="K61" s="11">
        <f t="shared" si="7"/>
        <v>3.7309999999999954E-2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4"/>
        <v>630907.10866987845</v>
      </c>
      <c r="D62" s="11">
        <v>3.1669999999999997E-2</v>
      </c>
      <c r="E62" s="10">
        <f t="shared" si="1"/>
        <v>19367.460652704001</v>
      </c>
      <c r="F62" s="3"/>
      <c r="G62" s="28"/>
      <c r="H62" s="10"/>
      <c r="I62" s="10">
        <f t="shared" si="8"/>
        <v>2444</v>
      </c>
      <c r="J62" s="10">
        <f t="shared" si="6"/>
        <v>1541936973.5891829</v>
      </c>
      <c r="K62" s="11">
        <f t="shared" si="7"/>
        <v>3.1670000000000087E-2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4"/>
        <v>611539.64801717445</v>
      </c>
      <c r="D63" s="11">
        <v>2.3019999999999999E-2</v>
      </c>
      <c r="E63" s="10">
        <f t="shared" si="1"/>
        <v>13760.867526886403</v>
      </c>
      <c r="F63" s="3"/>
      <c r="G63" s="28"/>
      <c r="H63" s="10"/>
      <c r="I63" s="10">
        <f t="shared" si="8"/>
        <v>2444</v>
      </c>
      <c r="J63" s="10">
        <f t="shared" si="6"/>
        <v>1494602899.7539744</v>
      </c>
      <c r="K63" s="11">
        <f t="shared" si="7"/>
        <v>2.302000000000004E-2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4"/>
        <v>597778.78049028805</v>
      </c>
      <c r="D64" s="11">
        <v>2.247E-2</v>
      </c>
      <c r="E64" s="10">
        <f t="shared" si="1"/>
        <v>13136.902987487963</v>
      </c>
      <c r="F64" s="3"/>
      <c r="G64" s="28"/>
      <c r="H64" s="10"/>
      <c r="I64" s="10">
        <f t="shared" si="8"/>
        <v>2444</v>
      </c>
      <c r="J64" s="10">
        <f t="shared" si="6"/>
        <v>1460971339.5182641</v>
      </c>
      <c r="K64" s="11">
        <f t="shared" si="7"/>
        <v>2.246999999999999E-2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4"/>
        <v>584641.87750280008</v>
      </c>
      <c r="D65" s="11">
        <v>2.5229999999999999E-2</v>
      </c>
      <c r="E65" s="10">
        <f t="shared" si="1"/>
        <v>14387.517502800096</v>
      </c>
      <c r="F65" s="3"/>
      <c r="G65" s="28"/>
      <c r="H65" s="10"/>
      <c r="I65" s="10">
        <f t="shared" si="8"/>
        <v>2444</v>
      </c>
      <c r="J65" s="10">
        <f t="shared" si="6"/>
        <v>1428864748.6168435</v>
      </c>
      <c r="K65" s="11">
        <f t="shared" si="7"/>
        <v>2.5230000000000308E-2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4"/>
        <v>570254.36</v>
      </c>
      <c r="D66" s="11">
        <v>2.9340000000000001E-2</v>
      </c>
      <c r="E66" s="10">
        <f t="shared" si="1"/>
        <v>16254.359999999986</v>
      </c>
      <c r="F66" s="24">
        <f>SUM(F2)</f>
        <v>1724423</v>
      </c>
      <c r="G66" s="28"/>
      <c r="H66" s="10"/>
      <c r="I66" s="10">
        <f t="shared" si="8"/>
        <v>2444</v>
      </c>
      <c r="J66" s="10">
        <f t="shared" ref="J66:J67" si="9">IF(I66="","",I66*C66)</f>
        <v>1393701655.8399999</v>
      </c>
      <c r="K66" s="11">
        <f t="shared" ref="K66" si="10">IFERROR(J66/J67-1,"")</f>
        <v>2.9339999999999922E-2</v>
      </c>
    </row>
    <row r="67" spans="1:11" ht="22.5" customHeight="1">
      <c r="A67" s="3">
        <f t="shared" si="0"/>
        <v>1950</v>
      </c>
      <c r="B67" s="3">
        <v>1700</v>
      </c>
      <c r="C67" s="10">
        <v>554000</v>
      </c>
      <c r="D67" s="11">
        <v>3.0530000000000002E-2</v>
      </c>
      <c r="E67" s="3" t="s">
        <v>72</v>
      </c>
      <c r="F67" s="10">
        <f>SUM(C2)</f>
        <v>1724704.1780236477</v>
      </c>
      <c r="G67" s="28"/>
      <c r="H67" s="10"/>
      <c r="I67" s="10">
        <f t="shared" ref="I67" si="11">IF(H67&lt;&gt;"",H67,I66/(1+IF(G66="",0,G66)/100))</f>
        <v>2444</v>
      </c>
      <c r="J67" s="10">
        <f t="shared" si="9"/>
        <v>1353976000</v>
      </c>
      <c r="K67" s="11"/>
    </row>
  </sheetData>
  <dataValidations count="1">
    <dataValidation type="custom" allowBlank="1" showDropDown="1" sqref="D2:D67" xr:uid="{00000000-0002-0000-3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15105606.015821232</v>
      </c>
      <c r="D2" s="11">
        <v>1.09E-2</v>
      </c>
      <c r="E2" s="10">
        <f t="shared" ref="E2:E66" si="2">SUM(C2-C3)</f>
        <v>162875.75979073159</v>
      </c>
      <c r="F2" s="15">
        <v>15105090</v>
      </c>
      <c r="G2" s="28"/>
      <c r="H2" s="10"/>
      <c r="I2" s="10">
        <f>IF(H2&lt;&gt;"",H2,3643)</f>
        <v>3643</v>
      </c>
      <c r="J2" s="10">
        <f t="shared" ref="J2:J33" si="3">IF(I2="","",I2*C2)</f>
        <v>55029722715.636749</v>
      </c>
      <c r="K2" s="11">
        <f t="shared" ref="K2:K33" si="4">IFERROR(J2/J3-1,"")</f>
        <v>1.0900000000000132E-2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14942730.2560305</v>
      </c>
      <c r="D3" s="11">
        <v>1.0999999999999999E-2</v>
      </c>
      <c r="E3" s="10">
        <f t="shared" si="2"/>
        <v>162581.63483316824</v>
      </c>
      <c r="F3" s="3"/>
      <c r="G3" s="28"/>
      <c r="H3" s="10"/>
      <c r="I3" s="10">
        <f t="shared" ref="I3:I34" si="5">IF(H3&lt;&gt;"",H3,I2/(1+IF(G2="",0,G2)/100))</f>
        <v>3643</v>
      </c>
      <c r="J3" s="10">
        <f t="shared" si="3"/>
        <v>54436366322.719109</v>
      </c>
      <c r="K3" s="11">
        <f t="shared" si="4"/>
        <v>1.0999999999999677E-2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14780148.621197332</v>
      </c>
      <c r="D4" s="11">
        <v>9.5999999999999992E-3</v>
      </c>
      <c r="E4" s="10">
        <f t="shared" si="2"/>
        <v>140540.24045512639</v>
      </c>
      <c r="F4" s="3"/>
      <c r="G4" s="28"/>
      <c r="H4" s="10"/>
      <c r="I4" s="10">
        <f t="shared" si="5"/>
        <v>3643</v>
      </c>
      <c r="J4" s="10">
        <f t="shared" si="3"/>
        <v>53844081427.021881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14639608.380742205</v>
      </c>
      <c r="D5" s="11">
        <v>9.5999999999999992E-3</v>
      </c>
      <c r="E5" s="10">
        <f t="shared" si="2"/>
        <v>139203.88317663036</v>
      </c>
      <c r="F5" s="3"/>
      <c r="G5" s="28"/>
      <c r="H5" s="10"/>
      <c r="I5" s="10">
        <f t="shared" si="5"/>
        <v>3643</v>
      </c>
      <c r="J5" s="10">
        <f t="shared" si="3"/>
        <v>53332093331.043854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14500404.497565575</v>
      </c>
      <c r="D6" s="11">
        <v>1.1900000000000001E-2</v>
      </c>
      <c r="E6" s="10">
        <f t="shared" si="2"/>
        <v>170525.55936459266</v>
      </c>
      <c r="F6" s="3"/>
      <c r="G6" s="28"/>
      <c r="H6" s="10"/>
      <c r="I6" s="10">
        <f t="shared" si="5"/>
        <v>3643</v>
      </c>
      <c r="J6" s="10">
        <f t="shared" si="3"/>
        <v>52824973584.631386</v>
      </c>
      <c r="K6" s="11">
        <f t="shared" si="4"/>
        <v>1.1900000000000022E-2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14329878.938200982</v>
      </c>
      <c r="D7" s="11">
        <v>1.7100000000000001E-2</v>
      </c>
      <c r="E7" s="10">
        <f t="shared" si="2"/>
        <v>240921.17770448886</v>
      </c>
      <c r="F7" s="3"/>
      <c r="G7" s="28"/>
      <c r="H7" s="10"/>
      <c r="I7" s="10">
        <f t="shared" si="5"/>
        <v>3643</v>
      </c>
      <c r="J7" s="10">
        <f t="shared" si="3"/>
        <v>52203748971.86618</v>
      </c>
      <c r="K7" s="11">
        <f t="shared" si="4"/>
        <v>1.7099999999999893E-2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14088957.760496493</v>
      </c>
      <c r="D8" s="11">
        <v>1.8100000000000002E-2</v>
      </c>
      <c r="E8" s="10">
        <f t="shared" si="2"/>
        <v>250476.51062271558</v>
      </c>
      <c r="F8" s="3"/>
      <c r="G8" s="28"/>
      <c r="H8" s="10"/>
      <c r="I8" s="10">
        <f t="shared" si="5"/>
        <v>3643</v>
      </c>
      <c r="J8" s="10">
        <f t="shared" si="3"/>
        <v>51326073121.488724</v>
      </c>
      <c r="K8" s="11">
        <f t="shared" si="4"/>
        <v>1.8100000000000005E-2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13838481.249873778</v>
      </c>
      <c r="D9" s="11">
        <v>1.47E-2</v>
      </c>
      <c r="E9" s="10">
        <f t="shared" si="2"/>
        <v>200478.63838882744</v>
      </c>
      <c r="F9" s="3"/>
      <c r="G9" s="28"/>
      <c r="H9" s="10"/>
      <c r="I9" s="10">
        <f t="shared" si="5"/>
        <v>3643</v>
      </c>
      <c r="J9" s="10">
        <f t="shared" si="3"/>
        <v>50413587193.290176</v>
      </c>
      <c r="K9" s="11">
        <f t="shared" si="4"/>
        <v>1.4699999999999935E-2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13638002.61148495</v>
      </c>
      <c r="D10" s="11">
        <v>1.3299999999999999E-2</v>
      </c>
      <c r="E10" s="10">
        <f t="shared" si="2"/>
        <v>179004.67258733884</v>
      </c>
      <c r="F10" s="3"/>
      <c r="G10" s="28"/>
      <c r="H10" s="10"/>
      <c r="I10" s="10">
        <f t="shared" si="5"/>
        <v>3643</v>
      </c>
      <c r="J10" s="10">
        <f t="shared" si="3"/>
        <v>49683243513.639671</v>
      </c>
      <c r="K10" s="11">
        <f t="shared" si="4"/>
        <v>1.3299999999999867E-2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13458997.938897612</v>
      </c>
      <c r="D11" s="11">
        <v>1.1299999999999999E-2</v>
      </c>
      <c r="E11" s="10">
        <f t="shared" si="2"/>
        <v>150387.30021709017</v>
      </c>
      <c r="F11" s="3"/>
      <c r="G11" s="28"/>
      <c r="H11" s="10"/>
      <c r="I11" s="10">
        <f t="shared" si="5"/>
        <v>3643</v>
      </c>
      <c r="J11" s="10">
        <f t="shared" si="3"/>
        <v>49031129491.403999</v>
      </c>
      <c r="K11" s="11">
        <f t="shared" si="4"/>
        <v>1.1299999999999866E-2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13308610.638680521</v>
      </c>
      <c r="D12" s="11">
        <v>9.9000000000000008E-3</v>
      </c>
      <c r="E12" s="10">
        <f t="shared" si="2"/>
        <v>130463.6551370807</v>
      </c>
      <c r="F12" s="3"/>
      <c r="G12" s="28"/>
      <c r="H12" s="10"/>
      <c r="I12" s="10">
        <f t="shared" si="5"/>
        <v>3643</v>
      </c>
      <c r="J12" s="10">
        <f t="shared" si="3"/>
        <v>48483268556.713142</v>
      </c>
      <c r="K12" s="11">
        <f t="shared" si="4"/>
        <v>9.9000000000002419E-3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13178146.983543441</v>
      </c>
      <c r="D13" s="11">
        <v>8.9999999999999993E-3</v>
      </c>
      <c r="E13" s="10">
        <f t="shared" si="2"/>
        <v>117545.41412476636</v>
      </c>
      <c r="F13" s="3"/>
      <c r="G13" s="28"/>
      <c r="H13" s="10"/>
      <c r="I13" s="10">
        <f t="shared" si="5"/>
        <v>3643</v>
      </c>
      <c r="J13" s="10">
        <f t="shared" si="3"/>
        <v>48007989461.048752</v>
      </c>
      <c r="K13" s="11">
        <f t="shared" si="4"/>
        <v>8.999999999999897E-3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13060601.569418674</v>
      </c>
      <c r="D14" s="11">
        <v>8.3999999999999995E-3</v>
      </c>
      <c r="E14" s="10">
        <f t="shared" si="2"/>
        <v>108795.1737238355</v>
      </c>
      <c r="F14" s="3"/>
      <c r="G14" s="28"/>
      <c r="H14" s="10"/>
      <c r="I14" s="10">
        <f t="shared" si="5"/>
        <v>3643</v>
      </c>
      <c r="J14" s="10">
        <f t="shared" si="3"/>
        <v>47579771517.392227</v>
      </c>
      <c r="K14" s="11">
        <f t="shared" si="4"/>
        <v>8.3999999999999631E-3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12951806.395694839</v>
      </c>
      <c r="D15" s="11">
        <v>7.4999999999999997E-3</v>
      </c>
      <c r="E15" s="10">
        <f t="shared" si="2"/>
        <v>96415.432226017118</v>
      </c>
      <c r="F15" s="3"/>
      <c r="G15" s="28"/>
      <c r="H15" s="10"/>
      <c r="I15" s="10">
        <f t="shared" si="5"/>
        <v>3643</v>
      </c>
      <c r="J15" s="10">
        <f t="shared" si="3"/>
        <v>47183430699.516296</v>
      </c>
      <c r="K15" s="11">
        <f t="shared" si="4"/>
        <v>7.5000000000000622E-3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12855390.963468822</v>
      </c>
      <c r="D16" s="11">
        <v>6.4999999999999997E-3</v>
      </c>
      <c r="E16" s="10">
        <f t="shared" si="2"/>
        <v>83020.408606603742</v>
      </c>
      <c r="F16" s="3"/>
      <c r="G16" s="28"/>
      <c r="H16" s="10"/>
      <c r="I16" s="10">
        <f t="shared" si="5"/>
        <v>3643</v>
      </c>
      <c r="J16" s="10">
        <f t="shared" si="3"/>
        <v>46832189279.916916</v>
      </c>
      <c r="K16" s="11">
        <f t="shared" si="4"/>
        <v>6.4999999999999503E-3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12772370.554862218</v>
      </c>
      <c r="D17" s="11">
        <v>6.1999999999999998E-3</v>
      </c>
      <c r="E17" s="10">
        <f t="shared" si="2"/>
        <v>78700.752772953361</v>
      </c>
      <c r="F17" s="3"/>
      <c r="G17" s="28"/>
      <c r="H17" s="10"/>
      <c r="I17" s="10">
        <f t="shared" si="5"/>
        <v>3643</v>
      </c>
      <c r="J17" s="10">
        <f t="shared" si="3"/>
        <v>46529745931.36306</v>
      </c>
      <c r="K17" s="11">
        <f t="shared" si="4"/>
        <v>6.1999999999999833E-3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12693669.802089265</v>
      </c>
      <c r="D18" s="11">
        <v>6.6E-3</v>
      </c>
      <c r="E18" s="10">
        <f t="shared" si="2"/>
        <v>83228.909888524562</v>
      </c>
      <c r="F18" s="3"/>
      <c r="G18" s="28"/>
      <c r="H18" s="10"/>
      <c r="I18" s="10">
        <f t="shared" si="5"/>
        <v>3643</v>
      </c>
      <c r="J18" s="10">
        <f t="shared" si="3"/>
        <v>46243039089.011192</v>
      </c>
      <c r="K18" s="11">
        <f t="shared" si="4"/>
        <v>6.6000000000001613E-3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12610440.89220074</v>
      </c>
      <c r="D19" s="11">
        <v>7.3000000000000001E-3</v>
      </c>
      <c r="E19" s="10">
        <f t="shared" si="2"/>
        <v>91389.078241901472</v>
      </c>
      <c r="F19" s="3"/>
      <c r="G19" s="28"/>
      <c r="H19" s="10"/>
      <c r="I19" s="10">
        <f t="shared" si="5"/>
        <v>3643</v>
      </c>
      <c r="J19" s="10">
        <f t="shared" si="3"/>
        <v>45939836170.287292</v>
      </c>
      <c r="K19" s="11">
        <f t="shared" si="4"/>
        <v>7.3000000000000842E-3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12519051.813958839</v>
      </c>
      <c r="D20" s="11">
        <v>7.9000000000000008E-3</v>
      </c>
      <c r="E20" s="10">
        <f t="shared" si="2"/>
        <v>98125.319307744503</v>
      </c>
      <c r="F20" s="3"/>
      <c r="G20" s="28"/>
      <c r="H20" s="10"/>
      <c r="I20" s="10">
        <f t="shared" si="5"/>
        <v>3643</v>
      </c>
      <c r="J20" s="10">
        <f t="shared" si="3"/>
        <v>45606905758.252052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12420926.494651094</v>
      </c>
      <c r="D21" s="11">
        <v>8.8999999999999999E-3</v>
      </c>
      <c r="E21" s="10">
        <f t="shared" si="2"/>
        <v>109571.06333868019</v>
      </c>
      <c r="F21" s="3"/>
      <c r="G21" s="28"/>
      <c r="H21" s="10"/>
      <c r="I21" s="10">
        <f t="shared" si="5"/>
        <v>3643</v>
      </c>
      <c r="J21" s="10">
        <f t="shared" si="3"/>
        <v>45249435220.013939</v>
      </c>
      <c r="K21" s="11">
        <f t="shared" si="4"/>
        <v>8.899999999999908E-3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12311355.431312414</v>
      </c>
      <c r="D22" s="11">
        <v>9.7999999999999997E-3</v>
      </c>
      <c r="E22" s="10">
        <f t="shared" si="2"/>
        <v>119480.37554650567</v>
      </c>
      <c r="F22" s="3"/>
      <c r="G22" s="28"/>
      <c r="H22" s="10"/>
      <c r="I22" s="10">
        <f t="shared" si="5"/>
        <v>3643</v>
      </c>
      <c r="J22" s="10">
        <f t="shared" si="3"/>
        <v>44850267836.271126</v>
      </c>
      <c r="K22" s="11">
        <f t="shared" si="4"/>
        <v>9.8000000000000309E-3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12191875.055765908</v>
      </c>
      <c r="D23" s="11">
        <v>1.0699999999999999E-2</v>
      </c>
      <c r="E23" s="10">
        <f t="shared" si="2"/>
        <v>129071.99277401157</v>
      </c>
      <c r="F23" s="3"/>
      <c r="G23" s="28"/>
      <c r="H23" s="10"/>
      <c r="I23" s="10">
        <f t="shared" si="5"/>
        <v>3643</v>
      </c>
      <c r="J23" s="10">
        <f t="shared" si="3"/>
        <v>44415000828.155205</v>
      </c>
      <c r="K23" s="11">
        <f t="shared" si="4"/>
        <v>1.0699999999999932E-2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12062803.062991897</v>
      </c>
      <c r="D24" s="11">
        <v>1.1900000000000001E-2</v>
      </c>
      <c r="E24" s="10">
        <f t="shared" si="2"/>
        <v>141859.23159363866</v>
      </c>
      <c r="F24" s="3"/>
      <c r="G24" s="28"/>
      <c r="H24" s="10"/>
      <c r="I24" s="10">
        <f t="shared" si="5"/>
        <v>3643</v>
      </c>
      <c r="J24" s="10">
        <f t="shared" si="3"/>
        <v>43944791558.479477</v>
      </c>
      <c r="K24" s="11">
        <f t="shared" si="4"/>
        <v>1.1900000000000022E-2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11920943.831398258</v>
      </c>
      <c r="D25" s="11">
        <v>1.37E-2</v>
      </c>
      <c r="E25" s="10">
        <f t="shared" si="2"/>
        <v>161109.72722714394</v>
      </c>
      <c r="F25" s="3"/>
      <c r="G25" s="28"/>
      <c r="H25" s="10"/>
      <c r="I25" s="10">
        <f t="shared" si="5"/>
        <v>3643</v>
      </c>
      <c r="J25" s="10">
        <f t="shared" si="3"/>
        <v>43427998377.783852</v>
      </c>
      <c r="K25" s="11">
        <f t="shared" si="4"/>
        <v>1.3699999999999823E-2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11759834.104171114</v>
      </c>
      <c r="D26" s="11">
        <v>1.5599999999999999E-2</v>
      </c>
      <c r="E26" s="10">
        <f t="shared" si="2"/>
        <v>180635.49825233407</v>
      </c>
      <c r="F26" s="3"/>
      <c r="G26" s="28"/>
      <c r="H26" s="10"/>
      <c r="I26" s="10">
        <f t="shared" si="5"/>
        <v>3643</v>
      </c>
      <c r="J26" s="10">
        <f t="shared" si="3"/>
        <v>42841075641.495369</v>
      </c>
      <c r="K26" s="11">
        <f t="shared" si="4"/>
        <v>1.5600000000000058E-2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11579198.60591878</v>
      </c>
      <c r="D27" s="11">
        <v>1.7299999999999999E-2</v>
      </c>
      <c r="E27" s="10">
        <f t="shared" si="2"/>
        <v>196913.53178255819</v>
      </c>
      <c r="F27" s="3"/>
      <c r="G27" s="28"/>
      <c r="H27" s="10"/>
      <c r="I27" s="10">
        <f t="shared" si="5"/>
        <v>3643</v>
      </c>
      <c r="J27" s="10">
        <f t="shared" si="3"/>
        <v>42183020521.362114</v>
      </c>
      <c r="K27" s="11">
        <f t="shared" si="4"/>
        <v>1.7300000000000093E-2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11382285.074136222</v>
      </c>
      <c r="D28" s="11">
        <v>1.8200000000000001E-2</v>
      </c>
      <c r="E28" s="10">
        <f t="shared" si="2"/>
        <v>203454.71258031763</v>
      </c>
      <c r="F28" s="3"/>
      <c r="G28" s="28"/>
      <c r="H28" s="10"/>
      <c r="I28" s="10">
        <f t="shared" si="5"/>
        <v>3643</v>
      </c>
      <c r="J28" s="10">
        <f t="shared" si="3"/>
        <v>41465664525.078255</v>
      </c>
      <c r="K28" s="11">
        <f t="shared" si="4"/>
        <v>1.8199999999999994E-2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11178830.361555904</v>
      </c>
      <c r="D29" s="11">
        <v>1.8499999999999999E-2</v>
      </c>
      <c r="E29" s="10">
        <f t="shared" si="2"/>
        <v>203051.90151083283</v>
      </c>
      <c r="F29" s="3"/>
      <c r="G29" s="28"/>
      <c r="H29" s="10"/>
      <c r="I29" s="10">
        <f t="shared" si="5"/>
        <v>3643</v>
      </c>
      <c r="J29" s="10">
        <f t="shared" si="3"/>
        <v>40724479007.148155</v>
      </c>
      <c r="K29" s="11">
        <f t="shared" si="4"/>
        <v>1.8499999999999739E-2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10975778.460045071</v>
      </c>
      <c r="D30" s="11">
        <v>1.8800000000000001E-2</v>
      </c>
      <c r="E30" s="10">
        <f t="shared" si="2"/>
        <v>202536.94056620263</v>
      </c>
      <c r="F30" s="3"/>
      <c r="G30" s="28"/>
      <c r="H30" s="10"/>
      <c r="I30" s="10">
        <f t="shared" si="5"/>
        <v>3643</v>
      </c>
      <c r="J30" s="10">
        <f t="shared" si="3"/>
        <v>39984760929.944199</v>
      </c>
      <c r="K30" s="11">
        <f t="shared" si="4"/>
        <v>1.880000000000015E-2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10773241.519478869</v>
      </c>
      <c r="D31" s="11">
        <v>1.9400000000000001E-2</v>
      </c>
      <c r="E31" s="10">
        <f t="shared" si="2"/>
        <v>205023.43091808073</v>
      </c>
      <c r="F31" s="3"/>
      <c r="G31" s="28"/>
      <c r="H31" s="10"/>
      <c r="I31" s="10">
        <f t="shared" si="5"/>
        <v>3643</v>
      </c>
      <c r="J31" s="10">
        <f t="shared" si="3"/>
        <v>39246918855.461517</v>
      </c>
      <c r="K31" s="11">
        <f t="shared" si="4"/>
        <v>1.9400000000000084E-2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10568218.088560788</v>
      </c>
      <c r="D32" s="11">
        <v>1.9800000000000002E-2</v>
      </c>
      <c r="E32" s="10">
        <f t="shared" si="2"/>
        <v>205187.99583595246</v>
      </c>
      <c r="F32" s="3"/>
      <c r="G32" s="28"/>
      <c r="H32" s="10"/>
      <c r="I32" s="10">
        <f t="shared" si="5"/>
        <v>3643</v>
      </c>
      <c r="J32" s="10">
        <f t="shared" si="3"/>
        <v>38500018496.626953</v>
      </c>
      <c r="K32" s="11">
        <f t="shared" si="4"/>
        <v>1.980000000000004E-2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10363030.092724836</v>
      </c>
      <c r="D33" s="11">
        <v>2.0199999999999999E-2</v>
      </c>
      <c r="E33" s="10">
        <f t="shared" si="2"/>
        <v>205188.40214961953</v>
      </c>
      <c r="F33" s="3"/>
      <c r="G33" s="28"/>
      <c r="H33" s="10"/>
      <c r="I33" s="10">
        <f t="shared" si="5"/>
        <v>3643</v>
      </c>
      <c r="J33" s="10">
        <f t="shared" si="3"/>
        <v>37752518627.796577</v>
      </c>
      <c r="K33" s="11">
        <f t="shared" si="4"/>
        <v>2.0199999999999996E-2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10157841.690575216</v>
      </c>
      <c r="D34" s="11">
        <v>2.0400000000000001E-2</v>
      </c>
      <c r="E34" s="10">
        <f t="shared" si="2"/>
        <v>203077.19569554552</v>
      </c>
      <c r="F34" s="3"/>
      <c r="G34" s="28"/>
      <c r="H34" s="10"/>
      <c r="I34" s="10">
        <f t="shared" si="5"/>
        <v>3643</v>
      </c>
      <c r="J34" s="10">
        <f t="shared" ref="J34:J65" si="6">IF(I34="","",I34*C34)</f>
        <v>37005017278.765511</v>
      </c>
      <c r="K34" s="11">
        <f t="shared" ref="K34:K65" si="7">IFERROR(J34/J35-1,"")</f>
        <v>2.0399999999999974E-2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9954764.4948796704</v>
      </c>
      <c r="D35" s="11">
        <v>2.1100000000000001E-2</v>
      </c>
      <c r="E35" s="10">
        <f t="shared" si="2"/>
        <v>205705.1521319747</v>
      </c>
      <c r="F35" s="3"/>
      <c r="G35" s="28"/>
      <c r="H35" s="10"/>
      <c r="I35" s="10">
        <f t="shared" ref="I35:I66" si="8">IF(H35&lt;&gt;"",H35,I34/(1+IF(G34="",0,G34)/100))</f>
        <v>3643</v>
      </c>
      <c r="J35" s="10">
        <f t="shared" si="6"/>
        <v>36265207054.846642</v>
      </c>
      <c r="K35" s="11">
        <f t="shared" si="7"/>
        <v>2.1099999999999897E-2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9749059.3427476957</v>
      </c>
      <c r="D36" s="11">
        <v>2.2100000000000002E-2</v>
      </c>
      <c r="E36" s="10">
        <f t="shared" si="2"/>
        <v>210795.62809384987</v>
      </c>
      <c r="F36" s="3"/>
      <c r="G36" s="28"/>
      <c r="H36" s="10"/>
      <c r="I36" s="10">
        <f t="shared" si="8"/>
        <v>3643</v>
      </c>
      <c r="J36" s="10">
        <f t="shared" si="6"/>
        <v>35515823185.629852</v>
      </c>
      <c r="K36" s="11">
        <f t="shared" si="7"/>
        <v>2.2099999999999786E-2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9538263.7146538459</v>
      </c>
      <c r="D37" s="11">
        <v>2.24E-2</v>
      </c>
      <c r="E37" s="10">
        <f t="shared" si="2"/>
        <v>208976.04382653162</v>
      </c>
      <c r="F37" s="3"/>
      <c r="G37" s="28"/>
      <c r="H37" s="10"/>
      <c r="I37" s="10">
        <f t="shared" si="8"/>
        <v>3643</v>
      </c>
      <c r="J37" s="10">
        <f t="shared" si="6"/>
        <v>34747894712.483963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9329287.6708273143</v>
      </c>
      <c r="D38" s="11">
        <v>2.2700000000000001E-2</v>
      </c>
      <c r="E38" s="10">
        <f t="shared" si="2"/>
        <v>207074.24477146752</v>
      </c>
      <c r="F38" s="3"/>
      <c r="G38" s="28"/>
      <c r="H38" s="10"/>
      <c r="I38" s="10">
        <f t="shared" si="8"/>
        <v>3643</v>
      </c>
      <c r="J38" s="10">
        <f t="shared" si="6"/>
        <v>33986594984.823906</v>
      </c>
      <c r="K38" s="11">
        <f t="shared" si="7"/>
        <v>2.2699999999999942E-2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9122213.4260558467</v>
      </c>
      <c r="D39" s="11">
        <v>2.29E-2</v>
      </c>
      <c r="E39" s="10">
        <f t="shared" si="2"/>
        <v>204222.00357481465</v>
      </c>
      <c r="F39" s="3"/>
      <c r="G39" s="28"/>
      <c r="H39" s="10"/>
      <c r="I39" s="10">
        <f t="shared" si="8"/>
        <v>3643</v>
      </c>
      <c r="J39" s="10">
        <f t="shared" si="6"/>
        <v>33232223511.121449</v>
      </c>
      <c r="K39" s="11">
        <f t="shared" si="7"/>
        <v>2.289999999999992E-2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8917991.4224810321</v>
      </c>
      <c r="D40" s="11">
        <v>2.3599999999999999E-2</v>
      </c>
      <c r="E40" s="10">
        <f t="shared" si="2"/>
        <v>205612.15081140399</v>
      </c>
      <c r="F40" s="3"/>
      <c r="G40" s="28"/>
      <c r="H40" s="10"/>
      <c r="I40" s="10">
        <f t="shared" si="8"/>
        <v>3643</v>
      </c>
      <c r="J40" s="10">
        <f t="shared" si="6"/>
        <v>32488242752.0984</v>
      </c>
      <c r="K40" s="11">
        <f t="shared" si="7"/>
        <v>2.3600000000000065E-2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8712379.2716696281</v>
      </c>
      <c r="D41" s="11">
        <v>2.4400000000000002E-2</v>
      </c>
      <c r="E41" s="10">
        <f t="shared" si="2"/>
        <v>207518.60037948005</v>
      </c>
      <c r="F41" s="3"/>
      <c r="G41" s="28"/>
      <c r="H41" s="10"/>
      <c r="I41" s="10">
        <f t="shared" si="8"/>
        <v>3643</v>
      </c>
      <c r="J41" s="10">
        <f t="shared" si="6"/>
        <v>31739197686.692455</v>
      </c>
      <c r="K41" s="11">
        <f t="shared" si="7"/>
        <v>2.4399999999999977E-2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8504860.671290148</v>
      </c>
      <c r="D42" s="11">
        <v>2.4799999999999999E-2</v>
      </c>
      <c r="E42" s="10">
        <f t="shared" si="2"/>
        <v>205816.30039812252</v>
      </c>
      <c r="F42" s="3"/>
      <c r="G42" s="28"/>
      <c r="H42" s="10"/>
      <c r="I42" s="10">
        <f t="shared" si="8"/>
        <v>3643</v>
      </c>
      <c r="J42" s="10">
        <f t="shared" si="6"/>
        <v>30983207425.51001</v>
      </c>
      <c r="K42" s="11">
        <f t="shared" si="7"/>
        <v>2.4800000000000155E-2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8299044.3708920255</v>
      </c>
      <c r="D43" s="11">
        <v>2.4899999999999999E-2</v>
      </c>
      <c r="E43" s="10">
        <f t="shared" si="2"/>
        <v>201625.72430013772</v>
      </c>
      <c r="F43" s="3"/>
      <c r="G43" s="28"/>
      <c r="H43" s="10"/>
      <c r="I43" s="10">
        <f t="shared" si="8"/>
        <v>3643</v>
      </c>
      <c r="J43" s="10">
        <f t="shared" si="6"/>
        <v>30233418643.159649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8097418.6465918878</v>
      </c>
      <c r="D44" s="11">
        <v>2.4799999999999999E-2</v>
      </c>
      <c r="E44" s="10">
        <f t="shared" si="2"/>
        <v>195956.26701354235</v>
      </c>
      <c r="F44" s="3"/>
      <c r="G44" s="28"/>
      <c r="H44" s="10"/>
      <c r="I44" s="10">
        <f t="shared" si="8"/>
        <v>3643</v>
      </c>
      <c r="J44" s="10">
        <f t="shared" si="6"/>
        <v>29498896129.534248</v>
      </c>
      <c r="K44" s="11">
        <f t="shared" si="7"/>
        <v>2.4799999999999933E-2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7901462.3795783455</v>
      </c>
      <c r="D45" s="11">
        <v>2.4899999999999999E-2</v>
      </c>
      <c r="E45" s="10">
        <f t="shared" si="2"/>
        <v>191966.44867938384</v>
      </c>
      <c r="F45" s="3"/>
      <c r="G45" s="28"/>
      <c r="H45" s="10"/>
      <c r="I45" s="10">
        <f t="shared" si="8"/>
        <v>3643</v>
      </c>
      <c r="J45" s="10">
        <f t="shared" si="6"/>
        <v>28785027448.803913</v>
      </c>
      <c r="K45" s="11">
        <f t="shared" si="7"/>
        <v>2.4900000000000144E-2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7709495.9308989616</v>
      </c>
      <c r="D46" s="11">
        <v>2.5000000000000001E-2</v>
      </c>
      <c r="E46" s="10">
        <f t="shared" si="2"/>
        <v>188036.48611948639</v>
      </c>
      <c r="F46" s="3"/>
      <c r="G46" s="28"/>
      <c r="H46" s="10"/>
      <c r="I46" s="10">
        <f t="shared" si="8"/>
        <v>3643</v>
      </c>
      <c r="J46" s="10">
        <f t="shared" si="6"/>
        <v>28085693676.264915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7521459.4447794752</v>
      </c>
      <c r="D47" s="11">
        <v>2.4899999999999999E-2</v>
      </c>
      <c r="E47" s="10">
        <f t="shared" si="2"/>
        <v>182734.25717143994</v>
      </c>
      <c r="F47" s="3"/>
      <c r="G47" s="28"/>
      <c r="H47" s="10"/>
      <c r="I47" s="10">
        <f t="shared" si="8"/>
        <v>3643</v>
      </c>
      <c r="J47" s="10">
        <f t="shared" si="6"/>
        <v>27400676757.331627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7338725.1876080353</v>
      </c>
      <c r="D48" s="11">
        <v>2.4899999999999999E-2</v>
      </c>
      <c r="E48" s="10">
        <f t="shared" si="2"/>
        <v>178294.71867639758</v>
      </c>
      <c r="F48" s="3"/>
      <c r="G48" s="28"/>
      <c r="H48" s="10"/>
      <c r="I48" s="10">
        <f t="shared" si="8"/>
        <v>3643</v>
      </c>
      <c r="J48" s="10">
        <f t="shared" si="6"/>
        <v>26734975858.456074</v>
      </c>
      <c r="K48" s="11">
        <f t="shared" si="7"/>
        <v>2.4900000000000144E-2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7160430.4689316377</v>
      </c>
      <c r="D49" s="11">
        <v>2.47E-2</v>
      </c>
      <c r="E49" s="10">
        <f t="shared" si="2"/>
        <v>172599.42674208153</v>
      </c>
      <c r="F49" s="3"/>
      <c r="G49" s="28"/>
      <c r="H49" s="10"/>
      <c r="I49" s="10">
        <f t="shared" si="8"/>
        <v>3643</v>
      </c>
      <c r="J49" s="10">
        <f t="shared" si="6"/>
        <v>26085448198.317955</v>
      </c>
      <c r="K49" s="11">
        <f t="shared" si="7"/>
        <v>2.4699999999999944E-2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6987831.0421895562</v>
      </c>
      <c r="D50" s="11">
        <v>2.47E-2</v>
      </c>
      <c r="E50" s="10">
        <f t="shared" si="2"/>
        <v>168438.98384120408</v>
      </c>
      <c r="F50" s="3"/>
      <c r="G50" s="28"/>
      <c r="H50" s="10"/>
      <c r="I50" s="10">
        <f t="shared" si="8"/>
        <v>3643</v>
      </c>
      <c r="J50" s="10">
        <f t="shared" si="6"/>
        <v>25456668486.696552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6819392.0583483521</v>
      </c>
      <c r="D51" s="11">
        <v>2.4899999999999999E-2</v>
      </c>
      <c r="E51" s="10">
        <f t="shared" si="2"/>
        <v>165677.49268501624</v>
      </c>
      <c r="F51" s="3"/>
      <c r="G51" s="28"/>
      <c r="H51" s="10"/>
      <c r="I51" s="10">
        <f t="shared" si="8"/>
        <v>3643</v>
      </c>
      <c r="J51" s="10">
        <f t="shared" si="6"/>
        <v>24843045268.563046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6653714.5656633358</v>
      </c>
      <c r="D52" s="11">
        <v>2.53E-2</v>
      </c>
      <c r="E52" s="10">
        <f t="shared" si="2"/>
        <v>164185.09559278563</v>
      </c>
      <c r="F52" s="3"/>
      <c r="G52" s="28"/>
      <c r="H52" s="10"/>
      <c r="I52" s="10">
        <f t="shared" si="8"/>
        <v>3643</v>
      </c>
      <c r="J52" s="10">
        <f t="shared" si="6"/>
        <v>24239482162.711533</v>
      </c>
      <c r="K52" s="11">
        <f t="shared" si="7"/>
        <v>2.53000000000001E-2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6489529.4700705502</v>
      </c>
      <c r="D53" s="11">
        <v>2.5899999999999999E-2</v>
      </c>
      <c r="E53" s="10">
        <f t="shared" si="2"/>
        <v>163835.4744856488</v>
      </c>
      <c r="F53" s="3"/>
      <c r="G53" s="28"/>
      <c r="H53" s="10"/>
      <c r="I53" s="10">
        <f t="shared" si="8"/>
        <v>3643</v>
      </c>
      <c r="J53" s="10">
        <f t="shared" si="6"/>
        <v>23641355859.467014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6325693.9955849014</v>
      </c>
      <c r="D54" s="11">
        <v>2.6499999999999999E-2</v>
      </c>
      <c r="E54" s="10">
        <f t="shared" si="2"/>
        <v>163303.35205357987</v>
      </c>
      <c r="F54" s="3"/>
      <c r="G54" s="28"/>
      <c r="H54" s="10"/>
      <c r="I54" s="10">
        <f t="shared" si="8"/>
        <v>3643</v>
      </c>
      <c r="J54" s="10">
        <f t="shared" si="6"/>
        <v>23044503225.915794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6162390.6435313215</v>
      </c>
      <c r="D55" s="11">
        <v>2.46E-2</v>
      </c>
      <c r="E55" s="10">
        <f t="shared" si="2"/>
        <v>147955.11402583495</v>
      </c>
      <c r="F55" s="3"/>
      <c r="G55" s="28"/>
      <c r="H55" s="10"/>
      <c r="I55" s="10">
        <f t="shared" si="8"/>
        <v>3643</v>
      </c>
      <c r="J55" s="10">
        <f t="shared" si="6"/>
        <v>22449589114.384605</v>
      </c>
      <c r="K55" s="11">
        <f t="shared" si="7"/>
        <v>2.4599999999999955E-2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6014435.5295054866</v>
      </c>
      <c r="D56" s="11">
        <v>2.5100000000000001E-2</v>
      </c>
      <c r="E56" s="10">
        <f t="shared" si="2"/>
        <v>147265.95628776401</v>
      </c>
      <c r="F56" s="3"/>
      <c r="G56" s="28"/>
      <c r="H56" s="10"/>
      <c r="I56" s="10">
        <f t="shared" si="8"/>
        <v>3643</v>
      </c>
      <c r="J56" s="10">
        <f t="shared" si="6"/>
        <v>21910588633.988487</v>
      </c>
      <c r="K56" s="11">
        <f t="shared" si="7"/>
        <v>2.50999999999999E-2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5867169.5732177226</v>
      </c>
      <c r="D57" s="11">
        <v>2.7900000000000001E-2</v>
      </c>
      <c r="E57" s="10">
        <f t="shared" si="2"/>
        <v>159250.93014181778</v>
      </c>
      <c r="F57" s="3"/>
      <c r="G57" s="28"/>
      <c r="H57" s="10"/>
      <c r="I57" s="10">
        <f t="shared" si="8"/>
        <v>3643</v>
      </c>
      <c r="J57" s="10">
        <f t="shared" si="6"/>
        <v>21374098755.232162</v>
      </c>
      <c r="K57" s="11">
        <f t="shared" si="7"/>
        <v>2.7900000000000036E-2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5707918.6430759048</v>
      </c>
      <c r="D58" s="11">
        <v>2.81E-2</v>
      </c>
      <c r="E58" s="10">
        <f t="shared" si="2"/>
        <v>156008.67023677938</v>
      </c>
      <c r="F58" s="3"/>
      <c r="G58" s="28"/>
      <c r="H58" s="10"/>
      <c r="I58" s="10">
        <f t="shared" si="8"/>
        <v>3643</v>
      </c>
      <c r="J58" s="10">
        <f t="shared" si="6"/>
        <v>20793947616.725521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5551909.9728391254</v>
      </c>
      <c r="D59" s="11">
        <v>2.8299999999999999E-2</v>
      </c>
      <c r="E59" s="10">
        <f t="shared" si="2"/>
        <v>152794.9550047135</v>
      </c>
      <c r="F59" s="3"/>
      <c r="G59" s="28"/>
      <c r="H59" s="10"/>
      <c r="I59" s="10">
        <f t="shared" si="8"/>
        <v>3643</v>
      </c>
      <c r="J59" s="10">
        <f t="shared" si="6"/>
        <v>20225608031.052933</v>
      </c>
      <c r="K59" s="11">
        <f t="shared" si="7"/>
        <v>2.829999999999977E-2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5399115.0178344119</v>
      </c>
      <c r="D60" s="11">
        <v>2.8500000000000001E-2</v>
      </c>
      <c r="E60" s="10">
        <f t="shared" si="2"/>
        <v>149610.86826279107</v>
      </c>
      <c r="F60" s="3"/>
      <c r="G60" s="28"/>
      <c r="H60" s="10"/>
      <c r="I60" s="10">
        <f t="shared" si="8"/>
        <v>3643</v>
      </c>
      <c r="J60" s="10">
        <f t="shared" si="6"/>
        <v>19668976009.970764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5249504.1495716209</v>
      </c>
      <c r="D61" s="11">
        <v>2.87E-2</v>
      </c>
      <c r="E61" s="10">
        <f t="shared" si="2"/>
        <v>146457.44054895081</v>
      </c>
      <c r="F61" s="3"/>
      <c r="G61" s="28"/>
      <c r="H61" s="10"/>
      <c r="I61" s="10">
        <f t="shared" si="8"/>
        <v>3643</v>
      </c>
      <c r="J61" s="10">
        <f t="shared" si="6"/>
        <v>19123943616.889416</v>
      </c>
      <c r="K61" s="11">
        <f t="shared" si="7"/>
        <v>2.870000000000017E-2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5103046.7090226701</v>
      </c>
      <c r="D62" s="11">
        <v>2.8899999999999999E-2</v>
      </c>
      <c r="E62" s="10">
        <f t="shared" si="2"/>
        <v>143335.64961682819</v>
      </c>
      <c r="F62" s="3"/>
      <c r="G62" s="28"/>
      <c r="H62" s="10"/>
      <c r="I62" s="10">
        <f t="shared" si="8"/>
        <v>3643</v>
      </c>
      <c r="J62" s="10">
        <f t="shared" si="6"/>
        <v>18590399160.969585</v>
      </c>
      <c r="K62" s="11">
        <f t="shared" si="7"/>
        <v>2.8899999999999704E-2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4959711.0594058419</v>
      </c>
      <c r="D63" s="11">
        <v>2.9000000000000001E-2</v>
      </c>
      <c r="E63" s="10">
        <f t="shared" si="2"/>
        <v>139778.05706780311</v>
      </c>
      <c r="F63" s="3"/>
      <c r="G63" s="28"/>
      <c r="H63" s="10"/>
      <c r="I63" s="10">
        <f t="shared" si="8"/>
        <v>3643</v>
      </c>
      <c r="J63" s="10">
        <f t="shared" si="6"/>
        <v>18068227389.415482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4819933.0023380388</v>
      </c>
      <c r="D64" s="11">
        <v>2.9100000000000001E-2</v>
      </c>
      <c r="E64" s="10">
        <f t="shared" si="2"/>
        <v>136293.89793803915</v>
      </c>
      <c r="F64" s="3"/>
      <c r="G64" s="28"/>
      <c r="H64" s="10"/>
      <c r="I64" s="10">
        <f t="shared" si="8"/>
        <v>3643</v>
      </c>
      <c r="J64" s="10">
        <f t="shared" si="6"/>
        <v>17559015927.517475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4683639.1043999996</v>
      </c>
      <c r="D65" s="11">
        <v>2.92E-2</v>
      </c>
      <c r="E65" s="10">
        <f t="shared" si="2"/>
        <v>132882.1043999996</v>
      </c>
      <c r="F65" s="3"/>
      <c r="G65" s="28"/>
      <c r="H65" s="10"/>
      <c r="I65" s="10">
        <f t="shared" si="8"/>
        <v>3643</v>
      </c>
      <c r="J65" s="10">
        <f t="shared" si="6"/>
        <v>17062497257.329199</v>
      </c>
      <c r="K65" s="11">
        <f t="shared" si="7"/>
        <v>2.9199999999999893E-2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4550757</v>
      </c>
      <c r="D66" s="11">
        <v>0.01</v>
      </c>
      <c r="E66" s="10">
        <f t="shared" si="2"/>
        <v>45057</v>
      </c>
      <c r="F66" s="24">
        <f>SUM(F2)</f>
        <v>15105090</v>
      </c>
      <c r="G66" s="28"/>
      <c r="H66" s="10"/>
      <c r="I66" s="10">
        <f t="shared" si="8"/>
        <v>3643</v>
      </c>
      <c r="J66" s="10">
        <f t="shared" ref="J66:J67" si="9">IF(I66="","",I66*C66)</f>
        <v>16578407751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4505700</v>
      </c>
      <c r="D67" s="11">
        <v>0.01</v>
      </c>
      <c r="E67" s="3" t="s">
        <v>72</v>
      </c>
      <c r="F67" s="10">
        <f>SUM(C2)</f>
        <v>15105606.015821232</v>
      </c>
      <c r="G67" s="28"/>
      <c r="H67" s="10"/>
      <c r="I67" s="10">
        <f t="shared" ref="I67" si="11">IF(H67&lt;&gt;"",H67,I66/(1+IF(G66="",0,G66)/100))</f>
        <v>3643</v>
      </c>
      <c r="J67" s="10">
        <f t="shared" si="9"/>
        <v>16414265100</v>
      </c>
      <c r="K67" s="11"/>
    </row>
  </sheetData>
  <dataValidations count="1">
    <dataValidation type="custom" allowBlank="1" showDropDown="1" sqref="D2:D67" xr:uid="{00000000-0002-0000-3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8003951.7140036738</v>
      </c>
      <c r="D2" s="11">
        <v>1.222E-2</v>
      </c>
      <c r="E2" s="10">
        <f t="shared" ref="E2:E66" si="2">SUM(C2-C3)</f>
        <v>96627.501872245222</v>
      </c>
      <c r="F2" s="15">
        <v>8002152</v>
      </c>
      <c r="G2" s="28"/>
      <c r="H2" s="10"/>
      <c r="I2" s="10">
        <f>IF(H2&lt;&gt;"",H2,20635)</f>
        <v>20635</v>
      </c>
      <c r="J2" s="10">
        <f t="shared" ref="J2:J33" si="3">IF(I2="","",I2*C2)</f>
        <v>165161543618.46582</v>
      </c>
      <c r="K2" s="11">
        <f t="shared" ref="K2:K33" si="4">IFERROR(J2/J3-1,"")</f>
        <v>1.2219999999999898E-2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7907324.2121314285</v>
      </c>
      <c r="D3" s="11">
        <v>1.235E-2</v>
      </c>
      <c r="E3" s="10">
        <f t="shared" si="2"/>
        <v>96464.122111743316</v>
      </c>
      <c r="F3" s="3"/>
      <c r="G3" s="28"/>
      <c r="H3" s="10"/>
      <c r="I3" s="10">
        <f t="shared" ref="I3:I34" si="5">IF(H3&lt;&gt;"",H3,I2/(1+IF(G2="",0,G2)/100))</f>
        <v>20635</v>
      </c>
      <c r="J3" s="10">
        <f t="shared" si="3"/>
        <v>163167635117.33203</v>
      </c>
      <c r="K3" s="11">
        <f t="shared" si="4"/>
        <v>1.2350000000000083E-2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7810860.0900196852</v>
      </c>
      <c r="D4" s="11">
        <v>1.434E-2</v>
      </c>
      <c r="E4" s="10">
        <f t="shared" si="2"/>
        <v>110424.24994664732</v>
      </c>
      <c r="F4" s="3"/>
      <c r="G4" s="28"/>
      <c r="H4" s="10"/>
      <c r="I4" s="10">
        <f t="shared" si="5"/>
        <v>20635</v>
      </c>
      <c r="J4" s="10">
        <f t="shared" si="3"/>
        <v>161177097957.55621</v>
      </c>
      <c r="K4" s="11">
        <f t="shared" si="4"/>
        <v>1.4340000000000019E-2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7700435.8400730379</v>
      </c>
      <c r="D5" s="11">
        <v>2.026E-2</v>
      </c>
      <c r="E5" s="10">
        <f t="shared" si="2"/>
        <v>152912.81645843107</v>
      </c>
      <c r="F5" s="3"/>
      <c r="G5" s="28"/>
      <c r="H5" s="10"/>
      <c r="I5" s="10">
        <f t="shared" si="5"/>
        <v>20635</v>
      </c>
      <c r="J5" s="10">
        <f t="shared" si="3"/>
        <v>158898493559.90714</v>
      </c>
      <c r="K5" s="11">
        <f t="shared" si="4"/>
        <v>2.0259999999999945E-2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7547523.0236146068</v>
      </c>
      <c r="D6" s="11">
        <v>2.2179999999999998E-2</v>
      </c>
      <c r="E6" s="10">
        <f t="shared" si="2"/>
        <v>163771.60643308703</v>
      </c>
      <c r="F6" s="3"/>
      <c r="G6" s="28"/>
      <c r="H6" s="10"/>
      <c r="I6" s="10">
        <f t="shared" si="5"/>
        <v>20635</v>
      </c>
      <c r="J6" s="10">
        <f t="shared" si="3"/>
        <v>155743137592.28741</v>
      </c>
      <c r="K6" s="11">
        <f t="shared" si="4"/>
        <v>2.2180000000000311E-2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7383751.4171815198</v>
      </c>
      <c r="D7" s="11">
        <v>1.881E-2</v>
      </c>
      <c r="E7" s="10">
        <f t="shared" si="2"/>
        <v>136324.10769150686</v>
      </c>
      <c r="F7" s="3"/>
      <c r="G7" s="28"/>
      <c r="H7" s="10"/>
      <c r="I7" s="10">
        <f t="shared" si="5"/>
        <v>20635</v>
      </c>
      <c r="J7" s="10">
        <f t="shared" si="3"/>
        <v>152363710493.54065</v>
      </c>
      <c r="K7" s="11">
        <f t="shared" si="4"/>
        <v>1.8809999999999993E-2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7247427.3094900129</v>
      </c>
      <c r="D8" s="11">
        <v>2.443E-2</v>
      </c>
      <c r="E8" s="10">
        <f t="shared" si="2"/>
        <v>172832.35474443436</v>
      </c>
      <c r="F8" s="3"/>
      <c r="G8" s="28"/>
      <c r="H8" s="10"/>
      <c r="I8" s="10">
        <f t="shared" si="5"/>
        <v>20635</v>
      </c>
      <c r="J8" s="10">
        <f t="shared" si="3"/>
        <v>149550662531.32642</v>
      </c>
      <c r="K8" s="11">
        <f t="shared" si="4"/>
        <v>2.4429999999999952E-2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7074594.9547455786</v>
      </c>
      <c r="D9" s="11">
        <v>4.2090000000000002E-2</v>
      </c>
      <c r="E9" s="10">
        <f t="shared" si="2"/>
        <v>285742.78771050554</v>
      </c>
      <c r="F9" s="3"/>
      <c r="G9" s="28"/>
      <c r="H9" s="10"/>
      <c r="I9" s="10">
        <f t="shared" si="5"/>
        <v>20635</v>
      </c>
      <c r="J9" s="10">
        <f t="shared" si="3"/>
        <v>145984266891.17502</v>
      </c>
      <c r="K9" s="11">
        <f t="shared" si="4"/>
        <v>4.2089999999999961E-2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6788852.167035073</v>
      </c>
      <c r="D10" s="11">
        <v>4.7480000000000001E-2</v>
      </c>
      <c r="E10" s="10">
        <f t="shared" si="2"/>
        <v>307723.96694049053</v>
      </c>
      <c r="F10" s="3"/>
      <c r="G10" s="28"/>
      <c r="H10" s="10"/>
      <c r="I10" s="10">
        <f t="shared" si="5"/>
        <v>20635</v>
      </c>
      <c r="J10" s="10">
        <f t="shared" si="3"/>
        <v>140087964466.76874</v>
      </c>
      <c r="K10" s="11">
        <f t="shared" si="4"/>
        <v>4.7479999999999967E-2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6481128.2000945825</v>
      </c>
      <c r="D11" s="11">
        <v>3.6470000000000002E-2</v>
      </c>
      <c r="E11" s="10">
        <f t="shared" si="2"/>
        <v>228049.77033339068</v>
      </c>
      <c r="F11" s="3"/>
      <c r="G11" s="28"/>
      <c r="H11" s="10"/>
      <c r="I11" s="10">
        <f t="shared" si="5"/>
        <v>20635</v>
      </c>
      <c r="J11" s="10">
        <f t="shared" si="3"/>
        <v>133738080408.95171</v>
      </c>
      <c r="K11" s="11">
        <f t="shared" si="4"/>
        <v>3.6470000000000002E-2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6253078.4297611918</v>
      </c>
      <c r="D12" s="11">
        <v>2.733E-2</v>
      </c>
      <c r="E12" s="10">
        <f t="shared" si="2"/>
        <v>166350.28032411542</v>
      </c>
      <c r="F12" s="3"/>
      <c r="G12" s="28"/>
      <c r="H12" s="10"/>
      <c r="I12" s="10">
        <f t="shared" si="5"/>
        <v>20635</v>
      </c>
      <c r="J12" s="10">
        <f t="shared" si="3"/>
        <v>129032273398.12219</v>
      </c>
      <c r="K12" s="11">
        <f t="shared" si="4"/>
        <v>2.7329999999999854E-2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6086728.1494370764</v>
      </c>
      <c r="D13" s="11">
        <v>1.7860000000000001E-2</v>
      </c>
      <c r="E13" s="10">
        <f t="shared" si="2"/>
        <v>106801.49013513234</v>
      </c>
      <c r="F13" s="3"/>
      <c r="G13" s="28"/>
      <c r="H13" s="10"/>
      <c r="I13" s="10">
        <f t="shared" si="5"/>
        <v>20635</v>
      </c>
      <c r="J13" s="10">
        <f t="shared" si="3"/>
        <v>125599635363.63408</v>
      </c>
      <c r="K13" s="11">
        <f t="shared" si="4"/>
        <v>1.7859999999999987E-2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5979926.6593019441</v>
      </c>
      <c r="D14" s="11">
        <v>-1.33E-3</v>
      </c>
      <c r="E14" s="10">
        <f t="shared" si="2"/>
        <v>-7963.8944364720955</v>
      </c>
      <c r="F14" s="3"/>
      <c r="G14" s="28"/>
      <c r="H14" s="10"/>
      <c r="I14" s="10">
        <f t="shared" si="5"/>
        <v>20635</v>
      </c>
      <c r="J14" s="10">
        <f t="shared" si="3"/>
        <v>123395786614.69562</v>
      </c>
      <c r="K14" s="11">
        <f t="shared" si="4"/>
        <v>-1.3299999999999423E-3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5987890.5537384162</v>
      </c>
      <c r="D15" s="11">
        <v>-2.8500000000000001E-3</v>
      </c>
      <c r="E15" s="10">
        <f t="shared" si="2"/>
        <v>-17114.263729784638</v>
      </c>
      <c r="F15" s="3"/>
      <c r="G15" s="28"/>
      <c r="H15" s="10"/>
      <c r="I15" s="10">
        <f t="shared" si="5"/>
        <v>20635</v>
      </c>
      <c r="J15" s="10">
        <f t="shared" si="3"/>
        <v>123560121576.39221</v>
      </c>
      <c r="K15" s="11">
        <f t="shared" si="4"/>
        <v>-2.8500000000001302E-3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6005004.8174682008</v>
      </c>
      <c r="D16" s="11">
        <v>1.78E-2</v>
      </c>
      <c r="E16" s="10">
        <f t="shared" si="2"/>
        <v>105019.73447723966</v>
      </c>
      <c r="F16" s="3"/>
      <c r="G16" s="28"/>
      <c r="H16" s="10"/>
      <c r="I16" s="10">
        <f t="shared" si="5"/>
        <v>20635</v>
      </c>
      <c r="J16" s="10">
        <f t="shared" si="3"/>
        <v>123913274408.45633</v>
      </c>
      <c r="K16" s="11">
        <f t="shared" si="4"/>
        <v>1.780000000000026E-2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5899985.0829909611</v>
      </c>
      <c r="D17" s="11">
        <v>2.1950000000000001E-2</v>
      </c>
      <c r="E17" s="10">
        <f t="shared" si="2"/>
        <v>126723.10051533952</v>
      </c>
      <c r="F17" s="3"/>
      <c r="G17" s="28"/>
      <c r="H17" s="10"/>
      <c r="I17" s="10">
        <f t="shared" si="5"/>
        <v>20635</v>
      </c>
      <c r="J17" s="10">
        <f t="shared" si="3"/>
        <v>121746192187.51848</v>
      </c>
      <c r="K17" s="11">
        <f t="shared" si="4"/>
        <v>2.1949999999999914E-2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5773261.9824756216</v>
      </c>
      <c r="D18" s="11">
        <v>1.23E-2</v>
      </c>
      <c r="E18" s="10">
        <f t="shared" si="2"/>
        <v>70148.298315173015</v>
      </c>
      <c r="F18" s="3"/>
      <c r="G18" s="28"/>
      <c r="H18" s="10"/>
      <c r="I18" s="10">
        <f t="shared" si="5"/>
        <v>20635</v>
      </c>
      <c r="J18" s="10">
        <f t="shared" si="3"/>
        <v>119131261008.38445</v>
      </c>
      <c r="K18" s="11">
        <f t="shared" si="4"/>
        <v>1.2299999999999756E-2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5703113.6841604486</v>
      </c>
      <c r="D19" s="11">
        <v>2.0889999999999999E-2</v>
      </c>
      <c r="E19" s="10">
        <f t="shared" si="2"/>
        <v>116700.17814075202</v>
      </c>
      <c r="F19" s="3"/>
      <c r="G19" s="28"/>
      <c r="H19" s="10"/>
      <c r="I19" s="10">
        <f t="shared" si="5"/>
        <v>20635</v>
      </c>
      <c r="J19" s="10">
        <f t="shared" si="3"/>
        <v>117683750872.65086</v>
      </c>
      <c r="K19" s="11">
        <f t="shared" si="4"/>
        <v>2.0890000000000075E-2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5586413.5060196966</v>
      </c>
      <c r="D20" s="11">
        <v>3.3750000000000002E-2</v>
      </c>
      <c r="E20" s="10">
        <f t="shared" si="2"/>
        <v>182385.93066811562</v>
      </c>
      <c r="F20" s="3"/>
      <c r="G20" s="28"/>
      <c r="H20" s="10"/>
      <c r="I20" s="10">
        <f t="shared" si="5"/>
        <v>20635</v>
      </c>
      <c r="J20" s="10">
        <f t="shared" si="3"/>
        <v>115275642696.71645</v>
      </c>
      <c r="K20" s="11">
        <f t="shared" si="4"/>
        <v>3.3750000000000169E-2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5404027.575351581</v>
      </c>
      <c r="D21" s="11">
        <v>3.712E-2</v>
      </c>
      <c r="E21" s="10">
        <f t="shared" si="2"/>
        <v>193417.83361332398</v>
      </c>
      <c r="F21" s="3"/>
      <c r="G21" s="28"/>
      <c r="H21" s="10"/>
      <c r="I21" s="10">
        <f t="shared" si="5"/>
        <v>20635</v>
      </c>
      <c r="J21" s="10">
        <f t="shared" si="3"/>
        <v>111512109017.37987</v>
      </c>
      <c r="K21" s="11">
        <f t="shared" si="4"/>
        <v>3.711999999999982E-2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5210609.741738257</v>
      </c>
      <c r="D22" s="11">
        <v>3.5619999999999999E-2</v>
      </c>
      <c r="E22" s="10">
        <f t="shared" si="2"/>
        <v>179218.16786149051</v>
      </c>
      <c r="F22" s="3"/>
      <c r="G22" s="28"/>
      <c r="H22" s="10"/>
      <c r="I22" s="10">
        <f t="shared" si="5"/>
        <v>20635</v>
      </c>
      <c r="J22" s="10">
        <f t="shared" si="3"/>
        <v>107520932020.76894</v>
      </c>
      <c r="K22" s="11">
        <f t="shared" si="4"/>
        <v>3.5619999999999985E-2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5031391.5738767665</v>
      </c>
      <c r="D23" s="11">
        <v>3.0949999999999998E-2</v>
      </c>
      <c r="E23" s="10">
        <f t="shared" si="2"/>
        <v>151046.67463163659</v>
      </c>
      <c r="F23" s="3"/>
      <c r="G23" s="28"/>
      <c r="H23" s="10"/>
      <c r="I23" s="10">
        <f t="shared" si="5"/>
        <v>20635</v>
      </c>
      <c r="J23" s="10">
        <f t="shared" si="3"/>
        <v>103822765126.94708</v>
      </c>
      <c r="K23" s="11">
        <f t="shared" si="4"/>
        <v>3.0950000000000033E-2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4880344.8992451299</v>
      </c>
      <c r="D24" s="11">
        <v>2.836E-2</v>
      </c>
      <c r="E24" s="10">
        <f t="shared" si="2"/>
        <v>134589.61972713005</v>
      </c>
      <c r="F24" s="3"/>
      <c r="G24" s="28"/>
      <c r="H24" s="10"/>
      <c r="I24" s="10">
        <f t="shared" si="5"/>
        <v>20635</v>
      </c>
      <c r="J24" s="10">
        <f t="shared" si="3"/>
        <v>100705916995.92325</v>
      </c>
      <c r="K24" s="11">
        <f t="shared" si="4"/>
        <v>2.8359999999999719E-2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4745755.2795179999</v>
      </c>
      <c r="D25" s="11">
        <v>2.751E-2</v>
      </c>
      <c r="E25" s="10">
        <f t="shared" si="2"/>
        <v>127060.29891635105</v>
      </c>
      <c r="F25" s="3"/>
      <c r="G25" s="28"/>
      <c r="H25" s="10"/>
      <c r="I25" s="10">
        <f t="shared" si="5"/>
        <v>20635</v>
      </c>
      <c r="J25" s="10">
        <f t="shared" si="3"/>
        <v>97928660192.853928</v>
      </c>
      <c r="K25" s="11">
        <f t="shared" si="4"/>
        <v>2.7509999999999923E-2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4618694.9806016488</v>
      </c>
      <c r="D26" s="11">
        <v>2.92E-2</v>
      </c>
      <c r="E26" s="10">
        <f t="shared" si="2"/>
        <v>131039.53889775369</v>
      </c>
      <c r="F26" s="3"/>
      <c r="G26" s="28"/>
      <c r="H26" s="10"/>
      <c r="I26" s="10">
        <f t="shared" si="5"/>
        <v>20635</v>
      </c>
      <c r="J26" s="10">
        <f t="shared" si="3"/>
        <v>95306770924.715027</v>
      </c>
      <c r="K26" s="11">
        <f t="shared" si="4"/>
        <v>2.9200000000000115E-2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4487655.4417038951</v>
      </c>
      <c r="D27" s="11">
        <v>3.3500000000000002E-2</v>
      </c>
      <c r="E27" s="10">
        <f t="shared" si="2"/>
        <v>145463.43231454398</v>
      </c>
      <c r="F27" s="3"/>
      <c r="G27" s="28"/>
      <c r="H27" s="10"/>
      <c r="I27" s="10">
        <f t="shared" si="5"/>
        <v>20635</v>
      </c>
      <c r="J27" s="10">
        <f t="shared" si="3"/>
        <v>92602770039.559875</v>
      </c>
      <c r="K27" s="11">
        <f t="shared" si="4"/>
        <v>3.3500000000000085E-2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4342192.0093893511</v>
      </c>
      <c r="D28" s="11">
        <v>3.4049999999999997E-2</v>
      </c>
      <c r="E28" s="10">
        <f t="shared" si="2"/>
        <v>142983.0645710621</v>
      </c>
      <c r="F28" s="3"/>
      <c r="G28" s="28"/>
      <c r="H28" s="10"/>
      <c r="I28" s="10">
        <f t="shared" si="5"/>
        <v>20635</v>
      </c>
      <c r="J28" s="10">
        <f t="shared" si="3"/>
        <v>89601132113.749268</v>
      </c>
      <c r="K28" s="11">
        <f t="shared" si="4"/>
        <v>3.4049999999999914E-2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4199208.944818289</v>
      </c>
      <c r="D29" s="11">
        <v>2.7789999999999999E-2</v>
      </c>
      <c r="E29" s="10">
        <f t="shared" si="2"/>
        <v>113540.71996857319</v>
      </c>
      <c r="F29" s="3"/>
      <c r="G29" s="28"/>
      <c r="H29" s="10"/>
      <c r="I29" s="10">
        <f t="shared" si="5"/>
        <v>20635</v>
      </c>
      <c r="J29" s="10">
        <f t="shared" si="3"/>
        <v>86650676576.325394</v>
      </c>
      <c r="K29" s="11">
        <f t="shared" si="4"/>
        <v>2.7789999999999981E-2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4085668.2248497158</v>
      </c>
      <c r="D30" s="11">
        <v>2.002E-2</v>
      </c>
      <c r="E30" s="10">
        <f t="shared" si="2"/>
        <v>80189.680458707735</v>
      </c>
      <c r="F30" s="3"/>
      <c r="G30" s="28"/>
      <c r="H30" s="10"/>
      <c r="I30" s="10">
        <f t="shared" si="5"/>
        <v>20635</v>
      </c>
      <c r="J30" s="10">
        <f t="shared" si="3"/>
        <v>84307763819.77388</v>
      </c>
      <c r="K30" s="11">
        <f t="shared" si="4"/>
        <v>2.0019999999999927E-2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4005478.5443910081</v>
      </c>
      <c r="D31" s="11">
        <v>6.6400000000000001E-3</v>
      </c>
      <c r="E31" s="10">
        <f t="shared" si="2"/>
        <v>26420.94247671077</v>
      </c>
      <c r="F31" s="3"/>
      <c r="G31" s="28"/>
      <c r="H31" s="10"/>
      <c r="I31" s="10">
        <f t="shared" si="5"/>
        <v>20635</v>
      </c>
      <c r="J31" s="10">
        <f t="shared" si="3"/>
        <v>82653049763.508453</v>
      </c>
      <c r="K31" s="11">
        <f t="shared" si="4"/>
        <v>6.6399999999999793E-3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3979057.6019142973</v>
      </c>
      <c r="D32" s="11">
        <v>3.6999999999999999E-4</v>
      </c>
      <c r="E32" s="10">
        <f t="shared" si="2"/>
        <v>1471.7067811992019</v>
      </c>
      <c r="F32" s="3"/>
      <c r="G32" s="28"/>
      <c r="H32" s="10"/>
      <c r="I32" s="10">
        <f t="shared" si="5"/>
        <v>20635</v>
      </c>
      <c r="J32" s="10">
        <f t="shared" si="3"/>
        <v>82107853615.501526</v>
      </c>
      <c r="K32" s="11">
        <f t="shared" si="4"/>
        <v>3.6999999999998145E-4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3977585.8951330981</v>
      </c>
      <c r="D33" s="11">
        <v>0.01</v>
      </c>
      <c r="E33" s="10">
        <f t="shared" si="2"/>
        <v>39382.038565674331</v>
      </c>
      <c r="F33" s="3"/>
      <c r="G33" s="28"/>
      <c r="H33" s="10"/>
      <c r="I33" s="10">
        <f t="shared" si="5"/>
        <v>20635</v>
      </c>
      <c r="J33" s="10">
        <f t="shared" si="3"/>
        <v>82077484946.071472</v>
      </c>
      <c r="K33" s="11">
        <f t="shared" si="4"/>
        <v>1.0000000000000009E-2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3938203.8565674238</v>
      </c>
      <c r="D34" s="11">
        <v>1.5890000000000001E-2</v>
      </c>
      <c r="E34" s="10">
        <f t="shared" si="2"/>
        <v>61599.247242177837</v>
      </c>
      <c r="F34" s="3"/>
      <c r="G34" s="28"/>
      <c r="H34" s="10"/>
      <c r="I34" s="10">
        <f t="shared" si="5"/>
        <v>20635</v>
      </c>
      <c r="J34" s="10">
        <f t="shared" ref="J34:J65" si="6">IF(I34="","",I34*C34)</f>
        <v>81264836580.268784</v>
      </c>
      <c r="K34" s="11">
        <f t="shared" ref="K34:K65" si="7">IFERROR(J34/J35-1,"")</f>
        <v>1.5889999999999738E-2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3876604.609325246</v>
      </c>
      <c r="D35" s="11">
        <v>2.8330000000000001E-2</v>
      </c>
      <c r="E35" s="10">
        <f t="shared" si="2"/>
        <v>106798.60412725899</v>
      </c>
      <c r="F35" s="3"/>
      <c r="G35" s="28"/>
      <c r="H35" s="10"/>
      <c r="I35" s="10">
        <f t="shared" ref="I35:I66" si="8">IF(H35&lt;&gt;"",H35,I34/(1+IF(G34="",0,G34)/100))</f>
        <v>20635</v>
      </c>
      <c r="J35" s="10">
        <f t="shared" si="6"/>
        <v>79993736113.426453</v>
      </c>
      <c r="K35" s="11">
        <f t="shared" si="7"/>
        <v>2.8329999999999966E-2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3769806.005197987</v>
      </c>
      <c r="D36" s="11">
        <v>4.614E-2</v>
      </c>
      <c r="E36" s="10">
        <f t="shared" si="2"/>
        <v>166267.27692262549</v>
      </c>
      <c r="F36" s="3"/>
      <c r="G36" s="28"/>
      <c r="H36" s="10"/>
      <c r="I36" s="10">
        <f t="shared" si="8"/>
        <v>20635</v>
      </c>
      <c r="J36" s="10">
        <f t="shared" si="6"/>
        <v>77789946917.260468</v>
      </c>
      <c r="K36" s="11">
        <f t="shared" si="7"/>
        <v>4.6140000000000292E-2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3603538.7282753615</v>
      </c>
      <c r="D37" s="11">
        <v>2.947E-2</v>
      </c>
      <c r="E37" s="10">
        <f t="shared" si="2"/>
        <v>103156.27101544989</v>
      </c>
      <c r="F37" s="3"/>
      <c r="G37" s="28"/>
      <c r="H37" s="10"/>
      <c r="I37" s="10">
        <f t="shared" si="8"/>
        <v>20635</v>
      </c>
      <c r="J37" s="10">
        <f t="shared" si="6"/>
        <v>74359021657.962082</v>
      </c>
      <c r="K37" s="11">
        <f t="shared" si="7"/>
        <v>2.9470000000000107E-2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3500382.4572599116</v>
      </c>
      <c r="D38" s="11">
        <v>1.124E-2</v>
      </c>
      <c r="E38" s="10">
        <f t="shared" si="2"/>
        <v>38906.984315890353</v>
      </c>
      <c r="F38" s="3"/>
      <c r="G38" s="28"/>
      <c r="H38" s="10"/>
      <c r="I38" s="10">
        <f t="shared" si="8"/>
        <v>20635</v>
      </c>
      <c r="J38" s="10">
        <f t="shared" si="6"/>
        <v>72230392005.558273</v>
      </c>
      <c r="K38" s="11">
        <f t="shared" si="7"/>
        <v>1.1239999999999917E-2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3461475.4729440212</v>
      </c>
      <c r="D39" s="11">
        <v>1.197E-2</v>
      </c>
      <c r="E39" s="10">
        <f t="shared" si="2"/>
        <v>40943.764549482614</v>
      </c>
      <c r="F39" s="3"/>
      <c r="G39" s="28"/>
      <c r="H39" s="10"/>
      <c r="I39" s="10">
        <f t="shared" si="8"/>
        <v>20635</v>
      </c>
      <c r="J39" s="10">
        <f t="shared" si="6"/>
        <v>71427546384.199875</v>
      </c>
      <c r="K39" s="11">
        <f t="shared" si="7"/>
        <v>1.1970000000000036E-2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3420531.7083945386</v>
      </c>
      <c r="D40" s="11">
        <v>1.2800000000000001E-2</v>
      </c>
      <c r="E40" s="10">
        <f t="shared" si="2"/>
        <v>43229.468668492977</v>
      </c>
      <c r="F40" s="3"/>
      <c r="G40" s="28"/>
      <c r="H40" s="10"/>
      <c r="I40" s="10">
        <f t="shared" si="8"/>
        <v>20635</v>
      </c>
      <c r="J40" s="10">
        <f t="shared" si="6"/>
        <v>70582671802.721298</v>
      </c>
      <c r="K40" s="11">
        <f t="shared" si="7"/>
        <v>1.2799999999999923E-2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3377302.2397260456</v>
      </c>
      <c r="D41" s="11">
        <v>1.38E-2</v>
      </c>
      <c r="E41" s="10">
        <f t="shared" si="2"/>
        <v>45972.352444485761</v>
      </c>
      <c r="F41" s="3"/>
      <c r="G41" s="28"/>
      <c r="H41" s="10"/>
      <c r="I41" s="10">
        <f t="shared" si="8"/>
        <v>20635</v>
      </c>
      <c r="J41" s="10">
        <f t="shared" si="6"/>
        <v>69690631716.746948</v>
      </c>
      <c r="K41" s="11">
        <f t="shared" si="7"/>
        <v>1.3800000000000034E-2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3331329.8872815599</v>
      </c>
      <c r="D42" s="11">
        <v>1.4409999999999999E-2</v>
      </c>
      <c r="E42" s="10">
        <f t="shared" si="2"/>
        <v>47322.545790880919</v>
      </c>
      <c r="F42" s="3"/>
      <c r="G42" s="28"/>
      <c r="H42" s="10"/>
      <c r="I42" s="10">
        <f t="shared" si="8"/>
        <v>20635</v>
      </c>
      <c r="J42" s="10">
        <f t="shared" si="6"/>
        <v>68741992224.054993</v>
      </c>
      <c r="K42" s="11">
        <f t="shared" si="7"/>
        <v>1.4410000000000034E-2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3284007.341490679</v>
      </c>
      <c r="D43" s="11">
        <v>1.5310000000000001E-2</v>
      </c>
      <c r="E43" s="10">
        <f t="shared" si="2"/>
        <v>49520.001180153806</v>
      </c>
      <c r="F43" s="3"/>
      <c r="G43" s="28"/>
      <c r="H43" s="10"/>
      <c r="I43" s="10">
        <f t="shared" si="8"/>
        <v>20635</v>
      </c>
      <c r="J43" s="10">
        <f t="shared" si="6"/>
        <v>67765491491.660164</v>
      </c>
      <c r="K43" s="11">
        <f t="shared" si="7"/>
        <v>1.5309999999999935E-2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3234487.3403105251</v>
      </c>
      <c r="D44" s="11">
        <v>1.6209999999999999E-2</v>
      </c>
      <c r="E44" s="10">
        <f t="shared" si="2"/>
        <v>51594.689863742329</v>
      </c>
      <c r="F44" s="3"/>
      <c r="G44" s="28"/>
      <c r="H44" s="10"/>
      <c r="I44" s="10">
        <f t="shared" si="8"/>
        <v>20635</v>
      </c>
      <c r="J44" s="10">
        <f t="shared" si="6"/>
        <v>66743646267.307686</v>
      </c>
      <c r="K44" s="11">
        <f t="shared" si="7"/>
        <v>1.6210000000000058E-2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3182892.6504467828</v>
      </c>
      <c r="D45" s="11">
        <v>1.661E-2</v>
      </c>
      <c r="E45" s="10">
        <f t="shared" si="2"/>
        <v>52004.059495697729</v>
      </c>
      <c r="F45" s="3"/>
      <c r="G45" s="28"/>
      <c r="H45" s="10"/>
      <c r="I45" s="10">
        <f t="shared" si="8"/>
        <v>20635</v>
      </c>
      <c r="J45" s="10">
        <f t="shared" si="6"/>
        <v>65678989841.96936</v>
      </c>
      <c r="K45" s="11">
        <f t="shared" si="7"/>
        <v>1.6610000000000014E-2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3130888.5909510851</v>
      </c>
      <c r="D46" s="11">
        <v>1.685E-2</v>
      </c>
      <c r="E46" s="10">
        <f t="shared" si="2"/>
        <v>51881.273302380927</v>
      </c>
      <c r="F46" s="3"/>
      <c r="G46" s="28"/>
      <c r="H46" s="10"/>
      <c r="I46" s="10">
        <f t="shared" si="8"/>
        <v>20635</v>
      </c>
      <c r="J46" s="10">
        <f t="shared" si="6"/>
        <v>64605886074.275642</v>
      </c>
      <c r="K46" s="11">
        <f t="shared" si="7"/>
        <v>1.6850000000000254E-2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3079007.3176487042</v>
      </c>
      <c r="D47" s="11">
        <v>1.8120000000000001E-2</v>
      </c>
      <c r="E47" s="10">
        <f t="shared" si="2"/>
        <v>54798.660860992968</v>
      </c>
      <c r="F47" s="3"/>
      <c r="G47" s="28"/>
      <c r="H47" s="10"/>
      <c r="I47" s="10">
        <f t="shared" si="8"/>
        <v>20635</v>
      </c>
      <c r="J47" s="10">
        <f t="shared" si="6"/>
        <v>63535315999.681007</v>
      </c>
      <c r="K47" s="11">
        <f t="shared" si="7"/>
        <v>1.8119999999999692E-2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3024208.6567877112</v>
      </c>
      <c r="D48" s="11">
        <v>1.9939999999999999E-2</v>
      </c>
      <c r="E48" s="10">
        <f t="shared" si="2"/>
        <v>59123.792199881747</v>
      </c>
      <c r="F48" s="3"/>
      <c r="G48" s="28"/>
      <c r="H48" s="10"/>
      <c r="I48" s="10">
        <f t="shared" si="8"/>
        <v>20635</v>
      </c>
      <c r="J48" s="10">
        <f t="shared" si="6"/>
        <v>62404545632.814423</v>
      </c>
      <c r="K48" s="11">
        <f t="shared" si="7"/>
        <v>1.9940000000000291E-2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2965084.8645878294</v>
      </c>
      <c r="D49" s="11">
        <v>2.1499999999999998E-2</v>
      </c>
      <c r="E49" s="10">
        <f t="shared" si="2"/>
        <v>62407.562005519867</v>
      </c>
      <c r="F49" s="3"/>
      <c r="G49" s="28"/>
      <c r="H49" s="10"/>
      <c r="I49" s="10">
        <f t="shared" si="8"/>
        <v>20635</v>
      </c>
      <c r="J49" s="10">
        <f t="shared" si="6"/>
        <v>61184526180.769859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2902677.3025823096</v>
      </c>
      <c r="D50" s="11">
        <v>2.3199999999999998E-2</v>
      </c>
      <c r="E50" s="10">
        <f t="shared" si="2"/>
        <v>65815.200762226246</v>
      </c>
      <c r="F50" s="3"/>
      <c r="G50" s="28"/>
      <c r="H50" s="10"/>
      <c r="I50" s="10">
        <f t="shared" si="8"/>
        <v>20635</v>
      </c>
      <c r="J50" s="10">
        <f t="shared" si="6"/>
        <v>59896746138.785957</v>
      </c>
      <c r="K50" s="11">
        <f t="shared" si="7"/>
        <v>2.3200000000000109E-2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2836862.1018200833</v>
      </c>
      <c r="D51" s="11">
        <v>2.479E-2</v>
      </c>
      <c r="E51" s="10">
        <f t="shared" si="2"/>
        <v>68624.607484577224</v>
      </c>
      <c r="F51" s="3"/>
      <c r="G51" s="28"/>
      <c r="H51" s="10"/>
      <c r="I51" s="10">
        <f t="shared" si="8"/>
        <v>20635</v>
      </c>
      <c r="J51" s="10">
        <f t="shared" si="6"/>
        <v>58538649471.057419</v>
      </c>
      <c r="K51" s="11">
        <f t="shared" si="7"/>
        <v>2.479000000000009E-2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2768237.4943355061</v>
      </c>
      <c r="D52" s="11">
        <v>2.6169999999999999E-2</v>
      </c>
      <c r="E52" s="10">
        <f t="shared" si="2"/>
        <v>70597.245316819288</v>
      </c>
      <c r="F52" s="3"/>
      <c r="G52" s="28"/>
      <c r="H52" s="10"/>
      <c r="I52" s="10">
        <f t="shared" si="8"/>
        <v>20635</v>
      </c>
      <c r="J52" s="10">
        <f t="shared" si="6"/>
        <v>57122580695.613167</v>
      </c>
      <c r="K52" s="11">
        <f t="shared" si="7"/>
        <v>2.6170000000000027E-2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2697640.2490186868</v>
      </c>
      <c r="D53" s="11">
        <v>2.7320000000000001E-2</v>
      </c>
      <c r="E53" s="10">
        <f t="shared" si="2"/>
        <v>71739.605578778312</v>
      </c>
      <c r="F53" s="3"/>
      <c r="G53" s="28"/>
      <c r="H53" s="10"/>
      <c r="I53" s="10">
        <f t="shared" si="8"/>
        <v>20635</v>
      </c>
      <c r="J53" s="10">
        <f t="shared" si="6"/>
        <v>55665806538.500603</v>
      </c>
      <c r="K53" s="11">
        <f t="shared" si="7"/>
        <v>2.7320000000000011E-2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2625900.6434399085</v>
      </c>
      <c r="D54" s="11">
        <v>2.8309999999999998E-2</v>
      </c>
      <c r="E54" s="10">
        <f t="shared" si="2"/>
        <v>72292.642506427132</v>
      </c>
      <c r="F54" s="3"/>
      <c r="G54" s="28"/>
      <c r="H54" s="10"/>
      <c r="I54" s="10">
        <f t="shared" si="8"/>
        <v>20635</v>
      </c>
      <c r="J54" s="10">
        <f t="shared" si="6"/>
        <v>54185459777.382515</v>
      </c>
      <c r="K54" s="11">
        <f t="shared" si="7"/>
        <v>2.8310000000000057E-2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2553608.0009334814</v>
      </c>
      <c r="D55" s="11">
        <v>2.9350000000000001E-2</v>
      </c>
      <c r="E55" s="10">
        <f t="shared" si="2"/>
        <v>72811.380800891668</v>
      </c>
      <c r="F55" s="3"/>
      <c r="G55" s="28"/>
      <c r="H55" s="10"/>
      <c r="I55" s="10">
        <f t="shared" si="8"/>
        <v>20635</v>
      </c>
      <c r="J55" s="10">
        <f t="shared" si="6"/>
        <v>52693701099.26239</v>
      </c>
      <c r="K55" s="11">
        <f t="shared" si="7"/>
        <v>2.9349999999999987E-2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2480796.6201325897</v>
      </c>
      <c r="D56" s="11">
        <v>3.048E-2</v>
      </c>
      <c r="E56" s="10">
        <f t="shared" si="2"/>
        <v>73378.116005785298</v>
      </c>
      <c r="F56" s="3"/>
      <c r="G56" s="28"/>
      <c r="H56" s="10"/>
      <c r="I56" s="10">
        <f t="shared" si="8"/>
        <v>20635</v>
      </c>
      <c r="J56" s="10">
        <f t="shared" si="6"/>
        <v>51191238256.435989</v>
      </c>
      <c r="K56" s="11">
        <f t="shared" si="7"/>
        <v>3.0480000000000063E-2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2407418.5041268044</v>
      </c>
      <c r="D57" s="11">
        <v>3.1730000000000001E-2</v>
      </c>
      <c r="E57" s="10">
        <f t="shared" si="2"/>
        <v>74038.158370837104</v>
      </c>
      <c r="F57" s="3"/>
      <c r="G57" s="28"/>
      <c r="H57" s="10"/>
      <c r="I57" s="10">
        <f t="shared" si="8"/>
        <v>20635</v>
      </c>
      <c r="J57" s="10">
        <f t="shared" si="6"/>
        <v>49677080832.656609</v>
      </c>
      <c r="K57" s="11">
        <f t="shared" si="7"/>
        <v>3.1730000000000036E-2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2333380.3457559673</v>
      </c>
      <c r="D58" s="11">
        <v>3.3020000000000001E-2</v>
      </c>
      <c r="E58" s="10">
        <f t="shared" si="2"/>
        <v>74585.408817701507</v>
      </c>
      <c r="F58" s="3"/>
      <c r="G58" s="28"/>
      <c r="H58" s="10"/>
      <c r="I58" s="10">
        <f t="shared" si="8"/>
        <v>20635</v>
      </c>
      <c r="J58" s="10">
        <f t="shared" si="6"/>
        <v>48149303434.674385</v>
      </c>
      <c r="K58" s="11">
        <f t="shared" si="7"/>
        <v>3.3020000000000049E-2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2258794.9369382658</v>
      </c>
      <c r="D59" s="11">
        <v>3.4500000000000003E-2</v>
      </c>
      <c r="E59" s="10">
        <f t="shared" si="2"/>
        <v>75329.555654296651</v>
      </c>
      <c r="F59" s="3"/>
      <c r="G59" s="28"/>
      <c r="H59" s="10"/>
      <c r="I59" s="10">
        <f t="shared" si="8"/>
        <v>20635</v>
      </c>
      <c r="J59" s="10">
        <f t="shared" si="6"/>
        <v>46610233523.721115</v>
      </c>
      <c r="K59" s="11">
        <f t="shared" si="7"/>
        <v>3.4499999999999975E-2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2183465.3812839692</v>
      </c>
      <c r="D60" s="11">
        <v>4.2950000000000002E-2</v>
      </c>
      <c r="E60" s="10">
        <f t="shared" si="2"/>
        <v>89917.865790446987</v>
      </c>
      <c r="F60" s="3"/>
      <c r="G60" s="28"/>
      <c r="H60" s="10"/>
      <c r="I60" s="10">
        <f t="shared" si="8"/>
        <v>20635</v>
      </c>
      <c r="J60" s="10">
        <f t="shared" si="6"/>
        <v>45055808142.794701</v>
      </c>
      <c r="K60" s="11">
        <f t="shared" si="7"/>
        <v>4.2950000000000044E-2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2093547.5154935222</v>
      </c>
      <c r="D61" s="11">
        <v>5.178E-2</v>
      </c>
      <c r="E61" s="10">
        <f t="shared" si="2"/>
        <v>103067.07710001571</v>
      </c>
      <c r="F61" s="3"/>
      <c r="G61" s="28"/>
      <c r="H61" s="10"/>
      <c r="I61" s="10">
        <f t="shared" si="8"/>
        <v>20635</v>
      </c>
      <c r="J61" s="10">
        <f t="shared" si="6"/>
        <v>43200352982.208832</v>
      </c>
      <c r="K61" s="11">
        <f t="shared" si="7"/>
        <v>5.1779999999999937E-2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1990480.4383935065</v>
      </c>
      <c r="D62" s="11">
        <v>5.2609999999999997E-2</v>
      </c>
      <c r="E62" s="10">
        <f t="shared" si="2"/>
        <v>99485.256518447073</v>
      </c>
      <c r="F62" s="3"/>
      <c r="G62" s="28"/>
      <c r="H62" s="10"/>
      <c r="I62" s="10">
        <f t="shared" si="8"/>
        <v>20635</v>
      </c>
      <c r="J62" s="10">
        <f t="shared" si="6"/>
        <v>41073563846.250008</v>
      </c>
      <c r="K62" s="11">
        <f t="shared" si="7"/>
        <v>5.2610000000000046E-2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1890995.1818750594</v>
      </c>
      <c r="D63" s="11">
        <v>5.3080000000000002E-2</v>
      </c>
      <c r="E63" s="10">
        <f t="shared" si="2"/>
        <v>95314.718970950227</v>
      </c>
      <c r="F63" s="3"/>
      <c r="G63" s="28"/>
      <c r="H63" s="10"/>
      <c r="I63" s="10">
        <f t="shared" si="8"/>
        <v>20635</v>
      </c>
      <c r="J63" s="10">
        <f t="shared" si="6"/>
        <v>39020685577.991852</v>
      </c>
      <c r="K63" s="11">
        <f t="shared" si="7"/>
        <v>5.3080000000000238E-2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1795680.4629041092</v>
      </c>
      <c r="D64" s="11">
        <v>5.3120000000000001E-2</v>
      </c>
      <c r="E64" s="10">
        <f t="shared" si="2"/>
        <v>90575.191990909167</v>
      </c>
      <c r="F64" s="3"/>
      <c r="G64" s="28"/>
      <c r="H64" s="10"/>
      <c r="I64" s="10">
        <f t="shared" si="8"/>
        <v>20635</v>
      </c>
      <c r="J64" s="10">
        <f t="shared" si="6"/>
        <v>37053866352.026291</v>
      </c>
      <c r="K64" s="11">
        <f t="shared" si="7"/>
        <v>5.3119999999999834E-2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1705105.2709132</v>
      </c>
      <c r="D65" s="11">
        <v>5.3109999999999997E-2</v>
      </c>
      <c r="E65" s="10">
        <f t="shared" si="2"/>
        <v>85991.150913199876</v>
      </c>
      <c r="F65" s="3"/>
      <c r="G65" s="28"/>
      <c r="H65" s="10"/>
      <c r="I65" s="10">
        <f t="shared" si="8"/>
        <v>20635</v>
      </c>
      <c r="J65" s="10">
        <f t="shared" si="6"/>
        <v>35184847265.293884</v>
      </c>
      <c r="K65" s="11">
        <f t="shared" si="7"/>
        <v>5.3109999999999991E-2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1619114.12</v>
      </c>
      <c r="D66" s="11">
        <v>5.2740000000000002E-2</v>
      </c>
      <c r="E66" s="10">
        <f t="shared" si="2"/>
        <v>81114.120000000112</v>
      </c>
      <c r="F66" s="24">
        <f>SUM(F2)</f>
        <v>8002152</v>
      </c>
      <c r="G66" s="28"/>
      <c r="H66" s="10"/>
      <c r="I66" s="10">
        <f t="shared" si="8"/>
        <v>20635</v>
      </c>
      <c r="J66" s="10">
        <f t="shared" ref="J66:J67" si="9">IF(I66="","",I66*C66)</f>
        <v>33410419866.200001</v>
      </c>
      <c r="K66" s="11">
        <f t="shared" ref="K66" si="10">IFERROR(J66/J67-1,"")</f>
        <v>5.2740000000000009E-2</v>
      </c>
    </row>
    <row r="67" spans="1:11" ht="22.5" customHeight="1">
      <c r="A67" s="3">
        <f t="shared" si="0"/>
        <v>1950</v>
      </c>
      <c r="B67" s="3">
        <v>1700</v>
      </c>
      <c r="C67" s="10">
        <v>1538000</v>
      </c>
      <c r="D67" s="11">
        <v>5.2440000000000001E-2</v>
      </c>
      <c r="E67" s="3" t="s">
        <v>72</v>
      </c>
      <c r="F67" s="10">
        <f>SUM(C2)</f>
        <v>8003951.7140036738</v>
      </c>
      <c r="G67" s="28"/>
      <c r="H67" s="10"/>
      <c r="I67" s="10">
        <f t="shared" ref="I67" si="11">IF(H67&lt;&gt;"",H67,I66/(1+IF(G66="",0,G66)/100))</f>
        <v>20635</v>
      </c>
      <c r="J67" s="10">
        <f t="shared" si="9"/>
        <v>31736630000</v>
      </c>
      <c r="K67" s="11"/>
    </row>
  </sheetData>
  <dataValidations count="1">
    <dataValidation type="custom" allowBlank="1" showDropDown="1" sqref="D2:D67" xr:uid="{00000000-0002-0000-3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6257547.7558445949</v>
      </c>
      <c r="D2" s="11">
        <v>2.281E-2</v>
      </c>
      <c r="E2" s="10">
        <f t="shared" ref="E2:E66" si="2">SUM(C2-C3)</f>
        <v>139551.49471633602</v>
      </c>
      <c r="F2" s="16">
        <v>6257140</v>
      </c>
      <c r="G2" s="28"/>
      <c r="H2" s="10"/>
      <c r="I2" s="10">
        <f>IF(H2&lt;&gt;"",H2,3655)</f>
        <v>3655</v>
      </c>
      <c r="J2" s="10">
        <f t="shared" ref="J2:J33" si="3">IF(I2="","",I2*C2)</f>
        <v>22871337047.611996</v>
      </c>
      <c r="K2" s="11">
        <f t="shared" ref="K2:K33" si="4">IFERROR(J2/J3-1,"")</f>
        <v>2.2810000000000219E-2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6117996.2611282589</v>
      </c>
      <c r="D3" s="11">
        <v>2.334E-2</v>
      </c>
      <c r="E3" s="10">
        <f t="shared" si="2"/>
        <v>139537.23370017111</v>
      </c>
      <c r="F3" s="3"/>
      <c r="G3" s="28"/>
      <c r="H3" s="10"/>
      <c r="I3" s="10">
        <f t="shared" ref="I3:I34" si="5">IF(H3&lt;&gt;"",H3,I2/(1+IF(G2="",0,G2)/100))</f>
        <v>3655</v>
      </c>
      <c r="J3" s="10">
        <f t="shared" si="3"/>
        <v>22361276334.423786</v>
      </c>
      <c r="K3" s="11">
        <f t="shared" si="4"/>
        <v>2.3339999999999916E-2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5978459.0274280878</v>
      </c>
      <c r="D4" s="11">
        <v>2.3959999999999999E-2</v>
      </c>
      <c r="E4" s="10">
        <f t="shared" si="2"/>
        <v>139892.06443335395</v>
      </c>
      <c r="F4" s="3"/>
      <c r="G4" s="28"/>
      <c r="H4" s="10"/>
      <c r="I4" s="10">
        <f t="shared" si="5"/>
        <v>3655</v>
      </c>
      <c r="J4" s="10">
        <f t="shared" si="3"/>
        <v>21851267745.24966</v>
      </c>
      <c r="K4" s="11">
        <f t="shared" si="4"/>
        <v>2.3959999999999981E-2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5838566.9629947338</v>
      </c>
      <c r="D5" s="11">
        <v>2.4219999999999998E-2</v>
      </c>
      <c r="E5" s="10">
        <f t="shared" si="2"/>
        <v>138066.13017099071</v>
      </c>
      <c r="F5" s="3"/>
      <c r="G5" s="28"/>
      <c r="H5" s="10"/>
      <c r="I5" s="10">
        <f t="shared" si="5"/>
        <v>3655</v>
      </c>
      <c r="J5" s="10">
        <f t="shared" si="3"/>
        <v>21339962249.74575</v>
      </c>
      <c r="K5" s="11">
        <f t="shared" si="4"/>
        <v>2.4219999999999908E-2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5700500.8328237431</v>
      </c>
      <c r="D6" s="11">
        <v>2.4170000000000001E-2</v>
      </c>
      <c r="E6" s="10">
        <f t="shared" si="2"/>
        <v>134529.52647446189</v>
      </c>
      <c r="F6" s="3"/>
      <c r="G6" s="28"/>
      <c r="H6" s="10"/>
      <c r="I6" s="10">
        <f t="shared" si="5"/>
        <v>3655</v>
      </c>
      <c r="J6" s="10">
        <f t="shared" si="3"/>
        <v>20835330543.970779</v>
      </c>
      <c r="K6" s="11">
        <f t="shared" si="4"/>
        <v>2.4169999999999803E-2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5565971.3063492812</v>
      </c>
      <c r="D7" s="11">
        <v>2.392E-2</v>
      </c>
      <c r="E7" s="10">
        <f t="shared" si="2"/>
        <v>130027.76940373704</v>
      </c>
      <c r="F7" s="3"/>
      <c r="G7" s="28"/>
      <c r="H7" s="10"/>
      <c r="I7" s="10">
        <f t="shared" si="5"/>
        <v>3655</v>
      </c>
      <c r="J7" s="10">
        <f t="shared" si="3"/>
        <v>20343625124.706623</v>
      </c>
      <c r="K7" s="11">
        <f t="shared" si="4"/>
        <v>2.3919999999999941E-2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5435943.5369455442</v>
      </c>
      <c r="D8" s="11">
        <v>2.4750000000000001E-2</v>
      </c>
      <c r="E8" s="10">
        <f t="shared" si="2"/>
        <v>131290.17081181053</v>
      </c>
      <c r="F8" s="3"/>
      <c r="G8" s="28"/>
      <c r="H8" s="10"/>
      <c r="I8" s="10">
        <f t="shared" si="5"/>
        <v>3655</v>
      </c>
      <c r="J8" s="10">
        <f t="shared" si="3"/>
        <v>19868373627.535965</v>
      </c>
      <c r="K8" s="11">
        <f t="shared" si="4"/>
        <v>2.4750000000000272E-2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5304653.3661337337</v>
      </c>
      <c r="D9" s="11">
        <v>2.5159999999999998E-2</v>
      </c>
      <c r="E9" s="10">
        <f t="shared" si="2"/>
        <v>130189.51060510054</v>
      </c>
      <c r="F9" s="3"/>
      <c r="G9" s="28"/>
      <c r="H9" s="10"/>
      <c r="I9" s="10">
        <f t="shared" si="5"/>
        <v>3655</v>
      </c>
      <c r="J9" s="10">
        <f t="shared" si="3"/>
        <v>19388508053.218796</v>
      </c>
      <c r="K9" s="11">
        <f t="shared" si="4"/>
        <v>2.5160000000000071E-2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5174463.8555286331</v>
      </c>
      <c r="D10" s="11">
        <v>2.5600000000000001E-2</v>
      </c>
      <c r="E10" s="10">
        <f t="shared" si="2"/>
        <v>129159.78422536422</v>
      </c>
      <c r="F10" s="3"/>
      <c r="G10" s="28"/>
      <c r="H10" s="10"/>
      <c r="I10" s="10">
        <f t="shared" si="5"/>
        <v>3655</v>
      </c>
      <c r="J10" s="10">
        <f t="shared" si="3"/>
        <v>18912665391.957153</v>
      </c>
      <c r="K10" s="11">
        <f t="shared" si="4"/>
        <v>2.5600000000000067E-2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5045304.0713032689</v>
      </c>
      <c r="D11" s="11">
        <v>2.596E-2</v>
      </c>
      <c r="E11" s="10">
        <f t="shared" si="2"/>
        <v>127661.98847034294</v>
      </c>
      <c r="F11" s="3"/>
      <c r="G11" s="28"/>
      <c r="H11" s="10"/>
      <c r="I11" s="10">
        <f t="shared" si="5"/>
        <v>3655</v>
      </c>
      <c r="J11" s="10">
        <f t="shared" si="3"/>
        <v>18440586380.613449</v>
      </c>
      <c r="K11" s="11">
        <f t="shared" si="4"/>
        <v>2.5959999999999983E-2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4917642.082832926</v>
      </c>
      <c r="D12" s="11">
        <v>2.6040000000000001E-2</v>
      </c>
      <c r="E12" s="10">
        <f t="shared" si="2"/>
        <v>124805.46551495977</v>
      </c>
      <c r="F12" s="3"/>
      <c r="G12" s="28"/>
      <c r="H12" s="10"/>
      <c r="I12" s="10">
        <f t="shared" si="5"/>
        <v>3655</v>
      </c>
      <c r="J12" s="10">
        <f t="shared" si="3"/>
        <v>17973981812.754345</v>
      </c>
      <c r="K12" s="11">
        <f t="shared" si="4"/>
        <v>2.6040000000000063E-2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4792836.6173179662</v>
      </c>
      <c r="D13" s="11">
        <v>2.6419999999999999E-2</v>
      </c>
      <c r="E13" s="10">
        <f t="shared" si="2"/>
        <v>123367.3773207264</v>
      </c>
      <c r="F13" s="3"/>
      <c r="G13" s="28"/>
      <c r="H13" s="10"/>
      <c r="I13" s="10">
        <f t="shared" si="5"/>
        <v>3655</v>
      </c>
      <c r="J13" s="10">
        <f t="shared" si="3"/>
        <v>17517817836.297165</v>
      </c>
      <c r="K13" s="11">
        <f t="shared" si="4"/>
        <v>2.6419999999999888E-2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4669469.2399972398</v>
      </c>
      <c r="D14" s="11">
        <v>2.6550000000000001E-2</v>
      </c>
      <c r="E14" s="10">
        <f t="shared" si="2"/>
        <v>120768.01745840628</v>
      </c>
      <c r="F14" s="3"/>
      <c r="G14" s="28"/>
      <c r="H14" s="10"/>
      <c r="I14" s="10">
        <f t="shared" si="5"/>
        <v>3655</v>
      </c>
      <c r="J14" s="10">
        <f t="shared" si="3"/>
        <v>17066910072.189911</v>
      </c>
      <c r="K14" s="11">
        <f t="shared" si="4"/>
        <v>2.6550000000000074E-2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4548701.2225388335</v>
      </c>
      <c r="D15" s="11">
        <v>2.7459999999999998E-2</v>
      </c>
      <c r="E15" s="10">
        <f t="shared" si="2"/>
        <v>121569.04947240464</v>
      </c>
      <c r="F15" s="3"/>
      <c r="G15" s="28"/>
      <c r="H15" s="10"/>
      <c r="I15" s="10">
        <f t="shared" si="5"/>
        <v>3655</v>
      </c>
      <c r="J15" s="10">
        <f t="shared" si="3"/>
        <v>16625502968.379436</v>
      </c>
      <c r="K15" s="11">
        <f t="shared" si="4"/>
        <v>2.746000000000004E-2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4427132.1730664289</v>
      </c>
      <c r="D16" s="11">
        <v>2.7539999999999999E-2</v>
      </c>
      <c r="E16" s="10">
        <f t="shared" si="2"/>
        <v>118655.44898130372</v>
      </c>
      <c r="F16" s="3"/>
      <c r="G16" s="28"/>
      <c r="H16" s="10"/>
      <c r="I16" s="10">
        <f t="shared" si="5"/>
        <v>3655</v>
      </c>
      <c r="J16" s="10">
        <f t="shared" si="3"/>
        <v>16181168092.557798</v>
      </c>
      <c r="K16" s="11">
        <f t="shared" si="4"/>
        <v>2.7539999999999898E-2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4308476.7240851251</v>
      </c>
      <c r="D17" s="11">
        <v>2.5690000000000001E-2</v>
      </c>
      <c r="E17" s="10">
        <f t="shared" si="2"/>
        <v>107912.49504406471</v>
      </c>
      <c r="F17" s="3"/>
      <c r="G17" s="28"/>
      <c r="H17" s="10"/>
      <c r="I17" s="10">
        <f t="shared" si="5"/>
        <v>3655</v>
      </c>
      <c r="J17" s="10">
        <f t="shared" si="3"/>
        <v>15747482426.531132</v>
      </c>
      <c r="K17" s="11">
        <f t="shared" si="4"/>
        <v>2.5689999999999769E-2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4200564.2290410604</v>
      </c>
      <c r="D18" s="11">
        <v>2.4539999999999999E-2</v>
      </c>
      <c r="E18" s="10">
        <f t="shared" si="2"/>
        <v>100612.80787540553</v>
      </c>
      <c r="F18" s="3"/>
      <c r="G18" s="28"/>
      <c r="H18" s="10"/>
      <c r="I18" s="10">
        <f t="shared" si="5"/>
        <v>3655</v>
      </c>
      <c r="J18" s="10">
        <f t="shared" si="3"/>
        <v>15353062257.145077</v>
      </c>
      <c r="K18" s="11">
        <f t="shared" si="4"/>
        <v>2.4540000000000228E-2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4099951.4211656549</v>
      </c>
      <c r="D19" s="11">
        <v>2.4279999999999999E-2</v>
      </c>
      <c r="E19" s="10">
        <f t="shared" si="2"/>
        <v>97187.117297909223</v>
      </c>
      <c r="F19" s="3"/>
      <c r="G19" s="28"/>
      <c r="H19" s="10"/>
      <c r="I19" s="10">
        <f t="shared" si="5"/>
        <v>3655</v>
      </c>
      <c r="J19" s="10">
        <f t="shared" si="3"/>
        <v>14985322444.360468</v>
      </c>
      <c r="K19" s="11">
        <f t="shared" si="4"/>
        <v>2.4280000000000079E-2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4002764.3038677457</v>
      </c>
      <c r="D20" s="11">
        <v>2.4369999999999999E-2</v>
      </c>
      <c r="E20" s="10">
        <f t="shared" si="2"/>
        <v>95226.691610704176</v>
      </c>
      <c r="F20" s="3"/>
      <c r="G20" s="28"/>
      <c r="H20" s="10"/>
      <c r="I20" s="10">
        <f t="shared" si="5"/>
        <v>3655</v>
      </c>
      <c r="J20" s="10">
        <f t="shared" si="3"/>
        <v>14630103530.63661</v>
      </c>
      <c r="K20" s="11">
        <f t="shared" si="4"/>
        <v>2.4370000000000003E-2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3907537.6122570415</v>
      </c>
      <c r="D21" s="11">
        <v>2.3199999999999998E-2</v>
      </c>
      <c r="E21" s="10">
        <f t="shared" si="2"/>
        <v>88599.367283388972</v>
      </c>
      <c r="F21" s="3"/>
      <c r="G21" s="28"/>
      <c r="H21" s="10"/>
      <c r="I21" s="10">
        <f t="shared" si="5"/>
        <v>3655</v>
      </c>
      <c r="J21" s="10">
        <f t="shared" si="3"/>
        <v>14282049972.799486</v>
      </c>
      <c r="K21" s="11">
        <f t="shared" si="4"/>
        <v>2.3200000000000109E-2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3818938.2449736525</v>
      </c>
      <c r="D22" s="11">
        <v>2.3519999999999999E-2</v>
      </c>
      <c r="E22" s="10">
        <f t="shared" si="2"/>
        <v>87757.374083340168</v>
      </c>
      <c r="F22" s="3"/>
      <c r="G22" s="28"/>
      <c r="H22" s="10"/>
      <c r="I22" s="10">
        <f t="shared" si="5"/>
        <v>3655</v>
      </c>
      <c r="J22" s="10">
        <f t="shared" si="3"/>
        <v>13958219285.3787</v>
      </c>
      <c r="K22" s="11">
        <f t="shared" si="4"/>
        <v>2.3519999999999985E-2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3731180.8708903124</v>
      </c>
      <c r="D23" s="11">
        <v>2.368E-2</v>
      </c>
      <c r="E23" s="10">
        <f t="shared" si="2"/>
        <v>86310.529679863248</v>
      </c>
      <c r="F23" s="3"/>
      <c r="G23" s="28"/>
      <c r="H23" s="10"/>
      <c r="I23" s="10">
        <f t="shared" si="5"/>
        <v>3655</v>
      </c>
      <c r="J23" s="10">
        <f t="shared" si="3"/>
        <v>13637466083.104092</v>
      </c>
      <c r="K23" s="11">
        <f t="shared" si="4"/>
        <v>2.3679999999999923E-2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3644870.3412104491</v>
      </c>
      <c r="D24" s="11">
        <v>2.4410000000000001E-2</v>
      </c>
      <c r="E24" s="10">
        <f t="shared" si="2"/>
        <v>86851.24611136876</v>
      </c>
      <c r="F24" s="3"/>
      <c r="G24" s="28"/>
      <c r="H24" s="10"/>
      <c r="I24" s="10">
        <f t="shared" si="5"/>
        <v>3655</v>
      </c>
      <c r="J24" s="10">
        <f t="shared" si="3"/>
        <v>13322001097.124191</v>
      </c>
      <c r="K24" s="11">
        <f t="shared" si="4"/>
        <v>2.4410000000000043E-2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3558019.0950990804</v>
      </c>
      <c r="D25" s="11">
        <v>2.4989999999999998E-2</v>
      </c>
      <c r="E25" s="10">
        <f t="shared" si="2"/>
        <v>86747.087470635306</v>
      </c>
      <c r="F25" s="3"/>
      <c r="G25" s="28"/>
      <c r="H25" s="10"/>
      <c r="I25" s="10">
        <f t="shared" si="5"/>
        <v>3655</v>
      </c>
      <c r="J25" s="10">
        <f t="shared" si="3"/>
        <v>13004559792.587139</v>
      </c>
      <c r="K25" s="11">
        <f t="shared" si="4"/>
        <v>2.4990000000000068E-2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3471272.007628445</v>
      </c>
      <c r="D26" s="11">
        <v>2.4719999999999999E-2</v>
      </c>
      <c r="E26" s="10">
        <f t="shared" si="2"/>
        <v>83739.79626490688</v>
      </c>
      <c r="F26" s="3"/>
      <c r="G26" s="28"/>
      <c r="H26" s="10"/>
      <c r="I26" s="10">
        <f t="shared" si="5"/>
        <v>3655</v>
      </c>
      <c r="J26" s="10">
        <f t="shared" si="3"/>
        <v>12687499187.881968</v>
      </c>
      <c r="K26" s="11">
        <f t="shared" si="4"/>
        <v>2.4720000000000075E-2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3387532.2113635382</v>
      </c>
      <c r="D27" s="11">
        <v>2.5690000000000001E-2</v>
      </c>
      <c r="E27" s="10">
        <f t="shared" si="2"/>
        <v>84846.008550272789</v>
      </c>
      <c r="F27" s="3"/>
      <c r="G27" s="28"/>
      <c r="H27" s="10"/>
      <c r="I27" s="10">
        <f t="shared" si="5"/>
        <v>3655</v>
      </c>
      <c r="J27" s="10">
        <f t="shared" si="3"/>
        <v>12381430232.533731</v>
      </c>
      <c r="K27" s="11">
        <f t="shared" si="4"/>
        <v>2.5689999999999991E-2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3302686.2028132654</v>
      </c>
      <c r="D28" s="11">
        <v>2.5340000000000001E-2</v>
      </c>
      <c r="E28" s="10">
        <f t="shared" si="2"/>
        <v>81621.772660081275</v>
      </c>
      <c r="F28" s="3"/>
      <c r="G28" s="28"/>
      <c r="H28" s="10"/>
      <c r="I28" s="10">
        <f t="shared" si="5"/>
        <v>3655</v>
      </c>
      <c r="J28" s="10">
        <f t="shared" si="3"/>
        <v>12071318071.282484</v>
      </c>
      <c r="K28" s="11">
        <f t="shared" si="4"/>
        <v>2.5339999999999696E-2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3221064.4301531841</v>
      </c>
      <c r="D29" s="11">
        <v>2.461E-2</v>
      </c>
      <c r="E29" s="10">
        <f t="shared" si="2"/>
        <v>77366.408317379188</v>
      </c>
      <c r="F29" s="3"/>
      <c r="G29" s="28"/>
      <c r="H29" s="10"/>
      <c r="I29" s="10">
        <f t="shared" si="5"/>
        <v>3655</v>
      </c>
      <c r="J29" s="10">
        <f t="shared" si="3"/>
        <v>11772990492.209888</v>
      </c>
      <c r="K29" s="11">
        <f t="shared" si="4"/>
        <v>2.4610000000000021E-2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3143698.0218358049</v>
      </c>
      <c r="D30" s="11">
        <v>2.342E-2</v>
      </c>
      <c r="E30" s="10">
        <f t="shared" si="2"/>
        <v>71940.559761773795</v>
      </c>
      <c r="F30" s="3"/>
      <c r="G30" s="28"/>
      <c r="H30" s="10"/>
      <c r="I30" s="10">
        <f t="shared" si="5"/>
        <v>3655</v>
      </c>
      <c r="J30" s="10">
        <f t="shared" si="3"/>
        <v>11490216269.809868</v>
      </c>
      <c r="K30" s="11">
        <f t="shared" si="4"/>
        <v>2.3420000000000218E-2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3071757.4620740311</v>
      </c>
      <c r="D31" s="11">
        <v>2.2419999999999999E-2</v>
      </c>
      <c r="E31" s="10">
        <f t="shared" si="2"/>
        <v>67358.621994581539</v>
      </c>
      <c r="F31" s="3"/>
      <c r="G31" s="28"/>
      <c r="H31" s="10"/>
      <c r="I31" s="10">
        <f t="shared" si="5"/>
        <v>3655</v>
      </c>
      <c r="J31" s="10">
        <f t="shared" si="3"/>
        <v>11227273523.880583</v>
      </c>
      <c r="K31" s="11">
        <f t="shared" si="4"/>
        <v>2.2419999999999884E-2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3004398.8400794496</v>
      </c>
      <c r="D32" s="11">
        <v>2.1590000000000002E-2</v>
      </c>
      <c r="E32" s="10">
        <f t="shared" si="2"/>
        <v>63494.132633752655</v>
      </c>
      <c r="F32" s="3"/>
      <c r="G32" s="28"/>
      <c r="H32" s="10"/>
      <c r="I32" s="10">
        <f t="shared" si="5"/>
        <v>3655</v>
      </c>
      <c r="J32" s="10">
        <f t="shared" si="3"/>
        <v>10981077760.490389</v>
      </c>
      <c r="K32" s="11">
        <f t="shared" si="4"/>
        <v>2.159000000000022E-2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2940904.7074456969</v>
      </c>
      <c r="D33" s="11">
        <v>2.1420000000000002E-2</v>
      </c>
      <c r="E33" s="10">
        <f t="shared" si="2"/>
        <v>61673.140171023551</v>
      </c>
      <c r="F33" s="3"/>
      <c r="G33" s="28"/>
      <c r="H33" s="10"/>
      <c r="I33" s="10">
        <f t="shared" si="5"/>
        <v>3655</v>
      </c>
      <c r="J33" s="10">
        <f t="shared" si="3"/>
        <v>10749006705.714022</v>
      </c>
      <c r="K33" s="11">
        <f t="shared" si="4"/>
        <v>2.1419999999999995E-2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2879231.5672746734</v>
      </c>
      <c r="D34" s="11">
        <v>3.0329999999999999E-2</v>
      </c>
      <c r="E34" s="10">
        <f t="shared" si="2"/>
        <v>84756.430886648595</v>
      </c>
      <c r="F34" s="3"/>
      <c r="G34" s="28"/>
      <c r="H34" s="10"/>
      <c r="I34" s="10">
        <f t="shared" si="5"/>
        <v>3655</v>
      </c>
      <c r="J34" s="10">
        <f t="shared" ref="J34:J65" si="6">IF(I34="","",I34*C34)</f>
        <v>10523591378.388931</v>
      </c>
      <c r="K34" s="11">
        <f t="shared" ref="K34:K65" si="7">IFERROR(J34/J35-1,"")</f>
        <v>3.0329999999999968E-2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2794475.1363880248</v>
      </c>
      <c r="D35" s="11">
        <v>2.981E-2</v>
      </c>
      <c r="E35" s="10">
        <f t="shared" si="2"/>
        <v>80891.915805562865</v>
      </c>
      <c r="F35" s="3"/>
      <c r="G35" s="28"/>
      <c r="H35" s="10"/>
      <c r="I35" s="10">
        <f t="shared" ref="I35:I66" si="8">IF(H35&lt;&gt;"",H35,I34/(1+IF(G34="",0,G34)/100))</f>
        <v>3655</v>
      </c>
      <c r="J35" s="10">
        <f t="shared" si="6"/>
        <v>10213806623.49823</v>
      </c>
      <c r="K35" s="11">
        <f t="shared" si="7"/>
        <v>2.980999999999967E-2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2713583.2205824619</v>
      </c>
      <c r="D36" s="11">
        <v>2.828E-2</v>
      </c>
      <c r="E36" s="10">
        <f t="shared" si="2"/>
        <v>74629.608159326483</v>
      </c>
      <c r="F36" s="3"/>
      <c r="G36" s="28"/>
      <c r="H36" s="10"/>
      <c r="I36" s="10">
        <f t="shared" si="8"/>
        <v>3655</v>
      </c>
      <c r="J36" s="10">
        <f t="shared" si="6"/>
        <v>9918146671.228899</v>
      </c>
      <c r="K36" s="11">
        <f t="shared" si="7"/>
        <v>2.8280000000000083E-2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2638953.6124231354</v>
      </c>
      <c r="D37" s="11">
        <v>2.7910000000000001E-2</v>
      </c>
      <c r="E37" s="10">
        <f t="shared" si="2"/>
        <v>71653.350315426476</v>
      </c>
      <c r="F37" s="3"/>
      <c r="G37" s="28"/>
      <c r="H37" s="10"/>
      <c r="I37" s="10">
        <f t="shared" si="8"/>
        <v>3655</v>
      </c>
      <c r="J37" s="10">
        <f t="shared" si="6"/>
        <v>9645375453.4065609</v>
      </c>
      <c r="K37" s="11">
        <f t="shared" si="7"/>
        <v>2.7910000000000323E-2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2567300.262107709</v>
      </c>
      <c r="D38" s="11">
        <v>3.0620000000000001E-2</v>
      </c>
      <c r="E38" s="10">
        <f t="shared" si="2"/>
        <v>76275.187776036095</v>
      </c>
      <c r="F38" s="3"/>
      <c r="G38" s="28"/>
      <c r="H38" s="10"/>
      <c r="I38" s="10">
        <f t="shared" si="8"/>
        <v>3655</v>
      </c>
      <c r="J38" s="10">
        <f t="shared" si="6"/>
        <v>9383482458.0036755</v>
      </c>
      <c r="K38" s="11">
        <f t="shared" si="7"/>
        <v>3.0620000000000092E-2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2491025.0743316729</v>
      </c>
      <c r="D39" s="11">
        <v>3.0450000000000001E-2</v>
      </c>
      <c r="E39" s="10">
        <f t="shared" si="2"/>
        <v>73610.28047299711</v>
      </c>
      <c r="F39" s="3"/>
      <c r="G39" s="28"/>
      <c r="H39" s="10"/>
      <c r="I39" s="10">
        <f t="shared" si="8"/>
        <v>3655</v>
      </c>
      <c r="J39" s="10">
        <f t="shared" si="6"/>
        <v>9104696646.6822643</v>
      </c>
      <c r="K39" s="11">
        <f t="shared" si="7"/>
        <v>3.045000000000031E-2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2417414.7938586758</v>
      </c>
      <c r="D40" s="11">
        <v>3.031E-2</v>
      </c>
      <c r="E40" s="10">
        <f t="shared" si="2"/>
        <v>71116.307132665534</v>
      </c>
      <c r="F40" s="3"/>
      <c r="G40" s="28"/>
      <c r="H40" s="10"/>
      <c r="I40" s="10">
        <f t="shared" si="8"/>
        <v>3655</v>
      </c>
      <c r="J40" s="10">
        <f t="shared" si="6"/>
        <v>8835651071.5534592</v>
      </c>
      <c r="K40" s="11">
        <f t="shared" si="7"/>
        <v>3.0310000000000059E-2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2346298.4867260102</v>
      </c>
      <c r="D41" s="11">
        <v>2.862E-2</v>
      </c>
      <c r="E41" s="10">
        <f t="shared" si="2"/>
        <v>65282.672600278631</v>
      </c>
      <c r="F41" s="3"/>
      <c r="G41" s="28"/>
      <c r="H41" s="10"/>
      <c r="I41" s="10">
        <f t="shared" si="8"/>
        <v>3655</v>
      </c>
      <c r="J41" s="10">
        <f t="shared" si="6"/>
        <v>8575720968.9835672</v>
      </c>
      <c r="K41" s="11">
        <f t="shared" si="7"/>
        <v>2.862000000000009E-2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2281015.8141257316</v>
      </c>
      <c r="D42" s="11">
        <v>2.895E-2</v>
      </c>
      <c r="E42" s="10">
        <f t="shared" si="2"/>
        <v>64177.470060683321</v>
      </c>
      <c r="F42" s="3"/>
      <c r="G42" s="28"/>
      <c r="H42" s="10"/>
      <c r="I42" s="10">
        <f t="shared" si="8"/>
        <v>3655</v>
      </c>
      <c r="J42" s="10">
        <f t="shared" si="6"/>
        <v>8337112800.629549</v>
      </c>
      <c r="K42" s="11">
        <f t="shared" si="7"/>
        <v>2.8950000000000031E-2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2216838.3440650483</v>
      </c>
      <c r="D43" s="11">
        <v>2.895E-2</v>
      </c>
      <c r="E43" s="10">
        <f t="shared" si="2"/>
        <v>62371.806269190274</v>
      </c>
      <c r="F43" s="3"/>
      <c r="G43" s="28"/>
      <c r="H43" s="10"/>
      <c r="I43" s="10">
        <f t="shared" si="8"/>
        <v>3655</v>
      </c>
      <c r="J43" s="10">
        <f t="shared" si="6"/>
        <v>8102544147.5577517</v>
      </c>
      <c r="K43" s="11">
        <f t="shared" si="7"/>
        <v>2.8950000000000031E-2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2154466.537795858</v>
      </c>
      <c r="D44" s="11">
        <v>2.896E-2</v>
      </c>
      <c r="E44" s="10">
        <f t="shared" si="2"/>
        <v>60637.294874988729</v>
      </c>
      <c r="F44" s="3"/>
      <c r="G44" s="28"/>
      <c r="H44" s="10"/>
      <c r="I44" s="10">
        <f t="shared" si="8"/>
        <v>3655</v>
      </c>
      <c r="J44" s="10">
        <f t="shared" si="6"/>
        <v>7874575195.6438608</v>
      </c>
      <c r="K44" s="11">
        <f t="shared" si="7"/>
        <v>2.8960000000000097E-2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2093829.2429208693</v>
      </c>
      <c r="D45" s="11">
        <v>2.9049999999999999E-2</v>
      </c>
      <c r="E45" s="10">
        <f t="shared" si="2"/>
        <v>59108.633697926532</v>
      </c>
      <c r="F45" s="3"/>
      <c r="G45" s="28"/>
      <c r="H45" s="10"/>
      <c r="I45" s="10">
        <f t="shared" si="8"/>
        <v>3655</v>
      </c>
      <c r="J45" s="10">
        <f t="shared" si="6"/>
        <v>7652945882.8757772</v>
      </c>
      <c r="K45" s="11">
        <f t="shared" si="7"/>
        <v>2.905000000000002E-2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2034720.6092229427</v>
      </c>
      <c r="D46" s="11">
        <v>2.8680000000000001E-2</v>
      </c>
      <c r="E46" s="10">
        <f t="shared" si="2"/>
        <v>56728.804946644232</v>
      </c>
      <c r="F46" s="3"/>
      <c r="G46" s="28"/>
      <c r="H46" s="10"/>
      <c r="I46" s="10">
        <f t="shared" si="8"/>
        <v>3655</v>
      </c>
      <c r="J46" s="10">
        <f t="shared" si="6"/>
        <v>7436903826.709856</v>
      </c>
      <c r="K46" s="11">
        <f t="shared" si="7"/>
        <v>2.8680000000000039E-2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1977991.8042762985</v>
      </c>
      <c r="D47" s="11">
        <v>2.76E-2</v>
      </c>
      <c r="E47" s="10">
        <f t="shared" si="2"/>
        <v>53126.288242532173</v>
      </c>
      <c r="F47" s="3"/>
      <c r="G47" s="28"/>
      <c r="H47" s="10"/>
      <c r="I47" s="10">
        <f t="shared" si="8"/>
        <v>3655</v>
      </c>
      <c r="J47" s="10">
        <f t="shared" si="6"/>
        <v>7229560044.6298714</v>
      </c>
      <c r="K47" s="11">
        <f t="shared" si="7"/>
        <v>2.7600000000000291E-2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1924865.5160337663</v>
      </c>
      <c r="D48" s="11">
        <v>2.775E-2</v>
      </c>
      <c r="E48" s="10">
        <f t="shared" si="2"/>
        <v>51972.773602468427</v>
      </c>
      <c r="F48" s="3"/>
      <c r="G48" s="28"/>
      <c r="H48" s="10"/>
      <c r="I48" s="10">
        <f t="shared" si="8"/>
        <v>3655</v>
      </c>
      <c r="J48" s="10">
        <f t="shared" si="6"/>
        <v>7035383461.1034155</v>
      </c>
      <c r="K48" s="11">
        <f t="shared" si="7"/>
        <v>2.7749999999999941E-2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1872892.7424312979</v>
      </c>
      <c r="D49" s="11">
        <v>2.5680000000000001E-2</v>
      </c>
      <c r="E49" s="10">
        <f t="shared" si="2"/>
        <v>46891.706600143807</v>
      </c>
      <c r="F49" s="3"/>
      <c r="G49" s="28"/>
      <c r="H49" s="10"/>
      <c r="I49" s="10">
        <f t="shared" si="8"/>
        <v>3655</v>
      </c>
      <c r="J49" s="10">
        <f t="shared" si="6"/>
        <v>6845422973.5863934</v>
      </c>
      <c r="K49" s="11">
        <f t="shared" si="7"/>
        <v>2.5679999999999925E-2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1826001.0358311541</v>
      </c>
      <c r="D50" s="11">
        <v>2.4320000000000001E-2</v>
      </c>
      <c r="E50" s="10">
        <f t="shared" si="2"/>
        <v>43353.976483338745</v>
      </c>
      <c r="F50" s="3"/>
      <c r="G50" s="28"/>
      <c r="H50" s="10"/>
      <c r="I50" s="10">
        <f t="shared" si="8"/>
        <v>3655</v>
      </c>
      <c r="J50" s="10">
        <f t="shared" si="6"/>
        <v>6674033785.9628677</v>
      </c>
      <c r="K50" s="11">
        <f t="shared" si="7"/>
        <v>2.4319999999999897E-2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1782647.0593478153</v>
      </c>
      <c r="D51" s="11">
        <v>2.436E-2</v>
      </c>
      <c r="E51" s="10">
        <f t="shared" si="2"/>
        <v>42392.598662299104</v>
      </c>
      <c r="F51" s="3"/>
      <c r="G51" s="28"/>
      <c r="H51" s="10"/>
      <c r="I51" s="10">
        <f t="shared" si="8"/>
        <v>3655</v>
      </c>
      <c r="J51" s="10">
        <f t="shared" si="6"/>
        <v>6515575001.9162655</v>
      </c>
      <c r="K51" s="11">
        <f t="shared" si="7"/>
        <v>2.4359999999999937E-2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1740254.4606855162</v>
      </c>
      <c r="D52" s="11">
        <v>2.3939999999999999E-2</v>
      </c>
      <c r="E52" s="10">
        <f t="shared" si="2"/>
        <v>40687.629928327166</v>
      </c>
      <c r="F52" s="3"/>
      <c r="G52" s="28"/>
      <c r="H52" s="10"/>
      <c r="I52" s="10">
        <f t="shared" si="8"/>
        <v>3655</v>
      </c>
      <c r="J52" s="10">
        <f t="shared" si="6"/>
        <v>6360630053.805562</v>
      </c>
      <c r="K52" s="11">
        <f t="shared" si="7"/>
        <v>2.3940000000000072E-2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1699566.8307571891</v>
      </c>
      <c r="D53" s="11">
        <v>2.4170000000000001E-2</v>
      </c>
      <c r="E53" s="10">
        <f t="shared" si="2"/>
        <v>40109.093509281985</v>
      </c>
      <c r="F53" s="3"/>
      <c r="G53" s="28"/>
      <c r="H53" s="10"/>
      <c r="I53" s="10">
        <f t="shared" si="8"/>
        <v>3655</v>
      </c>
      <c r="J53" s="10">
        <f t="shared" si="6"/>
        <v>6211916766.4175262</v>
      </c>
      <c r="K53" s="11">
        <f t="shared" si="7"/>
        <v>2.4170000000000025E-2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1659457.7372479071</v>
      </c>
      <c r="D54" s="11">
        <v>2.3810000000000001E-2</v>
      </c>
      <c r="E54" s="10">
        <f t="shared" si="2"/>
        <v>38592.794291785453</v>
      </c>
      <c r="F54" s="3"/>
      <c r="G54" s="28"/>
      <c r="H54" s="10"/>
      <c r="I54" s="10">
        <f t="shared" si="8"/>
        <v>3655</v>
      </c>
      <c r="J54" s="10">
        <f t="shared" si="6"/>
        <v>6065318029.6411009</v>
      </c>
      <c r="K54" s="11">
        <f t="shared" si="7"/>
        <v>2.3810000000000331E-2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1620864.9429561216</v>
      </c>
      <c r="D55" s="11">
        <v>2.3800000000000002E-2</v>
      </c>
      <c r="E55" s="10">
        <f t="shared" si="2"/>
        <v>37679.806253521936</v>
      </c>
      <c r="F55" s="3"/>
      <c r="G55" s="28"/>
      <c r="H55" s="10"/>
      <c r="I55" s="10">
        <f t="shared" si="8"/>
        <v>3655</v>
      </c>
      <c r="J55" s="10">
        <f t="shared" si="6"/>
        <v>5924261366.5046244</v>
      </c>
      <c r="K55" s="11">
        <f t="shared" si="7"/>
        <v>2.3800000000000043E-2</v>
      </c>
      <c r="L55" t="s">
        <v>129</v>
      </c>
      <c r="M55" t="s">
        <v>130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1583185.1367025997</v>
      </c>
      <c r="D56" s="11">
        <v>2.3959999999999999E-2</v>
      </c>
      <c r="E56" s="10">
        <f t="shared" si="2"/>
        <v>37045.505562125705</v>
      </c>
      <c r="F56" s="3"/>
      <c r="G56" s="28"/>
      <c r="H56" s="10"/>
      <c r="I56" s="10">
        <f t="shared" si="8"/>
        <v>3655</v>
      </c>
      <c r="J56" s="10">
        <f t="shared" si="6"/>
        <v>5786541674.6480017</v>
      </c>
      <c r="K56" s="11">
        <f t="shared" si="7"/>
        <v>2.3959999999999759E-2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1546139.631140474</v>
      </c>
      <c r="D57" s="11">
        <v>2.4240000000000001E-2</v>
      </c>
      <c r="E57" s="10">
        <f t="shared" si="2"/>
        <v>36591.447960287798</v>
      </c>
      <c r="F57" s="3"/>
      <c r="G57" s="28"/>
      <c r="H57" s="10"/>
      <c r="I57" s="10">
        <f t="shared" si="8"/>
        <v>3655</v>
      </c>
      <c r="J57" s="10">
        <f t="shared" si="6"/>
        <v>5651140351.8184328</v>
      </c>
      <c r="K57" s="11">
        <f t="shared" si="7"/>
        <v>2.4240000000000039E-2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1509548.1831801862</v>
      </c>
      <c r="D58" s="11">
        <v>3.2939999999999997E-2</v>
      </c>
      <c r="E58" s="10">
        <f t="shared" si="2"/>
        <v>48138.824282102752</v>
      </c>
      <c r="F58" s="3"/>
      <c r="G58" s="28"/>
      <c r="H58" s="10"/>
      <c r="I58" s="10">
        <f t="shared" si="8"/>
        <v>3655</v>
      </c>
      <c r="J58" s="10">
        <f t="shared" si="6"/>
        <v>5517398609.5235806</v>
      </c>
      <c r="K58" s="11">
        <f t="shared" si="7"/>
        <v>3.2939999999999969E-2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1461409.3588980834</v>
      </c>
      <c r="D59" s="11">
        <v>3.2969999999999999E-2</v>
      </c>
      <c r="E59" s="10">
        <f t="shared" si="2"/>
        <v>46644.787905621342</v>
      </c>
      <c r="F59" s="3"/>
      <c r="G59" s="28"/>
      <c r="H59" s="10"/>
      <c r="I59" s="10">
        <f t="shared" si="8"/>
        <v>3655</v>
      </c>
      <c r="J59" s="10">
        <f t="shared" si="6"/>
        <v>5341451206.7724953</v>
      </c>
      <c r="K59" s="11">
        <f t="shared" si="7"/>
        <v>3.2969999999999944E-2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1414764.5709924621</v>
      </c>
      <c r="D60" s="11">
        <v>3.202E-2</v>
      </c>
      <c r="E60" s="10">
        <f t="shared" si="2"/>
        <v>43895.236103155417</v>
      </c>
      <c r="F60" s="3"/>
      <c r="G60" s="28"/>
      <c r="H60" s="10"/>
      <c r="I60" s="10">
        <f t="shared" si="8"/>
        <v>3655</v>
      </c>
      <c r="J60" s="10">
        <f t="shared" si="6"/>
        <v>5170964506.9774494</v>
      </c>
      <c r="K60" s="11">
        <f t="shared" si="7"/>
        <v>3.2019999999999937E-2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1370869.3348893067</v>
      </c>
      <c r="D61" s="11">
        <v>3.2730000000000002E-2</v>
      </c>
      <c r="E61" s="10">
        <f t="shared" si="2"/>
        <v>43446.547820753651</v>
      </c>
      <c r="F61" s="3"/>
      <c r="G61" s="28"/>
      <c r="H61" s="10"/>
      <c r="I61" s="10">
        <f t="shared" si="8"/>
        <v>3655</v>
      </c>
      <c r="J61" s="10">
        <f t="shared" si="6"/>
        <v>5010527419.0204163</v>
      </c>
      <c r="K61" s="11">
        <f t="shared" si="7"/>
        <v>3.2729999999999926E-2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1327422.787068553</v>
      </c>
      <c r="D62" s="11">
        <v>3.261E-2</v>
      </c>
      <c r="E62" s="10">
        <f t="shared" si="2"/>
        <v>41920.238121174043</v>
      </c>
      <c r="F62" s="3"/>
      <c r="G62" s="28"/>
      <c r="H62" s="10"/>
      <c r="I62" s="10">
        <f t="shared" si="8"/>
        <v>3655</v>
      </c>
      <c r="J62" s="10">
        <f t="shared" si="6"/>
        <v>4851730286.7355614</v>
      </c>
      <c r="K62" s="11">
        <f t="shared" si="7"/>
        <v>3.2610000000000028E-2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1285502.548947379</v>
      </c>
      <c r="D63" s="11">
        <v>3.2149999999999998E-2</v>
      </c>
      <c r="E63" s="10">
        <f t="shared" si="2"/>
        <v>40041.570458419854</v>
      </c>
      <c r="F63" s="3"/>
      <c r="G63" s="28"/>
      <c r="H63" s="10"/>
      <c r="I63" s="10">
        <f t="shared" si="8"/>
        <v>3655</v>
      </c>
      <c r="J63" s="10">
        <f t="shared" si="6"/>
        <v>4698511816.4026699</v>
      </c>
      <c r="K63" s="11">
        <f t="shared" si="7"/>
        <v>3.2149999999999679E-2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1245460.9784889591</v>
      </c>
      <c r="D64" s="11">
        <v>3.1559999999999998E-2</v>
      </c>
      <c r="E64" s="10">
        <f t="shared" si="2"/>
        <v>38104.180543169146</v>
      </c>
      <c r="F64" s="3"/>
      <c r="G64" s="28"/>
      <c r="H64" s="10"/>
      <c r="I64" s="10">
        <f t="shared" si="8"/>
        <v>3655</v>
      </c>
      <c r="J64" s="10">
        <f t="shared" si="6"/>
        <v>4552159876.3771458</v>
      </c>
      <c r="K64" s="11">
        <f t="shared" si="7"/>
        <v>3.1560000000000032E-2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1207356.79794579</v>
      </c>
      <c r="D65" s="11">
        <v>3.0630000000000001E-2</v>
      </c>
      <c r="E65" s="10">
        <f t="shared" si="2"/>
        <v>35882.264945789939</v>
      </c>
      <c r="F65" s="3"/>
      <c r="G65" s="28"/>
      <c r="H65" s="10"/>
      <c r="I65" s="10">
        <f t="shared" si="8"/>
        <v>3655</v>
      </c>
      <c r="J65" s="10">
        <f t="shared" si="6"/>
        <v>4412889096.4918623</v>
      </c>
      <c r="K65" s="11">
        <f t="shared" si="7"/>
        <v>3.0629999999999935E-2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1171474.5330000001</v>
      </c>
      <c r="D66" s="11">
        <v>3.023E-2</v>
      </c>
      <c r="E66" s="10">
        <f t="shared" si="2"/>
        <v>34374.533000000054</v>
      </c>
      <c r="F66" s="24">
        <f>SUM(F2)</f>
        <v>6257140</v>
      </c>
      <c r="G66" s="28"/>
      <c r="H66" s="10"/>
      <c r="I66" s="10">
        <f t="shared" si="8"/>
        <v>3655</v>
      </c>
      <c r="J66" s="10">
        <f t="shared" ref="J66:J67" si="9">IF(I66="","",I66*C66)</f>
        <v>4281739418.1150002</v>
      </c>
      <c r="K66" s="11">
        <f t="shared" ref="K66" si="10">IFERROR(J66/J67-1,"")</f>
        <v>3.0229999999999979E-2</v>
      </c>
    </row>
    <row r="67" spans="1:11" ht="22.5" customHeight="1">
      <c r="A67" s="3">
        <f t="shared" si="0"/>
        <v>1950</v>
      </c>
      <c r="B67" s="3">
        <v>1700</v>
      </c>
      <c r="C67" s="10">
        <v>1137100</v>
      </c>
      <c r="D67" s="11">
        <v>2.9430000000000001E-2</v>
      </c>
      <c r="E67" s="3" t="s">
        <v>72</v>
      </c>
      <c r="F67" s="10">
        <f>SUM(C2)</f>
        <v>6257547.7558445949</v>
      </c>
      <c r="G67" s="28"/>
      <c r="H67" s="10"/>
      <c r="I67" s="10">
        <f t="shared" ref="I67" si="11">IF(H67&lt;&gt;"",H67,I66/(1+IF(G66="",0,G66)/100))</f>
        <v>3655</v>
      </c>
      <c r="J67" s="10">
        <f t="shared" si="9"/>
        <v>4156100500</v>
      </c>
      <c r="K67" s="11"/>
    </row>
  </sheetData>
  <dataValidations count="1">
    <dataValidation type="custom" allowBlank="1" showDropDown="1" sqref="D2:D67" xr:uid="{00000000-0002-0000-3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3102053.1089019277</v>
      </c>
      <c r="D2" s="11">
        <v>2.5829999999999999E-2</v>
      </c>
      <c r="E2" s="10">
        <f t="shared" ref="E2:E66" si="2">SUM(C2-C3)</f>
        <v>78108.489518669434</v>
      </c>
      <c r="F2" s="15">
        <v>3103322</v>
      </c>
      <c r="G2" s="28"/>
      <c r="H2" s="10"/>
      <c r="I2" s="10">
        <f>IF(H2&lt;&gt;"",H2,2183)</f>
        <v>2183</v>
      </c>
      <c r="J2" s="10">
        <f t="shared" ref="J2:J33" si="3">IF(I2="","",I2*C2)</f>
        <v>6771781936.7329082</v>
      </c>
      <c r="K2" s="11">
        <f t="shared" ref="K2:K33" si="4">IFERROR(J2/J3-1,"")</f>
        <v>2.583000000000002E-2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3023944.6193832583</v>
      </c>
      <c r="D3" s="11">
        <v>2.5319999999999999E-2</v>
      </c>
      <c r="E3" s="10">
        <f t="shared" si="2"/>
        <v>74675.494248414412</v>
      </c>
      <c r="F3" s="3"/>
      <c r="G3" s="28"/>
      <c r="H3" s="10"/>
      <c r="I3" s="10">
        <f t="shared" ref="I3:I34" si="5">IF(H3&lt;&gt;"",H3,I2/(1+IF(G2="",0,G2)/100))</f>
        <v>2183</v>
      </c>
      <c r="J3" s="10">
        <f t="shared" si="3"/>
        <v>6601271104.1136532</v>
      </c>
      <c r="K3" s="11">
        <f t="shared" si="4"/>
        <v>2.5320000000000231E-2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2949269.1251348439</v>
      </c>
      <c r="D4" s="11">
        <v>2.487E-2</v>
      </c>
      <c r="E4" s="10">
        <f t="shared" si="2"/>
        <v>71568.416620745324</v>
      </c>
      <c r="F4" s="3"/>
      <c r="G4" s="28"/>
      <c r="H4" s="10"/>
      <c r="I4" s="10">
        <f t="shared" si="5"/>
        <v>2183</v>
      </c>
      <c r="J4" s="10">
        <f t="shared" si="3"/>
        <v>6438254500.169364</v>
      </c>
      <c r="K4" s="11">
        <f t="shared" si="4"/>
        <v>2.4869999999999726E-2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2877700.7085140985</v>
      </c>
      <c r="D5" s="11">
        <v>2.5080000000000002E-2</v>
      </c>
      <c r="E5" s="10">
        <f t="shared" si="2"/>
        <v>70406.928014919162</v>
      </c>
      <c r="F5" s="3"/>
      <c r="G5" s="28"/>
      <c r="H5" s="10"/>
      <c r="I5" s="10">
        <f t="shared" si="5"/>
        <v>2183</v>
      </c>
      <c r="J5" s="10">
        <f t="shared" si="3"/>
        <v>6282020646.6862774</v>
      </c>
      <c r="K5" s="11">
        <f t="shared" si="4"/>
        <v>2.5079999999999769E-2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2807293.7804991794</v>
      </c>
      <c r="D6" s="11">
        <v>2.2700000000000001E-2</v>
      </c>
      <c r="E6" s="10">
        <f t="shared" si="2"/>
        <v>62311.106695347</v>
      </c>
      <c r="F6" s="3"/>
      <c r="G6" s="28"/>
      <c r="H6" s="10"/>
      <c r="I6" s="10">
        <f t="shared" si="5"/>
        <v>2183</v>
      </c>
      <c r="J6" s="10">
        <f t="shared" si="3"/>
        <v>6128322322.8297091</v>
      </c>
      <c r="K6" s="11">
        <f t="shared" si="4"/>
        <v>2.2700000000000164E-2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2744982.6738038324</v>
      </c>
      <c r="D7" s="11">
        <v>2.1909999999999999E-2</v>
      </c>
      <c r="E7" s="10">
        <f t="shared" si="2"/>
        <v>58853.098984296434</v>
      </c>
      <c r="F7" s="3"/>
      <c r="G7" s="28"/>
      <c r="H7" s="10"/>
      <c r="I7" s="10">
        <f t="shared" si="5"/>
        <v>2183</v>
      </c>
      <c r="J7" s="10">
        <f t="shared" si="3"/>
        <v>5992297176.9137659</v>
      </c>
      <c r="K7" s="11">
        <f t="shared" si="4"/>
        <v>2.1910000000000096E-2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2686129.5748195359</v>
      </c>
      <c r="D8" s="11">
        <v>2.085E-2</v>
      </c>
      <c r="E8" s="10">
        <f t="shared" si="2"/>
        <v>54861.930386430118</v>
      </c>
      <c r="F8" s="3"/>
      <c r="G8" s="28"/>
      <c r="H8" s="10"/>
      <c r="I8" s="10">
        <f t="shared" si="5"/>
        <v>2183</v>
      </c>
      <c r="J8" s="10">
        <f t="shared" si="3"/>
        <v>5863820861.8310471</v>
      </c>
      <c r="K8" s="11">
        <f t="shared" si="4"/>
        <v>2.0850000000000035E-2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2631267.6444331058</v>
      </c>
      <c r="D9" s="11">
        <v>2.01E-2</v>
      </c>
      <c r="E9" s="10">
        <f t="shared" si="2"/>
        <v>51846.367663077544</v>
      </c>
      <c r="F9" s="3"/>
      <c r="G9" s="28"/>
      <c r="H9" s="10"/>
      <c r="I9" s="10">
        <f t="shared" si="5"/>
        <v>2183</v>
      </c>
      <c r="J9" s="10">
        <f t="shared" si="3"/>
        <v>5744057267.7974701</v>
      </c>
      <c r="K9" s="11">
        <f t="shared" si="4"/>
        <v>2.0100000000000007E-2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2579421.2767700283</v>
      </c>
      <c r="D10" s="11">
        <v>1.951E-2</v>
      </c>
      <c r="E10" s="10">
        <f t="shared" si="2"/>
        <v>49361.466890744399</v>
      </c>
      <c r="F10" s="3"/>
      <c r="G10" s="28"/>
      <c r="H10" s="10"/>
      <c r="I10" s="10">
        <f t="shared" si="5"/>
        <v>2183</v>
      </c>
      <c r="J10" s="10">
        <f t="shared" si="3"/>
        <v>5630876647.1889715</v>
      </c>
      <c r="K10" s="11">
        <f t="shared" si="4"/>
        <v>1.9509999999999916E-2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2530059.8098792839</v>
      </c>
      <c r="D11" s="11">
        <v>1.891E-2</v>
      </c>
      <c r="E11" s="10">
        <f t="shared" si="2"/>
        <v>46955.502453423105</v>
      </c>
      <c r="F11" s="3"/>
      <c r="G11" s="28"/>
      <c r="H11" s="10"/>
      <c r="I11" s="10">
        <f t="shared" si="5"/>
        <v>2183</v>
      </c>
      <c r="J11" s="10">
        <f t="shared" si="3"/>
        <v>5523120564.9664764</v>
      </c>
      <c r="K11" s="11">
        <f t="shared" si="4"/>
        <v>1.8909999999999982E-2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2483104.3074258608</v>
      </c>
      <c r="D12" s="11">
        <v>1.9099999999999999E-2</v>
      </c>
      <c r="E12" s="10">
        <f t="shared" si="2"/>
        <v>46538.408666307107</v>
      </c>
      <c r="F12" s="3"/>
      <c r="G12" s="28"/>
      <c r="H12" s="10"/>
      <c r="I12" s="10">
        <f t="shared" si="5"/>
        <v>2183</v>
      </c>
      <c r="J12" s="10">
        <f t="shared" si="3"/>
        <v>5420616703.1106539</v>
      </c>
      <c r="K12" s="11">
        <f t="shared" si="4"/>
        <v>1.9099999999999895E-2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2436565.8987595537</v>
      </c>
      <c r="D13" s="11">
        <v>2.0039999999999999E-2</v>
      </c>
      <c r="E13" s="10">
        <f t="shared" si="2"/>
        <v>47869.476305969991</v>
      </c>
      <c r="F13" s="3"/>
      <c r="G13" s="28"/>
      <c r="H13" s="10"/>
      <c r="I13" s="10">
        <f t="shared" si="5"/>
        <v>2183</v>
      </c>
      <c r="J13" s="10">
        <f t="shared" si="3"/>
        <v>5319023356.9921055</v>
      </c>
      <c r="K13" s="11">
        <f t="shared" si="4"/>
        <v>2.0040000000000058E-2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2388696.4224535837</v>
      </c>
      <c r="D14" s="11">
        <v>1.9199999999999998E-2</v>
      </c>
      <c r="E14" s="10">
        <f t="shared" si="2"/>
        <v>44998.990689863451</v>
      </c>
      <c r="F14" s="3"/>
      <c r="G14" s="28"/>
      <c r="H14" s="10"/>
      <c r="I14" s="10">
        <f t="shared" si="5"/>
        <v>2183</v>
      </c>
      <c r="J14" s="10">
        <f t="shared" si="3"/>
        <v>5214524290.2161732</v>
      </c>
      <c r="K14" s="11">
        <f t="shared" si="4"/>
        <v>1.9200000000000106E-2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2343697.4317637202</v>
      </c>
      <c r="D15" s="11">
        <v>1.9290000000000002E-2</v>
      </c>
      <c r="E15" s="10">
        <f t="shared" si="2"/>
        <v>44354.328462677076</v>
      </c>
      <c r="F15" s="3"/>
      <c r="G15" s="28"/>
      <c r="H15" s="10"/>
      <c r="I15" s="10">
        <f t="shared" si="5"/>
        <v>2183</v>
      </c>
      <c r="J15" s="10">
        <f t="shared" si="3"/>
        <v>5116291493.5402012</v>
      </c>
      <c r="K15" s="11">
        <f t="shared" si="4"/>
        <v>1.9290000000000029E-2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2299343.1033010432</v>
      </c>
      <c r="D16" s="11">
        <v>1.9140000000000001E-2</v>
      </c>
      <c r="E16" s="10">
        <f t="shared" si="2"/>
        <v>43182.906173029914</v>
      </c>
      <c r="F16" s="3"/>
      <c r="G16" s="28"/>
      <c r="H16" s="10"/>
      <c r="I16" s="10">
        <f t="shared" si="5"/>
        <v>2183</v>
      </c>
      <c r="J16" s="10">
        <f t="shared" si="3"/>
        <v>5019465994.5061769</v>
      </c>
      <c r="K16" s="11">
        <f t="shared" si="4"/>
        <v>1.9139999999999935E-2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2256160.1971280132</v>
      </c>
      <c r="D17" s="11">
        <v>1.9519999999999999E-2</v>
      </c>
      <c r="E17" s="10">
        <f t="shared" si="2"/>
        <v>43197.04081130214</v>
      </c>
      <c r="F17" s="3"/>
      <c r="G17" s="28"/>
      <c r="H17" s="10"/>
      <c r="I17" s="10">
        <f t="shared" si="5"/>
        <v>2183</v>
      </c>
      <c r="J17" s="10">
        <f t="shared" si="3"/>
        <v>4925197710.3304529</v>
      </c>
      <c r="K17" s="11">
        <f t="shared" si="4"/>
        <v>1.9519999999999982E-2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2212963.1563167111</v>
      </c>
      <c r="D18" s="11">
        <v>4.8399999999999997E-3</v>
      </c>
      <c r="E18" s="10">
        <f t="shared" si="2"/>
        <v>10659.151383874938</v>
      </c>
      <c r="F18" s="3"/>
      <c r="G18" s="28"/>
      <c r="H18" s="10"/>
      <c r="I18" s="10">
        <f t="shared" si="5"/>
        <v>2183</v>
      </c>
      <c r="J18" s="10">
        <f t="shared" si="3"/>
        <v>4830898570.2393799</v>
      </c>
      <c r="K18" s="11">
        <f t="shared" si="4"/>
        <v>4.8399999999999554E-3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2202304.0049328362</v>
      </c>
      <c r="D19" s="11">
        <v>5.4900000000000001E-3</v>
      </c>
      <c r="E19" s="10">
        <f t="shared" si="2"/>
        <v>12024.633747805841</v>
      </c>
      <c r="F19" s="3"/>
      <c r="G19" s="28"/>
      <c r="H19" s="10"/>
      <c r="I19" s="10">
        <f t="shared" si="5"/>
        <v>2183</v>
      </c>
      <c r="J19" s="10">
        <f t="shared" si="3"/>
        <v>4807629642.7683811</v>
      </c>
      <c r="K19" s="11">
        <f t="shared" si="4"/>
        <v>5.4899999999999949E-3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2190279.3711850303</v>
      </c>
      <c r="D20" s="11">
        <v>6.3899999999999998E-3</v>
      </c>
      <c r="E20" s="10">
        <f t="shared" si="2"/>
        <v>13907.019328363705</v>
      </c>
      <c r="F20" s="3"/>
      <c r="G20" s="28"/>
      <c r="H20" s="10"/>
      <c r="I20" s="10">
        <f t="shared" si="5"/>
        <v>2183</v>
      </c>
      <c r="J20" s="10">
        <f t="shared" si="3"/>
        <v>4781379867.2969208</v>
      </c>
      <c r="K20" s="11">
        <f t="shared" si="4"/>
        <v>6.3899999999996737E-3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2176372.3518566666</v>
      </c>
      <c r="D21" s="11">
        <v>1.77E-2</v>
      </c>
      <c r="E21" s="10">
        <f t="shared" si="2"/>
        <v>37851.813528410159</v>
      </c>
      <c r="F21" s="3"/>
      <c r="G21" s="28"/>
      <c r="H21" s="10"/>
      <c r="I21" s="10">
        <f t="shared" si="5"/>
        <v>2183</v>
      </c>
      <c r="J21" s="10">
        <f t="shared" si="3"/>
        <v>4751020844.1031036</v>
      </c>
      <c r="K21" s="11">
        <f t="shared" si="4"/>
        <v>1.7700000000000049E-2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2138520.5383282565</v>
      </c>
      <c r="D22" s="11">
        <v>2.1600000000000001E-2</v>
      </c>
      <c r="E22" s="10">
        <f t="shared" si="2"/>
        <v>45215.391178436344</v>
      </c>
      <c r="F22" s="3"/>
      <c r="G22" s="28"/>
      <c r="H22" s="10"/>
      <c r="I22" s="10">
        <f t="shared" si="5"/>
        <v>2183</v>
      </c>
      <c r="J22" s="10">
        <f t="shared" si="3"/>
        <v>4668390335.1705837</v>
      </c>
      <c r="K22" s="11">
        <f t="shared" si="4"/>
        <v>2.1600000000000064E-2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2093305.1471498201</v>
      </c>
      <c r="D23" s="11">
        <v>2.0240000000000001E-2</v>
      </c>
      <c r="E23" s="10">
        <f t="shared" si="2"/>
        <v>41527.970064212801</v>
      </c>
      <c r="F23" s="3"/>
      <c r="G23" s="28"/>
      <c r="H23" s="10"/>
      <c r="I23" s="10">
        <f t="shared" si="5"/>
        <v>2183</v>
      </c>
      <c r="J23" s="10">
        <f t="shared" si="3"/>
        <v>4569685136.2280569</v>
      </c>
      <c r="K23" s="11">
        <f t="shared" si="4"/>
        <v>2.0240000000000036E-2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2051777.1770856073</v>
      </c>
      <c r="D24" s="11">
        <v>1.447E-2</v>
      </c>
      <c r="E24" s="10">
        <f t="shared" si="2"/>
        <v>29265.740487573436</v>
      </c>
      <c r="F24" s="3"/>
      <c r="G24" s="28"/>
      <c r="H24" s="10"/>
      <c r="I24" s="10">
        <f t="shared" si="5"/>
        <v>2183</v>
      </c>
      <c r="J24" s="10">
        <f t="shared" si="3"/>
        <v>4479029577.5778809</v>
      </c>
      <c r="K24" s="11">
        <f t="shared" si="4"/>
        <v>1.4469999999999983E-2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2022511.4365980339</v>
      </c>
      <c r="D25" s="11">
        <v>1.21E-2</v>
      </c>
      <c r="E25" s="10">
        <f t="shared" si="2"/>
        <v>24179.812649773899</v>
      </c>
      <c r="F25" s="3"/>
      <c r="G25" s="28"/>
      <c r="H25" s="10"/>
      <c r="I25" s="10">
        <f t="shared" si="5"/>
        <v>2183</v>
      </c>
      <c r="J25" s="10">
        <f t="shared" si="3"/>
        <v>4415142466.0935078</v>
      </c>
      <c r="K25" s="11">
        <f t="shared" si="4"/>
        <v>1.2099999999999778E-2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1998331.62394826</v>
      </c>
      <c r="D26" s="11">
        <v>2.6720000000000001E-2</v>
      </c>
      <c r="E26" s="10">
        <f t="shared" si="2"/>
        <v>52005.825338843744</v>
      </c>
      <c r="F26" s="3"/>
      <c r="G26" s="28"/>
      <c r="H26" s="10"/>
      <c r="I26" s="10">
        <f t="shared" si="5"/>
        <v>2183</v>
      </c>
      <c r="J26" s="10">
        <f t="shared" si="3"/>
        <v>4362357935.079052</v>
      </c>
      <c r="K26" s="11">
        <f t="shared" si="4"/>
        <v>2.6720000000000299E-2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1946325.7986094162</v>
      </c>
      <c r="D27" s="11">
        <v>2.5350000000000001E-2</v>
      </c>
      <c r="E27" s="10">
        <f t="shared" si="2"/>
        <v>48119.528936215676</v>
      </c>
      <c r="F27" s="3"/>
      <c r="G27" s="28"/>
      <c r="H27" s="10"/>
      <c r="I27" s="10">
        <f t="shared" si="5"/>
        <v>2183</v>
      </c>
      <c r="J27" s="10">
        <f t="shared" si="3"/>
        <v>4248829218.3643556</v>
      </c>
      <c r="K27" s="11">
        <f t="shared" si="4"/>
        <v>2.5349999999999984E-2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1898206.2696732006</v>
      </c>
      <c r="D28" s="11">
        <v>2.3959999999999999E-2</v>
      </c>
      <c r="E28" s="10">
        <f t="shared" si="2"/>
        <v>44416.795794142177</v>
      </c>
      <c r="F28" s="3"/>
      <c r="G28" s="28"/>
      <c r="H28" s="10"/>
      <c r="I28" s="10">
        <f t="shared" si="5"/>
        <v>2183</v>
      </c>
      <c r="J28" s="10">
        <f t="shared" si="3"/>
        <v>4143784286.6965966</v>
      </c>
      <c r="K28" s="11">
        <f t="shared" si="4"/>
        <v>2.3959999999999981E-2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1853789.4738790584</v>
      </c>
      <c r="D29" s="11">
        <v>3.4869999999999998E-2</v>
      </c>
      <c r="E29" s="10">
        <f t="shared" si="2"/>
        <v>62463.535472245421</v>
      </c>
      <c r="F29" s="3"/>
      <c r="G29" s="28"/>
      <c r="H29" s="10"/>
      <c r="I29" s="10">
        <f t="shared" si="5"/>
        <v>2183</v>
      </c>
      <c r="J29" s="10">
        <f t="shared" si="3"/>
        <v>4046822421.4779844</v>
      </c>
      <c r="K29" s="11">
        <f t="shared" si="4"/>
        <v>3.4869999999999957E-2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1791325.938406813</v>
      </c>
      <c r="D30" s="11">
        <v>3.5139999999999998E-2</v>
      </c>
      <c r="E30" s="10">
        <f t="shared" si="2"/>
        <v>60810.318870505784</v>
      </c>
      <c r="F30" s="3"/>
      <c r="G30" s="28"/>
      <c r="H30" s="10"/>
      <c r="I30" s="10">
        <f t="shared" si="5"/>
        <v>2183</v>
      </c>
      <c r="J30" s="10">
        <f t="shared" si="3"/>
        <v>3910464523.5420728</v>
      </c>
      <c r="K30" s="11">
        <f t="shared" si="4"/>
        <v>3.5139999999999949E-2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1730515.6195363072</v>
      </c>
      <c r="D31" s="11">
        <v>3.3599999999999998E-2</v>
      </c>
      <c r="E31" s="10">
        <f t="shared" si="2"/>
        <v>56255.151718672598</v>
      </c>
      <c r="F31" s="3"/>
      <c r="G31" s="28"/>
      <c r="H31" s="10"/>
      <c r="I31" s="10">
        <f t="shared" si="5"/>
        <v>2183</v>
      </c>
      <c r="J31" s="10">
        <f t="shared" si="3"/>
        <v>3777715597.4477587</v>
      </c>
      <c r="K31" s="11">
        <f t="shared" si="4"/>
        <v>3.3600000000000074E-2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1674260.4678176346</v>
      </c>
      <c r="D32" s="11">
        <v>3.1600000000000003E-2</v>
      </c>
      <c r="E32" s="10">
        <f t="shared" si="2"/>
        <v>51285.993391854689</v>
      </c>
      <c r="F32" s="3"/>
      <c r="G32" s="28"/>
      <c r="H32" s="10"/>
      <c r="I32" s="10">
        <f t="shared" si="5"/>
        <v>2183</v>
      </c>
      <c r="J32" s="10">
        <f t="shared" si="3"/>
        <v>3654910601.2458963</v>
      </c>
      <c r="K32" s="11">
        <f t="shared" si="4"/>
        <v>3.1600000000000072E-2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1622974.4744257799</v>
      </c>
      <c r="D33" s="11">
        <v>2.946E-2</v>
      </c>
      <c r="E33" s="10">
        <f t="shared" si="2"/>
        <v>46444.5709562134</v>
      </c>
      <c r="F33" s="3"/>
      <c r="G33" s="28"/>
      <c r="H33" s="10"/>
      <c r="I33" s="10">
        <f t="shared" si="5"/>
        <v>2183</v>
      </c>
      <c r="J33" s="10">
        <f t="shared" si="3"/>
        <v>3542953277.6714773</v>
      </c>
      <c r="K33" s="11">
        <f t="shared" si="4"/>
        <v>2.9460000000000042E-2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1576529.9034695665</v>
      </c>
      <c r="D34" s="11">
        <v>2.903E-2</v>
      </c>
      <c r="E34" s="10">
        <f t="shared" si="2"/>
        <v>44475.538223105017</v>
      </c>
      <c r="F34" s="3"/>
      <c r="G34" s="28"/>
      <c r="H34" s="10"/>
      <c r="I34" s="10">
        <f t="shared" si="5"/>
        <v>2183</v>
      </c>
      <c r="J34" s="10">
        <f t="shared" ref="J34:J65" si="6">IF(I34="","",I34*C34)</f>
        <v>3441564779.2740636</v>
      </c>
      <c r="K34" s="11">
        <f t="shared" ref="K34:K65" si="7">IFERROR(J34/J35-1,"")</f>
        <v>2.9030000000000111E-2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1532054.3652464615</v>
      </c>
      <c r="D35" s="11">
        <v>2.8649999999999998E-2</v>
      </c>
      <c r="E35" s="10">
        <f t="shared" si="2"/>
        <v>42670.838054062333</v>
      </c>
      <c r="F35" s="3"/>
      <c r="G35" s="28"/>
      <c r="H35" s="10"/>
      <c r="I35" s="10">
        <f t="shared" ref="I35:I66" si="8">IF(H35&lt;&gt;"",H35,I34/(1+IF(G34="",0,G34)/100))</f>
        <v>2183</v>
      </c>
      <c r="J35" s="10">
        <f t="shared" si="6"/>
        <v>3344474679.3330255</v>
      </c>
      <c r="K35" s="11">
        <f t="shared" si="7"/>
        <v>2.8650000000000064E-2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1489383.5271923991</v>
      </c>
      <c r="D36" s="11">
        <v>2.8039999999999999E-2</v>
      </c>
      <c r="E36" s="10">
        <f t="shared" si="2"/>
        <v>40623.238495073048</v>
      </c>
      <c r="F36" s="3"/>
      <c r="G36" s="28"/>
      <c r="H36" s="10"/>
      <c r="I36" s="10">
        <f t="shared" si="8"/>
        <v>2183</v>
      </c>
      <c r="J36" s="10">
        <f t="shared" si="6"/>
        <v>3251324239.8610072</v>
      </c>
      <c r="K36" s="11">
        <f t="shared" si="7"/>
        <v>2.8039999999999843E-2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1448760.2886973261</v>
      </c>
      <c r="D37" s="11">
        <v>2.8119999999999999E-2</v>
      </c>
      <c r="E37" s="10">
        <f t="shared" si="2"/>
        <v>39624.887482170016</v>
      </c>
      <c r="F37" s="3"/>
      <c r="G37" s="28"/>
      <c r="H37" s="10"/>
      <c r="I37" s="10">
        <f t="shared" si="8"/>
        <v>2183</v>
      </c>
      <c r="J37" s="10">
        <f t="shared" si="6"/>
        <v>3162643710.226263</v>
      </c>
      <c r="K37" s="11">
        <f t="shared" si="7"/>
        <v>2.8119999999999923E-2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1409135.4012151561</v>
      </c>
      <c r="D38" s="11">
        <v>2.9049999999999999E-2</v>
      </c>
      <c r="E38" s="10">
        <f t="shared" si="2"/>
        <v>39779.780773820821</v>
      </c>
      <c r="F38" s="3"/>
      <c r="G38" s="28"/>
      <c r="H38" s="10"/>
      <c r="I38" s="10">
        <f t="shared" si="8"/>
        <v>2183</v>
      </c>
      <c r="J38" s="10">
        <f t="shared" si="6"/>
        <v>3076142580.8526859</v>
      </c>
      <c r="K38" s="11">
        <f t="shared" si="7"/>
        <v>2.9050000000000242E-2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1369355.6204413353</v>
      </c>
      <c r="D39" s="11">
        <v>3.0669999999999999E-2</v>
      </c>
      <c r="E39" s="10">
        <f t="shared" si="2"/>
        <v>40748.383943391964</v>
      </c>
      <c r="F39" s="3"/>
      <c r="G39" s="28"/>
      <c r="H39" s="10"/>
      <c r="I39" s="10">
        <f t="shared" si="8"/>
        <v>2183</v>
      </c>
      <c r="J39" s="10">
        <f t="shared" si="6"/>
        <v>2989303319.4234347</v>
      </c>
      <c r="K39" s="11">
        <f t="shared" si="7"/>
        <v>3.0669999999999975E-2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1328607.2364979433</v>
      </c>
      <c r="D40" s="11">
        <v>3.1460000000000002E-2</v>
      </c>
      <c r="E40" s="10">
        <f t="shared" si="2"/>
        <v>40523.126112719299</v>
      </c>
      <c r="F40" s="3"/>
      <c r="G40" s="28"/>
      <c r="H40" s="10"/>
      <c r="I40" s="10">
        <f t="shared" si="8"/>
        <v>2183</v>
      </c>
      <c r="J40" s="10">
        <f t="shared" si="6"/>
        <v>2900349597.2750101</v>
      </c>
      <c r="K40" s="11">
        <f t="shared" si="7"/>
        <v>3.1460000000000043E-2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1288084.110385224</v>
      </c>
      <c r="D41" s="11">
        <v>3.1489999999999997E-2</v>
      </c>
      <c r="E41" s="10">
        <f t="shared" si="2"/>
        <v>39323.472487402381</v>
      </c>
      <c r="F41" s="3"/>
      <c r="G41" s="28"/>
      <c r="H41" s="10"/>
      <c r="I41" s="10">
        <f t="shared" si="8"/>
        <v>2183</v>
      </c>
      <c r="J41" s="10">
        <f t="shared" si="6"/>
        <v>2811887612.9709439</v>
      </c>
      <c r="K41" s="11">
        <f t="shared" si="7"/>
        <v>3.1490000000000018E-2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1248760.6378978216</v>
      </c>
      <c r="D42" s="11">
        <v>3.1440000000000003E-2</v>
      </c>
      <c r="E42" s="10">
        <f t="shared" si="2"/>
        <v>38064.293081039563</v>
      </c>
      <c r="F42" s="3"/>
      <c r="G42" s="28"/>
      <c r="H42" s="10"/>
      <c r="I42" s="10">
        <f t="shared" si="8"/>
        <v>2183</v>
      </c>
      <c r="J42" s="10">
        <f t="shared" si="6"/>
        <v>2726044472.5309443</v>
      </c>
      <c r="K42" s="11">
        <f t="shared" si="7"/>
        <v>3.143999999999969E-2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1210696.344816782</v>
      </c>
      <c r="D43" s="11">
        <v>3.1289999999999998E-2</v>
      </c>
      <c r="E43" s="10">
        <f t="shared" si="2"/>
        <v>36733.303560896777</v>
      </c>
      <c r="F43" s="3"/>
      <c r="G43" s="28"/>
      <c r="H43" s="10"/>
      <c r="I43" s="10">
        <f t="shared" si="8"/>
        <v>2183</v>
      </c>
      <c r="J43" s="10">
        <f t="shared" si="6"/>
        <v>2642950120.7350354</v>
      </c>
      <c r="K43" s="11">
        <f t="shared" si="7"/>
        <v>3.1290000000000262E-2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1173963.0412558853</v>
      </c>
      <c r="D44" s="11">
        <v>3.116E-2</v>
      </c>
      <c r="E44" s="10">
        <f t="shared" si="2"/>
        <v>35475.278681808384</v>
      </c>
      <c r="F44" s="3"/>
      <c r="G44" s="28"/>
      <c r="H44" s="10"/>
      <c r="I44" s="10">
        <f t="shared" si="8"/>
        <v>2183</v>
      </c>
      <c r="J44" s="10">
        <f t="shared" si="6"/>
        <v>2562761319.0615973</v>
      </c>
      <c r="K44" s="11">
        <f t="shared" si="7"/>
        <v>3.1160000000000077E-2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1138487.7625740769</v>
      </c>
      <c r="D45" s="11">
        <v>3.099E-2</v>
      </c>
      <c r="E45" s="10">
        <f t="shared" si="2"/>
        <v>34221.220149730565</v>
      </c>
      <c r="F45" s="3"/>
      <c r="G45" s="28"/>
      <c r="H45" s="10"/>
      <c r="I45" s="10">
        <f t="shared" si="8"/>
        <v>2183</v>
      </c>
      <c r="J45" s="10">
        <f t="shared" si="6"/>
        <v>2485318785.6992097</v>
      </c>
      <c r="K45" s="11">
        <f t="shared" si="7"/>
        <v>3.0990000000000073E-2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1104266.5424243463</v>
      </c>
      <c r="D46" s="11">
        <v>3.0679999999999999E-2</v>
      </c>
      <c r="E46" s="10">
        <f t="shared" si="2"/>
        <v>32870.432647940237</v>
      </c>
      <c r="F46" s="3"/>
      <c r="G46" s="28"/>
      <c r="H46" s="10"/>
      <c r="I46" s="10">
        <f t="shared" si="8"/>
        <v>2183</v>
      </c>
      <c r="J46" s="10">
        <f t="shared" si="6"/>
        <v>2410613862.1123481</v>
      </c>
      <c r="K46" s="11">
        <f t="shared" si="7"/>
        <v>3.0680000000000263E-2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1071396.1097764061</v>
      </c>
      <c r="D47" s="11">
        <v>3.1060000000000001E-2</v>
      </c>
      <c r="E47" s="10">
        <f t="shared" si="2"/>
        <v>32275.098606924177</v>
      </c>
      <c r="F47" s="3"/>
      <c r="G47" s="28"/>
      <c r="H47" s="10"/>
      <c r="I47" s="10">
        <f t="shared" si="8"/>
        <v>2183</v>
      </c>
      <c r="J47" s="10">
        <f t="shared" si="6"/>
        <v>2338857707.6418943</v>
      </c>
      <c r="K47" s="11">
        <f t="shared" si="7"/>
        <v>3.1060000000000088E-2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1039121.0111694819</v>
      </c>
      <c r="D48" s="11">
        <v>3.227E-2</v>
      </c>
      <c r="E48" s="10">
        <f t="shared" si="2"/>
        <v>32484.170837512705</v>
      </c>
      <c r="F48" s="3"/>
      <c r="G48" s="28"/>
      <c r="H48" s="10"/>
      <c r="I48" s="10">
        <f t="shared" si="8"/>
        <v>2183</v>
      </c>
      <c r="J48" s="10">
        <f t="shared" si="6"/>
        <v>2268401167.3829789</v>
      </c>
      <c r="K48" s="11">
        <f t="shared" si="7"/>
        <v>3.2270000000000021E-2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1006636.8403319692</v>
      </c>
      <c r="D49" s="11">
        <v>3.3059999999999999E-2</v>
      </c>
      <c r="E49" s="10">
        <f t="shared" si="2"/>
        <v>32214.405689287116</v>
      </c>
      <c r="F49" s="3"/>
      <c r="G49" s="28"/>
      <c r="H49" s="10"/>
      <c r="I49" s="10">
        <f t="shared" si="8"/>
        <v>2183</v>
      </c>
      <c r="J49" s="10">
        <f t="shared" si="6"/>
        <v>2197488222.4446888</v>
      </c>
      <c r="K49" s="11">
        <f t="shared" si="7"/>
        <v>3.3060000000000089E-2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974422.43464268208</v>
      </c>
      <c r="D50" s="11">
        <v>3.3180000000000001E-2</v>
      </c>
      <c r="E50" s="10">
        <f t="shared" si="2"/>
        <v>31293.033528953558</v>
      </c>
      <c r="F50" s="3"/>
      <c r="G50" s="28"/>
      <c r="H50" s="10"/>
      <c r="I50" s="10">
        <f t="shared" si="8"/>
        <v>2183</v>
      </c>
      <c r="J50" s="10">
        <f t="shared" si="6"/>
        <v>2127164174.824975</v>
      </c>
      <c r="K50" s="11">
        <f t="shared" si="7"/>
        <v>3.3179999999999987E-2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943129.40111372853</v>
      </c>
      <c r="D51" s="11">
        <v>3.3180000000000001E-2</v>
      </c>
      <c r="E51" s="10">
        <f t="shared" si="2"/>
        <v>30288.075194016099</v>
      </c>
      <c r="F51" s="3"/>
      <c r="G51" s="28"/>
      <c r="H51" s="10"/>
      <c r="I51" s="10">
        <f t="shared" si="8"/>
        <v>2183</v>
      </c>
      <c r="J51" s="10">
        <f t="shared" si="6"/>
        <v>2058851482.6312695</v>
      </c>
      <c r="K51" s="11">
        <f t="shared" si="7"/>
        <v>3.3179999999999987E-2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912841.32591971243</v>
      </c>
      <c r="D52" s="11">
        <v>3.3250000000000002E-2</v>
      </c>
      <c r="E52" s="10">
        <f t="shared" si="2"/>
        <v>29375.247120087501</v>
      </c>
      <c r="F52" s="3"/>
      <c r="G52" s="28"/>
      <c r="H52" s="10"/>
      <c r="I52" s="10">
        <f t="shared" si="8"/>
        <v>2183</v>
      </c>
      <c r="J52" s="10">
        <f t="shared" si="6"/>
        <v>1992732614.4827323</v>
      </c>
      <c r="K52" s="11">
        <f t="shared" si="7"/>
        <v>3.3250000000000002E-2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883466.07879962493</v>
      </c>
      <c r="D53" s="11">
        <v>3.3430000000000001E-2</v>
      </c>
      <c r="E53" s="10">
        <f t="shared" si="2"/>
        <v>28578.879086412722</v>
      </c>
      <c r="F53" s="3"/>
      <c r="G53" s="28"/>
      <c r="H53" s="10"/>
      <c r="I53" s="10">
        <f t="shared" si="8"/>
        <v>2183</v>
      </c>
      <c r="J53" s="10">
        <f t="shared" si="6"/>
        <v>1928606450.0195813</v>
      </c>
      <c r="K53" s="11">
        <f t="shared" si="7"/>
        <v>3.3430000000000071E-2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854887.19971321221</v>
      </c>
      <c r="D54" s="11">
        <v>3.3649999999999999E-2</v>
      </c>
      <c r="E54" s="10">
        <f t="shared" si="2"/>
        <v>27830.459314419306</v>
      </c>
      <c r="F54" s="3"/>
      <c r="G54" s="28"/>
      <c r="H54" s="10"/>
      <c r="I54" s="10">
        <f t="shared" si="8"/>
        <v>2183</v>
      </c>
      <c r="J54" s="10">
        <f t="shared" si="6"/>
        <v>1866218756.9739423</v>
      </c>
      <c r="K54" s="11">
        <f t="shared" si="7"/>
        <v>3.3649999999999958E-2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827056.7403987929</v>
      </c>
      <c r="D55" s="11">
        <v>3.3250000000000002E-2</v>
      </c>
      <c r="E55" s="10">
        <f t="shared" si="2"/>
        <v>26614.697912663803</v>
      </c>
      <c r="F55" s="3"/>
      <c r="G55" s="28"/>
      <c r="H55" s="10"/>
      <c r="I55" s="10">
        <f t="shared" si="8"/>
        <v>2183</v>
      </c>
      <c r="J55" s="10">
        <f t="shared" si="6"/>
        <v>1805464864.290565</v>
      </c>
      <c r="K55" s="11">
        <f t="shared" si="7"/>
        <v>3.3250000000000002E-2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800442.0424861291</v>
      </c>
      <c r="D56" s="11">
        <v>3.2759999999999997E-2</v>
      </c>
      <c r="E56" s="10">
        <f t="shared" si="2"/>
        <v>25390.682551459642</v>
      </c>
      <c r="F56" s="3"/>
      <c r="G56" s="28"/>
      <c r="H56" s="10"/>
      <c r="I56" s="10">
        <f t="shared" si="8"/>
        <v>2183</v>
      </c>
      <c r="J56" s="10">
        <f t="shared" si="6"/>
        <v>1747364978.7472198</v>
      </c>
      <c r="K56" s="11">
        <f t="shared" si="7"/>
        <v>3.27599999999999E-2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775051.35993466945</v>
      </c>
      <c r="D57" s="11">
        <v>3.2140000000000002E-2</v>
      </c>
      <c r="E57" s="10">
        <f t="shared" si="2"/>
        <v>24134.468878543936</v>
      </c>
      <c r="F57" s="3"/>
      <c r="G57" s="28"/>
      <c r="H57" s="10"/>
      <c r="I57" s="10">
        <f t="shared" si="8"/>
        <v>2183</v>
      </c>
      <c r="J57" s="10">
        <f t="shared" si="6"/>
        <v>1691937118.7373834</v>
      </c>
      <c r="K57" s="11">
        <f t="shared" si="7"/>
        <v>3.2140000000000057E-2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750916.89105612552</v>
      </c>
      <c r="D58" s="11">
        <v>3.2190000000000003E-2</v>
      </c>
      <c r="E58" s="10">
        <f t="shared" si="2"/>
        <v>23418.183399467729</v>
      </c>
      <c r="F58" s="3"/>
      <c r="G58" s="28"/>
      <c r="H58" s="10"/>
      <c r="I58" s="10">
        <f t="shared" si="8"/>
        <v>2183</v>
      </c>
      <c r="J58" s="10">
        <f t="shared" si="6"/>
        <v>1639251573.1755221</v>
      </c>
      <c r="K58" s="11">
        <f t="shared" si="7"/>
        <v>3.2189999999999941E-2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727498.70765665779</v>
      </c>
      <c r="D59" s="11">
        <v>3.1E-2</v>
      </c>
      <c r="E59" s="10">
        <f t="shared" si="2"/>
        <v>21874.354934390285</v>
      </c>
      <c r="F59" s="3"/>
      <c r="G59" s="28"/>
      <c r="H59" s="10"/>
      <c r="I59" s="10">
        <f t="shared" si="8"/>
        <v>2183</v>
      </c>
      <c r="J59" s="10">
        <f t="shared" si="6"/>
        <v>1588129678.8144839</v>
      </c>
      <c r="K59" s="11">
        <f t="shared" si="7"/>
        <v>3.0999999999999917E-2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705624.3527222675</v>
      </c>
      <c r="D60" s="11">
        <v>0.03</v>
      </c>
      <c r="E60" s="10">
        <f t="shared" si="2"/>
        <v>20552.165613269899</v>
      </c>
      <c r="F60" s="3"/>
      <c r="G60" s="28"/>
      <c r="H60" s="10"/>
      <c r="I60" s="10">
        <f t="shared" si="8"/>
        <v>2183</v>
      </c>
      <c r="J60" s="10">
        <f t="shared" si="6"/>
        <v>1540377961.9927099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685072.1871089976</v>
      </c>
      <c r="D61" s="11">
        <v>2.9860000000000001E-2</v>
      </c>
      <c r="E61" s="10">
        <f t="shared" si="2"/>
        <v>19863.142084433464</v>
      </c>
      <c r="F61" s="3"/>
      <c r="G61" s="28"/>
      <c r="H61" s="10"/>
      <c r="I61" s="10">
        <f t="shared" si="8"/>
        <v>2183</v>
      </c>
      <c r="J61" s="10">
        <f t="shared" si="6"/>
        <v>1495512584.4589417</v>
      </c>
      <c r="K61" s="11">
        <f t="shared" si="7"/>
        <v>2.9859999999999776E-2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665209.04502456414</v>
      </c>
      <c r="D62" s="11">
        <v>3.022E-2</v>
      </c>
      <c r="E62" s="10">
        <f t="shared" si="2"/>
        <v>19512.936402556952</v>
      </c>
      <c r="F62" s="3"/>
      <c r="G62" s="28"/>
      <c r="H62" s="10"/>
      <c r="I62" s="10">
        <f t="shared" si="8"/>
        <v>2183</v>
      </c>
      <c r="J62" s="10">
        <f t="shared" si="6"/>
        <v>1452151345.2886236</v>
      </c>
      <c r="K62" s="11">
        <f t="shared" si="7"/>
        <v>3.0219999999999914E-2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645696.10862200719</v>
      </c>
      <c r="D63" s="11">
        <v>3.099E-2</v>
      </c>
      <c r="E63" s="10">
        <f t="shared" si="2"/>
        <v>19408.648392512114</v>
      </c>
      <c r="F63" s="3"/>
      <c r="G63" s="28"/>
      <c r="H63" s="10"/>
      <c r="I63" s="10">
        <f t="shared" si="8"/>
        <v>2183</v>
      </c>
      <c r="J63" s="10">
        <f t="shared" si="6"/>
        <v>1409554605.1218417</v>
      </c>
      <c r="K63" s="11">
        <f t="shared" si="7"/>
        <v>3.0990000000000073E-2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626287.46022949507</v>
      </c>
      <c r="D64" s="11">
        <v>3.227E-2</v>
      </c>
      <c r="E64" s="10">
        <f t="shared" si="2"/>
        <v>19578.498204545118</v>
      </c>
      <c r="F64" s="3"/>
      <c r="G64" s="28"/>
      <c r="H64" s="10"/>
      <c r="I64" s="10">
        <f t="shared" si="8"/>
        <v>2183</v>
      </c>
      <c r="J64" s="10">
        <f t="shared" si="6"/>
        <v>1367185525.6809878</v>
      </c>
      <c r="K64" s="11">
        <f t="shared" si="7"/>
        <v>3.2270000000000021E-2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606708.96202494996</v>
      </c>
      <c r="D65" s="11">
        <v>3.4049999999999997E-2</v>
      </c>
      <c r="E65" s="10">
        <f t="shared" si="2"/>
        <v>19978.183024949976</v>
      </c>
      <c r="F65" s="3"/>
      <c r="G65" s="28"/>
      <c r="H65" s="10"/>
      <c r="I65" s="10">
        <f t="shared" si="8"/>
        <v>2183</v>
      </c>
      <c r="J65" s="10">
        <f t="shared" si="6"/>
        <v>1324445664.1004658</v>
      </c>
      <c r="K65" s="11">
        <f t="shared" si="7"/>
        <v>3.4049999999999914E-2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586730.77899999998</v>
      </c>
      <c r="D66" s="11">
        <v>3.6810000000000002E-2</v>
      </c>
      <c r="E66" s="10">
        <f t="shared" si="2"/>
        <v>20830.77899999998</v>
      </c>
      <c r="F66" s="24">
        <f>SUM(F2)</f>
        <v>3103322</v>
      </c>
      <c r="G66" s="28"/>
      <c r="H66" s="10"/>
      <c r="I66" s="10">
        <f t="shared" si="8"/>
        <v>2183</v>
      </c>
      <c r="J66" s="10">
        <f t="shared" ref="J66:J67" si="9">IF(I66="","",I66*C66)</f>
        <v>1280833290.5569999</v>
      </c>
      <c r="K66" s="11">
        <f t="shared" ref="K66" si="10">IFERROR(J66/J67-1,"")</f>
        <v>3.6810000000000009E-2</v>
      </c>
    </row>
    <row r="67" spans="1:11" ht="22.5" customHeight="1">
      <c r="A67" s="3">
        <f t="shared" si="0"/>
        <v>1950</v>
      </c>
      <c r="B67" s="3">
        <v>1700</v>
      </c>
      <c r="C67" s="10">
        <v>565900</v>
      </c>
      <c r="D67" s="11">
        <v>4.0309999999999999E-2</v>
      </c>
      <c r="E67" s="3" t="s">
        <v>72</v>
      </c>
      <c r="F67" s="10">
        <f>SUM(C2)</f>
        <v>3102053.1089019277</v>
      </c>
      <c r="G67" s="28"/>
      <c r="H67" s="10"/>
      <c r="I67" s="10">
        <f t="shared" ref="I67" si="11">IF(H67&lt;&gt;"",H67,I66/(1+IF(G66="",0,G66)/100))</f>
        <v>2183</v>
      </c>
      <c r="J67" s="10">
        <f t="shared" si="9"/>
        <v>1235359700</v>
      </c>
      <c r="K67" s="11"/>
    </row>
  </sheetData>
  <dataValidations count="1">
    <dataValidation type="custom" allowBlank="1" showDropDown="1" sqref="D2:D67" xr:uid="{00000000-0002-0000-3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3254667.8040576503</v>
      </c>
      <c r="D2" s="11">
        <v>6.5500000000000003E-3</v>
      </c>
      <c r="E2" s="10">
        <f t="shared" ref="E2:E66" si="2">SUM(C2-C3)</f>
        <v>21179.349378150888</v>
      </c>
      <c r="F2" s="15">
        <v>3254988</v>
      </c>
      <c r="G2" s="28"/>
      <c r="H2" s="10"/>
      <c r="I2" s="10">
        <f>IF(H2&lt;&gt;"",H2,29484)</f>
        <v>29484</v>
      </c>
      <c r="J2" s="10">
        <f t="shared" ref="J2:J33" si="3">IF(I2="","",I2*C2)</f>
        <v>95960625534.835754</v>
      </c>
      <c r="K2" s="11">
        <f t="shared" ref="K2:K33" si="4">IFERROR(J2/J3-1,"")</f>
        <v>6.5500000000000558E-3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3233488.4546794994</v>
      </c>
      <c r="D3" s="11">
        <v>5.0400000000000002E-3</v>
      </c>
      <c r="E3" s="10">
        <f t="shared" si="2"/>
        <v>16215.057919669431</v>
      </c>
      <c r="F3" s="3"/>
      <c r="G3" s="28"/>
      <c r="H3" s="10"/>
      <c r="I3" s="10">
        <f t="shared" ref="I3:I34" si="5">IF(H3&lt;&gt;"",H3,I2/(1+IF(G2="",0,G2)/100))</f>
        <v>29484</v>
      </c>
      <c r="J3" s="10">
        <f t="shared" si="3"/>
        <v>95336173597.770355</v>
      </c>
      <c r="K3" s="11">
        <f t="shared" si="4"/>
        <v>5.0399999999999334E-3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3217273.3967598299</v>
      </c>
      <c r="D4" s="11">
        <v>3.8700000000000002E-3</v>
      </c>
      <c r="E4" s="10">
        <f t="shared" si="2"/>
        <v>12402.849019754212</v>
      </c>
      <c r="F4" s="3"/>
      <c r="G4" s="28"/>
      <c r="H4" s="10"/>
      <c r="I4" s="10">
        <f t="shared" si="5"/>
        <v>29484</v>
      </c>
      <c r="J4" s="10">
        <f t="shared" si="3"/>
        <v>94858088830.066833</v>
      </c>
      <c r="K4" s="11">
        <f t="shared" si="4"/>
        <v>3.8700000000000401E-3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3204870.5477400757</v>
      </c>
      <c r="D5" s="11">
        <v>5.62E-3</v>
      </c>
      <c r="E5" s="10">
        <f t="shared" si="2"/>
        <v>17910.714264134876</v>
      </c>
      <c r="F5" s="3"/>
      <c r="G5" s="28"/>
      <c r="H5" s="10"/>
      <c r="I5" s="10">
        <f t="shared" si="5"/>
        <v>29484</v>
      </c>
      <c r="J5" s="10">
        <f t="shared" si="3"/>
        <v>94492403229.56839</v>
      </c>
      <c r="K5" s="11">
        <f t="shared" si="4"/>
        <v>5.6199999999999584E-3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3186959.8334759409</v>
      </c>
      <c r="D6" s="11">
        <v>6.8300000000000001E-3</v>
      </c>
      <c r="E6" s="10">
        <f t="shared" si="2"/>
        <v>21619.276007508859</v>
      </c>
      <c r="F6" s="3"/>
      <c r="G6" s="28"/>
      <c r="H6" s="10"/>
      <c r="I6" s="10">
        <f t="shared" si="5"/>
        <v>29484</v>
      </c>
      <c r="J6" s="10">
        <f t="shared" si="3"/>
        <v>93964323730.204636</v>
      </c>
      <c r="K6" s="11">
        <f t="shared" si="4"/>
        <v>6.8299999999998917E-3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3165340.557468432</v>
      </c>
      <c r="D7" s="11">
        <v>1.176E-2</v>
      </c>
      <c r="E7" s="10">
        <f t="shared" si="2"/>
        <v>36791.73416208243</v>
      </c>
      <c r="F7" s="3"/>
      <c r="G7" s="28"/>
      <c r="H7" s="10"/>
      <c r="I7" s="10">
        <f t="shared" si="5"/>
        <v>29484</v>
      </c>
      <c r="J7" s="10">
        <f t="shared" si="3"/>
        <v>93326900996.399246</v>
      </c>
      <c r="K7" s="11">
        <f t="shared" si="4"/>
        <v>1.1759999999999993E-2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3128548.8233063496</v>
      </c>
      <c r="D8" s="11">
        <v>1.098E-2</v>
      </c>
      <c r="E8" s="10">
        <f t="shared" si="2"/>
        <v>33978.383429843932</v>
      </c>
      <c r="F8" s="3"/>
      <c r="G8" s="28"/>
      <c r="H8" s="10"/>
      <c r="I8" s="10">
        <f t="shared" si="5"/>
        <v>29484</v>
      </c>
      <c r="J8" s="10">
        <f t="shared" si="3"/>
        <v>92242133506.36441</v>
      </c>
      <c r="K8" s="11">
        <f t="shared" si="4"/>
        <v>1.097999999999999E-2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3094570.4398765056</v>
      </c>
      <c r="D9" s="11">
        <v>8.1899999999999994E-3</v>
      </c>
      <c r="E9" s="10">
        <f t="shared" si="2"/>
        <v>25138.646388665307</v>
      </c>
      <c r="F9" s="3"/>
      <c r="G9" s="28"/>
      <c r="H9" s="10"/>
      <c r="I9" s="10">
        <f t="shared" si="5"/>
        <v>29484</v>
      </c>
      <c r="J9" s="10">
        <f t="shared" si="3"/>
        <v>91240314849.318893</v>
      </c>
      <c r="K9" s="11">
        <f t="shared" si="4"/>
        <v>8.1899999999999196E-3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3069431.7934878403</v>
      </c>
      <c r="D10" s="11">
        <v>7.6E-3</v>
      </c>
      <c r="E10" s="10">
        <f t="shared" si="2"/>
        <v>23151.728493953589</v>
      </c>
      <c r="F10" s="3"/>
      <c r="G10" s="28"/>
      <c r="H10" s="10"/>
      <c r="I10" s="10">
        <f t="shared" si="5"/>
        <v>29484</v>
      </c>
      <c r="J10" s="10">
        <f t="shared" si="3"/>
        <v>90499126999.19548</v>
      </c>
      <c r="K10" s="11">
        <f t="shared" si="4"/>
        <v>7.6000000000000512E-3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3046280.0649938867</v>
      </c>
      <c r="D11" s="11">
        <v>6.9499999999999996E-3</v>
      </c>
      <c r="E11" s="10">
        <f t="shared" si="2"/>
        <v>21025.519094004296</v>
      </c>
      <c r="F11" s="3"/>
      <c r="G11" s="28"/>
      <c r="H11" s="10"/>
      <c r="I11" s="10">
        <f t="shared" si="5"/>
        <v>29484</v>
      </c>
      <c r="J11" s="10">
        <f t="shared" si="3"/>
        <v>89816521436.279755</v>
      </c>
      <c r="K11" s="11">
        <f t="shared" si="4"/>
        <v>6.9500000000000117E-3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3025254.5458998824</v>
      </c>
      <c r="D12" s="11">
        <v>6.2700000000000004E-3</v>
      </c>
      <c r="E12" s="10">
        <f t="shared" si="2"/>
        <v>18850.15552763408</v>
      </c>
      <c r="F12" s="3"/>
      <c r="G12" s="28"/>
      <c r="H12" s="10"/>
      <c r="I12" s="10">
        <f t="shared" si="5"/>
        <v>29484</v>
      </c>
      <c r="J12" s="10">
        <f t="shared" si="3"/>
        <v>89196605031.312134</v>
      </c>
      <c r="K12" s="11">
        <f t="shared" si="4"/>
        <v>6.2699999999999978E-3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3006404.3903722484</v>
      </c>
      <c r="D13" s="11">
        <v>4.7400000000000003E-3</v>
      </c>
      <c r="E13" s="10">
        <f t="shared" si="2"/>
        <v>14183.128779947292</v>
      </c>
      <c r="F13" s="3"/>
      <c r="G13" s="28"/>
      <c r="H13" s="10"/>
      <c r="I13" s="10">
        <f t="shared" si="5"/>
        <v>29484</v>
      </c>
      <c r="J13" s="10">
        <f t="shared" si="3"/>
        <v>88640827045.735367</v>
      </c>
      <c r="K13" s="11">
        <f t="shared" si="4"/>
        <v>4.7399999999999665E-3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2992221.2615923011</v>
      </c>
      <c r="D14" s="11">
        <v>3.9199999999999999E-3</v>
      </c>
      <c r="E14" s="10">
        <f t="shared" si="2"/>
        <v>11683.70721316617</v>
      </c>
      <c r="F14" s="3"/>
      <c r="G14" s="28"/>
      <c r="H14" s="10"/>
      <c r="I14" s="10">
        <f t="shared" si="5"/>
        <v>29484</v>
      </c>
      <c r="J14" s="10">
        <f t="shared" si="3"/>
        <v>88222651676.787399</v>
      </c>
      <c r="K14" s="11">
        <f t="shared" si="4"/>
        <v>3.9199999999999235E-3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2980537.5543791349</v>
      </c>
      <c r="D15" s="11">
        <v>4.45E-3</v>
      </c>
      <c r="E15" s="10">
        <f t="shared" si="2"/>
        <v>13204.631506782025</v>
      </c>
      <c r="F15" s="3"/>
      <c r="G15" s="28"/>
      <c r="H15" s="10"/>
      <c r="I15" s="10">
        <f t="shared" si="5"/>
        <v>29484</v>
      </c>
      <c r="J15" s="10">
        <f t="shared" si="3"/>
        <v>87878169253.314407</v>
      </c>
      <c r="K15" s="11">
        <f t="shared" si="4"/>
        <v>4.450000000000065E-3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2967332.9228723529</v>
      </c>
      <c r="D16" s="11">
        <v>4.47E-3</v>
      </c>
      <c r="E16" s="10">
        <f t="shared" si="2"/>
        <v>13204.952029666863</v>
      </c>
      <c r="F16" s="3"/>
      <c r="G16" s="28"/>
      <c r="H16" s="10"/>
      <c r="I16" s="10">
        <f t="shared" si="5"/>
        <v>29484</v>
      </c>
      <c r="J16" s="10">
        <f t="shared" si="3"/>
        <v>87488843897.968445</v>
      </c>
      <c r="K16" s="11">
        <f t="shared" si="4"/>
        <v>4.469999999999974E-3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2954127.970842686</v>
      </c>
      <c r="D17" s="11">
        <v>2.3999999999999998E-3</v>
      </c>
      <c r="E17" s="10">
        <f t="shared" si="2"/>
        <v>7072.9320929991081</v>
      </c>
      <c r="F17" s="3"/>
      <c r="G17" s="28"/>
      <c r="H17" s="10"/>
      <c r="I17" s="10">
        <f t="shared" si="5"/>
        <v>29484</v>
      </c>
      <c r="J17" s="10">
        <f t="shared" si="3"/>
        <v>87099509092.32576</v>
      </c>
      <c r="K17" s="11">
        <f t="shared" si="4"/>
        <v>2.3999999999999577E-3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2947055.0387496869</v>
      </c>
      <c r="D18" s="11">
        <v>2.49E-3</v>
      </c>
      <c r="E18" s="10">
        <f t="shared" si="2"/>
        <v>7319.9403949035332</v>
      </c>
      <c r="F18" s="3"/>
      <c r="G18" s="28"/>
      <c r="H18" s="10"/>
      <c r="I18" s="10">
        <f t="shared" si="5"/>
        <v>29484</v>
      </c>
      <c r="J18" s="10">
        <f t="shared" si="3"/>
        <v>86890970762.495773</v>
      </c>
      <c r="K18" s="11">
        <f t="shared" si="4"/>
        <v>2.4900000000001032E-3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2939735.0983547834</v>
      </c>
      <c r="D19" s="11">
        <v>2.1099999999999999E-3</v>
      </c>
      <c r="E19" s="10">
        <f t="shared" si="2"/>
        <v>6189.780620419886</v>
      </c>
      <c r="F19" s="3"/>
      <c r="G19" s="28"/>
      <c r="H19" s="10"/>
      <c r="I19" s="10">
        <f t="shared" si="5"/>
        <v>29484</v>
      </c>
      <c r="J19" s="10">
        <f t="shared" si="3"/>
        <v>86675149639.892426</v>
      </c>
      <c r="K19" s="11">
        <f t="shared" si="4"/>
        <v>2.1100000000000563E-3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2933545.3177343635</v>
      </c>
      <c r="D20" s="11">
        <v>2.15E-3</v>
      </c>
      <c r="E20" s="10">
        <f t="shared" si="2"/>
        <v>6293.5912120235153</v>
      </c>
      <c r="F20" s="3"/>
      <c r="G20" s="28"/>
      <c r="H20" s="10"/>
      <c r="I20" s="10">
        <f t="shared" si="5"/>
        <v>29484</v>
      </c>
      <c r="J20" s="10">
        <f t="shared" si="3"/>
        <v>86492650148.079971</v>
      </c>
      <c r="K20" s="11">
        <f t="shared" si="4"/>
        <v>2.1500000000000963E-3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2927251.72652234</v>
      </c>
      <c r="D21" s="11">
        <v>2.66E-3</v>
      </c>
      <c r="E21" s="10">
        <f t="shared" si="2"/>
        <v>7765.8324781577103</v>
      </c>
      <c r="F21" s="3"/>
      <c r="G21" s="28"/>
      <c r="H21" s="10"/>
      <c r="I21" s="10">
        <f t="shared" si="5"/>
        <v>29484</v>
      </c>
      <c r="J21" s="10">
        <f t="shared" si="3"/>
        <v>86307089904.784668</v>
      </c>
      <c r="K21" s="11">
        <f t="shared" si="4"/>
        <v>2.6599999999998847E-3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2919485.8940441823</v>
      </c>
      <c r="D22" s="11">
        <v>1.2199999999999999E-3</v>
      </c>
      <c r="E22" s="10">
        <f t="shared" si="2"/>
        <v>3557.4327228120528</v>
      </c>
      <c r="F22" s="3"/>
      <c r="G22" s="28"/>
      <c r="H22" s="10"/>
      <c r="I22" s="10">
        <f t="shared" si="5"/>
        <v>29484</v>
      </c>
      <c r="J22" s="10">
        <f t="shared" si="3"/>
        <v>86078122099.998672</v>
      </c>
      <c r="K22" s="11">
        <f t="shared" si="4"/>
        <v>1.2199999999999989E-3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2915928.4613213702</v>
      </c>
      <c r="D23" s="11">
        <v>2.98E-3</v>
      </c>
      <c r="E23" s="10">
        <f t="shared" si="2"/>
        <v>8663.6491402997635</v>
      </c>
      <c r="F23" s="3"/>
      <c r="G23" s="28"/>
      <c r="H23" s="10"/>
      <c r="I23" s="10">
        <f t="shared" si="5"/>
        <v>29484</v>
      </c>
      <c r="J23" s="10">
        <f t="shared" si="3"/>
        <v>85973234753.599274</v>
      </c>
      <c r="K23" s="11">
        <f t="shared" si="4"/>
        <v>2.9799999999999827E-3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2907264.8121810704</v>
      </c>
      <c r="D24" s="11">
        <v>3.1700000000000001E-3</v>
      </c>
      <c r="E24" s="10">
        <f t="shared" si="2"/>
        <v>9186.9069595518522</v>
      </c>
      <c r="F24" s="3"/>
      <c r="G24" s="28"/>
      <c r="H24" s="10"/>
      <c r="I24" s="10">
        <f t="shared" si="5"/>
        <v>29484</v>
      </c>
      <c r="J24" s="10">
        <f t="shared" si="3"/>
        <v>85717795722.34668</v>
      </c>
      <c r="K24" s="11">
        <f t="shared" si="4"/>
        <v>3.1699999999998951E-3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2898077.9052215186</v>
      </c>
      <c r="D25" s="11">
        <v>4.5700000000000003E-3</v>
      </c>
      <c r="E25" s="10">
        <f t="shared" si="2"/>
        <v>13183.965305416379</v>
      </c>
      <c r="F25" s="3"/>
      <c r="G25" s="28"/>
      <c r="H25" s="10"/>
      <c r="I25" s="10">
        <f t="shared" si="5"/>
        <v>29484</v>
      </c>
      <c r="J25" s="10">
        <f t="shared" si="3"/>
        <v>85446928957.551254</v>
      </c>
      <c r="K25" s="11">
        <f t="shared" si="4"/>
        <v>4.569999999999963E-3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2884893.9399161022</v>
      </c>
      <c r="D26" s="11">
        <v>4.81E-3</v>
      </c>
      <c r="E26" s="10">
        <f t="shared" si="2"/>
        <v>13809.914163868409</v>
      </c>
      <c r="F26" s="3"/>
      <c r="G26" s="28"/>
      <c r="H26" s="10"/>
      <c r="I26" s="10">
        <f t="shared" si="5"/>
        <v>29484</v>
      </c>
      <c r="J26" s="10">
        <f t="shared" si="3"/>
        <v>85058212924.486359</v>
      </c>
      <c r="K26" s="11">
        <f t="shared" si="4"/>
        <v>4.810000000000203E-3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2871084.0257522338</v>
      </c>
      <c r="D27" s="11">
        <v>2.8E-3</v>
      </c>
      <c r="E27" s="10">
        <f t="shared" si="2"/>
        <v>8016.5888234004378</v>
      </c>
      <c r="F27" s="3"/>
      <c r="G27" s="28"/>
      <c r="H27" s="10"/>
      <c r="I27" s="10">
        <f t="shared" si="5"/>
        <v>29484</v>
      </c>
      <c r="J27" s="10">
        <f t="shared" si="3"/>
        <v>84651041415.278854</v>
      </c>
      <c r="K27" s="11">
        <f t="shared" si="4"/>
        <v>2.7999999999996916E-3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2863067.4369288334</v>
      </c>
      <c r="D28" s="11">
        <v>2.1099999999999999E-3</v>
      </c>
      <c r="E28" s="10">
        <f t="shared" si="2"/>
        <v>6028.3524682121351</v>
      </c>
      <c r="F28" s="3"/>
      <c r="G28" s="28"/>
      <c r="H28" s="10"/>
      <c r="I28" s="10">
        <f t="shared" si="5"/>
        <v>29484</v>
      </c>
      <c r="J28" s="10">
        <f t="shared" si="3"/>
        <v>84414680310.409729</v>
      </c>
      <c r="K28" s="11">
        <f t="shared" si="4"/>
        <v>2.1100000000002783E-3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2857039.0844606212</v>
      </c>
      <c r="D29" s="11">
        <v>1.92E-3</v>
      </c>
      <c r="E29" s="10">
        <f t="shared" si="2"/>
        <v>5475.0030363341793</v>
      </c>
      <c r="F29" s="3"/>
      <c r="G29" s="28"/>
      <c r="H29" s="10"/>
      <c r="I29" s="10">
        <f t="shared" si="5"/>
        <v>29484</v>
      </c>
      <c r="J29" s="10">
        <f t="shared" si="3"/>
        <v>84236940366.236954</v>
      </c>
      <c r="K29" s="11">
        <f t="shared" si="4"/>
        <v>1.9199999999996997E-3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2851564.0814242871</v>
      </c>
      <c r="D30" s="11">
        <v>1.5900000000000001E-3</v>
      </c>
      <c r="E30" s="10">
        <f t="shared" si="2"/>
        <v>4526.7892944863997</v>
      </c>
      <c r="F30" s="3"/>
      <c r="G30" s="28"/>
      <c r="H30" s="10"/>
      <c r="I30" s="10">
        <f t="shared" si="5"/>
        <v>29484</v>
      </c>
      <c r="J30" s="10">
        <f t="shared" si="3"/>
        <v>84075515376.713684</v>
      </c>
      <c r="K30" s="11">
        <f t="shared" si="4"/>
        <v>1.5899999999999803E-3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2847037.2921298007</v>
      </c>
      <c r="D31" s="11">
        <v>8.7000000000000001E-4</v>
      </c>
      <c r="E31" s="10">
        <f t="shared" si="2"/>
        <v>2474.7693947791122</v>
      </c>
      <c r="F31" s="3"/>
      <c r="G31" s="28"/>
      <c r="H31" s="10"/>
      <c r="I31" s="10">
        <f t="shared" si="5"/>
        <v>29484</v>
      </c>
      <c r="J31" s="10">
        <f t="shared" si="3"/>
        <v>83942047521.155045</v>
      </c>
      <c r="K31" s="11">
        <f t="shared" si="4"/>
        <v>8.6999999999992639E-4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2844562.5227350215</v>
      </c>
      <c r="D32" s="11">
        <v>4.8000000000000001E-4</v>
      </c>
      <c r="E32" s="10">
        <f t="shared" si="2"/>
        <v>1364.7349381428212</v>
      </c>
      <c r="F32" s="3"/>
      <c r="G32" s="28"/>
      <c r="H32" s="10"/>
      <c r="I32" s="10">
        <f t="shared" si="5"/>
        <v>29484</v>
      </c>
      <c r="J32" s="10">
        <f t="shared" si="3"/>
        <v>83869081420.319382</v>
      </c>
      <c r="K32" s="11">
        <f t="shared" si="4"/>
        <v>4.80000000000258E-4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2843197.7877968787</v>
      </c>
      <c r="D33" s="11">
        <v>6.8999999999999997E-4</v>
      </c>
      <c r="E33" s="10">
        <f t="shared" si="2"/>
        <v>1960.4537604851648</v>
      </c>
      <c r="F33" s="3"/>
      <c r="G33" s="28"/>
      <c r="H33" s="10"/>
      <c r="I33" s="10">
        <f t="shared" si="5"/>
        <v>29484</v>
      </c>
      <c r="J33" s="10">
        <f t="shared" si="3"/>
        <v>83828843575.403168</v>
      </c>
      <c r="K33" s="11">
        <f t="shared" si="4"/>
        <v>6.8999999999985739E-4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2841237.3340363936</v>
      </c>
      <c r="D34" s="11">
        <v>4.2000000000000002E-4</v>
      </c>
      <c r="E34" s="10">
        <f t="shared" si="2"/>
        <v>1192.8186964429915</v>
      </c>
      <c r="F34" s="3"/>
      <c r="G34" s="28"/>
      <c r="H34" s="10"/>
      <c r="I34" s="10">
        <f t="shared" si="5"/>
        <v>29484</v>
      </c>
      <c r="J34" s="10">
        <f t="shared" ref="J34:J65" si="6">IF(I34="","",I34*C34)</f>
        <v>83771041556.729034</v>
      </c>
      <c r="K34" s="11">
        <f t="shared" ref="K34:K65" si="7">IFERROR(J34/J35-1,"")</f>
        <v>4.2000000000030902E-4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2840044.5153399506</v>
      </c>
      <c r="D35" s="11">
        <v>9.6000000000000002E-4</v>
      </c>
      <c r="E35" s="10">
        <f t="shared" si="2"/>
        <v>2723.8278599809855</v>
      </c>
      <c r="F35" s="3"/>
      <c r="G35" s="28"/>
      <c r="H35" s="10"/>
      <c r="I35" s="10">
        <f t="shared" ref="I35:I66" si="8">IF(H35&lt;&gt;"",H35,I34/(1+IF(G34="",0,G34)/100))</f>
        <v>29484</v>
      </c>
      <c r="J35" s="10">
        <f t="shared" si="6"/>
        <v>83735872490.283096</v>
      </c>
      <c r="K35" s="11">
        <f t="shared" si="7"/>
        <v>9.6000000000007191E-4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2837320.6874799696</v>
      </c>
      <c r="D36" s="11">
        <v>1.41E-3</v>
      </c>
      <c r="E36" s="10">
        <f t="shared" si="2"/>
        <v>3994.9892345257103</v>
      </c>
      <c r="F36" s="3"/>
      <c r="G36" s="28"/>
      <c r="H36" s="10"/>
      <c r="I36" s="10">
        <f t="shared" si="8"/>
        <v>29484</v>
      </c>
      <c r="J36" s="10">
        <f t="shared" si="6"/>
        <v>83655563149.659424</v>
      </c>
      <c r="K36" s="11">
        <f t="shared" si="7"/>
        <v>1.4099999999999113E-3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2833325.6982454439</v>
      </c>
      <c r="D37" s="11">
        <v>2.1700000000000001E-3</v>
      </c>
      <c r="E37" s="10">
        <f t="shared" si="2"/>
        <v>6135.0038069314323</v>
      </c>
      <c r="F37" s="3"/>
      <c r="G37" s="28"/>
      <c r="H37" s="10"/>
      <c r="I37" s="10">
        <f t="shared" si="8"/>
        <v>29484</v>
      </c>
      <c r="J37" s="10">
        <f t="shared" si="6"/>
        <v>83537774887.068665</v>
      </c>
      <c r="K37" s="11">
        <f t="shared" si="7"/>
        <v>2.1699999999997832E-3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2827190.6944385124</v>
      </c>
      <c r="D38" s="11">
        <v>2.2599999999999999E-3</v>
      </c>
      <c r="E38" s="10">
        <f t="shared" si="2"/>
        <v>6375.0433714115061</v>
      </c>
      <c r="F38" s="3"/>
      <c r="G38" s="28"/>
      <c r="H38" s="10"/>
      <c r="I38" s="10">
        <f t="shared" si="8"/>
        <v>29484</v>
      </c>
      <c r="J38" s="10">
        <f t="shared" si="6"/>
        <v>83356890434.825104</v>
      </c>
      <c r="K38" s="11">
        <f t="shared" si="7"/>
        <v>2.2599999999999287E-3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2820815.6510671009</v>
      </c>
      <c r="D39" s="11">
        <v>1.73E-3</v>
      </c>
      <c r="E39" s="10">
        <f t="shared" si="2"/>
        <v>4871.5832373453304</v>
      </c>
      <c r="F39" s="3"/>
      <c r="G39" s="28"/>
      <c r="H39" s="10"/>
      <c r="I39" s="10">
        <f t="shared" si="8"/>
        <v>29484</v>
      </c>
      <c r="J39" s="10">
        <f t="shared" si="6"/>
        <v>83168928656.062408</v>
      </c>
      <c r="K39" s="11">
        <f t="shared" si="7"/>
        <v>1.7300000000000093E-3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2815944.0678297556</v>
      </c>
      <c r="D40" s="11">
        <v>1.91E-3</v>
      </c>
      <c r="E40" s="10">
        <f t="shared" si="2"/>
        <v>5368.1999077312648</v>
      </c>
      <c r="F40" s="3"/>
      <c r="G40" s="28"/>
      <c r="H40" s="10"/>
      <c r="I40" s="10">
        <f t="shared" si="8"/>
        <v>29484</v>
      </c>
      <c r="J40" s="10">
        <f t="shared" si="6"/>
        <v>83025294895.892517</v>
      </c>
      <c r="K40" s="11">
        <f t="shared" si="7"/>
        <v>1.9100000000000783E-3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2810575.8679220243</v>
      </c>
      <c r="D41" s="11">
        <v>1.1900000000000001E-3</v>
      </c>
      <c r="E41" s="10">
        <f t="shared" si="2"/>
        <v>3340.6099569783546</v>
      </c>
      <c r="F41" s="3"/>
      <c r="G41" s="28"/>
      <c r="H41" s="10"/>
      <c r="I41" s="10">
        <f t="shared" si="8"/>
        <v>29484</v>
      </c>
      <c r="J41" s="10">
        <f t="shared" si="6"/>
        <v>82867018889.812973</v>
      </c>
      <c r="K41" s="11">
        <f t="shared" si="7"/>
        <v>1.1900000000000244E-3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2807235.257965046</v>
      </c>
      <c r="D42" s="11">
        <v>9.5E-4</v>
      </c>
      <c r="E42" s="10">
        <f t="shared" si="2"/>
        <v>2664.3423698153347</v>
      </c>
      <c r="F42" s="3"/>
      <c r="G42" s="28"/>
      <c r="H42" s="10"/>
      <c r="I42" s="10">
        <f t="shared" si="8"/>
        <v>29484</v>
      </c>
      <c r="J42" s="10">
        <f t="shared" si="6"/>
        <v>82768524345.841415</v>
      </c>
      <c r="K42" s="11">
        <f t="shared" si="7"/>
        <v>9.5000000000000639E-4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2804570.9155952306</v>
      </c>
      <c r="D43" s="11">
        <v>1.65E-3</v>
      </c>
      <c r="E43" s="10">
        <f t="shared" si="2"/>
        <v>4619.9191441442817</v>
      </c>
      <c r="F43" s="3"/>
      <c r="G43" s="28"/>
      <c r="H43" s="10"/>
      <c r="I43" s="10">
        <f t="shared" si="8"/>
        <v>29484</v>
      </c>
      <c r="J43" s="10">
        <f t="shared" si="6"/>
        <v>82689968875.409775</v>
      </c>
      <c r="K43" s="11">
        <f t="shared" si="7"/>
        <v>1.6499999999999293E-3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2799950.9964510864</v>
      </c>
      <c r="D44" s="11">
        <v>2E-3</v>
      </c>
      <c r="E44" s="10">
        <f t="shared" si="2"/>
        <v>5588.7245438145474</v>
      </c>
      <c r="F44" s="3"/>
      <c r="G44" s="28"/>
      <c r="H44" s="10"/>
      <c r="I44" s="10">
        <f t="shared" si="8"/>
        <v>29484</v>
      </c>
      <c r="J44" s="10">
        <f t="shared" si="6"/>
        <v>82553755179.363831</v>
      </c>
      <c r="K44" s="11">
        <f t="shared" si="7"/>
        <v>2.0000000000000018E-3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2794362.2719072718</v>
      </c>
      <c r="D45" s="11">
        <v>2.7699999999999999E-3</v>
      </c>
      <c r="E45" s="10">
        <f t="shared" si="2"/>
        <v>7719.0018580360338</v>
      </c>
      <c r="F45" s="3"/>
      <c r="G45" s="28"/>
      <c r="H45" s="10"/>
      <c r="I45" s="10">
        <f t="shared" si="8"/>
        <v>29484</v>
      </c>
      <c r="J45" s="10">
        <f t="shared" si="6"/>
        <v>82388977224.914001</v>
      </c>
      <c r="K45" s="11">
        <f t="shared" si="7"/>
        <v>2.7699999999999392E-3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2786643.2700492358</v>
      </c>
      <c r="D46" s="11">
        <v>3.0799999999999998E-3</v>
      </c>
      <c r="E46" s="10">
        <f t="shared" si="2"/>
        <v>8556.5072294846177</v>
      </c>
      <c r="F46" s="3"/>
      <c r="G46" s="28"/>
      <c r="H46" s="10"/>
      <c r="I46" s="10">
        <f t="shared" si="8"/>
        <v>29484</v>
      </c>
      <c r="J46" s="10">
        <f t="shared" si="6"/>
        <v>82161390174.131668</v>
      </c>
      <c r="K46" s="11">
        <f t="shared" si="7"/>
        <v>3.0799999999999716E-3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2778086.7628197512</v>
      </c>
      <c r="D47" s="11">
        <v>4.3899999999999998E-3</v>
      </c>
      <c r="E47" s="10">
        <f t="shared" si="2"/>
        <v>12142.495334261097</v>
      </c>
      <c r="F47" s="3"/>
      <c r="G47" s="28"/>
      <c r="H47" s="10"/>
      <c r="I47" s="10">
        <f t="shared" si="8"/>
        <v>29484</v>
      </c>
      <c r="J47" s="10">
        <f t="shared" si="6"/>
        <v>81909110114.977539</v>
      </c>
      <c r="K47" s="11">
        <f t="shared" si="7"/>
        <v>4.389999999999894E-3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2765944.2674854901</v>
      </c>
      <c r="D48" s="11">
        <v>4.2100000000000002E-3</v>
      </c>
      <c r="E48" s="10">
        <f t="shared" si="2"/>
        <v>11595.807018565945</v>
      </c>
      <c r="F48" s="3"/>
      <c r="G48" s="28"/>
      <c r="H48" s="10"/>
      <c r="I48" s="10">
        <f t="shared" si="8"/>
        <v>29484</v>
      </c>
      <c r="J48" s="10">
        <f t="shared" si="6"/>
        <v>81551100782.542191</v>
      </c>
      <c r="K48" s="11">
        <f t="shared" si="7"/>
        <v>4.2100000000002691E-3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2754348.4604669241</v>
      </c>
      <c r="D49" s="11">
        <v>4.0499999999999998E-3</v>
      </c>
      <c r="E49" s="10">
        <f t="shared" si="2"/>
        <v>11110.115297934506</v>
      </c>
      <c r="F49" s="3"/>
      <c r="G49" s="28"/>
      <c r="H49" s="10"/>
      <c r="I49" s="10">
        <f t="shared" si="8"/>
        <v>29484</v>
      </c>
      <c r="J49" s="10">
        <f t="shared" si="6"/>
        <v>81209210008.406784</v>
      </c>
      <c r="K49" s="11">
        <f t="shared" si="7"/>
        <v>4.049999999999887E-3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2743238.3451689896</v>
      </c>
      <c r="D50" s="11">
        <v>5.1500000000000001E-3</v>
      </c>
      <c r="E50" s="10">
        <f t="shared" si="2"/>
        <v>14055.292720111553</v>
      </c>
      <c r="F50" s="3"/>
      <c r="G50" s="28"/>
      <c r="H50" s="10"/>
      <c r="I50" s="10">
        <f t="shared" si="8"/>
        <v>29484</v>
      </c>
      <c r="J50" s="10">
        <f t="shared" si="6"/>
        <v>80881639368.962494</v>
      </c>
      <c r="K50" s="11">
        <f t="shared" si="7"/>
        <v>5.1499999999999879E-3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2729183.0524488781</v>
      </c>
      <c r="D51" s="11">
        <v>5.5999999999999999E-3</v>
      </c>
      <c r="E51" s="10">
        <f t="shared" si="2"/>
        <v>15198.314532332588</v>
      </c>
      <c r="F51" s="3"/>
      <c r="G51" s="28"/>
      <c r="H51" s="10"/>
      <c r="I51" s="10">
        <f t="shared" si="8"/>
        <v>29484</v>
      </c>
      <c r="J51" s="10">
        <f t="shared" si="6"/>
        <v>80467233118.402725</v>
      </c>
      <c r="K51" s="11">
        <f t="shared" si="7"/>
        <v>5.6000000000000494E-3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2713984.7379165455</v>
      </c>
      <c r="D52" s="11">
        <v>6.1000000000000004E-3</v>
      </c>
      <c r="E52" s="10">
        <f t="shared" si="2"/>
        <v>16454.931817206088</v>
      </c>
      <c r="F52" s="3"/>
      <c r="G52" s="28"/>
      <c r="H52" s="10"/>
      <c r="I52" s="10">
        <f t="shared" si="8"/>
        <v>29484</v>
      </c>
      <c r="J52" s="10">
        <f t="shared" si="6"/>
        <v>80019126012.73143</v>
      </c>
      <c r="K52" s="11">
        <f t="shared" si="7"/>
        <v>6.0999999999999943E-3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2697529.8060993394</v>
      </c>
      <c r="D53" s="11">
        <v>7.1700000000000002E-3</v>
      </c>
      <c r="E53" s="10">
        <f t="shared" si="2"/>
        <v>19203.598905579187</v>
      </c>
      <c r="F53" s="3"/>
      <c r="G53" s="28"/>
      <c r="H53" s="10"/>
      <c r="I53" s="10">
        <f t="shared" si="8"/>
        <v>29484</v>
      </c>
      <c r="J53" s="10">
        <f t="shared" si="6"/>
        <v>79533968803.032928</v>
      </c>
      <c r="K53" s="11">
        <f t="shared" si="7"/>
        <v>7.1699999999998987E-3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2678326.2071937602</v>
      </c>
      <c r="D54" s="11">
        <v>6.2500000000000003E-3</v>
      </c>
      <c r="E54" s="10">
        <f t="shared" si="2"/>
        <v>16635.56650430942</v>
      </c>
      <c r="F54" s="3"/>
      <c r="G54" s="28"/>
      <c r="H54" s="10"/>
      <c r="I54" s="10">
        <f t="shared" si="8"/>
        <v>29484</v>
      </c>
      <c r="J54" s="10">
        <f t="shared" si="6"/>
        <v>78967769892.900833</v>
      </c>
      <c r="K54" s="11">
        <f t="shared" si="7"/>
        <v>6.2500000000003109E-3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2661690.6406894508</v>
      </c>
      <c r="D55" s="11">
        <v>6.1900000000000002E-3</v>
      </c>
      <c r="E55" s="10">
        <f t="shared" si="2"/>
        <v>16374.506868352182</v>
      </c>
      <c r="F55" s="3"/>
      <c r="G55" s="28"/>
      <c r="H55" s="10"/>
      <c r="I55" s="10">
        <f t="shared" si="8"/>
        <v>29484</v>
      </c>
      <c r="J55" s="10">
        <f t="shared" si="6"/>
        <v>78477286850.087769</v>
      </c>
      <c r="K55" s="11">
        <f t="shared" si="7"/>
        <v>6.1899999999999178E-3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2645316.1338210986</v>
      </c>
      <c r="D56" s="11">
        <v>6.7600000000000004E-3</v>
      </c>
      <c r="E56" s="10">
        <f t="shared" si="2"/>
        <v>17762.26415891666</v>
      </c>
      <c r="F56" s="3"/>
      <c r="G56" s="28"/>
      <c r="H56" s="10"/>
      <c r="I56" s="10">
        <f t="shared" si="8"/>
        <v>29484</v>
      </c>
      <c r="J56" s="10">
        <f t="shared" si="6"/>
        <v>77994500889.581268</v>
      </c>
      <c r="K56" s="11">
        <f t="shared" si="7"/>
        <v>6.7600000000000993E-3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2627553.8696621819</v>
      </c>
      <c r="D57" s="11">
        <v>5.5199999999999997E-3</v>
      </c>
      <c r="E57" s="10">
        <f t="shared" si="2"/>
        <v>14424.474262605421</v>
      </c>
      <c r="F57" s="3"/>
      <c r="G57" s="28"/>
      <c r="H57" s="10"/>
      <c r="I57" s="10">
        <f t="shared" si="8"/>
        <v>29484</v>
      </c>
      <c r="J57" s="10">
        <f t="shared" si="6"/>
        <v>77470798293.119766</v>
      </c>
      <c r="K57" s="11">
        <f t="shared" si="7"/>
        <v>5.5199999999997473E-3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2613129.3953995765</v>
      </c>
      <c r="D58" s="11">
        <v>6.9300000000000004E-3</v>
      </c>
      <c r="E58" s="10">
        <f t="shared" si="2"/>
        <v>17984.355129074771</v>
      </c>
      <c r="F58" s="3"/>
      <c r="G58" s="28"/>
      <c r="H58" s="10"/>
      <c r="I58" s="10">
        <f t="shared" si="8"/>
        <v>29484</v>
      </c>
      <c r="J58" s="10">
        <f t="shared" si="6"/>
        <v>77045507093.961121</v>
      </c>
      <c r="K58" s="11">
        <f t="shared" si="7"/>
        <v>6.9300000000001027E-3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2595145.0402705017</v>
      </c>
      <c r="D59" s="11">
        <v>6.3E-3</v>
      </c>
      <c r="E59" s="10">
        <f t="shared" si="2"/>
        <v>16247.057292759884</v>
      </c>
      <c r="F59" s="3"/>
      <c r="G59" s="28"/>
      <c r="H59" s="10"/>
      <c r="I59" s="10">
        <f t="shared" si="8"/>
        <v>29484</v>
      </c>
      <c r="J59" s="10">
        <f t="shared" si="6"/>
        <v>76515256367.33548</v>
      </c>
      <c r="K59" s="11">
        <f t="shared" si="7"/>
        <v>6.3000000000001943E-3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2578897.9829777419</v>
      </c>
      <c r="D60" s="11">
        <v>5.8199999999999997E-3</v>
      </c>
      <c r="E60" s="10">
        <f t="shared" si="2"/>
        <v>14922.338252301794</v>
      </c>
      <c r="F60" s="3"/>
      <c r="G60" s="28"/>
      <c r="H60" s="10"/>
      <c r="I60" s="10">
        <f t="shared" si="8"/>
        <v>29484</v>
      </c>
      <c r="J60" s="10">
        <f t="shared" si="6"/>
        <v>76036228130.115738</v>
      </c>
      <c r="K60" s="11">
        <f t="shared" si="7"/>
        <v>5.8199999999999363E-3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2563975.6447254401</v>
      </c>
      <c r="D61" s="11">
        <v>5.3400000000000001E-3</v>
      </c>
      <c r="E61" s="10">
        <f t="shared" si="2"/>
        <v>13618.904990185983</v>
      </c>
      <c r="F61" s="3"/>
      <c r="G61" s="28"/>
      <c r="H61" s="10"/>
      <c r="I61" s="10">
        <f t="shared" si="8"/>
        <v>29484</v>
      </c>
      <c r="J61" s="10">
        <f t="shared" si="6"/>
        <v>75596257909.084869</v>
      </c>
      <c r="K61" s="11">
        <f t="shared" si="7"/>
        <v>5.3399999999999004E-3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2550356.7397352541</v>
      </c>
      <c r="D62" s="11">
        <v>5.1900000000000002E-3</v>
      </c>
      <c r="E62" s="10">
        <f t="shared" si="2"/>
        <v>13168.009509869851</v>
      </c>
      <c r="F62" s="3"/>
      <c r="G62" s="28"/>
      <c r="H62" s="10"/>
      <c r="I62" s="10">
        <f t="shared" si="8"/>
        <v>29484</v>
      </c>
      <c r="J62" s="10">
        <f t="shared" si="6"/>
        <v>75194718114.354233</v>
      </c>
      <c r="K62" s="11">
        <f t="shared" si="7"/>
        <v>5.1900000000000279E-3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2537188.7302253842</v>
      </c>
      <c r="D63" s="11">
        <v>5.4999999999999997E-3</v>
      </c>
      <c r="E63" s="10">
        <f t="shared" si="2"/>
        <v>13878.20787293883</v>
      </c>
      <c r="F63" s="3"/>
      <c r="G63" s="28"/>
      <c r="H63" s="10"/>
      <c r="I63" s="10">
        <f t="shared" si="8"/>
        <v>29484</v>
      </c>
      <c r="J63" s="10">
        <f t="shared" si="6"/>
        <v>74806472521.965225</v>
      </c>
      <c r="K63" s="11">
        <f t="shared" si="7"/>
        <v>5.5000000000000604E-3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2523310.5223524454</v>
      </c>
      <c r="D64" s="11">
        <v>5.11E-3</v>
      </c>
      <c r="E64" s="10">
        <f t="shared" si="2"/>
        <v>12828.562813245226</v>
      </c>
      <c r="F64" s="3"/>
      <c r="G64" s="28"/>
      <c r="H64" s="10"/>
      <c r="I64" s="10">
        <f t="shared" si="8"/>
        <v>29484</v>
      </c>
      <c r="J64" s="10">
        <f t="shared" si="6"/>
        <v>74397287441.039505</v>
      </c>
      <c r="K64" s="11">
        <f t="shared" si="7"/>
        <v>5.11000000000017E-3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2510481.9595392002</v>
      </c>
      <c r="D65" s="11">
        <v>5.2599999999999999E-3</v>
      </c>
      <c r="E65" s="10">
        <f t="shared" si="2"/>
        <v>13136.039539200254</v>
      </c>
      <c r="F65" s="3"/>
      <c r="G65" s="28"/>
      <c r="H65" s="10"/>
      <c r="I65" s="10">
        <f t="shared" si="8"/>
        <v>29484</v>
      </c>
      <c r="J65" s="10">
        <f t="shared" si="6"/>
        <v>74019050095.053772</v>
      </c>
      <c r="K65" s="11">
        <f t="shared" si="7"/>
        <v>5.2600000000000424E-3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2497345.92</v>
      </c>
      <c r="D66" s="11">
        <v>4.1599999999999996E-3</v>
      </c>
      <c r="E66" s="10">
        <f t="shared" si="2"/>
        <v>10345.919999999925</v>
      </c>
      <c r="F66" s="24">
        <f>SUM(F2)</f>
        <v>3254988</v>
      </c>
      <c r="G66" s="28"/>
      <c r="H66" s="10"/>
      <c r="I66" s="10">
        <f t="shared" si="8"/>
        <v>29484</v>
      </c>
      <c r="J66" s="10">
        <f t="shared" ref="J66:J67" si="9">IF(I66="","",I66*C66)</f>
        <v>73631747105.279999</v>
      </c>
      <c r="K66" s="11">
        <f t="shared" ref="K66" si="10">IFERROR(J66/J67-1,"")</f>
        <v>4.1599999999999415E-3</v>
      </c>
    </row>
    <row r="67" spans="1:11" ht="22.5" customHeight="1">
      <c r="A67" s="3">
        <f t="shared" si="0"/>
        <v>1950</v>
      </c>
      <c r="B67" s="3">
        <v>1700</v>
      </c>
      <c r="C67" s="10">
        <v>2487000</v>
      </c>
      <c r="D67" s="11">
        <v>4.7099999999999998E-3</v>
      </c>
      <c r="E67" s="3" t="s">
        <v>72</v>
      </c>
      <c r="F67" s="10">
        <f>SUM(C2)</f>
        <v>3254667.8040576503</v>
      </c>
      <c r="G67" s="28"/>
      <c r="H67" s="10"/>
      <c r="I67" s="10">
        <f t="shared" ref="I67" si="11">IF(H67&lt;&gt;"",H67,I66/(1+IF(G66="",0,G66)/100))</f>
        <v>29484</v>
      </c>
      <c r="J67" s="10">
        <f t="shared" si="9"/>
        <v>73326708000</v>
      </c>
      <c r="K67" s="11"/>
    </row>
  </sheetData>
  <dataValidations count="1">
    <dataValidation type="custom" allowBlank="1" showDropDown="1" sqref="D2:D67" xr:uid="{00000000-0002-0000-3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336479087.15711862</v>
      </c>
      <c r="D2" s="11">
        <v>7.7799999999999996E-3</v>
      </c>
      <c r="E2" s="10">
        <f t="shared" ref="E2:E66" si="2">SUM(C2-C3)</f>
        <v>2597597.9857531786</v>
      </c>
      <c r="F2" s="15">
        <v>236475569</v>
      </c>
      <c r="G2" s="28"/>
      <c r="H2" s="10"/>
      <c r="I2" s="10">
        <f>IF(H2&lt;&gt;"",H2,3135)</f>
        <v>3135</v>
      </c>
      <c r="J2" s="10">
        <f t="shared" ref="J2:J33" si="3">IF(I2="","",I2*C2)</f>
        <v>1054861938237.5669</v>
      </c>
      <c r="K2" s="11">
        <f t="shared" ref="K2:K33" si="4">IFERROR(J2/J3-1,"")</f>
        <v>7.7799999999998981E-3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333881489.17136544</v>
      </c>
      <c r="D3" s="11">
        <v>8.0599999999999995E-3</v>
      </c>
      <c r="E3" s="10">
        <f t="shared" si="2"/>
        <v>2669568.083964467</v>
      </c>
      <c r="F3" s="3"/>
      <c r="G3" s="28"/>
      <c r="H3" s="10"/>
      <c r="I3" s="10">
        <f t="shared" ref="I3:I34" si="5">IF(H3&lt;&gt;"",H3,I2/(1+IF(G2="",0,G2)/100))</f>
        <v>3135</v>
      </c>
      <c r="J3" s="10">
        <f t="shared" si="3"/>
        <v>1046718468552.2307</v>
      </c>
      <c r="K3" s="11">
        <f t="shared" si="4"/>
        <v>8.0600000000001781E-3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331211921.08740097</v>
      </c>
      <c r="D4" s="11">
        <v>8.0700000000000008E-3</v>
      </c>
      <c r="E4" s="10">
        <f t="shared" si="2"/>
        <v>2651482.7374838591</v>
      </c>
      <c r="F4" s="3"/>
      <c r="G4" s="28"/>
      <c r="H4" s="10"/>
      <c r="I4" s="10">
        <f t="shared" si="5"/>
        <v>3135</v>
      </c>
      <c r="J4" s="10">
        <f t="shared" si="3"/>
        <v>1038349372609.0021</v>
      </c>
      <c r="K4" s="11">
        <f t="shared" si="4"/>
        <v>8.0700000000002436E-3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328560438.34991711</v>
      </c>
      <c r="D5" s="11">
        <v>8.1399999999999997E-3</v>
      </c>
      <c r="E5" s="10">
        <f t="shared" si="2"/>
        <v>2652887.4642096758</v>
      </c>
      <c r="F5" s="3"/>
      <c r="G5" s="28"/>
      <c r="H5" s="10"/>
      <c r="I5" s="10">
        <f t="shared" si="5"/>
        <v>3135</v>
      </c>
      <c r="J5" s="10">
        <f t="shared" si="3"/>
        <v>1030036974226.9901</v>
      </c>
      <c r="K5" s="11">
        <f t="shared" si="4"/>
        <v>8.1400000000000361E-3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325907550.88570744</v>
      </c>
      <c r="D6" s="11">
        <v>8.09E-3</v>
      </c>
      <c r="E6" s="10">
        <f t="shared" si="2"/>
        <v>2615433.2318199277</v>
      </c>
      <c r="F6" s="3"/>
      <c r="G6" s="28"/>
      <c r="H6" s="10"/>
      <c r="I6" s="10">
        <f t="shared" si="5"/>
        <v>3135</v>
      </c>
      <c r="J6" s="10">
        <f t="shared" si="3"/>
        <v>1021720172026.6929</v>
      </c>
      <c r="K6" s="11">
        <f t="shared" si="4"/>
        <v>8.0899999999999306E-3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323292117.65388751</v>
      </c>
      <c r="D7" s="11">
        <v>8.1899999999999994E-3</v>
      </c>
      <c r="E7" s="10">
        <f t="shared" si="2"/>
        <v>2626253.4280099273</v>
      </c>
      <c r="F7" s="3"/>
      <c r="G7" s="28"/>
      <c r="H7" s="10"/>
      <c r="I7" s="10">
        <f t="shared" si="5"/>
        <v>3135</v>
      </c>
      <c r="J7" s="10">
        <f t="shared" si="3"/>
        <v>1013520788844.9374</v>
      </c>
      <c r="K7" s="11">
        <f t="shared" si="4"/>
        <v>8.1899999999999196E-3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320665864.22587758</v>
      </c>
      <c r="D8" s="11">
        <v>8.6300000000000005E-3</v>
      </c>
      <c r="E8" s="10">
        <f t="shared" si="2"/>
        <v>2743668.5486940742</v>
      </c>
      <c r="F8" s="3"/>
      <c r="G8" s="28"/>
      <c r="H8" s="10"/>
      <c r="I8" s="10">
        <f t="shared" si="5"/>
        <v>3135</v>
      </c>
      <c r="J8" s="10">
        <f t="shared" si="3"/>
        <v>1005287484348.1262</v>
      </c>
      <c r="K8" s="11">
        <f t="shared" si="4"/>
        <v>8.6299999999999155E-3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317922195.67718351</v>
      </c>
      <c r="D9" s="11">
        <v>9.2800000000000001E-3</v>
      </c>
      <c r="E9" s="10">
        <f t="shared" si="2"/>
        <v>2923190.7655796409</v>
      </c>
      <c r="F9" s="3"/>
      <c r="G9" s="28"/>
      <c r="H9" s="10"/>
      <c r="I9" s="10">
        <f t="shared" si="5"/>
        <v>3135</v>
      </c>
      <c r="J9" s="10">
        <f t="shared" si="3"/>
        <v>996686083447.97034</v>
      </c>
      <c r="K9" s="11">
        <f t="shared" si="4"/>
        <v>9.279999999999955E-3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314999004.91160387</v>
      </c>
      <c r="D10" s="11">
        <v>9.8799999999999999E-3</v>
      </c>
      <c r="E10" s="10">
        <f t="shared" si="2"/>
        <v>3081742.5521117449</v>
      </c>
      <c r="F10" s="3"/>
      <c r="G10" s="28"/>
      <c r="H10" s="10"/>
      <c r="I10" s="10">
        <f t="shared" si="5"/>
        <v>3135</v>
      </c>
      <c r="J10" s="10">
        <f t="shared" si="3"/>
        <v>987521880397.87817</v>
      </c>
      <c r="K10" s="11">
        <f t="shared" si="4"/>
        <v>9.8799999999998889E-3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311917262.35949212</v>
      </c>
      <c r="D11" s="11">
        <v>1.0370000000000001E-2</v>
      </c>
      <c r="E11" s="10">
        <f t="shared" si="2"/>
        <v>3201383.66209203</v>
      </c>
      <c r="F11" s="3"/>
      <c r="G11" s="28"/>
      <c r="H11" s="10"/>
      <c r="I11" s="10">
        <f t="shared" si="5"/>
        <v>3135</v>
      </c>
      <c r="J11" s="10">
        <f t="shared" si="3"/>
        <v>977860617497.00781</v>
      </c>
      <c r="K11" s="11">
        <f t="shared" si="4"/>
        <v>1.036999999999999E-2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308715878.69740009</v>
      </c>
      <c r="D12" s="11">
        <v>1.0800000000000001E-2</v>
      </c>
      <c r="E12" s="10">
        <f t="shared" si="2"/>
        <v>3298507.6077679992</v>
      </c>
      <c r="F12" s="3"/>
      <c r="G12" s="28"/>
      <c r="H12" s="10"/>
      <c r="I12" s="10">
        <f t="shared" si="5"/>
        <v>3135</v>
      </c>
      <c r="J12" s="10">
        <f t="shared" si="3"/>
        <v>967824279716.34924</v>
      </c>
      <c r="K12" s="11">
        <f t="shared" si="4"/>
        <v>1.0799999999999921E-2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305417371.08963209</v>
      </c>
      <c r="D13" s="11">
        <v>1.112E-2</v>
      </c>
      <c r="E13" s="10">
        <f t="shared" si="2"/>
        <v>3358890.3063105345</v>
      </c>
      <c r="F13" s="3"/>
      <c r="G13" s="28"/>
      <c r="H13" s="10"/>
      <c r="I13" s="10">
        <f t="shared" si="5"/>
        <v>3135</v>
      </c>
      <c r="J13" s="10">
        <f t="shared" si="3"/>
        <v>957483458365.99658</v>
      </c>
      <c r="K13" s="11">
        <f t="shared" si="4"/>
        <v>1.1120000000000019E-2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302058480.78332156</v>
      </c>
      <c r="D14" s="11">
        <v>1.1480000000000001E-2</v>
      </c>
      <c r="E14" s="10">
        <f t="shared" si="2"/>
        <v>3428274.7650892735</v>
      </c>
      <c r="F14" s="3"/>
      <c r="G14" s="28"/>
      <c r="H14" s="10"/>
      <c r="I14" s="10">
        <f t="shared" si="5"/>
        <v>3135</v>
      </c>
      <c r="J14" s="10">
        <f t="shared" si="3"/>
        <v>946953337255.71313</v>
      </c>
      <c r="K14" s="11">
        <f t="shared" si="4"/>
        <v>1.1479999999999935E-2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298630206.01823229</v>
      </c>
      <c r="D15" s="11">
        <v>1.213E-2</v>
      </c>
      <c r="E15" s="10">
        <f t="shared" si="2"/>
        <v>3578971.4750092626</v>
      </c>
      <c r="F15" s="3"/>
      <c r="G15" s="28"/>
      <c r="H15" s="10"/>
      <c r="I15" s="10">
        <f t="shared" si="5"/>
        <v>3135</v>
      </c>
      <c r="J15" s="10">
        <f t="shared" si="3"/>
        <v>936205695867.1582</v>
      </c>
      <c r="K15" s="11">
        <f t="shared" si="4"/>
        <v>1.2129999999999974E-2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295051234.54322302</v>
      </c>
      <c r="D16" s="11">
        <v>1.2699999999999999E-2</v>
      </c>
      <c r="E16" s="10">
        <f t="shared" si="2"/>
        <v>3700158.6636703014</v>
      </c>
      <c r="F16" s="3"/>
      <c r="G16" s="28"/>
      <c r="H16" s="10"/>
      <c r="I16" s="10">
        <f t="shared" si="5"/>
        <v>3135</v>
      </c>
      <c r="J16" s="10">
        <f t="shared" si="3"/>
        <v>924985620293.00415</v>
      </c>
      <c r="K16" s="11">
        <f t="shared" si="4"/>
        <v>1.2699999999999934E-2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291351075.87955272</v>
      </c>
      <c r="D17" s="11">
        <v>1.337E-2</v>
      </c>
      <c r="E17" s="10">
        <f t="shared" si="2"/>
        <v>3843970.0055356622</v>
      </c>
      <c r="F17" s="3"/>
      <c r="G17" s="28"/>
      <c r="H17" s="10"/>
      <c r="I17" s="10">
        <f t="shared" si="5"/>
        <v>3135</v>
      </c>
      <c r="J17" s="10">
        <f t="shared" si="3"/>
        <v>913385622882.39783</v>
      </c>
      <c r="K17" s="11">
        <f t="shared" si="4"/>
        <v>1.3370000000000326E-2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287507105.87401706</v>
      </c>
      <c r="D18" s="11">
        <v>1.414E-2</v>
      </c>
      <c r="E18" s="10">
        <f t="shared" si="2"/>
        <v>4008667.9127719998</v>
      </c>
      <c r="F18" s="3"/>
      <c r="G18" s="28"/>
      <c r="H18" s="10"/>
      <c r="I18" s="10">
        <f t="shared" si="5"/>
        <v>3135</v>
      </c>
      <c r="J18" s="10">
        <f t="shared" si="3"/>
        <v>901334776915.04346</v>
      </c>
      <c r="K18" s="11">
        <f t="shared" si="4"/>
        <v>1.4139999999999819E-2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283498437.96124506</v>
      </c>
      <c r="D19" s="11">
        <v>1.4999999999999999E-2</v>
      </c>
      <c r="E19" s="10">
        <f t="shared" si="2"/>
        <v>4189632.0880972147</v>
      </c>
      <c r="F19" s="3"/>
      <c r="G19" s="28"/>
      <c r="H19" s="10"/>
      <c r="I19" s="10">
        <f t="shared" si="5"/>
        <v>3135</v>
      </c>
      <c r="J19" s="10">
        <f t="shared" si="3"/>
        <v>888767603008.5033</v>
      </c>
      <c r="K19" s="11">
        <f t="shared" si="4"/>
        <v>1.5000000000000124E-2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279308805.87314785</v>
      </c>
      <c r="D20" s="11">
        <v>1.4760000000000001E-2</v>
      </c>
      <c r="E20" s="10">
        <f t="shared" si="2"/>
        <v>4062633.5041661859</v>
      </c>
      <c r="F20" s="3"/>
      <c r="G20" s="28"/>
      <c r="H20" s="10"/>
      <c r="I20" s="10">
        <f t="shared" si="5"/>
        <v>3135</v>
      </c>
      <c r="J20" s="10">
        <f t="shared" si="3"/>
        <v>875633106412.31848</v>
      </c>
      <c r="K20" s="11">
        <f t="shared" si="4"/>
        <v>1.4760000000000106E-2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275246172.36898166</v>
      </c>
      <c r="D21" s="11">
        <v>1.4970000000000001E-2</v>
      </c>
      <c r="E21" s="10">
        <f t="shared" si="2"/>
        <v>4059662.0593354106</v>
      </c>
      <c r="F21" s="3"/>
      <c r="G21" s="28"/>
      <c r="H21" s="10"/>
      <c r="I21" s="10">
        <f t="shared" si="5"/>
        <v>3135</v>
      </c>
      <c r="J21" s="10">
        <f t="shared" si="3"/>
        <v>862896750376.75745</v>
      </c>
      <c r="K21" s="11">
        <f t="shared" si="4"/>
        <v>1.4969999999999928E-2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271186510.30964625</v>
      </c>
      <c r="D22" s="11">
        <v>1.5310000000000001E-2</v>
      </c>
      <c r="E22" s="10">
        <f t="shared" si="2"/>
        <v>4089258.9187939465</v>
      </c>
      <c r="F22" s="3"/>
      <c r="G22" s="28"/>
      <c r="H22" s="10"/>
      <c r="I22" s="10">
        <f t="shared" si="5"/>
        <v>3135</v>
      </c>
      <c r="J22" s="10">
        <f t="shared" si="3"/>
        <v>850169709820.74097</v>
      </c>
      <c r="K22" s="11">
        <f t="shared" si="4"/>
        <v>1.5309999999999935E-2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267097251.3908523</v>
      </c>
      <c r="D23" s="11">
        <v>1.5469999999999999E-2</v>
      </c>
      <c r="E23" s="10">
        <f t="shared" si="2"/>
        <v>4069046.332256496</v>
      </c>
      <c r="F23" s="3"/>
      <c r="G23" s="28"/>
      <c r="H23" s="10"/>
      <c r="I23" s="10">
        <f t="shared" si="5"/>
        <v>3135</v>
      </c>
      <c r="J23" s="10">
        <f t="shared" si="3"/>
        <v>837349883110.32202</v>
      </c>
      <c r="K23" s="11">
        <f t="shared" si="4"/>
        <v>1.5470000000000095E-2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263028205.05859581</v>
      </c>
      <c r="D24" s="11">
        <v>1.5800000000000002E-2</v>
      </c>
      <c r="E24" s="10">
        <f t="shared" si="2"/>
        <v>4091204.6071331203</v>
      </c>
      <c r="F24" s="3"/>
      <c r="G24" s="28"/>
      <c r="H24" s="10"/>
      <c r="I24" s="10">
        <f t="shared" si="5"/>
        <v>3135</v>
      </c>
      <c r="J24" s="10">
        <f t="shared" si="3"/>
        <v>824593422858.69788</v>
      </c>
      <c r="K24" s="11">
        <f t="shared" si="4"/>
        <v>1.5800000000000036E-2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258937000.45146269</v>
      </c>
      <c r="D25" s="11">
        <v>1.661E-2</v>
      </c>
      <c r="E25" s="10">
        <f t="shared" si="2"/>
        <v>4230672.1136904061</v>
      </c>
      <c r="F25" s="3"/>
      <c r="G25" s="28"/>
      <c r="H25" s="10"/>
      <c r="I25" s="10">
        <f t="shared" si="5"/>
        <v>3135</v>
      </c>
      <c r="J25" s="10">
        <f t="shared" si="3"/>
        <v>811767496415.33557</v>
      </c>
      <c r="K25" s="11">
        <f t="shared" si="4"/>
        <v>1.6610000000000014E-2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254706328.33777228</v>
      </c>
      <c r="D26" s="11">
        <v>1.6740000000000001E-2</v>
      </c>
      <c r="E26" s="10">
        <f t="shared" si="2"/>
        <v>4193583.3510772586</v>
      </c>
      <c r="F26" s="3"/>
      <c r="G26" s="28"/>
      <c r="H26" s="10"/>
      <c r="I26" s="10">
        <f t="shared" si="5"/>
        <v>3135</v>
      </c>
      <c r="J26" s="10">
        <f t="shared" si="3"/>
        <v>798504339338.91614</v>
      </c>
      <c r="K26" s="11">
        <f t="shared" si="4"/>
        <v>1.6739999999999977E-2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250512744.98669502</v>
      </c>
      <c r="D27" s="11">
        <v>1.7579999999999998E-2</v>
      </c>
      <c r="E27" s="10">
        <f t="shared" si="2"/>
        <v>4327929.0639223158</v>
      </c>
      <c r="F27" s="3"/>
      <c r="G27" s="28"/>
      <c r="H27" s="10"/>
      <c r="I27" s="10">
        <f t="shared" si="5"/>
        <v>3135</v>
      </c>
      <c r="J27" s="10">
        <f t="shared" si="3"/>
        <v>785357455533.28894</v>
      </c>
      <c r="K27" s="11">
        <f t="shared" si="4"/>
        <v>1.7579999999999929E-2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246184815.92277271</v>
      </c>
      <c r="D28" s="11">
        <v>1.814E-2</v>
      </c>
      <c r="E28" s="10">
        <f t="shared" si="2"/>
        <v>4386226.4136946797</v>
      </c>
      <c r="F28" s="3"/>
      <c r="G28" s="28"/>
      <c r="H28" s="10"/>
      <c r="I28" s="10">
        <f t="shared" si="5"/>
        <v>3135</v>
      </c>
      <c r="J28" s="10">
        <f t="shared" si="3"/>
        <v>771789397917.89246</v>
      </c>
      <c r="K28" s="11">
        <f t="shared" si="4"/>
        <v>1.8140000000000045E-2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241798589.50907803</v>
      </c>
      <c r="D29" s="11">
        <v>1.874E-2</v>
      </c>
      <c r="E29" s="10">
        <f t="shared" si="2"/>
        <v>4447950.966291815</v>
      </c>
      <c r="F29" s="3"/>
      <c r="G29" s="28"/>
      <c r="H29" s="10"/>
      <c r="I29" s="10">
        <f t="shared" si="5"/>
        <v>3135</v>
      </c>
      <c r="J29" s="10">
        <f t="shared" si="3"/>
        <v>758038578110.95959</v>
      </c>
      <c r="K29" s="11">
        <f t="shared" si="4"/>
        <v>1.8739999999999979E-2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237350638.54278621</v>
      </c>
      <c r="D30" s="11">
        <v>1.9470000000000001E-2</v>
      </c>
      <c r="E30" s="10">
        <f t="shared" si="2"/>
        <v>4532960.1973849833</v>
      </c>
      <c r="F30" s="3"/>
      <c r="G30" s="28"/>
      <c r="H30" s="10"/>
      <c r="I30" s="10">
        <f t="shared" si="5"/>
        <v>3135</v>
      </c>
      <c r="J30" s="10">
        <f t="shared" si="3"/>
        <v>744094251831.63477</v>
      </c>
      <c r="K30" s="11">
        <f t="shared" si="4"/>
        <v>1.9470000000000098E-2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232817678.34540123</v>
      </c>
      <c r="D31" s="11">
        <v>2.017E-2</v>
      </c>
      <c r="E31" s="10">
        <f t="shared" si="2"/>
        <v>4603088.2815871239</v>
      </c>
      <c r="F31" s="3"/>
      <c r="G31" s="28"/>
      <c r="H31" s="10"/>
      <c r="I31" s="10">
        <f t="shared" si="5"/>
        <v>3135</v>
      </c>
      <c r="J31" s="10">
        <f t="shared" si="3"/>
        <v>729883421612.83289</v>
      </c>
      <c r="K31" s="11">
        <f t="shared" si="4"/>
        <v>2.0170000000000021E-2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228214590.0638141</v>
      </c>
      <c r="D32" s="11">
        <v>2.1049999999999999E-2</v>
      </c>
      <c r="E32" s="10">
        <f t="shared" si="2"/>
        <v>4704879.4092779756</v>
      </c>
      <c r="F32" s="3"/>
      <c r="G32" s="28"/>
      <c r="H32" s="10"/>
      <c r="I32" s="10">
        <f t="shared" si="5"/>
        <v>3135</v>
      </c>
      <c r="J32" s="10">
        <f t="shared" si="3"/>
        <v>715452739850.05725</v>
      </c>
      <c r="K32" s="11">
        <f t="shared" si="4"/>
        <v>2.1050000000000013E-2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223509710.65453613</v>
      </c>
      <c r="D33" s="11">
        <v>2.1569999999999999E-2</v>
      </c>
      <c r="E33" s="10">
        <f t="shared" si="2"/>
        <v>4719308.9644550681</v>
      </c>
      <c r="F33" s="3"/>
      <c r="G33" s="28"/>
      <c r="H33" s="10"/>
      <c r="I33" s="10">
        <f t="shared" si="5"/>
        <v>3135</v>
      </c>
      <c r="J33" s="10">
        <f t="shared" si="3"/>
        <v>700702942901.9707</v>
      </c>
      <c r="K33" s="11">
        <f t="shared" si="4"/>
        <v>2.1569999999999867E-2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218790401.69008106</v>
      </c>
      <c r="D34" s="11">
        <v>2.2159999999999999E-2</v>
      </c>
      <c r="E34" s="10">
        <f t="shared" si="2"/>
        <v>4743284.1252369285</v>
      </c>
      <c r="F34" s="3"/>
      <c r="G34" s="28"/>
      <c r="H34" s="10"/>
      <c r="I34" s="10">
        <f t="shared" si="5"/>
        <v>3135</v>
      </c>
      <c r="J34" s="10">
        <f t="shared" ref="J34:J65" si="6">IF(I34="","",I34*C34)</f>
        <v>685907909298.40417</v>
      </c>
      <c r="K34" s="11">
        <f t="shared" ref="K34:K65" si="7">IFERROR(J34/J35-1,"")</f>
        <v>2.2159999999999958E-2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214047117.56484413</v>
      </c>
      <c r="D35" s="11">
        <v>2.2519999999999998E-2</v>
      </c>
      <c r="E35" s="10">
        <f t="shared" si="2"/>
        <v>4714177.80342713</v>
      </c>
      <c r="F35" s="3"/>
      <c r="G35" s="28"/>
      <c r="H35" s="10"/>
      <c r="I35" s="10">
        <f t="shared" ref="I35:I66" si="8">IF(H35&lt;&gt;"",H35,I34/(1+IF(G34="",0,G34)/100))</f>
        <v>3135</v>
      </c>
      <c r="J35" s="10">
        <f t="shared" si="6"/>
        <v>671037713565.78638</v>
      </c>
      <c r="K35" s="11">
        <f t="shared" si="7"/>
        <v>2.2520000000000095E-2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209332939.761417</v>
      </c>
      <c r="D36" s="11">
        <v>2.307E-2</v>
      </c>
      <c r="E36" s="10">
        <f t="shared" si="2"/>
        <v>4720411.0376571119</v>
      </c>
      <c r="F36" s="3"/>
      <c r="G36" s="28"/>
      <c r="H36" s="10"/>
      <c r="I36" s="10">
        <f t="shared" si="8"/>
        <v>3135</v>
      </c>
      <c r="J36" s="10">
        <f t="shared" si="6"/>
        <v>656258766152.04236</v>
      </c>
      <c r="K36" s="11">
        <f t="shared" si="7"/>
        <v>2.3069999999999924E-2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204612528.72375989</v>
      </c>
      <c r="D37" s="11">
        <v>2.351E-2</v>
      </c>
      <c r="E37" s="10">
        <f t="shared" si="2"/>
        <v>4699944.8469439149</v>
      </c>
      <c r="F37" s="3"/>
      <c r="G37" s="28"/>
      <c r="H37" s="10"/>
      <c r="I37" s="10">
        <f t="shared" si="8"/>
        <v>3135</v>
      </c>
      <c r="J37" s="10">
        <f t="shared" si="6"/>
        <v>641460277548.9873</v>
      </c>
      <c r="K37" s="11">
        <f t="shared" si="7"/>
        <v>2.350999999999992E-2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199912583.87681597</v>
      </c>
      <c r="D38" s="11">
        <v>2.3689999999999999E-2</v>
      </c>
      <c r="E38" s="10">
        <f t="shared" si="2"/>
        <v>4626331.3229998946</v>
      </c>
      <c r="F38" s="3"/>
      <c r="G38" s="28"/>
      <c r="H38" s="10"/>
      <c r="I38" s="10">
        <f t="shared" si="8"/>
        <v>3135</v>
      </c>
      <c r="J38" s="10">
        <f t="shared" si="6"/>
        <v>626725950453.81812</v>
      </c>
      <c r="K38" s="11">
        <f t="shared" si="7"/>
        <v>2.3689999999999989E-2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195286252.55381608</v>
      </c>
      <c r="D39" s="11">
        <v>2.384E-2</v>
      </c>
      <c r="E39" s="10">
        <f t="shared" si="2"/>
        <v>4547218.5701701343</v>
      </c>
      <c r="F39" s="3"/>
      <c r="G39" s="28"/>
      <c r="H39" s="10"/>
      <c r="I39" s="10">
        <f t="shared" si="8"/>
        <v>3135</v>
      </c>
      <c r="J39" s="10">
        <f t="shared" si="6"/>
        <v>612222401756.21338</v>
      </c>
      <c r="K39" s="11">
        <f t="shared" si="7"/>
        <v>2.3840000000000083E-2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190739033.98364595</v>
      </c>
      <c r="D40" s="11">
        <v>2.3879999999999998E-2</v>
      </c>
      <c r="E40" s="10">
        <f t="shared" si="2"/>
        <v>4448615.2005405426</v>
      </c>
      <c r="F40" s="3"/>
      <c r="G40" s="28"/>
      <c r="H40" s="10"/>
      <c r="I40" s="10">
        <f t="shared" si="8"/>
        <v>3135</v>
      </c>
      <c r="J40" s="10">
        <f t="shared" si="6"/>
        <v>597966871538.72998</v>
      </c>
      <c r="K40" s="11">
        <f t="shared" si="7"/>
        <v>2.3879999999999901E-2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186290418.7831054</v>
      </c>
      <c r="D41" s="11">
        <v>2.385E-2</v>
      </c>
      <c r="E41" s="10">
        <f t="shared" si="2"/>
        <v>4339528.7278185785</v>
      </c>
      <c r="F41" s="3"/>
      <c r="G41" s="28"/>
      <c r="H41" s="10"/>
      <c r="I41" s="10">
        <f t="shared" si="8"/>
        <v>3135</v>
      </c>
      <c r="J41" s="10">
        <f t="shared" si="6"/>
        <v>584020462885.0354</v>
      </c>
      <c r="K41" s="11">
        <f t="shared" si="7"/>
        <v>2.3849999999999927E-2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181950890.05528682</v>
      </c>
      <c r="D42" s="11">
        <v>2.3779999999999999E-2</v>
      </c>
      <c r="E42" s="10">
        <f t="shared" si="2"/>
        <v>4226290.9663352668</v>
      </c>
      <c r="F42" s="3"/>
      <c r="G42" s="28"/>
      <c r="H42" s="10"/>
      <c r="I42" s="10">
        <f t="shared" si="8"/>
        <v>3135</v>
      </c>
      <c r="J42" s="10">
        <f t="shared" si="6"/>
        <v>570416040323.32422</v>
      </c>
      <c r="K42" s="11">
        <f t="shared" si="7"/>
        <v>2.3779999999999912E-2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177724599.08895156</v>
      </c>
      <c r="D43" s="11">
        <v>2.3789999999999999E-2</v>
      </c>
      <c r="E43" s="10">
        <f t="shared" si="2"/>
        <v>4129819.7993007898</v>
      </c>
      <c r="F43" s="3"/>
      <c r="G43" s="28"/>
      <c r="H43" s="10"/>
      <c r="I43" s="10">
        <f t="shared" si="8"/>
        <v>3135</v>
      </c>
      <c r="J43" s="10">
        <f t="shared" si="6"/>
        <v>557166618143.86316</v>
      </c>
      <c r="K43" s="11">
        <f t="shared" si="7"/>
        <v>2.3789999999999978E-2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173594779.28965077</v>
      </c>
      <c r="D44" s="11">
        <v>2.4150000000000001E-2</v>
      </c>
      <c r="E44" s="10">
        <f t="shared" si="2"/>
        <v>4093456.9348679781</v>
      </c>
      <c r="F44" s="3"/>
      <c r="G44" s="28"/>
      <c r="H44" s="10"/>
      <c r="I44" s="10">
        <f t="shared" si="8"/>
        <v>3135</v>
      </c>
      <c r="J44" s="10">
        <f t="shared" si="6"/>
        <v>544219633073.05518</v>
      </c>
      <c r="K44" s="11">
        <f t="shared" si="7"/>
        <v>2.4149999999999894E-2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169501322.35478279</v>
      </c>
      <c r="D45" s="11">
        <v>2.4279999999999999E-2</v>
      </c>
      <c r="E45" s="10">
        <f t="shared" si="2"/>
        <v>4017936.6059809327</v>
      </c>
      <c r="F45" s="3"/>
      <c r="G45" s="28"/>
      <c r="H45" s="10"/>
      <c r="I45" s="10">
        <f t="shared" si="8"/>
        <v>3135</v>
      </c>
      <c r="J45" s="10">
        <f t="shared" si="6"/>
        <v>531386645582.24402</v>
      </c>
      <c r="K45" s="11">
        <f t="shared" si="7"/>
        <v>2.4280000000000079E-2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165483385.74880186</v>
      </c>
      <c r="D46" s="11">
        <v>2.4389999999999998E-2</v>
      </c>
      <c r="E46" s="10">
        <f t="shared" si="2"/>
        <v>3940042.1503658295</v>
      </c>
      <c r="F46" s="3"/>
      <c r="G46" s="28"/>
      <c r="H46" s="10"/>
      <c r="I46" s="10">
        <f t="shared" si="8"/>
        <v>3135</v>
      </c>
      <c r="J46" s="10">
        <f t="shared" si="6"/>
        <v>518790414322.49384</v>
      </c>
      <c r="K46" s="11">
        <f t="shared" si="7"/>
        <v>2.4389999999999912E-2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161543343.59843603</v>
      </c>
      <c r="D47" s="11">
        <v>2.4570000000000002E-2</v>
      </c>
      <c r="E47" s="10">
        <f t="shared" si="2"/>
        <v>3873937.3124467432</v>
      </c>
      <c r="F47" s="3"/>
      <c r="G47" s="28"/>
      <c r="H47" s="10"/>
      <c r="I47" s="10">
        <f t="shared" si="8"/>
        <v>3135</v>
      </c>
      <c r="J47" s="10">
        <f t="shared" si="6"/>
        <v>506438382181.09692</v>
      </c>
      <c r="K47" s="11">
        <f t="shared" si="7"/>
        <v>2.4569999999999759E-2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157669406.28598928</v>
      </c>
      <c r="D48" s="11">
        <v>2.4899999999999999E-2</v>
      </c>
      <c r="E48" s="10">
        <f t="shared" si="2"/>
        <v>3830586.6099337637</v>
      </c>
      <c r="F48" s="3"/>
      <c r="G48" s="28"/>
      <c r="H48" s="10"/>
      <c r="I48" s="10">
        <f t="shared" si="8"/>
        <v>3135</v>
      </c>
      <c r="J48" s="10">
        <f t="shared" si="6"/>
        <v>494293588706.57642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153838819.67605552</v>
      </c>
      <c r="D49" s="11">
        <v>2.5270000000000001E-2</v>
      </c>
      <c r="E49" s="10">
        <f t="shared" si="2"/>
        <v>3791690.9430822134</v>
      </c>
      <c r="F49" s="3"/>
      <c r="G49" s="28"/>
      <c r="H49" s="10"/>
      <c r="I49" s="10">
        <f t="shared" si="8"/>
        <v>3135</v>
      </c>
      <c r="J49" s="10">
        <f t="shared" si="6"/>
        <v>482284699684.43408</v>
      </c>
      <c r="K49" s="11">
        <f t="shared" si="7"/>
        <v>2.5269999999999904E-2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150047128.73297331</v>
      </c>
      <c r="D50" s="11">
        <v>2.598E-2</v>
      </c>
      <c r="E50" s="10">
        <f t="shared" si="2"/>
        <v>3799513.055305779</v>
      </c>
      <c r="F50" s="3"/>
      <c r="G50" s="28"/>
      <c r="H50" s="10"/>
      <c r="I50" s="10">
        <f t="shared" si="8"/>
        <v>3135</v>
      </c>
      <c r="J50" s="10">
        <f t="shared" si="6"/>
        <v>470397748577.87134</v>
      </c>
      <c r="K50" s="11">
        <f t="shared" si="7"/>
        <v>2.5979999999999892E-2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146247615.67766753</v>
      </c>
      <c r="D51" s="11">
        <v>2.6890000000000001E-2</v>
      </c>
      <c r="E51" s="10">
        <f t="shared" si="2"/>
        <v>3829619.9062922895</v>
      </c>
      <c r="F51" s="3"/>
      <c r="G51" s="28"/>
      <c r="H51" s="10"/>
      <c r="I51" s="10">
        <f t="shared" si="8"/>
        <v>3135</v>
      </c>
      <c r="J51" s="10">
        <f t="shared" si="6"/>
        <v>458486275149.48773</v>
      </c>
      <c r="K51" s="11">
        <f t="shared" si="7"/>
        <v>2.6890000000000081E-2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142417995.77137524</v>
      </c>
      <c r="D52" s="11">
        <v>2.777E-2</v>
      </c>
      <c r="E52" s="10">
        <f t="shared" si="2"/>
        <v>3848086.3836958706</v>
      </c>
      <c r="F52" s="3"/>
      <c r="G52" s="28"/>
      <c r="H52" s="10"/>
      <c r="I52" s="10">
        <f t="shared" si="8"/>
        <v>3135</v>
      </c>
      <c r="J52" s="10">
        <f t="shared" si="6"/>
        <v>446480416743.26135</v>
      </c>
      <c r="K52" s="11">
        <f t="shared" si="7"/>
        <v>2.7770000000000072E-2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138569909.38767937</v>
      </c>
      <c r="D53" s="11">
        <v>2.86E-2</v>
      </c>
      <c r="E53" s="10">
        <f t="shared" si="2"/>
        <v>3852906.2886327207</v>
      </c>
      <c r="F53" s="3"/>
      <c r="G53" s="28"/>
      <c r="H53" s="10"/>
      <c r="I53" s="10">
        <f t="shared" si="8"/>
        <v>3135</v>
      </c>
      <c r="J53" s="10">
        <f t="shared" si="6"/>
        <v>434416665930.37482</v>
      </c>
      <c r="K53" s="11">
        <f t="shared" si="7"/>
        <v>2.8599999999999959E-2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134717003.09904665</v>
      </c>
      <c r="D54" s="11">
        <v>2.929E-2</v>
      </c>
      <c r="E54" s="10">
        <f t="shared" si="2"/>
        <v>3833575.5916904658</v>
      </c>
      <c r="F54" s="3"/>
      <c r="G54" s="28"/>
      <c r="H54" s="10"/>
      <c r="I54" s="10">
        <f t="shared" si="8"/>
        <v>3135</v>
      </c>
      <c r="J54" s="10">
        <f t="shared" si="6"/>
        <v>422337804715.51123</v>
      </c>
      <c r="K54" s="11">
        <f t="shared" si="7"/>
        <v>2.9290000000000038E-2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130883427.50735618</v>
      </c>
      <c r="D55" s="11">
        <v>2.9659999999999999E-2</v>
      </c>
      <c r="E55" s="10">
        <f t="shared" si="2"/>
        <v>3770178.9521474987</v>
      </c>
      <c r="F55" s="3"/>
      <c r="G55" s="28"/>
      <c r="H55" s="10"/>
      <c r="I55" s="10">
        <f t="shared" si="8"/>
        <v>3135</v>
      </c>
      <c r="J55" s="10">
        <f t="shared" si="6"/>
        <v>410319545235.56165</v>
      </c>
      <c r="K55" s="11">
        <f t="shared" si="7"/>
        <v>2.966000000000002E-2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127113248.55520868</v>
      </c>
      <c r="D56" s="11">
        <v>3.0030000000000001E-2</v>
      </c>
      <c r="E56" s="10">
        <f t="shared" si="2"/>
        <v>3705922.0159732401</v>
      </c>
      <c r="F56" s="3"/>
      <c r="G56" s="28"/>
      <c r="H56" s="10"/>
      <c r="I56" s="10">
        <f t="shared" si="8"/>
        <v>3135</v>
      </c>
      <c r="J56" s="10">
        <f t="shared" si="6"/>
        <v>398500034220.57922</v>
      </c>
      <c r="K56" s="11">
        <f t="shared" si="7"/>
        <v>3.0030000000000001E-2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123407326.53923544</v>
      </c>
      <c r="D57" s="11">
        <v>3.032E-2</v>
      </c>
      <c r="E57" s="10">
        <f t="shared" si="2"/>
        <v>3631600.0278259218</v>
      </c>
      <c r="F57" s="3"/>
      <c r="G57" s="28"/>
      <c r="H57" s="10"/>
      <c r="I57" s="10">
        <f t="shared" si="8"/>
        <v>3135</v>
      </c>
      <c r="J57" s="10">
        <f t="shared" si="6"/>
        <v>386881968700.50311</v>
      </c>
      <c r="K57" s="11">
        <f t="shared" si="7"/>
        <v>3.0319999999999903E-2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119775726.51140952</v>
      </c>
      <c r="D58" s="11">
        <v>3.066E-2</v>
      </c>
      <c r="E58" s="10">
        <f t="shared" si="2"/>
        <v>3563079.7497135848</v>
      </c>
      <c r="F58" s="3"/>
      <c r="G58" s="28"/>
      <c r="H58" s="10"/>
      <c r="I58" s="10">
        <f t="shared" si="8"/>
        <v>3135</v>
      </c>
      <c r="J58" s="10">
        <f t="shared" si="6"/>
        <v>375496902613.26886</v>
      </c>
      <c r="K58" s="11">
        <f t="shared" si="7"/>
        <v>3.065999999999991E-2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116212646.76169594</v>
      </c>
      <c r="D59" s="11">
        <v>3.0720000000000001E-2</v>
      </c>
      <c r="E59" s="10">
        <f t="shared" si="2"/>
        <v>3463649.2049434483</v>
      </c>
      <c r="F59" s="3"/>
      <c r="G59" s="28"/>
      <c r="H59" s="10"/>
      <c r="I59" s="10">
        <f t="shared" si="8"/>
        <v>3135</v>
      </c>
      <c r="J59" s="10">
        <f t="shared" si="6"/>
        <v>364326647597.91675</v>
      </c>
      <c r="K59" s="11">
        <f t="shared" si="7"/>
        <v>3.0720000000000081E-2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112748997.55675249</v>
      </c>
      <c r="D60" s="11">
        <v>3.074E-2</v>
      </c>
      <c r="E60" s="10">
        <f t="shared" si="2"/>
        <v>3362539.7140836418</v>
      </c>
      <c r="F60" s="3"/>
      <c r="G60" s="28"/>
      <c r="H60" s="10"/>
      <c r="I60" s="10">
        <f t="shared" si="8"/>
        <v>3135</v>
      </c>
      <c r="J60" s="10">
        <f t="shared" si="6"/>
        <v>353468107340.41907</v>
      </c>
      <c r="K60" s="11">
        <f t="shared" si="7"/>
        <v>3.073999999999999E-2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109386457.84266885</v>
      </c>
      <c r="D61" s="11">
        <v>3.0700000000000002E-2</v>
      </c>
      <c r="E61" s="10">
        <f t="shared" si="2"/>
        <v>3258139.3768991232</v>
      </c>
      <c r="F61" s="3"/>
      <c r="G61" s="28"/>
      <c r="H61" s="10"/>
      <c r="I61" s="10">
        <f t="shared" si="8"/>
        <v>3135</v>
      </c>
      <c r="J61" s="10">
        <f t="shared" si="6"/>
        <v>342926545336.76685</v>
      </c>
      <c r="K61" s="11">
        <f t="shared" si="7"/>
        <v>3.069999999999995E-2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106128318.46576972</v>
      </c>
      <c r="D62" s="11">
        <v>3.0589999999999999E-2</v>
      </c>
      <c r="E62" s="10">
        <f t="shared" si="2"/>
        <v>3150103.592959255</v>
      </c>
      <c r="F62" s="3"/>
      <c r="G62" s="28"/>
      <c r="H62" s="10"/>
      <c r="I62" s="10">
        <f t="shared" si="8"/>
        <v>3135</v>
      </c>
      <c r="J62" s="10">
        <f t="shared" si="6"/>
        <v>332712278390.18811</v>
      </c>
      <c r="K62" s="11">
        <f t="shared" si="7"/>
        <v>3.0589999999999895E-2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102978214.87281047</v>
      </c>
      <c r="D63" s="11">
        <v>3.0429999999999999E-2</v>
      </c>
      <c r="E63" s="10">
        <f t="shared" si="2"/>
        <v>3041086.807041347</v>
      </c>
      <c r="F63" s="3"/>
      <c r="G63" s="28"/>
      <c r="H63" s="10"/>
      <c r="I63" s="10">
        <f t="shared" si="8"/>
        <v>3135</v>
      </c>
      <c r="J63" s="10">
        <f t="shared" si="6"/>
        <v>322836703626.2608</v>
      </c>
      <c r="K63" s="11">
        <f t="shared" si="7"/>
        <v>3.0429999999999735E-2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99937128.065769121</v>
      </c>
      <c r="D64" s="11">
        <v>3.0290000000000001E-2</v>
      </c>
      <c r="E64" s="10">
        <f t="shared" si="2"/>
        <v>2938100.5436451286</v>
      </c>
      <c r="F64" s="3"/>
      <c r="G64" s="28"/>
      <c r="H64" s="10"/>
      <c r="I64" s="10">
        <f t="shared" si="8"/>
        <v>3135</v>
      </c>
      <c r="J64" s="10">
        <f t="shared" si="6"/>
        <v>313302896486.18622</v>
      </c>
      <c r="K64" s="11">
        <f t="shared" si="7"/>
        <v>3.029000000000015E-2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96999027.522123992</v>
      </c>
      <c r="D65" s="11">
        <v>3.0120000000000001E-2</v>
      </c>
      <c r="E65" s="10">
        <f t="shared" si="2"/>
        <v>2836184.8221239895</v>
      </c>
      <c r="F65" s="3"/>
      <c r="G65" s="28"/>
      <c r="H65" s="10"/>
      <c r="I65" s="10">
        <f t="shared" si="8"/>
        <v>3135</v>
      </c>
      <c r="J65" s="10">
        <f t="shared" si="6"/>
        <v>304091951281.8587</v>
      </c>
      <c r="K65" s="11">
        <f t="shared" si="7"/>
        <v>3.0119999999999925E-2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94162842.700000003</v>
      </c>
      <c r="D66" s="11">
        <v>2.989E-2</v>
      </c>
      <c r="E66" s="10">
        <f t="shared" si="2"/>
        <v>2732842.700000003</v>
      </c>
      <c r="F66" s="24">
        <f>SUM(F2)</f>
        <v>236475569</v>
      </c>
      <c r="G66" s="28"/>
      <c r="H66" s="10"/>
      <c r="I66" s="10">
        <f t="shared" si="8"/>
        <v>3135</v>
      </c>
      <c r="J66" s="10">
        <f t="shared" ref="J66:J67" si="9">IF(I66="","",I66*C66)</f>
        <v>295200511864.5</v>
      </c>
      <c r="K66" s="11">
        <f t="shared" ref="K66" si="10">IFERROR(J66/J67-1,"")</f>
        <v>2.9889999999999972E-2</v>
      </c>
    </row>
    <row r="67" spans="1:11" ht="22.5" customHeight="1">
      <c r="A67" s="3">
        <f t="shared" si="0"/>
        <v>1950</v>
      </c>
      <c r="B67" s="3">
        <v>1700</v>
      </c>
      <c r="C67" s="10">
        <v>91430000</v>
      </c>
      <c r="D67" s="11">
        <v>2.9520000000000001E-2</v>
      </c>
      <c r="E67" s="3" t="s">
        <v>72</v>
      </c>
      <c r="F67" s="10">
        <f>SUM(C2)</f>
        <v>336479087.15711862</v>
      </c>
      <c r="G67" s="28"/>
      <c r="H67" s="10"/>
      <c r="I67" s="10">
        <f t="shared" ref="I67" si="11">IF(H67&lt;&gt;"",H67,I66/(1+IF(G66="",0,G66)/100))</f>
        <v>3135</v>
      </c>
      <c r="J67" s="10">
        <f t="shared" si="9"/>
        <v>286633050000</v>
      </c>
      <c r="K67" s="11"/>
    </row>
  </sheetData>
  <dataValidations count="1">
    <dataValidation type="custom" allowBlank="1" showDropDown="1" sqref="D2:D67" xr:uid="{00000000-0002-0000-4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2051787.1050554302</v>
      </c>
      <c r="D2" s="11">
        <v>7.6899999999999998E-3</v>
      </c>
      <c r="E2" s="10">
        <f t="shared" ref="E2:E66" si="2">SUM(C2-C3)</f>
        <v>15657.834093695739</v>
      </c>
      <c r="F2" s="15">
        <v>2051970</v>
      </c>
      <c r="G2" s="28"/>
      <c r="H2" s="10"/>
      <c r="I2" s="10">
        <f>IF(H2&lt;&gt;"",H2,13056)</f>
        <v>13056</v>
      </c>
      <c r="J2" s="10">
        <f t="shared" ref="J2:J33" si="3">IF(I2="","",I2*C2)</f>
        <v>26788132443.603695</v>
      </c>
      <c r="K2" s="11">
        <f t="shared" ref="K2:K33" si="4">IFERROR(J2/J3-1,"")</f>
        <v>7.6899999999999746E-3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2036129.2709617345</v>
      </c>
      <c r="D3" s="11">
        <v>7.9600000000000001E-3</v>
      </c>
      <c r="E3" s="10">
        <f t="shared" si="2"/>
        <v>16079.595417333301</v>
      </c>
      <c r="F3" s="3"/>
      <c r="G3" s="28"/>
      <c r="H3" s="10"/>
      <c r="I3" s="10">
        <f t="shared" ref="I3:I34" si="5">IF(H3&lt;&gt;"",H3,I2/(1+IF(G2="",0,G2)/100))</f>
        <v>13056</v>
      </c>
      <c r="J3" s="10">
        <f t="shared" si="3"/>
        <v>26583703761.676407</v>
      </c>
      <c r="K3" s="11">
        <f t="shared" si="4"/>
        <v>7.9599999999999671E-3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2020049.6755444012</v>
      </c>
      <c r="D4" s="11">
        <v>7.8700000000000003E-3</v>
      </c>
      <c r="E4" s="10">
        <f t="shared" si="2"/>
        <v>15773.652302910574</v>
      </c>
      <c r="F4" s="3"/>
      <c r="G4" s="28"/>
      <c r="H4" s="10"/>
      <c r="I4" s="10">
        <f t="shared" si="5"/>
        <v>13056</v>
      </c>
      <c r="J4" s="10">
        <f t="shared" si="3"/>
        <v>26373768563.907703</v>
      </c>
      <c r="K4" s="11">
        <f t="shared" si="4"/>
        <v>7.8700000000000436E-3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2004276.0232414906</v>
      </c>
      <c r="D5" s="11">
        <v>7.6699999999999997E-3</v>
      </c>
      <c r="E5" s="10">
        <f t="shared" si="2"/>
        <v>15255.785225582076</v>
      </c>
      <c r="F5" s="3"/>
      <c r="G5" s="28"/>
      <c r="H5" s="10"/>
      <c r="I5" s="10">
        <f t="shared" si="5"/>
        <v>13056</v>
      </c>
      <c r="J5" s="10">
        <f t="shared" si="3"/>
        <v>26167827759.440903</v>
      </c>
      <c r="K5" s="11">
        <f t="shared" si="4"/>
        <v>7.6700000000000657E-3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1989020.2380159085</v>
      </c>
      <c r="D6" s="11">
        <v>7.7600000000000004E-3</v>
      </c>
      <c r="E6" s="10">
        <f t="shared" si="2"/>
        <v>15315.94531138707</v>
      </c>
      <c r="F6" s="3"/>
      <c r="G6" s="28"/>
      <c r="H6" s="10"/>
      <c r="I6" s="10">
        <f t="shared" si="5"/>
        <v>13056</v>
      </c>
      <c r="J6" s="10">
        <f t="shared" si="3"/>
        <v>25968648227.535702</v>
      </c>
      <c r="K6" s="11">
        <f t="shared" si="4"/>
        <v>7.7599999999999891E-3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1973704.2927045214</v>
      </c>
      <c r="D7" s="11">
        <v>9.4999999999999998E-3</v>
      </c>
      <c r="E7" s="10">
        <f t="shared" si="2"/>
        <v>18573.740248333896</v>
      </c>
      <c r="F7" s="3"/>
      <c r="G7" s="28"/>
      <c r="H7" s="10"/>
      <c r="I7" s="10">
        <f t="shared" si="5"/>
        <v>13056</v>
      </c>
      <c r="J7" s="10">
        <f t="shared" si="3"/>
        <v>25768683245.550232</v>
      </c>
      <c r="K7" s="11">
        <f t="shared" si="4"/>
        <v>9.5000000000000639E-3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1955130.5524561875</v>
      </c>
      <c r="D8" s="11">
        <v>1.2370000000000001E-2</v>
      </c>
      <c r="E8" s="10">
        <f t="shared" si="2"/>
        <v>23889.452407601057</v>
      </c>
      <c r="F8" s="3"/>
      <c r="G8" s="28"/>
      <c r="H8" s="10"/>
      <c r="I8" s="10">
        <f t="shared" si="5"/>
        <v>13056</v>
      </c>
      <c r="J8" s="10">
        <f t="shared" si="3"/>
        <v>25526184492.867985</v>
      </c>
      <c r="K8" s="11">
        <f t="shared" si="4"/>
        <v>1.2369999999999992E-2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1931241.1000485865</v>
      </c>
      <c r="D9" s="11">
        <v>1.244E-2</v>
      </c>
      <c r="E9" s="10">
        <f t="shared" si="2"/>
        <v>23729.444988942007</v>
      </c>
      <c r="F9" s="3"/>
      <c r="G9" s="28"/>
      <c r="H9" s="10"/>
      <c r="I9" s="10">
        <f t="shared" si="5"/>
        <v>13056</v>
      </c>
      <c r="J9" s="10">
        <f t="shared" si="3"/>
        <v>25214283802.234344</v>
      </c>
      <c r="K9" s="11">
        <f t="shared" si="4"/>
        <v>1.2440000000000007E-2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1907511.6550596445</v>
      </c>
      <c r="D10" s="11">
        <v>1.261E-2</v>
      </c>
      <c r="E10" s="10">
        <f t="shared" si="2"/>
        <v>23754.181738578714</v>
      </c>
      <c r="F10" s="3"/>
      <c r="G10" s="28"/>
      <c r="H10" s="10"/>
      <c r="I10" s="10">
        <f t="shared" si="5"/>
        <v>13056</v>
      </c>
      <c r="J10" s="10">
        <f t="shared" si="3"/>
        <v>24904472168.458717</v>
      </c>
      <c r="K10" s="11">
        <f t="shared" si="4"/>
        <v>1.261000000000001E-2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1883757.4733210658</v>
      </c>
      <c r="D11" s="11">
        <v>1.2279999999999999E-2</v>
      </c>
      <c r="E11" s="10">
        <f t="shared" si="2"/>
        <v>22851.920192419784</v>
      </c>
      <c r="F11" s="3"/>
      <c r="G11" s="28"/>
      <c r="H11" s="10"/>
      <c r="I11" s="10">
        <f t="shared" si="5"/>
        <v>13056</v>
      </c>
      <c r="J11" s="10">
        <f t="shared" si="3"/>
        <v>24594337571.679836</v>
      </c>
      <c r="K11" s="11">
        <f t="shared" si="4"/>
        <v>1.2280000000000069E-2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1860905.553128646</v>
      </c>
      <c r="D12" s="11">
        <v>1.225E-2</v>
      </c>
      <c r="E12" s="10">
        <f t="shared" si="2"/>
        <v>22520.220326822484</v>
      </c>
      <c r="F12" s="3"/>
      <c r="G12" s="28"/>
      <c r="H12" s="10"/>
      <c r="I12" s="10">
        <f t="shared" si="5"/>
        <v>13056</v>
      </c>
      <c r="J12" s="10">
        <f t="shared" si="3"/>
        <v>24295982901.647602</v>
      </c>
      <c r="K12" s="11">
        <f t="shared" si="4"/>
        <v>1.2250000000000094E-2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1838385.3328018235</v>
      </c>
      <c r="D13" s="11">
        <v>9.4500000000000001E-3</v>
      </c>
      <c r="E13" s="10">
        <f t="shared" si="2"/>
        <v>17210.105894276174</v>
      </c>
      <c r="F13" s="3"/>
      <c r="G13" s="28"/>
      <c r="H13" s="10"/>
      <c r="I13" s="10">
        <f t="shared" si="5"/>
        <v>13056</v>
      </c>
      <c r="J13" s="10">
        <f t="shared" si="3"/>
        <v>24001958905.060608</v>
      </c>
      <c r="K13" s="11">
        <f t="shared" si="4"/>
        <v>9.4499999999999584E-3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1821175.2269075473</v>
      </c>
      <c r="D14" s="11">
        <v>1.001E-2</v>
      </c>
      <c r="E14" s="10">
        <f t="shared" si="2"/>
        <v>18049.290622216184</v>
      </c>
      <c r="F14" s="3"/>
      <c r="G14" s="28"/>
      <c r="H14" s="10"/>
      <c r="I14" s="10">
        <f t="shared" si="5"/>
        <v>13056</v>
      </c>
      <c r="J14" s="10">
        <f t="shared" si="3"/>
        <v>23777263762.504936</v>
      </c>
      <c r="K14" s="11">
        <f t="shared" si="4"/>
        <v>1.0009999999999852E-2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1803125.9362853311</v>
      </c>
      <c r="D15" s="11">
        <v>1.0279999999999999E-2</v>
      </c>
      <c r="E15" s="10">
        <f t="shared" si="2"/>
        <v>18347.522097847424</v>
      </c>
      <c r="F15" s="3"/>
      <c r="G15" s="28"/>
      <c r="H15" s="10"/>
      <c r="I15" s="10">
        <f t="shared" si="5"/>
        <v>13056</v>
      </c>
      <c r="J15" s="10">
        <f t="shared" si="3"/>
        <v>23541612224.141285</v>
      </c>
      <c r="K15" s="11">
        <f t="shared" si="4"/>
        <v>1.0280000000000067E-2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1784778.4141874837</v>
      </c>
      <c r="D16" s="11">
        <v>1.338E-2</v>
      </c>
      <c r="E16" s="10">
        <f t="shared" si="2"/>
        <v>23565.035013349727</v>
      </c>
      <c r="F16" s="3"/>
      <c r="G16" s="28"/>
      <c r="H16" s="10"/>
      <c r="I16" s="10">
        <f t="shared" si="5"/>
        <v>13056</v>
      </c>
      <c r="J16" s="10">
        <f t="shared" si="3"/>
        <v>23302066975.631786</v>
      </c>
      <c r="K16" s="11">
        <f t="shared" si="4"/>
        <v>1.3379999999999725E-2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1761213.379174134</v>
      </c>
      <c r="D17" s="11">
        <v>2.1170000000000001E-2</v>
      </c>
      <c r="E17" s="10">
        <f t="shared" si="2"/>
        <v>36511.92968567065</v>
      </c>
      <c r="F17" s="3"/>
      <c r="G17" s="28"/>
      <c r="H17" s="10"/>
      <c r="I17" s="10">
        <f t="shared" si="5"/>
        <v>13056</v>
      </c>
      <c r="J17" s="10">
        <f t="shared" si="3"/>
        <v>22994401878.497494</v>
      </c>
      <c r="K17" s="11">
        <f t="shared" si="4"/>
        <v>2.1169999999999911E-2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1724701.4494884633</v>
      </c>
      <c r="D18" s="11">
        <v>3.124E-2</v>
      </c>
      <c r="E18" s="10">
        <f t="shared" si="2"/>
        <v>52247.46255189809</v>
      </c>
      <c r="F18" s="3"/>
      <c r="G18" s="28"/>
      <c r="H18" s="10"/>
      <c r="I18" s="10">
        <f t="shared" si="5"/>
        <v>13056</v>
      </c>
      <c r="J18" s="10">
        <f t="shared" si="3"/>
        <v>22517702124.521378</v>
      </c>
      <c r="K18" s="11">
        <f t="shared" si="4"/>
        <v>3.1239999999999934E-2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1672453.9869365653</v>
      </c>
      <c r="D19" s="11">
        <v>3.209E-2</v>
      </c>
      <c r="E19" s="10">
        <f t="shared" si="2"/>
        <v>52000.356985141058</v>
      </c>
      <c r="F19" s="3"/>
      <c r="G19" s="28"/>
      <c r="H19" s="10"/>
      <c r="I19" s="10">
        <f t="shared" si="5"/>
        <v>13056</v>
      </c>
      <c r="J19" s="10">
        <f t="shared" si="3"/>
        <v>21835559253.443794</v>
      </c>
      <c r="K19" s="11">
        <f t="shared" si="4"/>
        <v>3.2089999999999952E-2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1620453.6299514242</v>
      </c>
      <c r="D20" s="11">
        <v>3.2710000000000003E-2</v>
      </c>
      <c r="E20" s="10">
        <f t="shared" si="2"/>
        <v>51326.159556614235</v>
      </c>
      <c r="F20" s="3"/>
      <c r="G20" s="28"/>
      <c r="H20" s="10"/>
      <c r="I20" s="10">
        <f t="shared" si="5"/>
        <v>13056</v>
      </c>
      <c r="J20" s="10">
        <f t="shared" si="3"/>
        <v>21156642592.645794</v>
      </c>
      <c r="K20" s="11">
        <f t="shared" si="4"/>
        <v>3.2710000000000017E-2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1569127.47039481</v>
      </c>
      <c r="D21" s="11">
        <v>3.3079999999999998E-2</v>
      </c>
      <c r="E21" s="10">
        <f t="shared" si="2"/>
        <v>50244.643900434021</v>
      </c>
      <c r="F21" s="3"/>
      <c r="G21" s="28"/>
      <c r="H21" s="10"/>
      <c r="I21" s="10">
        <f t="shared" si="5"/>
        <v>13056</v>
      </c>
      <c r="J21" s="10">
        <f t="shared" si="3"/>
        <v>20486528253.47464</v>
      </c>
      <c r="K21" s="11">
        <f t="shared" si="4"/>
        <v>3.308000000000022E-2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1518882.8264943759</v>
      </c>
      <c r="D22" s="11">
        <v>3.3349999999999998E-2</v>
      </c>
      <c r="E22" s="10">
        <f t="shared" si="2"/>
        <v>49019.927675605984</v>
      </c>
      <c r="F22" s="3"/>
      <c r="G22" s="28"/>
      <c r="H22" s="10"/>
      <c r="I22" s="10">
        <f t="shared" si="5"/>
        <v>13056</v>
      </c>
      <c r="J22" s="10">
        <f t="shared" si="3"/>
        <v>19830534182.710571</v>
      </c>
      <c r="K22" s="11">
        <f t="shared" si="4"/>
        <v>3.3349999999999991E-2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1469862.89881877</v>
      </c>
      <c r="D23" s="11">
        <v>3.2509999999999997E-2</v>
      </c>
      <c r="E23" s="10">
        <f t="shared" si="2"/>
        <v>46280.658628582954</v>
      </c>
      <c r="F23" s="3"/>
      <c r="G23" s="28"/>
      <c r="H23" s="10"/>
      <c r="I23" s="10">
        <f t="shared" si="5"/>
        <v>13056</v>
      </c>
      <c r="J23" s="10">
        <f t="shared" si="3"/>
        <v>19190530006.977859</v>
      </c>
      <c r="K23" s="11">
        <f t="shared" si="4"/>
        <v>3.2510000000000039E-2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1423582.240190187</v>
      </c>
      <c r="D24" s="11">
        <v>3.356E-2</v>
      </c>
      <c r="E24" s="10">
        <f t="shared" si="2"/>
        <v>46224.137912441278</v>
      </c>
      <c r="F24" s="3"/>
      <c r="G24" s="28"/>
      <c r="H24" s="10"/>
      <c r="I24" s="10">
        <f t="shared" si="5"/>
        <v>13056</v>
      </c>
      <c r="J24" s="10">
        <f t="shared" si="3"/>
        <v>18586289727.92308</v>
      </c>
      <c r="K24" s="11">
        <f t="shared" si="4"/>
        <v>3.3560000000000034E-2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1377358.1022777457</v>
      </c>
      <c r="D25" s="11">
        <v>2.92E-2</v>
      </c>
      <c r="E25" s="10">
        <f t="shared" si="2"/>
        <v>39077.785257005366</v>
      </c>
      <c r="F25" s="3"/>
      <c r="G25" s="28"/>
      <c r="H25" s="10"/>
      <c r="I25" s="10">
        <f t="shared" si="5"/>
        <v>13056</v>
      </c>
      <c r="J25" s="10">
        <f t="shared" si="3"/>
        <v>17982787383.338249</v>
      </c>
      <c r="K25" s="11">
        <f t="shared" si="4"/>
        <v>2.9199999999999893E-2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1338280.3170207404</v>
      </c>
      <c r="D26" s="11">
        <v>3.9829999999999997E-2</v>
      </c>
      <c r="E26" s="10">
        <f t="shared" si="2"/>
        <v>51261.941881784704</v>
      </c>
      <c r="F26" s="3"/>
      <c r="G26" s="28"/>
      <c r="H26" s="10"/>
      <c r="I26" s="10">
        <f t="shared" si="5"/>
        <v>13056</v>
      </c>
      <c r="J26" s="10">
        <f t="shared" si="3"/>
        <v>17472587819.022785</v>
      </c>
      <c r="K26" s="11">
        <f t="shared" si="4"/>
        <v>3.9830000000000032E-2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1287018.3751389557</v>
      </c>
      <c r="D27" s="11">
        <v>2.4369999999999999E-2</v>
      </c>
      <c r="E27" s="10">
        <f t="shared" si="2"/>
        <v>30618.465790814254</v>
      </c>
      <c r="F27" s="3"/>
      <c r="G27" s="28"/>
      <c r="H27" s="10"/>
      <c r="I27" s="10">
        <f t="shared" si="5"/>
        <v>13056</v>
      </c>
      <c r="J27" s="10">
        <f t="shared" si="3"/>
        <v>16803311905.814205</v>
      </c>
      <c r="K27" s="11">
        <f t="shared" si="4"/>
        <v>2.4370000000000003E-2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1256399.9093481414</v>
      </c>
      <c r="D28" s="11">
        <v>8.1399999999999997E-3</v>
      </c>
      <c r="E28" s="10">
        <f t="shared" si="2"/>
        <v>10144.518878423609</v>
      </c>
      <c r="F28" s="3"/>
      <c r="G28" s="28"/>
      <c r="H28" s="10"/>
      <c r="I28" s="10">
        <f t="shared" si="5"/>
        <v>13056</v>
      </c>
      <c r="J28" s="10">
        <f t="shared" si="3"/>
        <v>16403557216.449333</v>
      </c>
      <c r="K28" s="11">
        <f t="shared" si="4"/>
        <v>8.1400000000000361E-3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1246255.3904697178</v>
      </c>
      <c r="D29" s="11">
        <v>-2.2599999999999999E-3</v>
      </c>
      <c r="E29" s="10">
        <f t="shared" si="2"/>
        <v>-2822.9169748246204</v>
      </c>
      <c r="F29" s="3"/>
      <c r="G29" s="28"/>
      <c r="H29" s="10"/>
      <c r="I29" s="10">
        <f t="shared" si="5"/>
        <v>13056</v>
      </c>
      <c r="J29" s="10">
        <f t="shared" si="3"/>
        <v>16271110377.972635</v>
      </c>
      <c r="K29" s="11">
        <f t="shared" si="4"/>
        <v>-2.2599999999999287E-3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1249078.3074445424</v>
      </c>
      <c r="D30" s="11">
        <v>-4.1999999999999997E-3</v>
      </c>
      <c r="E30" s="10">
        <f t="shared" si="2"/>
        <v>-5268.2555646386463</v>
      </c>
      <c r="F30" s="3"/>
      <c r="G30" s="28"/>
      <c r="H30" s="10"/>
      <c r="I30" s="10">
        <f t="shared" si="5"/>
        <v>13056</v>
      </c>
      <c r="J30" s="10">
        <f t="shared" si="3"/>
        <v>16307966381.995945</v>
      </c>
      <c r="K30" s="11">
        <f t="shared" si="4"/>
        <v>-4.2000000000000925E-3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1254346.5630091811</v>
      </c>
      <c r="D31" s="11">
        <v>-2.5300000000000001E-3</v>
      </c>
      <c r="E31" s="10">
        <f t="shared" si="2"/>
        <v>-3181.5461160868872</v>
      </c>
      <c r="F31" s="3"/>
      <c r="G31" s="28"/>
      <c r="H31" s="10"/>
      <c r="I31" s="10">
        <f t="shared" si="5"/>
        <v>13056</v>
      </c>
      <c r="J31" s="10">
        <f t="shared" si="3"/>
        <v>16376748726.647867</v>
      </c>
      <c r="K31" s="11">
        <f t="shared" si="4"/>
        <v>-2.5300000000000322E-3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1257528.1091252679</v>
      </c>
      <c r="D32" s="11">
        <v>1.2700000000000001E-3</v>
      </c>
      <c r="E32" s="10">
        <f t="shared" si="2"/>
        <v>1595.0350041340571</v>
      </c>
      <c r="F32" s="3"/>
      <c r="G32" s="28"/>
      <c r="H32" s="10"/>
      <c r="I32" s="10">
        <f t="shared" si="5"/>
        <v>13056</v>
      </c>
      <c r="J32" s="10">
        <f t="shared" si="3"/>
        <v>16418286992.739498</v>
      </c>
      <c r="K32" s="11">
        <f t="shared" si="4"/>
        <v>1.2700000000001044E-3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1255933.0741211339</v>
      </c>
      <c r="D33" s="11">
        <v>4.7699999999999999E-3</v>
      </c>
      <c r="E33" s="10">
        <f t="shared" si="2"/>
        <v>5962.360304903239</v>
      </c>
      <c r="F33" s="3"/>
      <c r="G33" s="28"/>
      <c r="H33" s="10"/>
      <c r="I33" s="10">
        <f t="shared" si="5"/>
        <v>13056</v>
      </c>
      <c r="J33" s="10">
        <f t="shared" si="3"/>
        <v>16397462215.725525</v>
      </c>
      <c r="K33" s="11">
        <f t="shared" si="4"/>
        <v>4.769999999999941E-3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1249970.7138162307</v>
      </c>
      <c r="D34" s="11">
        <v>7.0200000000000002E-3</v>
      </c>
      <c r="E34" s="10">
        <f t="shared" si="2"/>
        <v>8713.6247651386075</v>
      </c>
      <c r="F34" s="3"/>
      <c r="G34" s="28"/>
      <c r="H34" s="10"/>
      <c r="I34" s="10">
        <f t="shared" si="5"/>
        <v>13056</v>
      </c>
      <c r="J34" s="10">
        <f t="shared" ref="J34:J65" si="6">IF(I34="","",I34*C34)</f>
        <v>16319617639.584707</v>
      </c>
      <c r="K34" s="11">
        <f t="shared" ref="K34:K65" si="7">IFERROR(J34/J35-1,"")</f>
        <v>7.0200000000000262E-3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1241257.089051092</v>
      </c>
      <c r="D35" s="11">
        <v>7.1199999999999996E-3</v>
      </c>
      <c r="E35" s="10">
        <f t="shared" si="2"/>
        <v>8775.2705477438867</v>
      </c>
      <c r="F35" s="3"/>
      <c r="G35" s="28"/>
      <c r="H35" s="10"/>
      <c r="I35" s="10">
        <f t="shared" ref="I35:I66" si="8">IF(H35&lt;&gt;"",H35,I34/(1+IF(G34="",0,G34)/100))</f>
        <v>13056</v>
      </c>
      <c r="J35" s="10">
        <f t="shared" si="6"/>
        <v>16205852554.651058</v>
      </c>
      <c r="K35" s="11">
        <f t="shared" si="7"/>
        <v>7.1200000000000152E-3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1232481.8185033482</v>
      </c>
      <c r="D36" s="11">
        <v>5.2399999999999999E-3</v>
      </c>
      <c r="E36" s="10">
        <f t="shared" si="2"/>
        <v>6424.5401386308949</v>
      </c>
      <c r="F36" s="3"/>
      <c r="G36" s="28"/>
      <c r="H36" s="10"/>
      <c r="I36" s="10">
        <f t="shared" si="8"/>
        <v>13056</v>
      </c>
      <c r="J36" s="10">
        <f t="shared" si="6"/>
        <v>16091282622.379713</v>
      </c>
      <c r="K36" s="11">
        <f t="shared" si="7"/>
        <v>5.2399999999999114E-3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1226057.2783647173</v>
      </c>
      <c r="D37" s="11">
        <v>2.0600000000000002E-3</v>
      </c>
      <c r="E37" s="10">
        <f t="shared" si="2"/>
        <v>2520.4857926983386</v>
      </c>
      <c r="F37" s="3"/>
      <c r="G37" s="28"/>
      <c r="H37" s="10"/>
      <c r="I37" s="10">
        <f t="shared" si="8"/>
        <v>13056</v>
      </c>
      <c r="J37" s="10">
        <f t="shared" si="6"/>
        <v>16007403826.329748</v>
      </c>
      <c r="K37" s="11">
        <f t="shared" si="7"/>
        <v>2.0599999999999508E-3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1223536.7925720189</v>
      </c>
      <c r="D38" s="11">
        <v>2.5500000000000002E-3</v>
      </c>
      <c r="E38" s="10">
        <f t="shared" si="2"/>
        <v>3112.0830093848053</v>
      </c>
      <c r="F38" s="3"/>
      <c r="G38" s="28"/>
      <c r="H38" s="10"/>
      <c r="I38" s="10">
        <f t="shared" si="8"/>
        <v>13056</v>
      </c>
      <c r="J38" s="10">
        <f t="shared" si="6"/>
        <v>15974496363.820278</v>
      </c>
      <c r="K38" s="11">
        <f t="shared" si="7"/>
        <v>2.5500000000000522E-3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1220424.7095626341</v>
      </c>
      <c r="D39" s="11">
        <v>3.1800000000000001E-3</v>
      </c>
      <c r="E39" s="10">
        <f t="shared" si="2"/>
        <v>3868.6482748950366</v>
      </c>
      <c r="F39" s="3"/>
      <c r="G39" s="28"/>
      <c r="H39" s="10"/>
      <c r="I39" s="10">
        <f t="shared" si="8"/>
        <v>13056</v>
      </c>
      <c r="J39" s="10">
        <f t="shared" si="6"/>
        <v>15933865008.049751</v>
      </c>
      <c r="K39" s="11">
        <f t="shared" si="7"/>
        <v>3.1799999999999606E-3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1216556.0612877391</v>
      </c>
      <c r="D40" s="11">
        <v>3.5799999999999998E-3</v>
      </c>
      <c r="E40" s="10">
        <f t="shared" si="2"/>
        <v>4339.7344500788022</v>
      </c>
      <c r="F40" s="3"/>
      <c r="G40" s="28"/>
      <c r="H40" s="10"/>
      <c r="I40" s="10">
        <f t="shared" si="8"/>
        <v>13056</v>
      </c>
      <c r="J40" s="10">
        <f t="shared" si="6"/>
        <v>15883355936.172722</v>
      </c>
      <c r="K40" s="11">
        <f t="shared" si="7"/>
        <v>3.5799999999999166E-3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1212216.3268376603</v>
      </c>
      <c r="D41" s="11">
        <v>4.2399999999999998E-3</v>
      </c>
      <c r="E41" s="10">
        <f t="shared" si="2"/>
        <v>5118.0964966458268</v>
      </c>
      <c r="F41" s="3"/>
      <c r="G41" s="28"/>
      <c r="H41" s="10"/>
      <c r="I41" s="10">
        <f t="shared" si="8"/>
        <v>13056</v>
      </c>
      <c r="J41" s="10">
        <f t="shared" si="6"/>
        <v>15826696363.192493</v>
      </c>
      <c r="K41" s="11">
        <f t="shared" si="7"/>
        <v>4.2400000000000215E-3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1207098.2303410145</v>
      </c>
      <c r="D42" s="11">
        <v>1.0800000000000001E-2</v>
      </c>
      <c r="E42" s="10">
        <f t="shared" si="2"/>
        <v>12897.369299250888</v>
      </c>
      <c r="F42" s="3"/>
      <c r="G42" s="28"/>
      <c r="H42" s="10"/>
      <c r="I42" s="10">
        <f t="shared" si="8"/>
        <v>13056</v>
      </c>
      <c r="J42" s="10">
        <f t="shared" si="6"/>
        <v>15759874495.332285</v>
      </c>
      <c r="K42" s="11">
        <f t="shared" si="7"/>
        <v>1.0799999999999921E-2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1194200.8610417636</v>
      </c>
      <c r="D43" s="11">
        <v>1.204E-2</v>
      </c>
      <c r="E43" s="10">
        <f t="shared" si="2"/>
        <v>14207.124586916529</v>
      </c>
      <c r="F43" s="3"/>
      <c r="G43" s="28"/>
      <c r="H43" s="10"/>
      <c r="I43" s="10">
        <f t="shared" si="8"/>
        <v>13056</v>
      </c>
      <c r="J43" s="10">
        <f t="shared" si="6"/>
        <v>15591486441.761265</v>
      </c>
      <c r="K43" s="11">
        <f t="shared" si="7"/>
        <v>1.2040000000000051E-2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1179993.736454847</v>
      </c>
      <c r="D44" s="11">
        <v>1.0919999999999999E-2</v>
      </c>
      <c r="E44" s="10">
        <f t="shared" si="2"/>
        <v>12746.341552335536</v>
      </c>
      <c r="F44" s="3"/>
      <c r="G44" s="28"/>
      <c r="H44" s="10"/>
      <c r="I44" s="10">
        <f t="shared" si="8"/>
        <v>13056</v>
      </c>
      <c r="J44" s="10">
        <f t="shared" si="6"/>
        <v>15405998223.154484</v>
      </c>
      <c r="K44" s="11">
        <f t="shared" si="7"/>
        <v>1.0920000000000041E-2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1167247.3949025115</v>
      </c>
      <c r="D45" s="11">
        <v>7.3200000000000001E-3</v>
      </c>
      <c r="E45" s="10">
        <f t="shared" si="2"/>
        <v>8482.1615084444638</v>
      </c>
      <c r="F45" s="3"/>
      <c r="G45" s="28"/>
      <c r="H45" s="10"/>
      <c r="I45" s="10">
        <f t="shared" si="8"/>
        <v>13056</v>
      </c>
      <c r="J45" s="10">
        <f t="shared" si="6"/>
        <v>15239581987.847191</v>
      </c>
      <c r="K45" s="11">
        <f t="shared" si="7"/>
        <v>7.3199999999999932E-3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1158765.233394067</v>
      </c>
      <c r="D46" s="11">
        <v>-3.4199999999999999E-3</v>
      </c>
      <c r="E46" s="10">
        <f t="shared" si="2"/>
        <v>-3976.5769915187266</v>
      </c>
      <c r="F46" s="3"/>
      <c r="G46" s="28"/>
      <c r="H46" s="10"/>
      <c r="I46" s="10">
        <f t="shared" si="8"/>
        <v>13056</v>
      </c>
      <c r="J46" s="10">
        <f t="shared" si="6"/>
        <v>15128838887.19294</v>
      </c>
      <c r="K46" s="11">
        <f t="shared" si="7"/>
        <v>-3.4199999999999786E-3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1162741.8103855858</v>
      </c>
      <c r="D47" s="11">
        <v>-2.3600000000000001E-3</v>
      </c>
      <c r="E47" s="10">
        <f t="shared" si="2"/>
        <v>-2750.5619988271501</v>
      </c>
      <c r="F47" s="3"/>
      <c r="G47" s="28"/>
      <c r="H47" s="10"/>
      <c r="I47" s="10">
        <f t="shared" si="8"/>
        <v>13056</v>
      </c>
      <c r="J47" s="10">
        <f t="shared" si="6"/>
        <v>15180757076.394207</v>
      </c>
      <c r="K47" s="11">
        <f t="shared" si="7"/>
        <v>-2.3600000000000287E-3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1165492.3723844129</v>
      </c>
      <c r="D48" s="11">
        <v>-1.08E-3</v>
      </c>
      <c r="E48" s="10">
        <f t="shared" si="2"/>
        <v>-1260.0926622503903</v>
      </c>
      <c r="F48" s="3"/>
      <c r="G48" s="28"/>
      <c r="H48" s="10"/>
      <c r="I48" s="10">
        <f t="shared" si="8"/>
        <v>13056</v>
      </c>
      <c r="J48" s="10">
        <f t="shared" si="6"/>
        <v>15216668413.850895</v>
      </c>
      <c r="K48" s="11">
        <f t="shared" si="7"/>
        <v>-1.0800000000000809E-3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1166752.4650466633</v>
      </c>
      <c r="D49" s="11">
        <v>4.8999999999999998E-4</v>
      </c>
      <c r="E49" s="10">
        <f t="shared" si="2"/>
        <v>571.42870780616067</v>
      </c>
      <c r="F49" s="3"/>
      <c r="G49" s="28"/>
      <c r="H49" s="10"/>
      <c r="I49" s="10">
        <f t="shared" si="8"/>
        <v>13056</v>
      </c>
      <c r="J49" s="10">
        <f t="shared" si="6"/>
        <v>15233120183.649237</v>
      </c>
      <c r="K49" s="11">
        <f t="shared" si="7"/>
        <v>4.9000000000010147E-4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1166181.0363388571</v>
      </c>
      <c r="D50" s="11">
        <v>2.1900000000000001E-3</v>
      </c>
      <c r="E50" s="10">
        <f t="shared" si="2"/>
        <v>2548.3555708818603</v>
      </c>
      <c r="F50" s="3"/>
      <c r="G50" s="28"/>
      <c r="H50" s="10"/>
      <c r="I50" s="10">
        <f t="shared" si="8"/>
        <v>13056</v>
      </c>
      <c r="J50" s="10">
        <f t="shared" si="6"/>
        <v>15225659610.440119</v>
      </c>
      <c r="K50" s="11">
        <f t="shared" si="7"/>
        <v>2.1899999999999142E-3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1163632.6807679753</v>
      </c>
      <c r="D51" s="11">
        <v>7.8899999999999994E-3</v>
      </c>
      <c r="E51" s="10">
        <f t="shared" si="2"/>
        <v>9109.1903394807596</v>
      </c>
      <c r="F51" s="3"/>
      <c r="G51" s="28"/>
      <c r="H51" s="10"/>
      <c r="I51" s="10">
        <f t="shared" si="8"/>
        <v>13056</v>
      </c>
      <c r="J51" s="10">
        <f t="shared" si="6"/>
        <v>15192388280.106686</v>
      </c>
      <c r="K51" s="11">
        <f t="shared" si="7"/>
        <v>7.8899999999999526E-3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1154523.4904284945</v>
      </c>
      <c r="D52" s="11">
        <v>9.3799999999999994E-3</v>
      </c>
      <c r="E52" s="10">
        <f t="shared" si="2"/>
        <v>10728.794250152772</v>
      </c>
      <c r="F52" s="3"/>
      <c r="G52" s="28"/>
      <c r="H52" s="10"/>
      <c r="I52" s="10">
        <f t="shared" si="8"/>
        <v>13056</v>
      </c>
      <c r="J52" s="10">
        <f t="shared" si="6"/>
        <v>15073458691.034424</v>
      </c>
      <c r="K52" s="11">
        <f t="shared" si="7"/>
        <v>9.3799999999999439E-3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1143794.6961783418</v>
      </c>
      <c r="D53" s="11">
        <v>1.034E-2</v>
      </c>
      <c r="E53" s="10">
        <f t="shared" si="2"/>
        <v>11705.799194809748</v>
      </c>
      <c r="F53" s="3"/>
      <c r="G53" s="28"/>
      <c r="H53" s="10"/>
      <c r="I53" s="10">
        <f t="shared" si="8"/>
        <v>13056</v>
      </c>
      <c r="J53" s="10">
        <f t="shared" si="6"/>
        <v>14933383553.30443</v>
      </c>
      <c r="K53" s="11">
        <f t="shared" si="7"/>
        <v>1.0340000000000016E-2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1132088.896983532</v>
      </c>
      <c r="D54" s="11">
        <v>1.1209999999999999E-2</v>
      </c>
      <c r="E54" s="10">
        <f t="shared" si="2"/>
        <v>12550.03069113777</v>
      </c>
      <c r="F54" s="3"/>
      <c r="G54" s="28"/>
      <c r="H54" s="10"/>
      <c r="I54" s="10">
        <f t="shared" si="8"/>
        <v>13056</v>
      </c>
      <c r="J54" s="10">
        <f t="shared" si="6"/>
        <v>14780552639.016994</v>
      </c>
      <c r="K54" s="11">
        <f t="shared" si="7"/>
        <v>1.1209999999999942E-2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1119538.8662923942</v>
      </c>
      <c r="D55" s="11">
        <v>1.286E-2</v>
      </c>
      <c r="E55" s="10">
        <f t="shared" si="2"/>
        <v>14214.471714274725</v>
      </c>
      <c r="F55" s="3"/>
      <c r="G55" s="28"/>
      <c r="H55" s="10"/>
      <c r="I55" s="10">
        <f t="shared" si="8"/>
        <v>13056</v>
      </c>
      <c r="J55" s="10">
        <f t="shared" si="6"/>
        <v>14616699438.313499</v>
      </c>
      <c r="K55" s="11">
        <f t="shared" si="7"/>
        <v>1.2860000000000094E-2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1105324.3945781195</v>
      </c>
      <c r="D56" s="11">
        <v>1.366E-2</v>
      </c>
      <c r="E56" s="10">
        <f t="shared" si="2"/>
        <v>14895.261951677268</v>
      </c>
      <c r="F56" s="3"/>
      <c r="G56" s="28"/>
      <c r="H56" s="10"/>
      <c r="I56" s="10">
        <f t="shared" si="8"/>
        <v>13056</v>
      </c>
      <c r="J56" s="10">
        <f t="shared" si="6"/>
        <v>14431115295.611929</v>
      </c>
      <c r="K56" s="11">
        <f t="shared" si="7"/>
        <v>1.3660000000000228E-2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1090429.1326264422</v>
      </c>
      <c r="D57" s="11">
        <v>1.009E-2</v>
      </c>
      <c r="E57" s="10">
        <f t="shared" si="2"/>
        <v>10892.524377234513</v>
      </c>
      <c r="F57" s="3"/>
      <c r="G57" s="28"/>
      <c r="H57" s="10"/>
      <c r="I57" s="10">
        <f t="shared" si="8"/>
        <v>13056</v>
      </c>
      <c r="J57" s="10">
        <f t="shared" si="6"/>
        <v>14236642755.570829</v>
      </c>
      <c r="K57" s="11">
        <f t="shared" si="7"/>
        <v>1.0089999999999932E-2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1079536.6082492077</v>
      </c>
      <c r="D58" s="11">
        <v>2.4580000000000001E-2</v>
      </c>
      <c r="E58" s="10">
        <f t="shared" si="2"/>
        <v>25898.426507218042</v>
      </c>
      <c r="F58" s="3"/>
      <c r="G58" s="28"/>
      <c r="H58" s="10"/>
      <c r="I58" s="10">
        <f t="shared" si="8"/>
        <v>13056</v>
      </c>
      <c r="J58" s="10">
        <f t="shared" si="6"/>
        <v>14094429957.301657</v>
      </c>
      <c r="K58" s="11">
        <f t="shared" si="7"/>
        <v>2.4580000000000046E-2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1053638.1817419897</v>
      </c>
      <c r="D59" s="11">
        <v>2.4680000000000001E-2</v>
      </c>
      <c r="E59" s="10">
        <f t="shared" si="2"/>
        <v>25377.474260639865</v>
      </c>
      <c r="F59" s="3"/>
      <c r="G59" s="28"/>
      <c r="H59" s="10"/>
      <c r="I59" s="10">
        <f t="shared" si="8"/>
        <v>13056</v>
      </c>
      <c r="J59" s="10">
        <f t="shared" si="6"/>
        <v>13756300100.823418</v>
      </c>
      <c r="K59" s="11">
        <f t="shared" si="7"/>
        <v>2.4680000000000257E-2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1028260.7074813498</v>
      </c>
      <c r="D60" s="11">
        <v>2.5430000000000001E-2</v>
      </c>
      <c r="E60" s="10">
        <f t="shared" si="2"/>
        <v>25500.199712560396</v>
      </c>
      <c r="F60" s="3"/>
      <c r="G60" s="28"/>
      <c r="H60" s="10"/>
      <c r="I60" s="10">
        <f t="shared" si="8"/>
        <v>13056</v>
      </c>
      <c r="J60" s="10">
        <f t="shared" si="6"/>
        <v>13424971796.876503</v>
      </c>
      <c r="K60" s="11">
        <f t="shared" si="7"/>
        <v>2.5430000000000064E-2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1002760.5077687894</v>
      </c>
      <c r="D61" s="11">
        <v>2.5909999999999999E-2</v>
      </c>
      <c r="E61" s="10">
        <f t="shared" si="2"/>
        <v>25325.345065638772</v>
      </c>
      <c r="F61" s="3"/>
      <c r="G61" s="28"/>
      <c r="H61" s="10"/>
      <c r="I61" s="10">
        <f t="shared" si="8"/>
        <v>13056</v>
      </c>
      <c r="J61" s="10">
        <f t="shared" si="6"/>
        <v>13092041189.429316</v>
      </c>
      <c r="K61" s="11">
        <f t="shared" si="7"/>
        <v>2.5910000000000322E-2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977435.16270315065</v>
      </c>
      <c r="D62" s="11">
        <v>2.6540000000000001E-2</v>
      </c>
      <c r="E62" s="10">
        <f t="shared" si="2"/>
        <v>25270.451437003561</v>
      </c>
      <c r="F62" s="3"/>
      <c r="G62" s="28"/>
      <c r="H62" s="10"/>
      <c r="I62" s="10">
        <f t="shared" si="8"/>
        <v>13056</v>
      </c>
      <c r="J62" s="10">
        <f t="shared" si="6"/>
        <v>12761393484.252335</v>
      </c>
      <c r="K62" s="11">
        <f t="shared" si="7"/>
        <v>2.6540000000000008E-2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952164.71126614709</v>
      </c>
      <c r="D63" s="11">
        <v>2.64E-2</v>
      </c>
      <c r="E63" s="10">
        <f t="shared" si="2"/>
        <v>24490.596626486978</v>
      </c>
      <c r="F63" s="3"/>
      <c r="G63" s="28"/>
      <c r="H63" s="10"/>
      <c r="I63" s="10">
        <f t="shared" si="8"/>
        <v>13056</v>
      </c>
      <c r="J63" s="10">
        <f t="shared" si="6"/>
        <v>12431462470.290817</v>
      </c>
      <c r="K63" s="11">
        <f t="shared" si="7"/>
        <v>2.6399999999999979E-2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927674.11463966011</v>
      </c>
      <c r="D64" s="11">
        <v>2.6880000000000001E-2</v>
      </c>
      <c r="E64" s="10">
        <f t="shared" si="2"/>
        <v>24283.149152300204</v>
      </c>
      <c r="F64" s="3"/>
      <c r="G64" s="28"/>
      <c r="H64" s="10"/>
      <c r="I64" s="10">
        <f t="shared" si="8"/>
        <v>13056</v>
      </c>
      <c r="J64" s="10">
        <f t="shared" si="6"/>
        <v>12111713240.735403</v>
      </c>
      <c r="K64" s="11">
        <f t="shared" si="7"/>
        <v>2.6880000000000015E-2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903390.96548735991</v>
      </c>
      <c r="D65" s="11">
        <v>2.6429999999999999E-2</v>
      </c>
      <c r="E65" s="10">
        <f t="shared" si="2"/>
        <v>23261.813487359905</v>
      </c>
      <c r="F65" s="3"/>
      <c r="G65" s="28"/>
      <c r="H65" s="10"/>
      <c r="I65" s="10">
        <f t="shared" si="8"/>
        <v>13056</v>
      </c>
      <c r="J65" s="10">
        <f t="shared" si="6"/>
        <v>11794672445.402971</v>
      </c>
      <c r="K65" s="11">
        <f t="shared" si="7"/>
        <v>2.6429999999999954E-2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880129.152</v>
      </c>
      <c r="D66" s="11">
        <v>2.6270000000000002E-2</v>
      </c>
      <c r="E66" s="10">
        <f t="shared" si="2"/>
        <v>22529.152000000002</v>
      </c>
      <c r="F66" s="24">
        <f>SUM(F2)</f>
        <v>2051970</v>
      </c>
      <c r="G66" s="28"/>
      <c r="H66" s="10"/>
      <c r="I66" s="10">
        <f t="shared" si="8"/>
        <v>13056</v>
      </c>
      <c r="J66" s="10">
        <f t="shared" ref="J66:J67" si="9">IF(I66="","",I66*C66)</f>
        <v>11490966208.511999</v>
      </c>
      <c r="K66" s="11">
        <f t="shared" ref="K66" si="10">IFERROR(J66/J67-1,"")</f>
        <v>2.6270000000000016E-2</v>
      </c>
    </row>
    <row r="67" spans="1:11" ht="22.5" customHeight="1">
      <c r="A67" s="3">
        <f t="shared" si="0"/>
        <v>1950</v>
      </c>
      <c r="B67" s="3">
        <v>1700</v>
      </c>
      <c r="C67" s="10">
        <v>857600</v>
      </c>
      <c r="D67" s="11">
        <v>2.546E-2</v>
      </c>
      <c r="E67" s="3" t="s">
        <v>72</v>
      </c>
      <c r="F67" s="10">
        <f>SUM(C2)</f>
        <v>2051787.1050554302</v>
      </c>
      <c r="G67" s="28"/>
      <c r="H67" s="10"/>
      <c r="I67" s="10">
        <f t="shared" ref="I67" si="11">IF(H67&lt;&gt;"",H67,I66/(1+IF(G66="",0,G66)/100))</f>
        <v>13056</v>
      </c>
      <c r="J67" s="10">
        <f t="shared" si="9"/>
        <v>11196825600</v>
      </c>
      <c r="K67" s="11"/>
    </row>
  </sheetData>
  <dataValidations count="1">
    <dataValidation type="custom" allowBlank="1" showDropDown="1" sqref="D2:D67" xr:uid="{00000000-0002-0000-4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36358714.310645491</v>
      </c>
      <c r="D2" s="11">
        <v>2.1729999999999999E-2</v>
      </c>
      <c r="E2" s="10">
        <f t="shared" ref="E2:E66" si="2">SUM(C2-C3)</f>
        <v>773271.66861139983</v>
      </c>
      <c r="F2" s="15">
        <v>36356117</v>
      </c>
      <c r="G2" s="28"/>
      <c r="H2" s="10"/>
      <c r="I2" s="10">
        <f>IF(H2&lt;&gt;"",H2,1111)</f>
        <v>1111</v>
      </c>
      <c r="J2" s="10">
        <f t="shared" ref="J2:J33" si="3">IF(I2="","",I2*C2)</f>
        <v>40394531599.127144</v>
      </c>
      <c r="K2" s="11">
        <f t="shared" ref="K2:K33" si="4">IFERROR(J2/J3-1,"")</f>
        <v>2.1730000000000027E-2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35585442.642034091</v>
      </c>
      <c r="D3" s="11">
        <v>2.282E-2</v>
      </c>
      <c r="E3" s="10">
        <f t="shared" si="2"/>
        <v>793942.04365501553</v>
      </c>
      <c r="F3" s="3"/>
      <c r="G3" s="28"/>
      <c r="H3" s="10"/>
      <c r="I3" s="10">
        <f t="shared" ref="I3:I34" si="5">IF(H3&lt;&gt;"",H3,I2/(1+IF(G2="",0,G2)/100))</f>
        <v>1111</v>
      </c>
      <c r="J3" s="10">
        <f t="shared" si="3"/>
        <v>39535426775.299873</v>
      </c>
      <c r="K3" s="11">
        <f t="shared" si="4"/>
        <v>2.2820000000000062E-2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34791500.598379076</v>
      </c>
      <c r="D4" s="11">
        <v>2.3970000000000002E-2</v>
      </c>
      <c r="E4" s="10">
        <f t="shared" si="2"/>
        <v>814430.37329526246</v>
      </c>
      <c r="F4" s="3"/>
      <c r="G4" s="28"/>
      <c r="H4" s="10"/>
      <c r="I4" s="10">
        <f t="shared" si="5"/>
        <v>1111</v>
      </c>
      <c r="J4" s="10">
        <f t="shared" si="3"/>
        <v>38653357164.799156</v>
      </c>
      <c r="K4" s="11">
        <f t="shared" si="4"/>
        <v>2.3970000000000269E-2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33977070.225083813</v>
      </c>
      <c r="D5" s="11">
        <v>2.5489999999999999E-2</v>
      </c>
      <c r="E5" s="10">
        <f t="shared" si="2"/>
        <v>844547.99172823131</v>
      </c>
      <c r="F5" s="3"/>
      <c r="G5" s="28"/>
      <c r="H5" s="10"/>
      <c r="I5" s="10">
        <f t="shared" si="5"/>
        <v>1111</v>
      </c>
      <c r="J5" s="10">
        <f t="shared" si="3"/>
        <v>37748525020.068115</v>
      </c>
      <c r="K5" s="11">
        <f t="shared" si="4"/>
        <v>2.5490000000000013E-2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33132522.233355582</v>
      </c>
      <c r="D6" s="11">
        <v>2.6689999999999998E-2</v>
      </c>
      <c r="E6" s="10">
        <f t="shared" si="2"/>
        <v>861318.4295242615</v>
      </c>
      <c r="F6" s="3"/>
      <c r="G6" s="28"/>
      <c r="H6" s="10"/>
      <c r="I6" s="10">
        <f t="shared" si="5"/>
        <v>1111</v>
      </c>
      <c r="J6" s="10">
        <f t="shared" si="3"/>
        <v>36810232201.258049</v>
      </c>
      <c r="K6" s="11">
        <f t="shared" si="4"/>
        <v>2.6690000000000103E-2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32271203.80383132</v>
      </c>
      <c r="D7" s="11">
        <v>2.8340000000000001E-2</v>
      </c>
      <c r="E7" s="10">
        <f t="shared" si="2"/>
        <v>889361.41334634647</v>
      </c>
      <c r="F7" s="3"/>
      <c r="G7" s="28"/>
      <c r="H7" s="10"/>
      <c r="I7" s="10">
        <f t="shared" si="5"/>
        <v>1111</v>
      </c>
      <c r="J7" s="10">
        <f t="shared" si="3"/>
        <v>35853307426.056595</v>
      </c>
      <c r="K7" s="11">
        <f t="shared" si="4"/>
        <v>2.8340000000000032E-2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31381842.390484974</v>
      </c>
      <c r="D8" s="11">
        <v>2.971E-2</v>
      </c>
      <c r="E8" s="10">
        <f t="shared" si="2"/>
        <v>905453.51353420317</v>
      </c>
      <c r="F8" s="3"/>
      <c r="G8" s="28"/>
      <c r="H8" s="10"/>
      <c r="I8" s="10">
        <f t="shared" si="5"/>
        <v>1111</v>
      </c>
      <c r="J8" s="10">
        <f t="shared" si="3"/>
        <v>34865226895.828804</v>
      </c>
      <c r="K8" s="11">
        <f t="shared" si="4"/>
        <v>2.9709999999999903E-2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30476388.876950771</v>
      </c>
      <c r="D9" s="11">
        <v>3.0720000000000001E-2</v>
      </c>
      <c r="E9" s="10">
        <f t="shared" si="2"/>
        <v>908330.74578928202</v>
      </c>
      <c r="F9" s="3"/>
      <c r="G9" s="28"/>
      <c r="H9" s="10"/>
      <c r="I9" s="10">
        <f t="shared" si="5"/>
        <v>1111</v>
      </c>
      <c r="J9" s="10">
        <f t="shared" si="3"/>
        <v>33859268042.292305</v>
      </c>
      <c r="K9" s="11">
        <f t="shared" si="4"/>
        <v>3.0720000000000081E-2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29568058.131161489</v>
      </c>
      <c r="D10" s="11">
        <v>2.9860000000000001E-2</v>
      </c>
      <c r="E10" s="10">
        <f t="shared" si="2"/>
        <v>857303.14391905814</v>
      </c>
      <c r="F10" s="3"/>
      <c r="G10" s="28"/>
      <c r="H10" s="10"/>
      <c r="I10" s="10">
        <f t="shared" si="5"/>
        <v>1111</v>
      </c>
      <c r="J10" s="10">
        <f t="shared" si="3"/>
        <v>32850112583.720413</v>
      </c>
      <c r="K10" s="11">
        <f t="shared" si="4"/>
        <v>2.9859999999999998E-2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28710754.98724243</v>
      </c>
      <c r="D11" s="11">
        <v>3.0599999999999999E-2</v>
      </c>
      <c r="E11" s="10">
        <f t="shared" si="2"/>
        <v>852463.71299206093</v>
      </c>
      <c r="F11" s="3"/>
      <c r="G11" s="28"/>
      <c r="H11" s="10"/>
      <c r="I11" s="10">
        <f t="shared" si="5"/>
        <v>1111</v>
      </c>
      <c r="J11" s="10">
        <f t="shared" si="3"/>
        <v>31897648790.82634</v>
      </c>
      <c r="K11" s="11">
        <f t="shared" si="4"/>
        <v>3.0599999999999961E-2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27858291.27425037</v>
      </c>
      <c r="D12" s="11">
        <v>3.0339999999999999E-2</v>
      </c>
      <c r="E12" s="10">
        <f t="shared" si="2"/>
        <v>820331.69367466867</v>
      </c>
      <c r="F12" s="3"/>
      <c r="G12" s="28"/>
      <c r="H12" s="10"/>
      <c r="I12" s="10">
        <f t="shared" si="5"/>
        <v>1111</v>
      </c>
      <c r="J12" s="10">
        <f t="shared" si="3"/>
        <v>30950561605.692162</v>
      </c>
      <c r="K12" s="11">
        <f t="shared" si="4"/>
        <v>3.0340000000000034E-2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27037959.580575701</v>
      </c>
      <c r="D13" s="11">
        <v>3.1119999999999998E-2</v>
      </c>
      <c r="E13" s="10">
        <f t="shared" si="2"/>
        <v>816026.55573310331</v>
      </c>
      <c r="F13" s="3"/>
      <c r="G13" s="28"/>
      <c r="H13" s="10"/>
      <c r="I13" s="10">
        <f t="shared" si="5"/>
        <v>1111</v>
      </c>
      <c r="J13" s="10">
        <f t="shared" si="3"/>
        <v>30039173094.019604</v>
      </c>
      <c r="K13" s="11">
        <f t="shared" si="4"/>
        <v>3.1120000000000037E-2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26221933.024842598</v>
      </c>
      <c r="D14" s="11">
        <v>3.0980000000000001E-2</v>
      </c>
      <c r="E14" s="10">
        <f t="shared" si="2"/>
        <v>787944.950541839</v>
      </c>
      <c r="F14" s="3"/>
      <c r="G14" s="28"/>
      <c r="H14" s="10"/>
      <c r="I14" s="10">
        <f t="shared" si="5"/>
        <v>1111</v>
      </c>
      <c r="J14" s="10">
        <f t="shared" si="3"/>
        <v>29132567590.600124</v>
      </c>
      <c r="K14" s="11">
        <f t="shared" si="4"/>
        <v>3.0980000000000008E-2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25433988.074300759</v>
      </c>
      <c r="D15" s="11">
        <v>3.073E-2</v>
      </c>
      <c r="E15" s="10">
        <f t="shared" si="2"/>
        <v>758284.37468906492</v>
      </c>
      <c r="F15" s="3"/>
      <c r="G15" s="28"/>
      <c r="H15" s="10"/>
      <c r="I15" s="10">
        <f t="shared" si="5"/>
        <v>1111</v>
      </c>
      <c r="J15" s="10">
        <f t="shared" si="3"/>
        <v>28257160750.548141</v>
      </c>
      <c r="K15" s="11">
        <f t="shared" si="4"/>
        <v>3.0729999999999702E-2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24675703.699611694</v>
      </c>
      <c r="D16" s="11">
        <v>3.2219999999999999E-2</v>
      </c>
      <c r="E16" s="10">
        <f t="shared" si="2"/>
        <v>770234.22642603889</v>
      </c>
      <c r="F16" s="3"/>
      <c r="G16" s="28"/>
      <c r="H16" s="10"/>
      <c r="I16" s="10">
        <f t="shared" si="5"/>
        <v>1111</v>
      </c>
      <c r="J16" s="10">
        <f t="shared" si="3"/>
        <v>27414706810.268593</v>
      </c>
      <c r="K16" s="11">
        <f t="shared" si="4"/>
        <v>3.2219999999999915E-2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23905469.473185655</v>
      </c>
      <c r="D17" s="11">
        <v>3.0470000000000001E-2</v>
      </c>
      <c r="E17" s="10">
        <f t="shared" si="2"/>
        <v>706861.58243128657</v>
      </c>
      <c r="F17" s="3"/>
      <c r="G17" s="28"/>
      <c r="H17" s="10"/>
      <c r="I17" s="10">
        <f t="shared" si="5"/>
        <v>1111</v>
      </c>
      <c r="J17" s="10">
        <f t="shared" si="3"/>
        <v>26558976584.709263</v>
      </c>
      <c r="K17" s="11">
        <f t="shared" si="4"/>
        <v>3.0470000000000219E-2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23198607.890754368</v>
      </c>
      <c r="D18" s="11">
        <v>2.9770000000000001E-2</v>
      </c>
      <c r="E18" s="10">
        <f t="shared" si="2"/>
        <v>670657.09518412873</v>
      </c>
      <c r="F18" s="3"/>
      <c r="G18" s="28"/>
      <c r="H18" s="10"/>
      <c r="I18" s="10">
        <f t="shared" si="5"/>
        <v>1111</v>
      </c>
      <c r="J18" s="10">
        <f t="shared" si="3"/>
        <v>25773653366.628101</v>
      </c>
      <c r="K18" s="11">
        <f t="shared" si="4"/>
        <v>2.9770000000000074E-2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22527950.795570239</v>
      </c>
      <c r="D19" s="11">
        <v>2.7890000000000002E-2</v>
      </c>
      <c r="E19" s="10">
        <f t="shared" si="2"/>
        <v>611256.6010842137</v>
      </c>
      <c r="F19" s="3"/>
      <c r="G19" s="28"/>
      <c r="H19" s="10"/>
      <c r="I19" s="10">
        <f t="shared" si="5"/>
        <v>1111</v>
      </c>
      <c r="J19" s="10">
        <f t="shared" si="3"/>
        <v>25028553333.878536</v>
      </c>
      <c r="K19" s="11">
        <f t="shared" si="4"/>
        <v>2.788999999999997E-2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21916694.194486026</v>
      </c>
      <c r="D20" s="11">
        <v>2.7300000000000001E-2</v>
      </c>
      <c r="E20" s="10">
        <f t="shared" si="2"/>
        <v>582425.53441980854</v>
      </c>
      <c r="F20" s="3"/>
      <c r="G20" s="28"/>
      <c r="H20" s="10"/>
      <c r="I20" s="10">
        <f t="shared" si="5"/>
        <v>1111</v>
      </c>
      <c r="J20" s="10">
        <f t="shared" si="3"/>
        <v>24349447250.073975</v>
      </c>
      <c r="K20" s="11">
        <f t="shared" si="4"/>
        <v>2.729999999999988E-2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21334268.660066217</v>
      </c>
      <c r="D21" s="11">
        <v>2.7359999999999999E-2</v>
      </c>
      <c r="E21" s="10">
        <f t="shared" si="2"/>
        <v>568160.71342023462</v>
      </c>
      <c r="F21" s="3"/>
      <c r="G21" s="28"/>
      <c r="H21" s="10"/>
      <c r="I21" s="10">
        <f t="shared" si="5"/>
        <v>1111</v>
      </c>
      <c r="J21" s="10">
        <f t="shared" si="3"/>
        <v>23702372481.333569</v>
      </c>
      <c r="K21" s="11">
        <f t="shared" si="4"/>
        <v>2.7360000000000051E-2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20766107.946645983</v>
      </c>
      <c r="D22" s="11">
        <v>2.7699999999999999E-2</v>
      </c>
      <c r="E22" s="10">
        <f t="shared" si="2"/>
        <v>559717.02843445912</v>
      </c>
      <c r="F22" s="3"/>
      <c r="G22" s="28"/>
      <c r="H22" s="10"/>
      <c r="I22" s="10">
        <f t="shared" si="5"/>
        <v>1111</v>
      </c>
      <c r="J22" s="10">
        <f t="shared" si="3"/>
        <v>23071145928.723686</v>
      </c>
      <c r="K22" s="11">
        <f t="shared" si="4"/>
        <v>2.7699999999999836E-2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20206390.918211523</v>
      </c>
      <c r="D23" s="11">
        <v>2.9100000000000001E-2</v>
      </c>
      <c r="E23" s="10">
        <f t="shared" si="2"/>
        <v>571378.85115144774</v>
      </c>
      <c r="F23" s="3"/>
      <c r="G23" s="28"/>
      <c r="H23" s="10"/>
      <c r="I23" s="10">
        <f t="shared" si="5"/>
        <v>1111</v>
      </c>
      <c r="J23" s="10">
        <f t="shared" si="3"/>
        <v>22449300310.133003</v>
      </c>
      <c r="K23" s="11">
        <f t="shared" si="4"/>
        <v>2.9100000000000126E-2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19635012.067060076</v>
      </c>
      <c r="D24" s="11">
        <v>2.8969999999999999E-2</v>
      </c>
      <c r="E24" s="10">
        <f t="shared" si="2"/>
        <v>552811.354638841</v>
      </c>
      <c r="F24" s="3"/>
      <c r="G24" s="28"/>
      <c r="H24" s="10"/>
      <c r="I24" s="10">
        <f t="shared" si="5"/>
        <v>1111</v>
      </c>
      <c r="J24" s="10">
        <f t="shared" si="3"/>
        <v>21814498406.503742</v>
      </c>
      <c r="K24" s="11">
        <f t="shared" si="4"/>
        <v>2.8969999999999718E-2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19082200.712421235</v>
      </c>
      <c r="D25" s="11">
        <v>3.0429999999999999E-2</v>
      </c>
      <c r="E25" s="10">
        <f t="shared" si="2"/>
        <v>563523.35207532346</v>
      </c>
      <c r="F25" s="3"/>
      <c r="G25" s="28"/>
      <c r="H25" s="10"/>
      <c r="I25" s="10">
        <f t="shared" si="5"/>
        <v>1111</v>
      </c>
      <c r="J25" s="10">
        <f t="shared" si="3"/>
        <v>21200324991.499992</v>
      </c>
      <c r="K25" s="11">
        <f t="shared" si="4"/>
        <v>3.0429999999999957E-2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18518677.360345911</v>
      </c>
      <c r="D26" s="11">
        <v>3.0870000000000002E-2</v>
      </c>
      <c r="E26" s="10">
        <f t="shared" si="2"/>
        <v>554552.53340758383</v>
      </c>
      <c r="F26" s="3"/>
      <c r="G26" s="28"/>
      <c r="H26" s="10"/>
      <c r="I26" s="10">
        <f t="shared" si="5"/>
        <v>1111</v>
      </c>
      <c r="J26" s="10">
        <f t="shared" si="3"/>
        <v>20574250547.344307</v>
      </c>
      <c r="K26" s="11">
        <f t="shared" si="4"/>
        <v>3.0869999999999953E-2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17964124.826938327</v>
      </c>
      <c r="D27" s="11">
        <v>3.3980000000000003E-2</v>
      </c>
      <c r="E27" s="10">
        <f t="shared" si="2"/>
        <v>590360.51144061238</v>
      </c>
      <c r="F27" s="3"/>
      <c r="G27" s="28"/>
      <c r="H27" s="10"/>
      <c r="I27" s="10">
        <f t="shared" si="5"/>
        <v>1111</v>
      </c>
      <c r="J27" s="10">
        <f t="shared" si="3"/>
        <v>19958142682.728481</v>
      </c>
      <c r="K27" s="11">
        <f t="shared" si="4"/>
        <v>3.3980000000000121E-2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17373764.315497715</v>
      </c>
      <c r="D28" s="11">
        <v>3.4849999999999999E-2</v>
      </c>
      <c r="E28" s="10">
        <f t="shared" si="2"/>
        <v>585085.45817760751</v>
      </c>
      <c r="F28" s="3"/>
      <c r="G28" s="28"/>
      <c r="H28" s="10"/>
      <c r="I28" s="10">
        <f t="shared" si="5"/>
        <v>1111</v>
      </c>
      <c r="J28" s="10">
        <f t="shared" si="3"/>
        <v>19302252154.51796</v>
      </c>
      <c r="K28" s="11">
        <f t="shared" si="4"/>
        <v>3.4850000000000048E-2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16788678.857320108</v>
      </c>
      <c r="D29" s="11">
        <v>3.5299999999999998E-2</v>
      </c>
      <c r="E29" s="10">
        <f t="shared" si="2"/>
        <v>572433.46243928932</v>
      </c>
      <c r="F29" s="3"/>
      <c r="G29" s="28"/>
      <c r="H29" s="10"/>
      <c r="I29" s="10">
        <f t="shared" si="5"/>
        <v>1111</v>
      </c>
      <c r="J29" s="10">
        <f t="shared" si="3"/>
        <v>18652222210.482639</v>
      </c>
      <c r="K29" s="11">
        <f t="shared" si="4"/>
        <v>3.5299999999999665E-2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16216245.394880818</v>
      </c>
      <c r="D30" s="11">
        <v>3.524E-2</v>
      </c>
      <c r="E30" s="10">
        <f t="shared" si="2"/>
        <v>552007.73512963019</v>
      </c>
      <c r="F30" s="3"/>
      <c r="G30" s="28"/>
      <c r="H30" s="10"/>
      <c r="I30" s="10">
        <f t="shared" si="5"/>
        <v>1111</v>
      </c>
      <c r="J30" s="10">
        <f t="shared" si="3"/>
        <v>18016248633.712589</v>
      </c>
      <c r="K30" s="11">
        <f t="shared" si="4"/>
        <v>3.5239999999999938E-2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15664237.659751188</v>
      </c>
      <c r="D31" s="11">
        <v>3.5299999999999998E-2</v>
      </c>
      <c r="E31" s="10">
        <f t="shared" si="2"/>
        <v>534094.06876191869</v>
      </c>
      <c r="F31" s="3"/>
      <c r="G31" s="28"/>
      <c r="H31" s="10"/>
      <c r="I31" s="10">
        <f t="shared" si="5"/>
        <v>1111</v>
      </c>
      <c r="J31" s="10">
        <f t="shared" si="3"/>
        <v>17402968039.98357</v>
      </c>
      <c r="K31" s="11">
        <f t="shared" si="4"/>
        <v>3.5299999999999887E-2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15130143.590989269</v>
      </c>
      <c r="D32" s="11">
        <v>3.6319999999999998E-2</v>
      </c>
      <c r="E32" s="10">
        <f t="shared" si="2"/>
        <v>530267.49963788129</v>
      </c>
      <c r="F32" s="3"/>
      <c r="G32" s="28"/>
      <c r="H32" s="10"/>
      <c r="I32" s="10">
        <f t="shared" si="5"/>
        <v>1111</v>
      </c>
      <c r="J32" s="10">
        <f t="shared" si="3"/>
        <v>16809589529.589079</v>
      </c>
      <c r="K32" s="11">
        <f t="shared" si="4"/>
        <v>3.6319999999999908E-2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14599876.091351388</v>
      </c>
      <c r="D33" s="11">
        <v>3.6540000000000003E-2</v>
      </c>
      <c r="E33" s="10">
        <f t="shared" si="2"/>
        <v>514673.309643602</v>
      </c>
      <c r="F33" s="3"/>
      <c r="G33" s="28"/>
      <c r="H33" s="10"/>
      <c r="I33" s="10">
        <f t="shared" si="5"/>
        <v>1111</v>
      </c>
      <c r="J33" s="10">
        <f t="shared" si="3"/>
        <v>16220462337.491392</v>
      </c>
      <c r="K33" s="11">
        <f t="shared" si="4"/>
        <v>3.6540000000000017E-2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14085202.781707786</v>
      </c>
      <c r="D34" s="11">
        <v>3.7019999999999997E-2</v>
      </c>
      <c r="E34" s="10">
        <f t="shared" si="2"/>
        <v>502819.81734086387</v>
      </c>
      <c r="F34" s="3"/>
      <c r="G34" s="28"/>
      <c r="H34" s="10"/>
      <c r="I34" s="10">
        <f t="shared" si="5"/>
        <v>1111</v>
      </c>
      <c r="J34" s="10">
        <f t="shared" ref="J34:J65" si="6">IF(I34="","",I34*C34)</f>
        <v>15648660290.47735</v>
      </c>
      <c r="K34" s="11">
        <f t="shared" ref="K34:K65" si="7">IFERROR(J34/J35-1,"")</f>
        <v>3.7020000000000053E-2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13582382.964366922</v>
      </c>
      <c r="D35" s="11">
        <v>3.6020000000000003E-2</v>
      </c>
      <c r="E35" s="10">
        <f t="shared" si="2"/>
        <v>472227.78940222785</v>
      </c>
      <c r="F35" s="3"/>
      <c r="G35" s="28"/>
      <c r="H35" s="10"/>
      <c r="I35" s="10">
        <f t="shared" ref="I35:I66" si="8">IF(H35&lt;&gt;"",H35,I34/(1+IF(G34="",0,G34)/100))</f>
        <v>1111</v>
      </c>
      <c r="J35" s="10">
        <f t="shared" si="6"/>
        <v>15090027473.41165</v>
      </c>
      <c r="K35" s="11">
        <f t="shared" si="7"/>
        <v>3.6019999999999941E-2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13110155.174964694</v>
      </c>
      <c r="D36" s="11">
        <v>3.5520000000000003E-2</v>
      </c>
      <c r="E36" s="10">
        <f t="shared" si="2"/>
        <v>449699.38949971646</v>
      </c>
      <c r="F36" s="3"/>
      <c r="G36" s="28"/>
      <c r="H36" s="10"/>
      <c r="I36" s="10">
        <f t="shared" si="8"/>
        <v>1111</v>
      </c>
      <c r="J36" s="10">
        <f t="shared" si="6"/>
        <v>14565382399.385775</v>
      </c>
      <c r="K36" s="11">
        <f t="shared" si="7"/>
        <v>3.5519999999999996E-2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12660455.785464978</v>
      </c>
      <c r="D37" s="11">
        <v>3.5990000000000001E-2</v>
      </c>
      <c r="E37" s="10">
        <f t="shared" si="2"/>
        <v>439820.65822921507</v>
      </c>
      <c r="F37" s="3"/>
      <c r="G37" s="28"/>
      <c r="H37" s="10"/>
      <c r="I37" s="10">
        <f t="shared" si="8"/>
        <v>1111</v>
      </c>
      <c r="J37" s="10">
        <f t="shared" si="6"/>
        <v>14065766377.65159</v>
      </c>
      <c r="K37" s="11">
        <f t="shared" si="7"/>
        <v>3.5989999999999966E-2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12220635.127235763</v>
      </c>
      <c r="D38" s="11">
        <v>3.4869999999999998E-2</v>
      </c>
      <c r="E38" s="10">
        <f t="shared" si="2"/>
        <v>411774.95423261821</v>
      </c>
      <c r="F38" s="3"/>
      <c r="G38" s="28"/>
      <c r="H38" s="10"/>
      <c r="I38" s="10">
        <f t="shared" si="8"/>
        <v>1111</v>
      </c>
      <c r="J38" s="10">
        <f t="shared" si="6"/>
        <v>13577125626.358932</v>
      </c>
      <c r="K38" s="11">
        <f t="shared" si="7"/>
        <v>3.4869999999999957E-2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11808860.173003145</v>
      </c>
      <c r="D39" s="11">
        <v>3.4419999999999999E-2</v>
      </c>
      <c r="E39" s="10">
        <f t="shared" si="2"/>
        <v>392936.10637339391</v>
      </c>
      <c r="F39" s="3"/>
      <c r="G39" s="28"/>
      <c r="H39" s="10"/>
      <c r="I39" s="10">
        <f t="shared" si="8"/>
        <v>1111</v>
      </c>
      <c r="J39" s="10">
        <f t="shared" si="6"/>
        <v>13119643652.206493</v>
      </c>
      <c r="K39" s="11">
        <f t="shared" si="7"/>
        <v>3.4419999999999673E-2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11415924.066629751</v>
      </c>
      <c r="D40" s="11">
        <v>3.4419999999999999E-2</v>
      </c>
      <c r="E40" s="10">
        <f t="shared" si="2"/>
        <v>379861.28107866645</v>
      </c>
      <c r="F40" s="3"/>
      <c r="G40" s="28"/>
      <c r="H40" s="10"/>
      <c r="I40" s="10">
        <f t="shared" si="8"/>
        <v>1111</v>
      </c>
      <c r="J40" s="10">
        <f t="shared" si="6"/>
        <v>12683091638.025654</v>
      </c>
      <c r="K40" s="11">
        <f t="shared" si="7"/>
        <v>3.4419999999999895E-2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11036062.785551084</v>
      </c>
      <c r="D41" s="11">
        <v>3.1940000000000003E-2</v>
      </c>
      <c r="E41" s="10">
        <f t="shared" si="2"/>
        <v>341581.72507171147</v>
      </c>
      <c r="F41" s="3"/>
      <c r="G41" s="28"/>
      <c r="H41" s="10"/>
      <c r="I41" s="10">
        <f t="shared" si="8"/>
        <v>1111</v>
      </c>
      <c r="J41" s="10">
        <f t="shared" si="6"/>
        <v>12261065754.747255</v>
      </c>
      <c r="K41" s="11">
        <f t="shared" si="7"/>
        <v>3.1940000000000079E-2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10694481.060479373</v>
      </c>
      <c r="D42" s="11">
        <v>3.3020000000000001E-2</v>
      </c>
      <c r="E42" s="10">
        <f t="shared" si="2"/>
        <v>341844.07331613079</v>
      </c>
      <c r="F42" s="3"/>
      <c r="G42" s="28"/>
      <c r="H42" s="10"/>
      <c r="I42" s="10">
        <f t="shared" si="8"/>
        <v>1111</v>
      </c>
      <c r="J42" s="10">
        <f t="shared" si="6"/>
        <v>11881568458.192583</v>
      </c>
      <c r="K42" s="11">
        <f t="shared" si="7"/>
        <v>3.3020000000000049E-2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10352636.987163242</v>
      </c>
      <c r="D43" s="11">
        <v>3.3439999999999998E-2</v>
      </c>
      <c r="E43" s="10">
        <f t="shared" si="2"/>
        <v>334990.11152146012</v>
      </c>
      <c r="F43" s="3"/>
      <c r="G43" s="28"/>
      <c r="H43" s="10"/>
      <c r="I43" s="10">
        <f t="shared" si="8"/>
        <v>1111</v>
      </c>
      <c r="J43" s="10">
        <f t="shared" si="6"/>
        <v>11501779692.738361</v>
      </c>
      <c r="K43" s="11">
        <f t="shared" si="7"/>
        <v>3.3439999999999692E-2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10017646.875641782</v>
      </c>
      <c r="D44" s="11">
        <v>3.431E-2</v>
      </c>
      <c r="E44" s="10">
        <f t="shared" si="2"/>
        <v>332304.11027957872</v>
      </c>
      <c r="F44" s="3"/>
      <c r="G44" s="28"/>
      <c r="H44" s="10"/>
      <c r="I44" s="10">
        <f t="shared" si="8"/>
        <v>1111</v>
      </c>
      <c r="J44" s="10">
        <f t="shared" si="6"/>
        <v>11129605678.83802</v>
      </c>
      <c r="K44" s="11">
        <f t="shared" si="7"/>
        <v>3.4310000000000285E-2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9685342.7653622031</v>
      </c>
      <c r="D45" s="11">
        <v>3.4750000000000003E-2</v>
      </c>
      <c r="E45" s="10">
        <f t="shared" si="2"/>
        <v>325262.77950841933</v>
      </c>
      <c r="F45" s="3"/>
      <c r="G45" s="28"/>
      <c r="H45" s="10"/>
      <c r="I45" s="10">
        <f t="shared" si="8"/>
        <v>1111</v>
      </c>
      <c r="J45" s="10">
        <f t="shared" si="6"/>
        <v>10760415812.317408</v>
      </c>
      <c r="K45" s="11">
        <f t="shared" si="7"/>
        <v>3.4750000000000059E-2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9360079.9858537838</v>
      </c>
      <c r="D46" s="11">
        <v>3.4799999999999998E-2</v>
      </c>
      <c r="E46" s="10">
        <f t="shared" si="2"/>
        <v>314776.55924595147</v>
      </c>
      <c r="F46" s="3"/>
      <c r="G46" s="28"/>
      <c r="H46" s="10"/>
      <c r="I46" s="10">
        <f t="shared" si="8"/>
        <v>1111</v>
      </c>
      <c r="J46" s="10">
        <f t="shared" si="6"/>
        <v>10399048864.283554</v>
      </c>
      <c r="K46" s="11">
        <f t="shared" si="7"/>
        <v>3.4799999999999942E-2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9045303.4266078323</v>
      </c>
      <c r="D47" s="11">
        <v>3.7830000000000003E-2</v>
      </c>
      <c r="E47" s="10">
        <f t="shared" si="2"/>
        <v>329710.86654709838</v>
      </c>
      <c r="F47" s="3"/>
      <c r="G47" s="28"/>
      <c r="H47" s="10"/>
      <c r="I47" s="10">
        <f t="shared" si="8"/>
        <v>1111</v>
      </c>
      <c r="J47" s="10">
        <f t="shared" si="6"/>
        <v>10049332106.961302</v>
      </c>
      <c r="K47" s="11">
        <f t="shared" si="7"/>
        <v>3.783000000000003E-2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8715592.5600607339</v>
      </c>
      <c r="D48" s="11">
        <v>3.9149999999999997E-2</v>
      </c>
      <c r="E48" s="10">
        <f t="shared" si="2"/>
        <v>328360.14889705833</v>
      </c>
      <c r="F48" s="3"/>
      <c r="G48" s="28"/>
      <c r="H48" s="10"/>
      <c r="I48" s="10">
        <f t="shared" si="8"/>
        <v>1111</v>
      </c>
      <c r="J48" s="10">
        <f t="shared" si="6"/>
        <v>9683023334.2274761</v>
      </c>
      <c r="K48" s="11">
        <f t="shared" si="7"/>
        <v>3.915000000000024E-2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8387232.4111636756</v>
      </c>
      <c r="D49" s="11">
        <v>3.9320000000000001E-2</v>
      </c>
      <c r="E49" s="10">
        <f t="shared" si="2"/>
        <v>317309.37382803764</v>
      </c>
      <c r="F49" s="3"/>
      <c r="G49" s="28"/>
      <c r="H49" s="10"/>
      <c r="I49" s="10">
        <f t="shared" si="8"/>
        <v>1111</v>
      </c>
      <c r="J49" s="10">
        <f t="shared" si="6"/>
        <v>9318215208.8028431</v>
      </c>
      <c r="K49" s="11">
        <f t="shared" si="7"/>
        <v>3.93199999999998E-2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8069923.037335638</v>
      </c>
      <c r="D50" s="11">
        <v>3.9759999999999997E-2</v>
      </c>
      <c r="E50" s="10">
        <f t="shared" si="2"/>
        <v>308590.57856088411</v>
      </c>
      <c r="F50" s="3"/>
      <c r="G50" s="28"/>
      <c r="H50" s="10"/>
      <c r="I50" s="10">
        <f t="shared" si="8"/>
        <v>1111</v>
      </c>
      <c r="J50" s="10">
        <f t="shared" si="6"/>
        <v>8965684494.4798946</v>
      </c>
      <c r="K50" s="11">
        <f t="shared" si="7"/>
        <v>3.9760000000000018E-2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7761332.4587747538</v>
      </c>
      <c r="D51" s="11">
        <v>3.9570000000000001E-2</v>
      </c>
      <c r="E51" s="10">
        <f t="shared" si="2"/>
        <v>295425.92167311255</v>
      </c>
      <c r="F51" s="3"/>
      <c r="G51" s="28"/>
      <c r="H51" s="10"/>
      <c r="I51" s="10">
        <f t="shared" si="8"/>
        <v>1111</v>
      </c>
      <c r="J51" s="10">
        <f t="shared" si="6"/>
        <v>8622840361.6987514</v>
      </c>
      <c r="K51" s="11">
        <f t="shared" si="7"/>
        <v>3.9570000000000105E-2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7465906.5371016413</v>
      </c>
      <c r="D52" s="11">
        <v>4.0160000000000001E-2</v>
      </c>
      <c r="E52" s="10">
        <f t="shared" si="2"/>
        <v>288254.50558568072</v>
      </c>
      <c r="F52" s="3"/>
      <c r="G52" s="28"/>
      <c r="H52" s="10"/>
      <c r="I52" s="10">
        <f t="shared" si="8"/>
        <v>1111</v>
      </c>
      <c r="J52" s="10">
        <f t="shared" si="6"/>
        <v>8294622162.719923</v>
      </c>
      <c r="K52" s="11">
        <f t="shared" si="7"/>
        <v>4.0159999999999751E-2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7177652.0315159606</v>
      </c>
      <c r="D53" s="11">
        <v>3.9469999999999998E-2</v>
      </c>
      <c r="E53" s="10">
        <f t="shared" si="2"/>
        <v>272544.59068942256</v>
      </c>
      <c r="F53" s="3"/>
      <c r="G53" s="28"/>
      <c r="H53" s="10"/>
      <c r="I53" s="10">
        <f t="shared" si="8"/>
        <v>1111</v>
      </c>
      <c r="J53" s="10">
        <f t="shared" si="6"/>
        <v>7974371407.0142326</v>
      </c>
      <c r="K53" s="11">
        <f t="shared" si="7"/>
        <v>3.9469999999999894E-2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6905107.440826538</v>
      </c>
      <c r="D54" s="11">
        <v>3.9070000000000001E-2</v>
      </c>
      <c r="E54" s="10">
        <f t="shared" si="2"/>
        <v>259638.47258903831</v>
      </c>
      <c r="F54" s="3"/>
      <c r="G54" s="28"/>
      <c r="H54" s="10"/>
      <c r="I54" s="10">
        <f t="shared" si="8"/>
        <v>1111</v>
      </c>
      <c r="J54" s="10">
        <f t="shared" si="6"/>
        <v>7671574366.7582836</v>
      </c>
      <c r="K54" s="11">
        <f t="shared" si="7"/>
        <v>3.9069999999999716E-2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6645468.9682374997</v>
      </c>
      <c r="D55" s="11">
        <v>3.8600000000000002E-2</v>
      </c>
      <c r="E55" s="10">
        <f t="shared" si="2"/>
        <v>246981.61195259728</v>
      </c>
      <c r="F55" s="3"/>
      <c r="G55" s="28"/>
      <c r="H55" s="10"/>
      <c r="I55" s="10">
        <f t="shared" si="8"/>
        <v>1111</v>
      </c>
      <c r="J55" s="10">
        <f t="shared" si="6"/>
        <v>7383116023.7118626</v>
      </c>
      <c r="K55" s="11">
        <f t="shared" si="7"/>
        <v>3.860000000000019E-2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6398487.3562849024</v>
      </c>
      <c r="D56" s="11">
        <v>3.7909999999999999E-2</v>
      </c>
      <c r="E56" s="10">
        <f t="shared" si="2"/>
        <v>233706.82976053935</v>
      </c>
      <c r="F56" s="3"/>
      <c r="G56" s="28"/>
      <c r="H56" s="10"/>
      <c r="I56" s="10">
        <f t="shared" si="8"/>
        <v>1111</v>
      </c>
      <c r="J56" s="10">
        <f t="shared" si="6"/>
        <v>7108719452.8325262</v>
      </c>
      <c r="K56" s="11">
        <f t="shared" si="7"/>
        <v>3.7909999999999888E-2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6164780.5265243631</v>
      </c>
      <c r="D57" s="11">
        <v>3.6670000000000001E-2</v>
      </c>
      <c r="E57" s="10">
        <f t="shared" si="2"/>
        <v>218066.02092049364</v>
      </c>
      <c r="F57" s="3"/>
      <c r="G57" s="28"/>
      <c r="H57" s="10"/>
      <c r="I57" s="10">
        <f t="shared" si="8"/>
        <v>1111</v>
      </c>
      <c r="J57" s="10">
        <f t="shared" si="6"/>
        <v>6849071164.9685678</v>
      </c>
      <c r="K57" s="11">
        <f t="shared" si="7"/>
        <v>3.666999999999998E-2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5946714.5056038694</v>
      </c>
      <c r="D58" s="11">
        <v>3.5430000000000003E-2</v>
      </c>
      <c r="E58" s="10">
        <f t="shared" si="2"/>
        <v>203482.70277425367</v>
      </c>
      <c r="F58" s="3"/>
      <c r="G58" s="28"/>
      <c r="H58" s="10"/>
      <c r="I58" s="10">
        <f t="shared" si="8"/>
        <v>1111</v>
      </c>
      <c r="J58" s="10">
        <f t="shared" si="6"/>
        <v>6606799815.7258987</v>
      </c>
      <c r="K58" s="11">
        <f t="shared" si="7"/>
        <v>3.5430000000000073E-2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5743231.8028296158</v>
      </c>
      <c r="D59" s="11">
        <v>3.2469999999999999E-2</v>
      </c>
      <c r="E59" s="10">
        <f t="shared" si="2"/>
        <v>180618.06797086354</v>
      </c>
      <c r="F59" s="3"/>
      <c r="G59" s="28"/>
      <c r="H59" s="10"/>
      <c r="I59" s="10">
        <f t="shared" si="8"/>
        <v>1111</v>
      </c>
      <c r="J59" s="10">
        <f t="shared" si="6"/>
        <v>6380730532.9437027</v>
      </c>
      <c r="K59" s="11">
        <f t="shared" si="7"/>
        <v>3.2469999999999777E-2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5562613.7348587522</v>
      </c>
      <c r="D60" s="11">
        <v>3.2669999999999998E-2</v>
      </c>
      <c r="E60" s="10">
        <f t="shared" si="2"/>
        <v>175981.28222746402</v>
      </c>
      <c r="F60" s="3"/>
      <c r="G60" s="28"/>
      <c r="H60" s="10"/>
      <c r="I60" s="10">
        <f t="shared" si="8"/>
        <v>1111</v>
      </c>
      <c r="J60" s="10">
        <f t="shared" si="6"/>
        <v>6180063859.4280739</v>
      </c>
      <c r="K60" s="11">
        <f t="shared" si="7"/>
        <v>3.2669999999999977E-2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5386632.4526312882</v>
      </c>
      <c r="D61" s="11">
        <v>3.0839999999999999E-2</v>
      </c>
      <c r="E61" s="10">
        <f t="shared" si="2"/>
        <v>161153.76279456448</v>
      </c>
      <c r="F61" s="3"/>
      <c r="G61" s="28"/>
      <c r="H61" s="10"/>
      <c r="I61" s="10">
        <f t="shared" si="8"/>
        <v>1111</v>
      </c>
      <c r="J61" s="10">
        <f t="shared" si="6"/>
        <v>5984548654.8733616</v>
      </c>
      <c r="K61" s="11">
        <f t="shared" si="7"/>
        <v>3.0839999999999979E-2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5225478.6898367237</v>
      </c>
      <c r="D62" s="11">
        <v>2.9000000000000001E-2</v>
      </c>
      <c r="E62" s="10">
        <f t="shared" si="2"/>
        <v>147268.10690501891</v>
      </c>
      <c r="F62" s="3"/>
      <c r="G62" s="28"/>
      <c r="H62" s="10"/>
      <c r="I62" s="10">
        <f t="shared" si="8"/>
        <v>1111</v>
      </c>
      <c r="J62" s="10">
        <f t="shared" si="6"/>
        <v>5805506824.4085999</v>
      </c>
      <c r="K62" s="11">
        <f t="shared" si="7"/>
        <v>2.8999999999999915E-2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5078210.5829317048</v>
      </c>
      <c r="D63" s="11">
        <v>2.725E-2</v>
      </c>
      <c r="E63" s="10">
        <f t="shared" si="2"/>
        <v>134710.38051583245</v>
      </c>
      <c r="F63" s="3"/>
      <c r="G63" s="28"/>
      <c r="H63" s="10"/>
      <c r="I63" s="10">
        <f t="shared" si="8"/>
        <v>1111</v>
      </c>
      <c r="J63" s="10">
        <f t="shared" si="6"/>
        <v>5641891957.6371241</v>
      </c>
      <c r="K63" s="11">
        <f t="shared" si="7"/>
        <v>2.7249999999999996E-2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4943500.2024158724</v>
      </c>
      <c r="D64" s="11">
        <v>2.5149999999999999E-2</v>
      </c>
      <c r="E64" s="10">
        <f t="shared" si="2"/>
        <v>121278.86659587268</v>
      </c>
      <c r="F64" s="3"/>
      <c r="G64" s="28"/>
      <c r="H64" s="10"/>
      <c r="I64" s="10">
        <f t="shared" si="8"/>
        <v>1111</v>
      </c>
      <c r="J64" s="10">
        <f t="shared" si="6"/>
        <v>5492228724.8840342</v>
      </c>
      <c r="K64" s="11">
        <f t="shared" si="7"/>
        <v>2.5150000000000006E-2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4822221.3358199997</v>
      </c>
      <c r="D65" s="11">
        <v>2.4150000000000001E-2</v>
      </c>
      <c r="E65" s="10">
        <f t="shared" si="2"/>
        <v>113710.53581999987</v>
      </c>
      <c r="F65" s="3"/>
      <c r="G65" s="28"/>
      <c r="H65" s="10"/>
      <c r="I65" s="10">
        <f t="shared" si="8"/>
        <v>1111</v>
      </c>
      <c r="J65" s="10">
        <f t="shared" si="6"/>
        <v>5357487904.0960197</v>
      </c>
      <c r="K65" s="11">
        <f t="shared" si="7"/>
        <v>2.4149999999999894E-2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4708510.8</v>
      </c>
      <c r="D66" s="11">
        <v>2.2700000000000001E-2</v>
      </c>
      <c r="E66" s="10">
        <f t="shared" si="2"/>
        <v>104510.79999999981</v>
      </c>
      <c r="F66" s="24">
        <f>SUM(F2)</f>
        <v>36356117</v>
      </c>
      <c r="G66" s="28"/>
      <c r="H66" s="10"/>
      <c r="I66" s="10">
        <f t="shared" si="8"/>
        <v>1111</v>
      </c>
      <c r="J66" s="10">
        <f t="shared" ref="J66:J67" si="9">IF(I66="","",I66*C66)</f>
        <v>5231155498.8000002</v>
      </c>
      <c r="K66" s="11">
        <f t="shared" ref="K66" si="10">IFERROR(J66/J67-1,"")</f>
        <v>2.2699999999999942E-2</v>
      </c>
    </row>
    <row r="67" spans="1:11" ht="22.5" customHeight="1">
      <c r="A67" s="3">
        <f t="shared" si="0"/>
        <v>1950</v>
      </c>
      <c r="B67" s="3">
        <v>1700</v>
      </c>
      <c r="C67" s="10">
        <v>4604000</v>
      </c>
      <c r="D67" s="11">
        <v>1.9939999999999999E-2</v>
      </c>
      <c r="E67" s="3" t="s">
        <v>72</v>
      </c>
      <c r="F67" s="10">
        <f>SUM(C2)</f>
        <v>36358714.310645491</v>
      </c>
      <c r="G67" s="28"/>
      <c r="H67" s="10"/>
      <c r="I67" s="10">
        <f t="shared" ref="I67" si="11">IF(H67&lt;&gt;"",H67,I66/(1+IF(G66="",0,G66)/100))</f>
        <v>1111</v>
      </c>
      <c r="J67" s="10">
        <f t="shared" si="9"/>
        <v>5115044000</v>
      </c>
      <c r="K67" s="11"/>
    </row>
  </sheetData>
  <dataValidations count="1">
    <dataValidation type="custom" allowBlank="1" showDropDown="1" sqref="D2:D67" xr:uid="{00000000-0002-0000-4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12783114.76058523</v>
      </c>
      <c r="D2" s="11">
        <v>1.439E-2</v>
      </c>
      <c r="E2" s="10">
        <f t="shared" ref="E2:E66" si="2">SUM(C2-C3)</f>
        <v>181339.54534727335</v>
      </c>
      <c r="F2" s="15">
        <v>12783095</v>
      </c>
      <c r="G2" s="28"/>
      <c r="H2" s="10"/>
      <c r="I2" s="10">
        <f>IF(H2&lt;&gt;"",H2,7222)</f>
        <v>7222</v>
      </c>
      <c r="J2" s="10">
        <f t="shared" ref="J2:J33" si="3">IF(I2="","",I2*C2)</f>
        <v>92319654800.946533</v>
      </c>
      <c r="K2" s="11">
        <f t="shared" ref="K2:K33" si="4">IFERROR(J2/J3-1,"")</f>
        <v>1.4390000000000125E-2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12601775.215237956</v>
      </c>
      <c r="D3" s="11">
        <v>1.422E-2</v>
      </c>
      <c r="E3" s="10">
        <f t="shared" si="2"/>
        <v>176684.78590511158</v>
      </c>
      <c r="F3" s="3"/>
      <c r="G3" s="28"/>
      <c r="H3" s="10"/>
      <c r="I3" s="10">
        <f t="shared" ref="I3:I34" si="5">IF(H3&lt;&gt;"",H3,I2/(1+IF(G2="",0,G2)/100))</f>
        <v>7222</v>
      </c>
      <c r="J3" s="10">
        <f t="shared" si="3"/>
        <v>91010020604.448517</v>
      </c>
      <c r="K3" s="11">
        <f t="shared" si="4"/>
        <v>1.4219999999999899E-2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12425090.429332845</v>
      </c>
      <c r="D4" s="11">
        <v>1.4420000000000001E-2</v>
      </c>
      <c r="E4" s="10">
        <f t="shared" si="2"/>
        <v>176622.90174777806</v>
      </c>
      <c r="F4" s="3"/>
      <c r="G4" s="28"/>
      <c r="H4" s="10"/>
      <c r="I4" s="10">
        <f t="shared" si="5"/>
        <v>7222</v>
      </c>
      <c r="J4" s="10">
        <f t="shared" si="3"/>
        <v>89734003080.6418</v>
      </c>
      <c r="K4" s="11">
        <f t="shared" si="4"/>
        <v>1.4419999999999877E-2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12248467.527585067</v>
      </c>
      <c r="D5" s="11">
        <v>1.554E-2</v>
      </c>
      <c r="E5" s="10">
        <f t="shared" si="2"/>
        <v>187428.54577729478</v>
      </c>
      <c r="F5" s="3"/>
      <c r="G5" s="28"/>
      <c r="H5" s="10"/>
      <c r="I5" s="10">
        <f t="shared" si="5"/>
        <v>7222</v>
      </c>
      <c r="J5" s="10">
        <f t="shared" si="3"/>
        <v>88458432484.21936</v>
      </c>
      <c r="K5" s="11">
        <f t="shared" si="4"/>
        <v>1.5540000000000331E-2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12061038.981807772</v>
      </c>
      <c r="D6" s="11">
        <v>1.6310000000000002E-2</v>
      </c>
      <c r="E6" s="10">
        <f t="shared" si="2"/>
        <v>193558.60494660586</v>
      </c>
      <c r="F6" s="3"/>
      <c r="G6" s="28"/>
      <c r="H6" s="10"/>
      <c r="I6" s="10">
        <f t="shared" si="5"/>
        <v>7222</v>
      </c>
      <c r="J6" s="10">
        <f t="shared" si="3"/>
        <v>87104823526.615723</v>
      </c>
      <c r="K6" s="11">
        <f t="shared" si="4"/>
        <v>1.6309999999999825E-2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11867480.376861166</v>
      </c>
      <c r="D7" s="11">
        <v>1.652E-2</v>
      </c>
      <c r="E7" s="10">
        <f t="shared" si="2"/>
        <v>192864.65177836828</v>
      </c>
      <c r="F7" s="3"/>
      <c r="G7" s="28"/>
      <c r="H7" s="10"/>
      <c r="I7" s="10">
        <f t="shared" si="5"/>
        <v>7222</v>
      </c>
      <c r="J7" s="10">
        <f t="shared" si="3"/>
        <v>85706943281.691345</v>
      </c>
      <c r="K7" s="11">
        <f t="shared" si="4"/>
        <v>1.652000000000009E-2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11674615.725082798</v>
      </c>
      <c r="D8" s="11">
        <v>1.703E-2</v>
      </c>
      <c r="E8" s="10">
        <f t="shared" si="2"/>
        <v>195489.51928474195</v>
      </c>
      <c r="F8" s="3"/>
      <c r="G8" s="28"/>
      <c r="H8" s="10"/>
      <c r="I8" s="10">
        <f t="shared" si="5"/>
        <v>7222</v>
      </c>
      <c r="J8" s="10">
        <f t="shared" si="3"/>
        <v>84314074766.547974</v>
      </c>
      <c r="K8" s="11">
        <f t="shared" si="4"/>
        <v>1.7030000000000101E-2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11479126.205798056</v>
      </c>
      <c r="D9" s="11">
        <v>1.7090000000000001E-2</v>
      </c>
      <c r="E9" s="10">
        <f t="shared" si="2"/>
        <v>192881.91493091919</v>
      </c>
      <c r="F9" s="3"/>
      <c r="G9" s="28"/>
      <c r="H9" s="10"/>
      <c r="I9" s="10">
        <f t="shared" si="5"/>
        <v>7222</v>
      </c>
      <c r="J9" s="10">
        <f t="shared" si="3"/>
        <v>82902249458.27356</v>
      </c>
      <c r="K9" s="11">
        <f t="shared" si="4"/>
        <v>1.709000000000005E-2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11286244.290867137</v>
      </c>
      <c r="D10" s="11">
        <v>1.7010000000000001E-2</v>
      </c>
      <c r="E10" s="10">
        <f t="shared" si="2"/>
        <v>188768.07050830312</v>
      </c>
      <c r="F10" s="3"/>
      <c r="G10" s="28"/>
      <c r="H10" s="10"/>
      <c r="I10" s="10">
        <f t="shared" si="5"/>
        <v>7222</v>
      </c>
      <c r="J10" s="10">
        <f t="shared" si="3"/>
        <v>81509256268.642456</v>
      </c>
      <c r="K10" s="11">
        <f t="shared" si="4"/>
        <v>1.7009999999999748E-2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11097476.220358834</v>
      </c>
      <c r="D11" s="11">
        <v>1.7149999999999999E-2</v>
      </c>
      <c r="E11" s="10">
        <f t="shared" si="2"/>
        <v>187112.73379457742</v>
      </c>
      <c r="F11" s="3"/>
      <c r="G11" s="28"/>
      <c r="H11" s="10"/>
      <c r="I11" s="10">
        <f t="shared" si="5"/>
        <v>7222</v>
      </c>
      <c r="J11" s="10">
        <f t="shared" si="3"/>
        <v>80145973263.431503</v>
      </c>
      <c r="K11" s="11">
        <f t="shared" si="4"/>
        <v>1.7150000000000221E-2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10910363.486564256</v>
      </c>
      <c r="D12" s="11">
        <v>1.7219999999999999E-2</v>
      </c>
      <c r="E12" s="10">
        <f t="shared" si="2"/>
        <v>184695.99421819858</v>
      </c>
      <c r="F12" s="3"/>
      <c r="G12" s="28"/>
      <c r="H12" s="10"/>
      <c r="I12" s="10">
        <f t="shared" si="5"/>
        <v>7222</v>
      </c>
      <c r="J12" s="10">
        <f t="shared" si="3"/>
        <v>78794645099.967056</v>
      </c>
      <c r="K12" s="11">
        <f t="shared" si="4"/>
        <v>1.7219999999999791E-2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10725667.492346058</v>
      </c>
      <c r="D13" s="11">
        <v>1.738E-2</v>
      </c>
      <c r="E13" s="10">
        <f t="shared" si="2"/>
        <v>183227.60523793846</v>
      </c>
      <c r="F13" s="3"/>
      <c r="G13" s="28"/>
      <c r="H13" s="10"/>
      <c r="I13" s="10">
        <f t="shared" si="5"/>
        <v>7222</v>
      </c>
      <c r="J13" s="10">
        <f t="shared" si="3"/>
        <v>77460770629.723236</v>
      </c>
      <c r="K13" s="11">
        <f t="shared" si="4"/>
        <v>1.7379999999999951E-2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10542439.887108119</v>
      </c>
      <c r="D14" s="11">
        <v>1.7670000000000002E-2</v>
      </c>
      <c r="E14" s="10">
        <f t="shared" si="2"/>
        <v>183050.41202472523</v>
      </c>
      <c r="F14" s="3"/>
      <c r="G14" s="28"/>
      <c r="H14" s="10"/>
      <c r="I14" s="10">
        <f t="shared" si="5"/>
        <v>7222</v>
      </c>
      <c r="J14" s="10">
        <f t="shared" si="3"/>
        <v>76137500864.694839</v>
      </c>
      <c r="K14" s="11">
        <f t="shared" si="4"/>
        <v>1.7670000000000075E-2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10359389.475083394</v>
      </c>
      <c r="D15" s="11">
        <v>1.7610000000000001E-2</v>
      </c>
      <c r="E15" s="10">
        <f t="shared" si="2"/>
        <v>179271.8710077703</v>
      </c>
      <c r="F15" s="3"/>
      <c r="G15" s="28"/>
      <c r="H15" s="10"/>
      <c r="I15" s="10">
        <f t="shared" si="5"/>
        <v>7222</v>
      </c>
      <c r="J15" s="10">
        <f t="shared" si="3"/>
        <v>74815510789.052277</v>
      </c>
      <c r="K15" s="11">
        <f t="shared" si="4"/>
        <v>1.7609999999999904E-2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10180117.604075624</v>
      </c>
      <c r="D16" s="11">
        <v>1.736E-2</v>
      </c>
      <c r="E16" s="10">
        <f t="shared" si="2"/>
        <v>173711.21491581388</v>
      </c>
      <c r="F16" s="3"/>
      <c r="G16" s="28"/>
      <c r="H16" s="10"/>
      <c r="I16" s="10">
        <f t="shared" si="5"/>
        <v>7222</v>
      </c>
      <c r="J16" s="10">
        <f t="shared" si="3"/>
        <v>73520809336.634155</v>
      </c>
      <c r="K16" s="11">
        <f t="shared" si="4"/>
        <v>1.7360000000000042E-2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10006406.38915981</v>
      </c>
      <c r="D17" s="11">
        <v>1.7260000000000001E-2</v>
      </c>
      <c r="E17" s="10">
        <f t="shared" si="2"/>
        <v>169780.16856742464</v>
      </c>
      <c r="F17" s="3"/>
      <c r="G17" s="28"/>
      <c r="H17" s="10"/>
      <c r="I17" s="10">
        <f t="shared" si="5"/>
        <v>7222</v>
      </c>
      <c r="J17" s="10">
        <f t="shared" si="3"/>
        <v>72266266942.512146</v>
      </c>
      <c r="K17" s="11">
        <f t="shared" si="4"/>
        <v>1.7259999999999831E-2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9836626.2205923852</v>
      </c>
      <c r="D18" s="11">
        <v>1.7469999999999999E-2</v>
      </c>
      <c r="E18" s="10">
        <f t="shared" si="2"/>
        <v>168895.25988358445</v>
      </c>
      <c r="F18" s="3"/>
      <c r="G18" s="28"/>
      <c r="H18" s="10"/>
      <c r="I18" s="10">
        <f t="shared" si="5"/>
        <v>7222</v>
      </c>
      <c r="J18" s="10">
        <f t="shared" si="3"/>
        <v>71040114565.11821</v>
      </c>
      <c r="K18" s="11">
        <f t="shared" si="4"/>
        <v>1.7470000000000319E-2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9667730.9607088007</v>
      </c>
      <c r="D19" s="11">
        <v>1.8069999999999999E-2</v>
      </c>
      <c r="E19" s="10">
        <f t="shared" si="2"/>
        <v>171595.17367175967</v>
      </c>
      <c r="F19" s="3"/>
      <c r="G19" s="28"/>
      <c r="H19" s="10"/>
      <c r="I19" s="10">
        <f t="shared" si="5"/>
        <v>7222</v>
      </c>
      <c r="J19" s="10">
        <f t="shared" si="3"/>
        <v>69820352998.238953</v>
      </c>
      <c r="K19" s="11">
        <f t="shared" si="4"/>
        <v>1.8069999999999808E-2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9496135.787037041</v>
      </c>
      <c r="D20" s="11">
        <v>1.8180000000000002E-2</v>
      </c>
      <c r="E20" s="10">
        <f t="shared" si="2"/>
        <v>169557.19873532653</v>
      </c>
      <c r="F20" s="3"/>
      <c r="G20" s="28"/>
      <c r="H20" s="10"/>
      <c r="I20" s="10">
        <f t="shared" si="5"/>
        <v>7222</v>
      </c>
      <c r="J20" s="10">
        <f t="shared" si="3"/>
        <v>68581092653.981514</v>
      </c>
      <c r="K20" s="11">
        <f t="shared" si="4"/>
        <v>1.8180000000000307E-2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9326578.5883017145</v>
      </c>
      <c r="D21" s="11">
        <v>1.8759999999999999E-2</v>
      </c>
      <c r="E21" s="10">
        <f t="shared" si="2"/>
        <v>171744.68404387683</v>
      </c>
      <c r="F21" s="3"/>
      <c r="G21" s="28"/>
      <c r="H21" s="10"/>
      <c r="I21" s="10">
        <f t="shared" si="5"/>
        <v>7222</v>
      </c>
      <c r="J21" s="10">
        <f t="shared" si="3"/>
        <v>67356550564.714981</v>
      </c>
      <c r="K21" s="11">
        <f t="shared" si="4"/>
        <v>1.8759999999999888E-2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9154833.9042578377</v>
      </c>
      <c r="D22" s="11">
        <v>1.8919999999999999E-2</v>
      </c>
      <c r="E22" s="10">
        <f t="shared" si="2"/>
        <v>169993.18638220802</v>
      </c>
      <c r="F22" s="3"/>
      <c r="G22" s="28"/>
      <c r="H22" s="10"/>
      <c r="I22" s="10">
        <f t="shared" si="5"/>
        <v>7222</v>
      </c>
      <c r="J22" s="10">
        <f t="shared" si="3"/>
        <v>66116210456.550102</v>
      </c>
      <c r="K22" s="11">
        <f t="shared" si="4"/>
        <v>1.8920000000000048E-2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8984840.7178756297</v>
      </c>
      <c r="D23" s="11">
        <v>1.9120000000000002E-2</v>
      </c>
      <c r="E23" s="10">
        <f t="shared" si="2"/>
        <v>168567.15060619265</v>
      </c>
      <c r="F23" s="3"/>
      <c r="G23" s="28"/>
      <c r="H23" s="10"/>
      <c r="I23" s="10">
        <f t="shared" si="5"/>
        <v>7222</v>
      </c>
      <c r="J23" s="10">
        <f t="shared" si="3"/>
        <v>64888519664.497795</v>
      </c>
      <c r="K23" s="11">
        <f t="shared" si="4"/>
        <v>1.9120000000000026E-2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8816273.567269437</v>
      </c>
      <c r="D24" s="11">
        <v>1.959E-2</v>
      </c>
      <c r="E24" s="10">
        <f t="shared" si="2"/>
        <v>169392.4020270966</v>
      </c>
      <c r="F24" s="3"/>
      <c r="G24" s="28"/>
      <c r="H24" s="10"/>
      <c r="I24" s="10">
        <f t="shared" si="5"/>
        <v>7222</v>
      </c>
      <c r="J24" s="10">
        <f t="shared" si="3"/>
        <v>63671127702.819878</v>
      </c>
      <c r="K24" s="11">
        <f t="shared" si="4"/>
        <v>1.9589999999999996E-2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8646881.1652423404</v>
      </c>
      <c r="D25" s="11">
        <v>2.103E-2</v>
      </c>
      <c r="E25" s="10">
        <f t="shared" si="2"/>
        <v>178098.49946137518</v>
      </c>
      <c r="F25" s="3"/>
      <c r="G25" s="28"/>
      <c r="H25" s="10"/>
      <c r="I25" s="10">
        <f t="shared" si="5"/>
        <v>7222</v>
      </c>
      <c r="J25" s="10">
        <f t="shared" si="3"/>
        <v>62447775775.38018</v>
      </c>
      <c r="K25" s="11">
        <f t="shared" si="4"/>
        <v>2.1030000000000104E-2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8468782.6657809652</v>
      </c>
      <c r="D26" s="11">
        <v>2.1090000000000001E-2</v>
      </c>
      <c r="E26" s="10">
        <f t="shared" si="2"/>
        <v>174917.61394325737</v>
      </c>
      <c r="F26" s="3"/>
      <c r="G26" s="28"/>
      <c r="H26" s="10"/>
      <c r="I26" s="10">
        <f t="shared" si="5"/>
        <v>7222</v>
      </c>
      <c r="J26" s="10">
        <f t="shared" si="3"/>
        <v>61161548412.270134</v>
      </c>
      <c r="K26" s="11">
        <f t="shared" si="4"/>
        <v>2.1090000000000053E-2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8293865.0518377079</v>
      </c>
      <c r="D27" s="11">
        <v>2.213E-2</v>
      </c>
      <c r="E27" s="10">
        <f t="shared" si="2"/>
        <v>179569.36358111817</v>
      </c>
      <c r="F27" s="3"/>
      <c r="G27" s="28"/>
      <c r="H27" s="10"/>
      <c r="I27" s="10">
        <f t="shared" si="5"/>
        <v>7222</v>
      </c>
      <c r="J27" s="10">
        <f t="shared" si="3"/>
        <v>59898293404.371925</v>
      </c>
      <c r="K27" s="11">
        <f t="shared" si="4"/>
        <v>2.2129999999999983E-2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8114295.6882565897</v>
      </c>
      <c r="D28" s="11">
        <v>2.264E-2</v>
      </c>
      <c r="E28" s="10">
        <f t="shared" si="2"/>
        <v>179640.59139299206</v>
      </c>
      <c r="F28" s="3"/>
      <c r="G28" s="28"/>
      <c r="H28" s="10"/>
      <c r="I28" s="10">
        <f t="shared" si="5"/>
        <v>7222</v>
      </c>
      <c r="J28" s="10">
        <f t="shared" si="3"/>
        <v>58601443460.589088</v>
      </c>
      <c r="K28" s="11">
        <f t="shared" si="4"/>
        <v>2.2639999999999993E-2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7934655.0968635976</v>
      </c>
      <c r="D29" s="11">
        <v>2.3E-2</v>
      </c>
      <c r="E29" s="10">
        <f t="shared" si="2"/>
        <v>178394.00511032436</v>
      </c>
      <c r="F29" s="3"/>
      <c r="G29" s="28"/>
      <c r="H29" s="10"/>
      <c r="I29" s="10">
        <f t="shared" si="5"/>
        <v>7222</v>
      </c>
      <c r="J29" s="10">
        <f t="shared" si="3"/>
        <v>57304079109.548904</v>
      </c>
      <c r="K29" s="11">
        <f t="shared" si="4"/>
        <v>2.2999999999999909E-2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7756261.0917532733</v>
      </c>
      <c r="D30" s="11">
        <v>2.3810000000000001E-2</v>
      </c>
      <c r="E30" s="10">
        <f t="shared" si="2"/>
        <v>180381.68858933449</v>
      </c>
      <c r="F30" s="3"/>
      <c r="G30" s="28"/>
      <c r="H30" s="10"/>
      <c r="I30" s="10">
        <f t="shared" si="5"/>
        <v>7222</v>
      </c>
      <c r="J30" s="10">
        <f t="shared" si="3"/>
        <v>56015717604.642143</v>
      </c>
      <c r="K30" s="11">
        <f t="shared" si="4"/>
        <v>2.3810000000000331E-2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7575879.4031639388</v>
      </c>
      <c r="D31" s="11">
        <v>2.4490000000000001E-2</v>
      </c>
      <c r="E31" s="10">
        <f t="shared" si="2"/>
        <v>181098.19186471682</v>
      </c>
      <c r="F31" s="3"/>
      <c r="G31" s="28"/>
      <c r="H31" s="10"/>
      <c r="I31" s="10">
        <f t="shared" si="5"/>
        <v>7222</v>
      </c>
      <c r="J31" s="10">
        <f t="shared" si="3"/>
        <v>54713001049.649963</v>
      </c>
      <c r="K31" s="11">
        <f t="shared" si="4"/>
        <v>2.4489999999999679E-2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7394781.211299222</v>
      </c>
      <c r="D32" s="11">
        <v>2.5340000000000001E-2</v>
      </c>
      <c r="E32" s="10">
        <f t="shared" si="2"/>
        <v>182752.799943747</v>
      </c>
      <c r="F32" s="3"/>
      <c r="G32" s="28"/>
      <c r="H32" s="10"/>
      <c r="I32" s="10">
        <f t="shared" si="5"/>
        <v>7222</v>
      </c>
      <c r="J32" s="10">
        <f t="shared" si="3"/>
        <v>53405109908.002983</v>
      </c>
      <c r="K32" s="11">
        <f t="shared" si="4"/>
        <v>2.5339999999999918E-2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7212028.411355475</v>
      </c>
      <c r="D33" s="11">
        <v>2.6100000000000002E-2</v>
      </c>
      <c r="E33" s="10">
        <f t="shared" si="2"/>
        <v>183446.00091256015</v>
      </c>
      <c r="F33" s="3"/>
      <c r="G33" s="28"/>
      <c r="H33" s="10"/>
      <c r="I33" s="10">
        <f t="shared" si="5"/>
        <v>7222</v>
      </c>
      <c r="J33" s="10">
        <f t="shared" si="3"/>
        <v>52085269186.809242</v>
      </c>
      <c r="K33" s="11">
        <f t="shared" si="4"/>
        <v>2.6100000000000234E-2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7028582.4104429148</v>
      </c>
      <c r="D34" s="11">
        <v>2.6239999999999999E-2</v>
      </c>
      <c r="E34" s="10">
        <f t="shared" si="2"/>
        <v>179714.29923801683</v>
      </c>
      <c r="F34" s="3"/>
      <c r="G34" s="28"/>
      <c r="H34" s="10"/>
      <c r="I34" s="10">
        <f t="shared" si="5"/>
        <v>7222</v>
      </c>
      <c r="J34" s="10">
        <f t="shared" ref="J34:J65" si="6">IF(I34="","",I34*C34)</f>
        <v>50760422168.218727</v>
      </c>
      <c r="K34" s="11">
        <f t="shared" ref="K34:K65" si="7">IFERROR(J34/J35-1,"")</f>
        <v>2.6240000000000041E-2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6848868.111204898</v>
      </c>
      <c r="D35" s="11">
        <v>2.6280000000000001E-2</v>
      </c>
      <c r="E35" s="10">
        <f t="shared" si="2"/>
        <v>175379.28631802741</v>
      </c>
      <c r="F35" s="3"/>
      <c r="G35" s="28"/>
      <c r="H35" s="10"/>
      <c r="I35" s="10">
        <f t="shared" ref="I35:I66" si="8">IF(H35&lt;&gt;"",H35,I34/(1+IF(G34="",0,G34)/100))</f>
        <v>7222</v>
      </c>
      <c r="J35" s="10">
        <f t="shared" si="6"/>
        <v>49462525499.121773</v>
      </c>
      <c r="K35" s="11">
        <f t="shared" si="7"/>
        <v>2.6280000000000081E-2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6673488.8248868706</v>
      </c>
      <c r="D36" s="11">
        <v>2.6530000000000001E-2</v>
      </c>
      <c r="E36" s="10">
        <f t="shared" si="2"/>
        <v>172471.97697509918</v>
      </c>
      <c r="F36" s="3"/>
      <c r="G36" s="28"/>
      <c r="H36" s="10"/>
      <c r="I36" s="10">
        <f t="shared" si="8"/>
        <v>7222</v>
      </c>
      <c r="J36" s="10">
        <f t="shared" si="6"/>
        <v>48195936293.332977</v>
      </c>
      <c r="K36" s="11">
        <f t="shared" si="7"/>
        <v>2.6529999999999943E-2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6501016.8479117714</v>
      </c>
      <c r="D37" s="11">
        <v>2.6890000000000001E-2</v>
      </c>
      <c r="E37" s="10">
        <f t="shared" si="2"/>
        <v>170234.73112051748</v>
      </c>
      <c r="F37" s="3"/>
      <c r="G37" s="28"/>
      <c r="H37" s="10"/>
      <c r="I37" s="10">
        <f t="shared" si="8"/>
        <v>7222</v>
      </c>
      <c r="J37" s="10">
        <f t="shared" si="6"/>
        <v>46950343675.618813</v>
      </c>
      <c r="K37" s="11">
        <f t="shared" si="7"/>
        <v>2.6890000000000081E-2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6330782.1167912539</v>
      </c>
      <c r="D38" s="11">
        <v>2.6980000000000001E-2</v>
      </c>
      <c r="E38" s="10">
        <f t="shared" si="2"/>
        <v>166317.26178798825</v>
      </c>
      <c r="F38" s="3"/>
      <c r="G38" s="28"/>
      <c r="H38" s="10"/>
      <c r="I38" s="10">
        <f t="shared" si="8"/>
        <v>7222</v>
      </c>
      <c r="J38" s="10">
        <f t="shared" si="6"/>
        <v>45720908447.466438</v>
      </c>
      <c r="K38" s="11">
        <f t="shared" si="7"/>
        <v>2.6980000000000004E-2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6164464.8550032657</v>
      </c>
      <c r="D39" s="11">
        <v>2.7269999999999999E-2</v>
      </c>
      <c r="E39" s="10">
        <f t="shared" si="2"/>
        <v>163642.42759541143</v>
      </c>
      <c r="F39" s="3"/>
      <c r="G39" s="28"/>
      <c r="H39" s="10"/>
      <c r="I39" s="10">
        <f t="shared" si="8"/>
        <v>7222</v>
      </c>
      <c r="J39" s="10">
        <f t="shared" si="6"/>
        <v>44519765182.833588</v>
      </c>
      <c r="K39" s="11">
        <f t="shared" si="7"/>
        <v>2.7269999999999905E-2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6000822.4274078542</v>
      </c>
      <c r="D40" s="11">
        <v>2.76E-2</v>
      </c>
      <c r="E40" s="10">
        <f t="shared" si="2"/>
        <v>161174.28863026202</v>
      </c>
      <c r="F40" s="3"/>
      <c r="G40" s="28"/>
      <c r="H40" s="10"/>
      <c r="I40" s="10">
        <f t="shared" si="8"/>
        <v>7222</v>
      </c>
      <c r="J40" s="10">
        <f t="shared" si="6"/>
        <v>43337939570.739525</v>
      </c>
      <c r="K40" s="11">
        <f t="shared" si="7"/>
        <v>2.7600000000000069E-2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5839648.1387775922</v>
      </c>
      <c r="D41" s="11">
        <v>2.7879999999999999E-2</v>
      </c>
      <c r="E41" s="10">
        <f t="shared" si="2"/>
        <v>158393.38260217011</v>
      </c>
      <c r="F41" s="3"/>
      <c r="G41" s="28"/>
      <c r="H41" s="10"/>
      <c r="I41" s="10">
        <f t="shared" si="8"/>
        <v>7222</v>
      </c>
      <c r="J41" s="10">
        <f t="shared" si="6"/>
        <v>42173938858.25177</v>
      </c>
      <c r="K41" s="11">
        <f t="shared" si="7"/>
        <v>2.7879999999999905E-2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5681254.7561754221</v>
      </c>
      <c r="D42" s="11">
        <v>2.827E-2</v>
      </c>
      <c r="E42" s="10">
        <f t="shared" si="2"/>
        <v>156193.48221486527</v>
      </c>
      <c r="F42" s="3"/>
      <c r="G42" s="28"/>
      <c r="H42" s="10"/>
      <c r="I42" s="10">
        <f t="shared" si="8"/>
        <v>7222</v>
      </c>
      <c r="J42" s="10">
        <f t="shared" si="6"/>
        <v>41030021849.0989</v>
      </c>
      <c r="K42" s="11">
        <f t="shared" si="7"/>
        <v>2.8270000000000017E-2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5525061.2739605568</v>
      </c>
      <c r="D43" s="11">
        <v>2.8639999999999999E-2</v>
      </c>
      <c r="E43" s="10">
        <f t="shared" si="2"/>
        <v>153832.00622786395</v>
      </c>
      <c r="F43" s="3"/>
      <c r="G43" s="28"/>
      <c r="H43" s="10"/>
      <c r="I43" s="10">
        <f t="shared" si="8"/>
        <v>7222</v>
      </c>
      <c r="J43" s="10">
        <f t="shared" si="6"/>
        <v>39901992520.543144</v>
      </c>
      <c r="K43" s="11">
        <f t="shared" si="7"/>
        <v>2.8639999999999999E-2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5371229.2677326929</v>
      </c>
      <c r="D44" s="11">
        <v>2.9000000000000001E-2</v>
      </c>
      <c r="E44" s="10">
        <f t="shared" si="2"/>
        <v>151375.7519574808</v>
      </c>
      <c r="F44" s="3"/>
      <c r="G44" s="28"/>
      <c r="H44" s="10"/>
      <c r="I44" s="10">
        <f t="shared" si="8"/>
        <v>7222</v>
      </c>
      <c r="J44" s="10">
        <f t="shared" si="6"/>
        <v>38791017771.565506</v>
      </c>
      <c r="K44" s="11">
        <f t="shared" si="7"/>
        <v>2.8999999999999915E-2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5219853.5157752121</v>
      </c>
      <c r="D45" s="11">
        <v>2.9270000000000001E-2</v>
      </c>
      <c r="E45" s="10">
        <f t="shared" si="2"/>
        <v>148440.26582601294</v>
      </c>
      <c r="F45" s="3"/>
      <c r="G45" s="28"/>
      <c r="H45" s="10"/>
      <c r="I45" s="10">
        <f t="shared" si="8"/>
        <v>7222</v>
      </c>
      <c r="J45" s="10">
        <f t="shared" si="6"/>
        <v>37697782090.928581</v>
      </c>
      <c r="K45" s="11">
        <f t="shared" si="7"/>
        <v>2.9269999999999907E-2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5071413.2499491991</v>
      </c>
      <c r="D46" s="11">
        <v>2.9479999999999999E-2</v>
      </c>
      <c r="E46" s="10">
        <f t="shared" si="2"/>
        <v>145224.05739645474</v>
      </c>
      <c r="F46" s="3"/>
      <c r="G46" s="28"/>
      <c r="H46" s="10"/>
      <c r="I46" s="10">
        <f t="shared" si="8"/>
        <v>7222</v>
      </c>
      <c r="J46" s="10">
        <f t="shared" si="6"/>
        <v>36625746491.133118</v>
      </c>
      <c r="K46" s="11">
        <f t="shared" si="7"/>
        <v>2.9479999999999951E-2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4926189.1925527444</v>
      </c>
      <c r="D47" s="11">
        <v>2.964E-2</v>
      </c>
      <c r="E47" s="10">
        <f t="shared" si="2"/>
        <v>141809.02807511762</v>
      </c>
      <c r="F47" s="3"/>
      <c r="G47" s="28"/>
      <c r="H47" s="10"/>
      <c r="I47" s="10">
        <f t="shared" si="8"/>
        <v>7222</v>
      </c>
      <c r="J47" s="10">
        <f t="shared" si="6"/>
        <v>35576938348.615921</v>
      </c>
      <c r="K47" s="11">
        <f t="shared" si="7"/>
        <v>2.9640000000000111E-2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4784380.1644776268</v>
      </c>
      <c r="D48" s="11">
        <v>2.9770000000000001E-2</v>
      </c>
      <c r="E48" s="10">
        <f t="shared" si="2"/>
        <v>138313.40735941008</v>
      </c>
      <c r="F48" s="3"/>
      <c r="G48" s="28"/>
      <c r="H48" s="10"/>
      <c r="I48" s="10">
        <f t="shared" si="8"/>
        <v>7222</v>
      </c>
      <c r="J48" s="10">
        <f t="shared" si="6"/>
        <v>34552793547.857422</v>
      </c>
      <c r="K48" s="11">
        <f t="shared" si="7"/>
        <v>2.9770000000000296E-2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4646066.7571182167</v>
      </c>
      <c r="D49" s="11">
        <v>2.9870000000000001E-2</v>
      </c>
      <c r="E49" s="10">
        <f t="shared" si="2"/>
        <v>134752.94360950589</v>
      </c>
      <c r="F49" s="3"/>
      <c r="G49" s="28"/>
      <c r="H49" s="10"/>
      <c r="I49" s="10">
        <f t="shared" si="8"/>
        <v>7222</v>
      </c>
      <c r="J49" s="10">
        <f t="shared" si="6"/>
        <v>33553894119.907761</v>
      </c>
      <c r="K49" s="11">
        <f t="shared" si="7"/>
        <v>2.9870000000000285E-2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4511313.8135087108</v>
      </c>
      <c r="D50" s="11">
        <v>2.9850000000000002E-2</v>
      </c>
      <c r="E50" s="10">
        <f t="shared" si="2"/>
        <v>130759.54491744842</v>
      </c>
      <c r="F50" s="3"/>
      <c r="G50" s="28"/>
      <c r="H50" s="10"/>
      <c r="I50" s="10">
        <f t="shared" si="8"/>
        <v>7222</v>
      </c>
      <c r="J50" s="10">
        <f t="shared" si="6"/>
        <v>32580708361.159908</v>
      </c>
      <c r="K50" s="11">
        <f t="shared" si="7"/>
        <v>2.984999999999971E-2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4380554.2685912624</v>
      </c>
      <c r="D51" s="11">
        <v>2.9760000000000002E-2</v>
      </c>
      <c r="E51" s="10">
        <f t="shared" si="2"/>
        <v>126597.74610907026</v>
      </c>
      <c r="F51" s="3"/>
      <c r="G51" s="28"/>
      <c r="H51" s="10"/>
      <c r="I51" s="10">
        <f t="shared" si="8"/>
        <v>7222</v>
      </c>
      <c r="J51" s="10">
        <f t="shared" si="6"/>
        <v>31636362927.766098</v>
      </c>
      <c r="K51" s="11">
        <f t="shared" si="7"/>
        <v>2.9760000000000231E-2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4253956.5224821921</v>
      </c>
      <c r="D52" s="11">
        <v>2.9590000000000002E-2</v>
      </c>
      <c r="E52" s="10">
        <f t="shared" si="2"/>
        <v>122256.98919011233</v>
      </c>
      <c r="F52" s="3"/>
      <c r="G52" s="28"/>
      <c r="H52" s="10"/>
      <c r="I52" s="10">
        <f t="shared" si="8"/>
        <v>7222</v>
      </c>
      <c r="J52" s="10">
        <f t="shared" si="6"/>
        <v>30722074005.36639</v>
      </c>
      <c r="K52" s="11">
        <f t="shared" si="7"/>
        <v>2.9589999999999783E-2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4131699.5332920798</v>
      </c>
      <c r="D53" s="11">
        <v>2.9350000000000001E-2</v>
      </c>
      <c r="E53" s="10">
        <f t="shared" si="2"/>
        <v>117807.72458553687</v>
      </c>
      <c r="F53" s="3"/>
      <c r="G53" s="28"/>
      <c r="H53" s="10"/>
      <c r="I53" s="10">
        <f t="shared" si="8"/>
        <v>7222</v>
      </c>
      <c r="J53" s="10">
        <f t="shared" si="6"/>
        <v>29839134029.435402</v>
      </c>
      <c r="K53" s="11">
        <f t="shared" si="7"/>
        <v>2.9349999999999987E-2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4013891.8087065429</v>
      </c>
      <c r="D54" s="11">
        <v>2.9049999999999999E-2</v>
      </c>
      <c r="E54" s="10">
        <f t="shared" si="2"/>
        <v>113311.84786251886</v>
      </c>
      <c r="F54" s="3"/>
      <c r="G54" s="28"/>
      <c r="H54" s="10"/>
      <c r="I54" s="10">
        <f t="shared" si="8"/>
        <v>7222</v>
      </c>
      <c r="J54" s="10">
        <f t="shared" si="6"/>
        <v>28988326642.478653</v>
      </c>
      <c r="K54" s="11">
        <f t="shared" si="7"/>
        <v>2.905000000000002E-2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3900579.9608440241</v>
      </c>
      <c r="D55" s="11">
        <v>2.8729999999999999E-2</v>
      </c>
      <c r="E55" s="10">
        <f t="shared" si="2"/>
        <v>108933.98877747171</v>
      </c>
      <c r="F55" s="3"/>
      <c r="G55" s="28"/>
      <c r="H55" s="10"/>
      <c r="I55" s="10">
        <f t="shared" si="8"/>
        <v>7222</v>
      </c>
      <c r="J55" s="10">
        <f t="shared" si="6"/>
        <v>28169988477.215542</v>
      </c>
      <c r="K55" s="11">
        <f t="shared" si="7"/>
        <v>2.8729999999999922E-2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3791645.9720665524</v>
      </c>
      <c r="D56" s="11">
        <v>2.843E-2</v>
      </c>
      <c r="E56" s="10">
        <f t="shared" si="2"/>
        <v>104816.56017993623</v>
      </c>
      <c r="F56" s="3"/>
      <c r="G56" s="28"/>
      <c r="H56" s="10"/>
      <c r="I56" s="10">
        <f t="shared" si="8"/>
        <v>7222</v>
      </c>
      <c r="J56" s="10">
        <f t="shared" si="6"/>
        <v>27383267210.264641</v>
      </c>
      <c r="K56" s="11">
        <f t="shared" si="7"/>
        <v>2.8429999999999955E-2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3686829.4118866161</v>
      </c>
      <c r="D57" s="11">
        <v>2.802E-2</v>
      </c>
      <c r="E57" s="10">
        <f t="shared" si="2"/>
        <v>100489.25129964668</v>
      </c>
      <c r="F57" s="3"/>
      <c r="G57" s="28"/>
      <c r="H57" s="10"/>
      <c r="I57" s="10">
        <f t="shared" si="8"/>
        <v>7222</v>
      </c>
      <c r="J57" s="10">
        <f t="shared" si="6"/>
        <v>26626282012.645142</v>
      </c>
      <c r="K57" s="11">
        <f t="shared" si="7"/>
        <v>2.8019999999999934E-2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3586340.1605869695</v>
      </c>
      <c r="D58" s="11">
        <v>2.7699999999999999E-2</v>
      </c>
      <c r="E58" s="10">
        <f t="shared" si="2"/>
        <v>96664.028849137947</v>
      </c>
      <c r="F58" s="3"/>
      <c r="G58" s="28"/>
      <c r="H58" s="10"/>
      <c r="I58" s="10">
        <f t="shared" si="8"/>
        <v>7222</v>
      </c>
      <c r="J58" s="10">
        <f t="shared" si="6"/>
        <v>25900548639.759094</v>
      </c>
      <c r="K58" s="11">
        <f t="shared" si="7"/>
        <v>2.7700000000000058E-2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3489676.1317378315</v>
      </c>
      <c r="D59" s="11">
        <v>2.7369999999999998E-2</v>
      </c>
      <c r="E59" s="10">
        <f t="shared" si="2"/>
        <v>92967.904188037384</v>
      </c>
      <c r="F59" s="3"/>
      <c r="G59" s="28"/>
      <c r="H59" s="10"/>
      <c r="I59" s="10">
        <f t="shared" si="8"/>
        <v>7222</v>
      </c>
      <c r="J59" s="10">
        <f t="shared" si="6"/>
        <v>25202441023.410618</v>
      </c>
      <c r="K59" s="11">
        <f t="shared" si="7"/>
        <v>2.7369999999999894E-2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3396708.2275497941</v>
      </c>
      <c r="D60" s="11">
        <v>2.707E-2</v>
      </c>
      <c r="E60" s="10">
        <f t="shared" si="2"/>
        <v>89525.438110131305</v>
      </c>
      <c r="F60" s="3"/>
      <c r="G60" s="28"/>
      <c r="H60" s="10"/>
      <c r="I60" s="10">
        <f t="shared" si="8"/>
        <v>7222</v>
      </c>
      <c r="J60" s="10">
        <f t="shared" si="6"/>
        <v>24531026819.364613</v>
      </c>
      <c r="K60" s="11">
        <f t="shared" si="7"/>
        <v>2.7069999999999927E-2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3307182.7894396628</v>
      </c>
      <c r="D61" s="11">
        <v>2.6800000000000001E-2</v>
      </c>
      <c r="E61" s="10">
        <f t="shared" si="2"/>
        <v>86319.145653469954</v>
      </c>
      <c r="F61" s="3"/>
      <c r="G61" s="28"/>
      <c r="H61" s="10"/>
      <c r="I61" s="10">
        <f t="shared" si="8"/>
        <v>7222</v>
      </c>
      <c r="J61" s="10">
        <f t="shared" si="6"/>
        <v>23884474105.333244</v>
      </c>
      <c r="K61" s="11">
        <f t="shared" si="7"/>
        <v>2.6799999999999935E-2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3220863.6437861929</v>
      </c>
      <c r="D62" s="11">
        <v>2.657E-2</v>
      </c>
      <c r="E62" s="10">
        <f t="shared" si="2"/>
        <v>83363.381956806872</v>
      </c>
      <c r="F62" s="3"/>
      <c r="G62" s="28"/>
      <c r="H62" s="10"/>
      <c r="I62" s="10">
        <f t="shared" si="8"/>
        <v>7222</v>
      </c>
      <c r="J62" s="10">
        <f t="shared" si="6"/>
        <v>23261077235.423885</v>
      </c>
      <c r="K62" s="11">
        <f t="shared" si="7"/>
        <v>2.6569999999999983E-2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3137500.261829386</v>
      </c>
      <c r="D63" s="11">
        <v>2.6380000000000001E-2</v>
      </c>
      <c r="E63" s="10">
        <f t="shared" si="2"/>
        <v>80639.974382840097</v>
      </c>
      <c r="F63" s="3"/>
      <c r="G63" s="28"/>
      <c r="H63" s="10"/>
      <c r="I63" s="10">
        <f t="shared" si="8"/>
        <v>7222</v>
      </c>
      <c r="J63" s="10">
        <f t="shared" si="6"/>
        <v>22659026890.931828</v>
      </c>
      <c r="K63" s="11">
        <f t="shared" si="7"/>
        <v>2.6380000000000292E-2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3056860.2874465459</v>
      </c>
      <c r="D64" s="11">
        <v>2.6190000000000001E-2</v>
      </c>
      <c r="E64" s="10">
        <f t="shared" si="2"/>
        <v>78015.933626545593</v>
      </c>
      <c r="F64" s="3"/>
      <c r="G64" s="28"/>
      <c r="H64" s="10"/>
      <c r="I64" s="10">
        <f t="shared" si="8"/>
        <v>7222</v>
      </c>
      <c r="J64" s="10">
        <f t="shared" si="6"/>
        <v>22076644995.938953</v>
      </c>
      <c r="K64" s="11">
        <f t="shared" si="7"/>
        <v>2.6189999999999714E-2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2978844.3538200003</v>
      </c>
      <c r="D65" s="11">
        <v>2.5999999999999999E-2</v>
      </c>
      <c r="E65" s="10">
        <f t="shared" si="2"/>
        <v>75487.283820000011</v>
      </c>
      <c r="F65" s="3"/>
      <c r="G65" s="28"/>
      <c r="H65" s="10"/>
      <c r="I65" s="10">
        <f t="shared" si="8"/>
        <v>7222</v>
      </c>
      <c r="J65" s="10">
        <f t="shared" si="6"/>
        <v>21513213923.288044</v>
      </c>
      <c r="K65" s="11">
        <f t="shared" si="7"/>
        <v>2.6000000000000245E-2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2903357.0700000003</v>
      </c>
      <c r="D66" s="11">
        <v>2.5739999999999999E-2</v>
      </c>
      <c r="E66" s="10">
        <f t="shared" si="2"/>
        <v>72857.070000000298</v>
      </c>
      <c r="F66" s="24">
        <f>SUM(F2)</f>
        <v>12783095</v>
      </c>
      <c r="G66" s="28"/>
      <c r="H66" s="10"/>
      <c r="I66" s="10">
        <f t="shared" si="8"/>
        <v>7222</v>
      </c>
      <c r="J66" s="10">
        <f t="shared" ref="J66:J67" si="9">IF(I66="","",I66*C66)</f>
        <v>20968044759.540001</v>
      </c>
      <c r="K66" s="11">
        <f t="shared" ref="K66" si="10">IFERROR(J66/J67-1,"")</f>
        <v>2.5740000000000096E-2</v>
      </c>
    </row>
    <row r="67" spans="1:11" ht="22.5" customHeight="1">
      <c r="A67" s="3">
        <f t="shared" si="0"/>
        <v>1950</v>
      </c>
      <c r="B67" s="3">
        <v>1700</v>
      </c>
      <c r="C67" s="10">
        <v>2830500</v>
      </c>
      <c r="D67" s="11">
        <v>2.537E-2</v>
      </c>
      <c r="E67" s="3" t="s">
        <v>72</v>
      </c>
      <c r="F67" s="10">
        <f>SUM(C2)</f>
        <v>12783114.76058523</v>
      </c>
      <c r="G67" s="28"/>
      <c r="H67" s="10"/>
      <c r="I67" s="10">
        <f t="shared" ref="I67" si="11">IF(H67&lt;&gt;"",H67,I66/(1+IF(G66="",0,G66)/100))</f>
        <v>7222</v>
      </c>
      <c r="J67" s="10">
        <f t="shared" si="9"/>
        <v>20441871000</v>
      </c>
      <c r="K67" s="11"/>
    </row>
  </sheetData>
  <dataValidations count="1">
    <dataValidation type="custom" allowBlank="1" showDropDown="1" sqref="D2:D67" xr:uid="{00000000-0002-0000-4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35958594.008806027</v>
      </c>
      <c r="D2" s="11">
        <v>5.8199999999999997E-3</v>
      </c>
      <c r="E2" s="10">
        <f t="shared" ref="E2:E66" si="2">SUM(C2-C3)</f>
        <v>208068.06101613492</v>
      </c>
      <c r="F2" s="15">
        <v>35956798</v>
      </c>
      <c r="G2" s="28"/>
      <c r="H2" s="10"/>
      <c r="I2" s="10">
        <f>IF(H2&lt;&gt;"",H2,1492)</f>
        <v>1492</v>
      </c>
      <c r="J2" s="10">
        <f t="shared" ref="J2:J33" si="3">IF(I2="","",I2*C2)</f>
        <v>53650222261.138596</v>
      </c>
      <c r="K2" s="11">
        <f t="shared" ref="K2:K33" si="4">IFERROR(J2/J3-1,"")</f>
        <v>5.8200000000001584E-3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35750525.947789893</v>
      </c>
      <c r="D3" s="11">
        <v>5.6100000000000004E-3</v>
      </c>
      <c r="E3" s="10">
        <f t="shared" si="2"/>
        <v>199441.58328486979</v>
      </c>
      <c r="F3" s="3"/>
      <c r="G3" s="28"/>
      <c r="H3" s="10"/>
      <c r="I3" s="10">
        <f t="shared" ref="I3:I34" si="5">IF(H3&lt;&gt;"",H3,I2/(1+IF(G2="",0,G2)/100))</f>
        <v>1492</v>
      </c>
      <c r="J3" s="10">
        <f t="shared" si="3"/>
        <v>53339784714.102516</v>
      </c>
      <c r="K3" s="11">
        <f t="shared" si="4"/>
        <v>5.6099999999998929E-3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35551084.364505023</v>
      </c>
      <c r="D4" s="11">
        <v>5.5199999999999997E-3</v>
      </c>
      <c r="E4" s="10">
        <f t="shared" si="2"/>
        <v>195164.67667680979</v>
      </c>
      <c r="F4" s="3"/>
      <c r="G4" s="28"/>
      <c r="H4" s="10"/>
      <c r="I4" s="10">
        <f t="shared" si="5"/>
        <v>1492</v>
      </c>
      <c r="J4" s="10">
        <f t="shared" si="3"/>
        <v>53042217871.841492</v>
      </c>
      <c r="K4" s="11">
        <f t="shared" si="4"/>
        <v>5.5199999999999694E-3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35355919.687828213</v>
      </c>
      <c r="D5" s="11">
        <v>5.3499999999999997E-3</v>
      </c>
      <c r="E5" s="10">
        <f t="shared" si="2"/>
        <v>188147.58077274263</v>
      </c>
      <c r="F5" s="3"/>
      <c r="G5" s="28"/>
      <c r="H5" s="10"/>
      <c r="I5" s="10">
        <f t="shared" si="5"/>
        <v>1492</v>
      </c>
      <c r="J5" s="10">
        <f t="shared" si="3"/>
        <v>52751032174.239693</v>
      </c>
      <c r="K5" s="11">
        <f t="shared" si="4"/>
        <v>5.3499999999999659E-3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35167772.10705547</v>
      </c>
      <c r="D6" s="11">
        <v>5.4099999999999999E-3</v>
      </c>
      <c r="E6" s="10">
        <f t="shared" si="2"/>
        <v>189233.89174482971</v>
      </c>
      <c r="F6" s="3"/>
      <c r="G6" s="28"/>
      <c r="H6" s="10"/>
      <c r="I6" s="10">
        <f t="shared" si="5"/>
        <v>1492</v>
      </c>
      <c r="J6" s="10">
        <f t="shared" si="3"/>
        <v>52470315983.726761</v>
      </c>
      <c r="K6" s="11">
        <f t="shared" si="4"/>
        <v>5.4099999999999149E-3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34978538.215310641</v>
      </c>
      <c r="D7" s="11">
        <v>5.6899999999999997E-3</v>
      </c>
      <c r="E7" s="10">
        <f t="shared" si="2"/>
        <v>197901.8210831508</v>
      </c>
      <c r="F7" s="3"/>
      <c r="G7" s="28"/>
      <c r="H7" s="10"/>
      <c r="I7" s="10">
        <f t="shared" si="5"/>
        <v>1492</v>
      </c>
      <c r="J7" s="10">
        <f t="shared" si="3"/>
        <v>52187979017.243477</v>
      </c>
      <c r="K7" s="11">
        <f t="shared" si="4"/>
        <v>5.6899999999999729E-3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34780636.39422749</v>
      </c>
      <c r="D8" s="11">
        <v>6.0400000000000002E-3</v>
      </c>
      <c r="E8" s="10">
        <f t="shared" si="2"/>
        <v>208813.80841828883</v>
      </c>
      <c r="F8" s="3"/>
      <c r="G8" s="28"/>
      <c r="H8" s="10"/>
      <c r="I8" s="10">
        <f t="shared" si="5"/>
        <v>1492</v>
      </c>
      <c r="J8" s="10">
        <f t="shared" si="3"/>
        <v>51892709500.187416</v>
      </c>
      <c r="K8" s="11">
        <f t="shared" si="4"/>
        <v>6.0400000000000453E-3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34571822.585809201</v>
      </c>
      <c r="D9" s="11">
        <v>6.79E-3</v>
      </c>
      <c r="E9" s="10">
        <f t="shared" si="2"/>
        <v>233159.52220189571</v>
      </c>
      <c r="F9" s="3"/>
      <c r="G9" s="28"/>
      <c r="H9" s="10"/>
      <c r="I9" s="10">
        <f t="shared" si="5"/>
        <v>1492</v>
      </c>
      <c r="J9" s="10">
        <f t="shared" si="3"/>
        <v>51581159298.027328</v>
      </c>
      <c r="K9" s="11">
        <f t="shared" si="4"/>
        <v>6.7900000000000738E-3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34338663.063607305</v>
      </c>
      <c r="D10" s="11">
        <v>6.7099999999999998E-3</v>
      </c>
      <c r="E10" s="10">
        <f t="shared" si="2"/>
        <v>228876.66672309488</v>
      </c>
      <c r="F10" s="3"/>
      <c r="G10" s="28"/>
      <c r="H10" s="10"/>
      <c r="I10" s="10">
        <f t="shared" si="5"/>
        <v>1492</v>
      </c>
      <c r="J10" s="10">
        <f t="shared" si="3"/>
        <v>51233285290.9021</v>
      </c>
      <c r="K10" s="11">
        <f t="shared" si="4"/>
        <v>6.7099999999999937E-3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34109786.39688421</v>
      </c>
      <c r="D11" s="11">
        <v>4.81E-3</v>
      </c>
      <c r="E11" s="10">
        <f t="shared" si="2"/>
        <v>163282.68286443502</v>
      </c>
      <c r="F11" s="3"/>
      <c r="G11" s="28"/>
      <c r="H11" s="10"/>
      <c r="I11" s="10">
        <f t="shared" si="5"/>
        <v>1492</v>
      </c>
      <c r="J11" s="10">
        <f t="shared" si="3"/>
        <v>50891801304.151245</v>
      </c>
      <c r="K11" s="11">
        <f t="shared" si="4"/>
        <v>4.809999999999981E-3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33946503.714019775</v>
      </c>
      <c r="D12" s="11">
        <v>5.1999999999999998E-3</v>
      </c>
      <c r="E12" s="10">
        <f t="shared" si="2"/>
        <v>175608.65431049466</v>
      </c>
      <c r="F12" s="3"/>
      <c r="G12" s="28"/>
      <c r="H12" s="10"/>
      <c r="I12" s="10">
        <f t="shared" si="5"/>
        <v>1492</v>
      </c>
      <c r="J12" s="10">
        <f t="shared" si="3"/>
        <v>50648183541.317505</v>
      </c>
      <c r="K12" s="11">
        <f t="shared" si="4"/>
        <v>5.2000000000000934E-3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33770895.059709281</v>
      </c>
      <c r="D13" s="11">
        <v>5.7000000000000002E-3</v>
      </c>
      <c r="E13" s="10">
        <f t="shared" si="2"/>
        <v>191403.10414671153</v>
      </c>
      <c r="F13" s="3"/>
      <c r="G13" s="28"/>
      <c r="H13" s="10"/>
      <c r="I13" s="10">
        <f t="shared" si="5"/>
        <v>1492</v>
      </c>
      <c r="J13" s="10">
        <f t="shared" si="3"/>
        <v>50386175429.08625</v>
      </c>
      <c r="K13" s="11">
        <f t="shared" si="4"/>
        <v>5.7000000000002604E-3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33579491.955562569</v>
      </c>
      <c r="D14" s="11">
        <v>6.3800000000000003E-3</v>
      </c>
      <c r="E14" s="10">
        <f t="shared" si="2"/>
        <v>212878.99071572721</v>
      </c>
      <c r="F14" s="3"/>
      <c r="G14" s="28"/>
      <c r="H14" s="10"/>
      <c r="I14" s="10">
        <f t="shared" si="5"/>
        <v>1492</v>
      </c>
      <c r="J14" s="10">
        <f t="shared" si="3"/>
        <v>50100601997.699356</v>
      </c>
      <c r="K14" s="11">
        <f t="shared" si="4"/>
        <v>6.3800000000000523E-3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33366612.964846842</v>
      </c>
      <c r="D15" s="11">
        <v>7.28E-3</v>
      </c>
      <c r="E15" s="10">
        <f t="shared" si="2"/>
        <v>241153.34602501988</v>
      </c>
      <c r="F15" s="3"/>
      <c r="G15" s="28"/>
      <c r="H15" s="10"/>
      <c r="I15" s="10">
        <f t="shared" si="5"/>
        <v>1492</v>
      </c>
      <c r="J15" s="10">
        <f t="shared" si="3"/>
        <v>49782986543.551491</v>
      </c>
      <c r="K15" s="11">
        <f t="shared" si="4"/>
        <v>7.2799999999999532E-3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33125459.618821822</v>
      </c>
      <c r="D16" s="11">
        <v>8.6E-3</v>
      </c>
      <c r="E16" s="10">
        <f t="shared" si="2"/>
        <v>282449.88372185826</v>
      </c>
      <c r="F16" s="3"/>
      <c r="G16" s="28"/>
      <c r="H16" s="10"/>
      <c r="I16" s="10">
        <f t="shared" si="5"/>
        <v>1492</v>
      </c>
      <c r="J16" s="10">
        <f t="shared" si="3"/>
        <v>49423185751.282158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32843009.735099964</v>
      </c>
      <c r="D17" s="11">
        <v>9.8499999999999994E-3</v>
      </c>
      <c r="E17" s="10">
        <f t="shared" si="2"/>
        <v>320348.21596349031</v>
      </c>
      <c r="F17" s="3"/>
      <c r="G17" s="28"/>
      <c r="H17" s="10"/>
      <c r="I17" s="10">
        <f t="shared" si="5"/>
        <v>1492</v>
      </c>
      <c r="J17" s="10">
        <f t="shared" si="3"/>
        <v>49001770524.76915</v>
      </c>
      <c r="K17" s="11">
        <f t="shared" si="4"/>
        <v>9.8499999999999144E-3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32522661.519136474</v>
      </c>
      <c r="D18" s="11">
        <v>1.0670000000000001E-2</v>
      </c>
      <c r="E18" s="10">
        <f t="shared" si="2"/>
        <v>343353.2195565179</v>
      </c>
      <c r="F18" s="3"/>
      <c r="G18" s="28"/>
      <c r="H18" s="10"/>
      <c r="I18" s="10">
        <f t="shared" si="5"/>
        <v>1492</v>
      </c>
      <c r="J18" s="10">
        <f t="shared" si="3"/>
        <v>48523810986.55162</v>
      </c>
      <c r="K18" s="11">
        <f t="shared" si="4"/>
        <v>1.0669999999999957E-2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32179308.299579956</v>
      </c>
      <c r="D19" s="11">
        <v>1.1039999999999999E-2</v>
      </c>
      <c r="E19" s="10">
        <f t="shared" si="2"/>
        <v>351380.32484111562</v>
      </c>
      <c r="F19" s="3"/>
      <c r="G19" s="28"/>
      <c r="H19" s="10"/>
      <c r="I19" s="10">
        <f t="shared" si="5"/>
        <v>1492</v>
      </c>
      <c r="J19" s="10">
        <f t="shared" si="3"/>
        <v>48011527982.973297</v>
      </c>
      <c r="K19" s="11">
        <f t="shared" si="4"/>
        <v>1.1039999999999939E-2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31827927.97473884</v>
      </c>
      <c r="D20" s="11">
        <v>1.468E-2</v>
      </c>
      <c r="E20" s="10">
        <f t="shared" si="2"/>
        <v>460474.22110337019</v>
      </c>
      <c r="F20" s="3"/>
      <c r="G20" s="28"/>
      <c r="H20" s="10"/>
      <c r="I20" s="10">
        <f t="shared" si="5"/>
        <v>1492</v>
      </c>
      <c r="J20" s="10">
        <f t="shared" si="3"/>
        <v>47487268538.310349</v>
      </c>
      <c r="K20" s="11">
        <f t="shared" si="4"/>
        <v>1.4680000000000026E-2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31367453.75363547</v>
      </c>
      <c r="D21" s="11">
        <v>1.9E-2</v>
      </c>
      <c r="E21" s="10">
        <f t="shared" si="2"/>
        <v>584869.10826209188</v>
      </c>
      <c r="F21" s="3"/>
      <c r="G21" s="28"/>
      <c r="H21" s="10"/>
      <c r="I21" s="10">
        <f t="shared" si="5"/>
        <v>1492</v>
      </c>
      <c r="J21" s="10">
        <f t="shared" si="3"/>
        <v>46800241000.424118</v>
      </c>
      <c r="K21" s="11">
        <f t="shared" si="4"/>
        <v>1.8999999999999906E-2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30782584.645373378</v>
      </c>
      <c r="D22" s="11">
        <v>2.0619999999999999E-2</v>
      </c>
      <c r="E22" s="10">
        <f t="shared" si="2"/>
        <v>621913.04833101481</v>
      </c>
      <c r="F22" s="3"/>
      <c r="G22" s="28"/>
      <c r="H22" s="10"/>
      <c r="I22" s="10">
        <f t="shared" si="5"/>
        <v>1492</v>
      </c>
      <c r="J22" s="10">
        <f t="shared" si="3"/>
        <v>45927616290.897079</v>
      </c>
      <c r="K22" s="11">
        <f t="shared" si="4"/>
        <v>2.0619999999999861E-2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30160671.597042363</v>
      </c>
      <c r="D23" s="11">
        <v>2.198E-2</v>
      </c>
      <c r="E23" s="10">
        <f t="shared" si="2"/>
        <v>648673.71348068863</v>
      </c>
      <c r="F23" s="3"/>
      <c r="G23" s="28"/>
      <c r="H23" s="10"/>
      <c r="I23" s="10">
        <f t="shared" si="5"/>
        <v>1492</v>
      </c>
      <c r="J23" s="10">
        <f t="shared" si="3"/>
        <v>44999722022.787209</v>
      </c>
      <c r="K23" s="11">
        <f t="shared" si="4"/>
        <v>2.1980000000000111E-2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29511997.883561675</v>
      </c>
      <c r="D24" s="11">
        <v>2.198E-2</v>
      </c>
      <c r="E24" s="10">
        <f t="shared" si="2"/>
        <v>634722.51265258342</v>
      </c>
      <c r="F24" s="3"/>
      <c r="G24" s="28"/>
      <c r="H24" s="10"/>
      <c r="I24" s="10">
        <f t="shared" si="5"/>
        <v>1492</v>
      </c>
      <c r="J24" s="10">
        <f t="shared" si="3"/>
        <v>44031900842.274017</v>
      </c>
      <c r="K24" s="11">
        <f t="shared" si="4"/>
        <v>2.1980000000000111E-2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28877275.370909091</v>
      </c>
      <c r="D25" s="11">
        <v>3.6519999999999997E-2</v>
      </c>
      <c r="E25" s="10">
        <f t="shared" si="2"/>
        <v>1017441.145897422</v>
      </c>
      <c r="F25" s="3"/>
      <c r="G25" s="28"/>
      <c r="H25" s="10"/>
      <c r="I25" s="10">
        <f t="shared" si="5"/>
        <v>1492</v>
      </c>
      <c r="J25" s="10">
        <f t="shared" si="3"/>
        <v>43084894853.396362</v>
      </c>
      <c r="K25" s="11">
        <f t="shared" si="4"/>
        <v>3.6519999999999886E-2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27859834.225011669</v>
      </c>
      <c r="D26" s="11">
        <v>3.9640000000000002E-2</v>
      </c>
      <c r="E26" s="10">
        <f t="shared" si="2"/>
        <v>1062256.0008074529</v>
      </c>
      <c r="F26" s="3"/>
      <c r="G26" s="28"/>
      <c r="H26" s="10"/>
      <c r="I26" s="10">
        <f t="shared" si="5"/>
        <v>1492</v>
      </c>
      <c r="J26" s="10">
        <f t="shared" si="3"/>
        <v>41566872663.717407</v>
      </c>
      <c r="K26" s="11">
        <f t="shared" si="4"/>
        <v>3.9639999999999898E-2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26797578.224204216</v>
      </c>
      <c r="D27" s="11">
        <v>4.0719999999999999E-2</v>
      </c>
      <c r="E27" s="10">
        <f t="shared" si="2"/>
        <v>1048502.3688308075</v>
      </c>
      <c r="F27" s="3"/>
      <c r="G27" s="28"/>
      <c r="H27" s="10"/>
      <c r="I27" s="10">
        <f t="shared" si="5"/>
        <v>1492</v>
      </c>
      <c r="J27" s="10">
        <f t="shared" si="3"/>
        <v>39981986710.512688</v>
      </c>
      <c r="K27" s="11">
        <f t="shared" si="4"/>
        <v>4.0720000000000089E-2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25749075.855373409</v>
      </c>
      <c r="D28" s="11">
        <v>4.027E-2</v>
      </c>
      <c r="E28" s="10">
        <f t="shared" si="2"/>
        <v>996775.14942840487</v>
      </c>
      <c r="F28" s="3"/>
      <c r="G28" s="28"/>
      <c r="H28" s="10"/>
      <c r="I28" s="10">
        <f t="shared" si="5"/>
        <v>1492</v>
      </c>
      <c r="J28" s="10">
        <f t="shared" si="3"/>
        <v>38417621176.217125</v>
      </c>
      <c r="K28" s="11">
        <f t="shared" si="4"/>
        <v>4.0270000000000028E-2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24752300.705945004</v>
      </c>
      <c r="D29" s="11">
        <v>5.2859999999999997E-2</v>
      </c>
      <c r="E29" s="10">
        <f t="shared" si="2"/>
        <v>1242716.6150449738</v>
      </c>
      <c r="F29" s="3"/>
      <c r="G29" s="28"/>
      <c r="H29" s="10"/>
      <c r="I29" s="10">
        <f t="shared" si="5"/>
        <v>1492</v>
      </c>
      <c r="J29" s="10">
        <f t="shared" si="3"/>
        <v>36930432653.269943</v>
      </c>
      <c r="K29" s="11">
        <f t="shared" si="4"/>
        <v>5.2859999999999685E-2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23509584.09090003</v>
      </c>
      <c r="D30" s="11">
        <v>3.8899999999999997E-2</v>
      </c>
      <c r="E30" s="10">
        <f t="shared" si="2"/>
        <v>880279.93178940192</v>
      </c>
      <c r="F30" s="3"/>
      <c r="G30" s="28"/>
      <c r="H30" s="10"/>
      <c r="I30" s="10">
        <f t="shared" si="5"/>
        <v>1492</v>
      </c>
      <c r="J30" s="10">
        <f t="shared" si="3"/>
        <v>35076299463.622849</v>
      </c>
      <c r="K30" s="11">
        <f t="shared" si="4"/>
        <v>3.8899999999999935E-2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22629304.159110628</v>
      </c>
      <c r="D31" s="11">
        <v>3.8730000000000001E-2</v>
      </c>
      <c r="E31" s="10">
        <f t="shared" si="2"/>
        <v>843754.34432658553</v>
      </c>
      <c r="F31" s="3"/>
      <c r="G31" s="28"/>
      <c r="H31" s="10"/>
      <c r="I31" s="10">
        <f t="shared" si="5"/>
        <v>1492</v>
      </c>
      <c r="J31" s="10">
        <f t="shared" si="3"/>
        <v>33762921805.393059</v>
      </c>
      <c r="K31" s="11">
        <f t="shared" si="4"/>
        <v>3.8730000000000153E-2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21785549.814784043</v>
      </c>
      <c r="D32" s="11">
        <v>4.0529999999999997E-2</v>
      </c>
      <c r="E32" s="10">
        <f t="shared" si="2"/>
        <v>848575.56629140675</v>
      </c>
      <c r="F32" s="3"/>
      <c r="G32" s="28"/>
      <c r="H32" s="10"/>
      <c r="I32" s="10">
        <f t="shared" si="5"/>
        <v>1492</v>
      </c>
      <c r="J32" s="10">
        <f t="shared" si="3"/>
        <v>32504040323.657791</v>
      </c>
      <c r="K32" s="11">
        <f t="shared" si="4"/>
        <v>4.0529999999999955E-2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20936974.248492636</v>
      </c>
      <c r="D33" s="11">
        <v>3.2620000000000003E-2</v>
      </c>
      <c r="E33" s="10">
        <f t="shared" si="2"/>
        <v>661389.57214254141</v>
      </c>
      <c r="F33" s="3"/>
      <c r="G33" s="28"/>
      <c r="H33" s="10"/>
      <c r="I33" s="10">
        <f t="shared" si="5"/>
        <v>1492</v>
      </c>
      <c r="J33" s="10">
        <f t="shared" si="3"/>
        <v>31237965578.751011</v>
      </c>
      <c r="K33" s="11">
        <f t="shared" si="4"/>
        <v>3.2619999999999871E-2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20275584.676350094</v>
      </c>
      <c r="D34" s="11">
        <v>3.2550000000000003E-2</v>
      </c>
      <c r="E34" s="10">
        <f t="shared" si="2"/>
        <v>639165.44594953954</v>
      </c>
      <c r="F34" s="3"/>
      <c r="G34" s="28"/>
      <c r="H34" s="10"/>
      <c r="I34" s="10">
        <f t="shared" si="5"/>
        <v>1492</v>
      </c>
      <c r="J34" s="10">
        <f t="shared" ref="J34:J65" si="6">IF(I34="","",I34*C34)</f>
        <v>30251172337.114342</v>
      </c>
      <c r="K34" s="11">
        <f t="shared" ref="K34:K65" si="7">IFERROR(J34/J35-1,"")</f>
        <v>3.2550000000000079E-2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19636419.230400555</v>
      </c>
      <c r="D35" s="11">
        <v>3.32E-2</v>
      </c>
      <c r="E35" s="10">
        <f t="shared" si="2"/>
        <v>630980.56373335049</v>
      </c>
      <c r="F35" s="3"/>
      <c r="G35" s="28"/>
      <c r="H35" s="10"/>
      <c r="I35" s="10">
        <f t="shared" ref="I35:I66" si="8">IF(H35&lt;&gt;"",H35,I34/(1+IF(G34="",0,G34)/100))</f>
        <v>1492</v>
      </c>
      <c r="J35" s="10">
        <f t="shared" si="6"/>
        <v>29297537491.757629</v>
      </c>
      <c r="K35" s="11">
        <f t="shared" si="7"/>
        <v>3.3200000000000118E-2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19005438.666667204</v>
      </c>
      <c r="D36" s="11">
        <v>3.3270000000000001E-2</v>
      </c>
      <c r="E36" s="10">
        <f t="shared" si="2"/>
        <v>611951.32389406115</v>
      </c>
      <c r="F36" s="3"/>
      <c r="G36" s="28"/>
      <c r="H36" s="10"/>
      <c r="I36" s="10">
        <f t="shared" si="8"/>
        <v>1492</v>
      </c>
      <c r="J36" s="10">
        <f t="shared" si="6"/>
        <v>28356114490.667469</v>
      </c>
      <c r="K36" s="11">
        <f t="shared" si="7"/>
        <v>3.3269999999999911E-2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18393487.342773143</v>
      </c>
      <c r="D37" s="11">
        <v>3.32E-2</v>
      </c>
      <c r="E37" s="10">
        <f t="shared" si="2"/>
        <v>591041.21155639365</v>
      </c>
      <c r="F37" s="3"/>
      <c r="G37" s="28"/>
      <c r="H37" s="10"/>
      <c r="I37" s="10">
        <f t="shared" si="8"/>
        <v>1492</v>
      </c>
      <c r="J37" s="10">
        <f t="shared" si="6"/>
        <v>27443083115.41753</v>
      </c>
      <c r="K37" s="11">
        <f t="shared" si="7"/>
        <v>3.3199999999999896E-2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17802446.13121675</v>
      </c>
      <c r="D38" s="11">
        <v>3.3070000000000002E-2</v>
      </c>
      <c r="E38" s="10">
        <f t="shared" si="2"/>
        <v>569880.93116568774</v>
      </c>
      <c r="F38" s="3"/>
      <c r="G38" s="28"/>
      <c r="H38" s="10"/>
      <c r="I38" s="10">
        <f t="shared" si="8"/>
        <v>1492</v>
      </c>
      <c r="J38" s="10">
        <f t="shared" si="6"/>
        <v>26561249627.775391</v>
      </c>
      <c r="K38" s="11">
        <f t="shared" si="7"/>
        <v>3.3069999999999933E-2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17232565.200051062</v>
      </c>
      <c r="D39" s="11">
        <v>3.2989999999999998E-2</v>
      </c>
      <c r="E39" s="10">
        <f t="shared" si="2"/>
        <v>550346.39827073552</v>
      </c>
      <c r="F39" s="3"/>
      <c r="G39" s="28"/>
      <c r="H39" s="10"/>
      <c r="I39" s="10">
        <f t="shared" si="8"/>
        <v>1492</v>
      </c>
      <c r="J39" s="10">
        <f t="shared" si="6"/>
        <v>25710987278.476185</v>
      </c>
      <c r="K39" s="11">
        <f t="shared" si="7"/>
        <v>3.2990000000000075E-2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16682218.801780326</v>
      </c>
      <c r="D40" s="11">
        <v>3.2890000000000003E-2</v>
      </c>
      <c r="E40" s="10">
        <f t="shared" si="2"/>
        <v>531206.78522452153</v>
      </c>
      <c r="F40" s="3"/>
      <c r="G40" s="28"/>
      <c r="H40" s="10"/>
      <c r="I40" s="10">
        <f t="shared" si="8"/>
        <v>1492</v>
      </c>
      <c r="J40" s="10">
        <f t="shared" si="6"/>
        <v>24889870452.256248</v>
      </c>
      <c r="K40" s="11">
        <f t="shared" si="7"/>
        <v>3.2890000000000086E-2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16151012.016555805</v>
      </c>
      <c r="D41" s="11">
        <v>3.108E-2</v>
      </c>
      <c r="E41" s="10">
        <f t="shared" si="2"/>
        <v>486842.39193326794</v>
      </c>
      <c r="F41" s="3"/>
      <c r="G41" s="28"/>
      <c r="H41" s="10"/>
      <c r="I41" s="10">
        <f t="shared" si="8"/>
        <v>1492</v>
      </c>
      <c r="J41" s="10">
        <f t="shared" si="6"/>
        <v>24097309928.70126</v>
      </c>
      <c r="K41" s="11">
        <f t="shared" si="7"/>
        <v>3.1079999999999997E-2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15664169.624622537</v>
      </c>
      <c r="D42" s="11">
        <v>2.9649999999999999E-2</v>
      </c>
      <c r="E42" s="10">
        <f t="shared" si="2"/>
        <v>451068.44983252324</v>
      </c>
      <c r="F42" s="3"/>
      <c r="G42" s="28"/>
      <c r="H42" s="10"/>
      <c r="I42" s="10">
        <f t="shared" si="8"/>
        <v>1492</v>
      </c>
      <c r="J42" s="10">
        <f t="shared" si="6"/>
        <v>23370941079.936825</v>
      </c>
      <c r="K42" s="11">
        <f t="shared" si="7"/>
        <v>2.9649999999999954E-2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15213101.174790014</v>
      </c>
      <c r="D43" s="11">
        <v>2.9049999999999999E-2</v>
      </c>
      <c r="E43" s="10">
        <f t="shared" si="2"/>
        <v>429464.64129794575</v>
      </c>
      <c r="F43" s="3"/>
      <c r="G43" s="28"/>
      <c r="H43" s="10"/>
      <c r="I43" s="10">
        <f t="shared" si="8"/>
        <v>1492</v>
      </c>
      <c r="J43" s="10">
        <f t="shared" si="6"/>
        <v>22697946952.786701</v>
      </c>
      <c r="K43" s="11">
        <f t="shared" si="7"/>
        <v>2.905000000000002E-2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14783636.533492068</v>
      </c>
      <c r="D44" s="11">
        <v>2.835E-2</v>
      </c>
      <c r="E44" s="10">
        <f t="shared" si="2"/>
        <v>407561.72093596682</v>
      </c>
      <c r="F44" s="3"/>
      <c r="G44" s="28"/>
      <c r="H44" s="10"/>
      <c r="I44" s="10">
        <f t="shared" si="8"/>
        <v>1492</v>
      </c>
      <c r="J44" s="10">
        <f t="shared" si="6"/>
        <v>22057185707.970165</v>
      </c>
      <c r="K44" s="11">
        <f t="shared" si="7"/>
        <v>2.8350000000000097E-2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14376074.812556101</v>
      </c>
      <c r="D45" s="11">
        <v>2.775E-2</v>
      </c>
      <c r="E45" s="10">
        <f t="shared" si="2"/>
        <v>388164.51087174006</v>
      </c>
      <c r="F45" s="3"/>
      <c r="G45" s="28"/>
      <c r="H45" s="10"/>
      <c r="I45" s="10">
        <f t="shared" si="8"/>
        <v>1492</v>
      </c>
      <c r="J45" s="10">
        <f t="shared" si="6"/>
        <v>21449103620.333702</v>
      </c>
      <c r="K45" s="11">
        <f t="shared" si="7"/>
        <v>2.7749999999999941E-2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13987910.301684361</v>
      </c>
      <c r="D46" s="11">
        <v>2.7109999999999999E-2</v>
      </c>
      <c r="E46" s="10">
        <f t="shared" si="2"/>
        <v>369203.15085887909</v>
      </c>
      <c r="F46" s="3"/>
      <c r="G46" s="28"/>
      <c r="H46" s="10"/>
      <c r="I46" s="10">
        <f t="shared" si="8"/>
        <v>1492</v>
      </c>
      <c r="J46" s="10">
        <f t="shared" si="6"/>
        <v>20869962170.113068</v>
      </c>
      <c r="K46" s="11">
        <f t="shared" si="7"/>
        <v>2.7109999999999967E-2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13618707.150825482</v>
      </c>
      <c r="D47" s="11">
        <v>2.64E-2</v>
      </c>
      <c r="E47" s="10">
        <f t="shared" si="2"/>
        <v>350286.3101927042</v>
      </c>
      <c r="F47" s="3"/>
      <c r="G47" s="28"/>
      <c r="H47" s="10"/>
      <c r="I47" s="10">
        <f t="shared" si="8"/>
        <v>1492</v>
      </c>
      <c r="J47" s="10">
        <f t="shared" si="6"/>
        <v>20319111069.03162</v>
      </c>
      <c r="K47" s="11">
        <f t="shared" si="7"/>
        <v>2.6399999999999979E-2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13268420.840632778</v>
      </c>
      <c r="D48" s="11">
        <v>2.5669999999999998E-2</v>
      </c>
      <c r="E48" s="10">
        <f t="shared" si="2"/>
        <v>332075.97275833786</v>
      </c>
      <c r="F48" s="3"/>
      <c r="G48" s="28"/>
      <c r="H48" s="10"/>
      <c r="I48" s="10">
        <f t="shared" si="8"/>
        <v>1492</v>
      </c>
      <c r="J48" s="10">
        <f t="shared" si="6"/>
        <v>19796483894.224106</v>
      </c>
      <c r="K48" s="11">
        <f t="shared" si="7"/>
        <v>2.5670000000000082E-2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12936344.86787444</v>
      </c>
      <c r="D49" s="11">
        <v>2.486E-2</v>
      </c>
      <c r="E49" s="10">
        <f t="shared" si="2"/>
        <v>313796.55115368031</v>
      </c>
      <c r="F49" s="3"/>
      <c r="G49" s="28"/>
      <c r="H49" s="10"/>
      <c r="I49" s="10">
        <f t="shared" si="8"/>
        <v>1492</v>
      </c>
      <c r="J49" s="10">
        <f t="shared" si="6"/>
        <v>19301026542.868664</v>
      </c>
      <c r="K49" s="11">
        <f t="shared" si="7"/>
        <v>2.4860000000000104E-2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12622548.316720759</v>
      </c>
      <c r="D50" s="11">
        <v>2.3990000000000001E-2</v>
      </c>
      <c r="E50" s="10">
        <f t="shared" si="2"/>
        <v>295720.59699619189</v>
      </c>
      <c r="F50" s="3"/>
      <c r="G50" s="28"/>
      <c r="H50" s="10"/>
      <c r="I50" s="10">
        <f t="shared" si="8"/>
        <v>1492</v>
      </c>
      <c r="J50" s="10">
        <f t="shared" si="6"/>
        <v>18832842088.547375</v>
      </c>
      <c r="K50" s="11">
        <f t="shared" si="7"/>
        <v>2.3989999999999956E-2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12326827.719724568</v>
      </c>
      <c r="D51" s="11">
        <v>2.6880000000000001E-2</v>
      </c>
      <c r="E51" s="10">
        <f t="shared" si="2"/>
        <v>322671.71344869584</v>
      </c>
      <c r="F51" s="3"/>
      <c r="G51" s="28"/>
      <c r="H51" s="10"/>
      <c r="I51" s="10">
        <f t="shared" si="8"/>
        <v>1492</v>
      </c>
      <c r="J51" s="10">
        <f t="shared" si="6"/>
        <v>18391626957.829056</v>
      </c>
      <c r="K51" s="11">
        <f t="shared" si="7"/>
        <v>2.6880000000000015E-2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12004156.006275872</v>
      </c>
      <c r="D52" s="11">
        <v>2.6120000000000001E-2</v>
      </c>
      <c r="E52" s="10">
        <f t="shared" si="2"/>
        <v>305567.14115690626</v>
      </c>
      <c r="F52" s="3"/>
      <c r="G52" s="28"/>
      <c r="H52" s="10"/>
      <c r="I52" s="10">
        <f t="shared" si="8"/>
        <v>1492</v>
      </c>
      <c r="J52" s="10">
        <f t="shared" si="6"/>
        <v>17910200761.363602</v>
      </c>
      <c r="K52" s="11">
        <f t="shared" si="7"/>
        <v>2.6119999999999921E-2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11698588.865118966</v>
      </c>
      <c r="D53" s="11">
        <v>2.4340000000000001E-2</v>
      </c>
      <c r="E53" s="10">
        <f t="shared" si="2"/>
        <v>277977.67633500136</v>
      </c>
      <c r="F53" s="3"/>
      <c r="G53" s="28"/>
      <c r="H53" s="10"/>
      <c r="I53" s="10">
        <f t="shared" si="8"/>
        <v>1492</v>
      </c>
      <c r="J53" s="10">
        <f t="shared" si="6"/>
        <v>17454294586.757496</v>
      </c>
      <c r="K53" s="11">
        <f t="shared" si="7"/>
        <v>2.4340000000000028E-2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11420611.188783964</v>
      </c>
      <c r="D54" s="11">
        <v>2.3189999999999999E-2</v>
      </c>
      <c r="E54" s="10">
        <f t="shared" si="2"/>
        <v>258841.44046355039</v>
      </c>
      <c r="F54" s="3"/>
      <c r="G54" s="28"/>
      <c r="H54" s="10"/>
      <c r="I54" s="10">
        <f t="shared" si="8"/>
        <v>1492</v>
      </c>
      <c r="J54" s="10">
        <f t="shared" si="6"/>
        <v>17039551893.665674</v>
      </c>
      <c r="K54" s="11">
        <f t="shared" si="7"/>
        <v>2.3190000000000044E-2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11161769.748320414</v>
      </c>
      <c r="D55" s="11">
        <v>2.2720000000000001E-2</v>
      </c>
      <c r="E55" s="10">
        <f t="shared" si="2"/>
        <v>247961.71843890846</v>
      </c>
      <c r="F55" s="3"/>
      <c r="G55" s="28"/>
      <c r="H55" s="10"/>
      <c r="I55" s="10">
        <f t="shared" si="8"/>
        <v>1492</v>
      </c>
      <c r="J55" s="10">
        <f t="shared" si="6"/>
        <v>16653360464.494057</v>
      </c>
      <c r="K55" s="11">
        <f t="shared" si="7"/>
        <v>2.2720000000000073E-2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10913808.029881505</v>
      </c>
      <c r="D56" s="11">
        <v>2.2620000000000001E-2</v>
      </c>
      <c r="E56" s="10">
        <f t="shared" si="2"/>
        <v>241409.65132299438</v>
      </c>
      <c r="F56" s="3"/>
      <c r="G56" s="28"/>
      <c r="H56" s="10"/>
      <c r="I56" s="10">
        <f t="shared" si="8"/>
        <v>1492</v>
      </c>
      <c r="J56" s="10">
        <f t="shared" si="6"/>
        <v>16283401580.583206</v>
      </c>
      <c r="K56" s="11">
        <f t="shared" si="7"/>
        <v>2.2620000000000084E-2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10672398.378558511</v>
      </c>
      <c r="D57" s="11">
        <v>2.2769999999999999E-2</v>
      </c>
      <c r="E57" s="10">
        <f t="shared" si="2"/>
        <v>237600.35108555853</v>
      </c>
      <c r="F57" s="3"/>
      <c r="G57" s="28"/>
      <c r="H57" s="10"/>
      <c r="I57" s="10">
        <f t="shared" si="8"/>
        <v>1492</v>
      </c>
      <c r="J57" s="10">
        <f t="shared" si="6"/>
        <v>15923218380.809298</v>
      </c>
      <c r="K57" s="11">
        <f t="shared" si="7"/>
        <v>2.2769999999999957E-2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10434798.027472952</v>
      </c>
      <c r="D58" s="11">
        <v>2.3089999999999999E-2</v>
      </c>
      <c r="E58" s="10">
        <f t="shared" si="2"/>
        <v>235501.75102322549</v>
      </c>
      <c r="F58" s="3"/>
      <c r="G58" s="28"/>
      <c r="H58" s="10"/>
      <c r="I58" s="10">
        <f t="shared" si="8"/>
        <v>1492</v>
      </c>
      <c r="J58" s="10">
        <f t="shared" si="6"/>
        <v>15568718656.989645</v>
      </c>
      <c r="K58" s="11">
        <f t="shared" si="7"/>
        <v>2.3090000000000277E-2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10199296.276449727</v>
      </c>
      <c r="D59" s="11">
        <v>2.3359999999999999E-2</v>
      </c>
      <c r="E59" s="10">
        <f t="shared" si="2"/>
        <v>232816.95690457523</v>
      </c>
      <c r="F59" s="3"/>
      <c r="G59" s="28"/>
      <c r="H59" s="10"/>
      <c r="I59" s="10">
        <f t="shared" si="8"/>
        <v>1492</v>
      </c>
      <c r="J59" s="10">
        <f t="shared" si="6"/>
        <v>15217350044.462992</v>
      </c>
      <c r="K59" s="11">
        <f t="shared" si="7"/>
        <v>2.3360000000000047E-2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9966479.3195451517</v>
      </c>
      <c r="D60" s="11">
        <v>2.351E-2</v>
      </c>
      <c r="E60" s="10">
        <f t="shared" si="2"/>
        <v>228929.78945247829</v>
      </c>
      <c r="F60" s="3"/>
      <c r="G60" s="28"/>
      <c r="H60" s="10"/>
      <c r="I60" s="10">
        <f t="shared" si="8"/>
        <v>1492</v>
      </c>
      <c r="J60" s="10">
        <f t="shared" si="6"/>
        <v>14869987144.761366</v>
      </c>
      <c r="K60" s="11">
        <f t="shared" si="7"/>
        <v>2.350999999999992E-2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9737549.5300926734</v>
      </c>
      <c r="D61" s="11">
        <v>2.367E-2</v>
      </c>
      <c r="E61" s="10">
        <f t="shared" si="2"/>
        <v>225158.30040666834</v>
      </c>
      <c r="F61" s="3"/>
      <c r="G61" s="28"/>
      <c r="H61" s="10"/>
      <c r="I61" s="10">
        <f t="shared" si="8"/>
        <v>1492</v>
      </c>
      <c r="J61" s="10">
        <f t="shared" si="6"/>
        <v>14528423898.898268</v>
      </c>
      <c r="K61" s="11">
        <f t="shared" si="7"/>
        <v>2.367000000000008E-2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9512391.229686005</v>
      </c>
      <c r="D62" s="11">
        <v>2.392E-2</v>
      </c>
      <c r="E62" s="10">
        <f t="shared" si="2"/>
        <v>222220.87488679588</v>
      </c>
      <c r="F62" s="3"/>
      <c r="G62" s="28"/>
      <c r="H62" s="10"/>
      <c r="I62" s="10">
        <f t="shared" si="8"/>
        <v>1492</v>
      </c>
      <c r="J62" s="10">
        <f t="shared" si="6"/>
        <v>14192487714.691519</v>
      </c>
      <c r="K62" s="11">
        <f t="shared" si="7"/>
        <v>2.3919999999999719E-2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9290170.3547992092</v>
      </c>
      <c r="D63" s="11">
        <v>2.41E-2</v>
      </c>
      <c r="E63" s="10">
        <f t="shared" si="2"/>
        <v>218624.26086384244</v>
      </c>
      <c r="F63" s="3"/>
      <c r="G63" s="28"/>
      <c r="H63" s="10"/>
      <c r="I63" s="10">
        <f t="shared" si="8"/>
        <v>1492</v>
      </c>
      <c r="J63" s="10">
        <f t="shared" si="6"/>
        <v>13860934169.36042</v>
      </c>
      <c r="K63" s="11">
        <f t="shared" si="7"/>
        <v>2.410000000000001E-2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9071546.0939353667</v>
      </c>
      <c r="D64" s="11">
        <v>2.444E-2</v>
      </c>
      <c r="E64" s="10">
        <f t="shared" si="2"/>
        <v>216419.29887136444</v>
      </c>
      <c r="F64" s="3"/>
      <c r="G64" s="28"/>
      <c r="H64" s="10"/>
      <c r="I64" s="10">
        <f t="shared" si="8"/>
        <v>1492</v>
      </c>
      <c r="J64" s="10">
        <f t="shared" si="6"/>
        <v>13534746772.151567</v>
      </c>
      <c r="K64" s="11">
        <f t="shared" si="7"/>
        <v>2.4440000000000017E-2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8855126.7950640023</v>
      </c>
      <c r="D65" s="11">
        <v>2.4719999999999999E-2</v>
      </c>
      <c r="E65" s="10">
        <f t="shared" si="2"/>
        <v>213618.09506400116</v>
      </c>
      <c r="F65" s="3"/>
      <c r="G65" s="28"/>
      <c r="H65" s="10"/>
      <c r="I65" s="10">
        <f t="shared" si="8"/>
        <v>1492</v>
      </c>
      <c r="J65" s="10">
        <f t="shared" si="6"/>
        <v>13211849178.235491</v>
      </c>
      <c r="K65" s="11">
        <f t="shared" si="7"/>
        <v>2.4720000000000075E-2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8641508.7000000011</v>
      </c>
      <c r="D66" s="11">
        <v>2.5090000000000001E-2</v>
      </c>
      <c r="E66" s="10">
        <f t="shared" si="2"/>
        <v>211508.70000000112</v>
      </c>
      <c r="F66" s="24">
        <f>SUM(F2)</f>
        <v>35956798</v>
      </c>
      <c r="G66" s="28"/>
      <c r="H66" s="10"/>
      <c r="I66" s="10">
        <f t="shared" si="8"/>
        <v>1492</v>
      </c>
      <c r="J66" s="10">
        <f t="shared" ref="J66:J67" si="9">IF(I66="","",I66*C66)</f>
        <v>12893130980.400002</v>
      </c>
      <c r="K66" s="11">
        <f t="shared" ref="K66" si="10">IFERROR(J66/J67-1,"")</f>
        <v>2.5090000000000057E-2</v>
      </c>
    </row>
    <row r="67" spans="1:11" ht="22.5" customHeight="1">
      <c r="A67" s="3">
        <f t="shared" si="0"/>
        <v>1950</v>
      </c>
      <c r="B67" s="3">
        <v>1700</v>
      </c>
      <c r="C67" s="10">
        <v>8430000</v>
      </c>
      <c r="D67" s="11">
        <v>2.5430000000000001E-2</v>
      </c>
      <c r="E67" s="3" t="s">
        <v>72</v>
      </c>
      <c r="F67" s="10">
        <f>SUM(C2)</f>
        <v>35958594.008806027</v>
      </c>
      <c r="G67" s="28"/>
      <c r="H67" s="10"/>
      <c r="I67" s="10">
        <f t="shared" ref="I67" si="11">IF(H67&lt;&gt;"",H67,I66/(1+IF(G66="",0,G66)/100))</f>
        <v>1492</v>
      </c>
      <c r="J67" s="10">
        <f t="shared" si="9"/>
        <v>12577560000</v>
      </c>
      <c r="K67" s="11"/>
    </row>
  </sheetData>
  <dataValidations count="1">
    <dataValidation type="custom" allowBlank="1" showDropDown="1" sqref="D2:D67" xr:uid="{00000000-0002-0000-4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37466.586087327174</v>
      </c>
      <c r="D2" s="11">
        <v>1.4449999999999999E-2</v>
      </c>
      <c r="E2" s="10">
        <f t="shared" ref="E2:E66" si="2">SUM(C2-C3)</f>
        <v>533.68048594004358</v>
      </c>
      <c r="F2" s="15">
        <v>37482</v>
      </c>
      <c r="G2" s="28"/>
      <c r="H2" s="10"/>
      <c r="I2" s="10">
        <f>IF(H2&lt;&gt;"",H2,4405)</f>
        <v>4405</v>
      </c>
      <c r="J2" s="10">
        <f t="shared" ref="J2:J33" si="3">IF(I2="","",I2*C2)</f>
        <v>165040311.7146762</v>
      </c>
      <c r="K2" s="11">
        <f t="shared" ref="K2:K33" si="4">IFERROR(J2/J3-1,"")</f>
        <v>1.4449999999999852E-2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36932.90560138713</v>
      </c>
      <c r="D3" s="11">
        <v>1.4800000000000001E-2</v>
      </c>
      <c r="E3" s="10">
        <f t="shared" si="2"/>
        <v>538.63520191222779</v>
      </c>
      <c r="F3" s="3"/>
      <c r="G3" s="28"/>
      <c r="H3" s="10"/>
      <c r="I3" s="10">
        <f t="shared" ref="I3:I34" si="5">IF(H3&lt;&gt;"",H3,I2/(1+IF(G2="",0,G2)/100))</f>
        <v>4405</v>
      </c>
      <c r="J3" s="10">
        <f t="shared" si="3"/>
        <v>162689449.17411032</v>
      </c>
      <c r="K3" s="11">
        <f t="shared" si="4"/>
        <v>1.4800000000000146E-2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36394.270399474903</v>
      </c>
      <c r="D4" s="11">
        <v>1.523E-2</v>
      </c>
      <c r="E4" s="10">
        <f t="shared" si="2"/>
        <v>545.96962085833366</v>
      </c>
      <c r="F4" s="3"/>
      <c r="G4" s="28"/>
      <c r="H4" s="10"/>
      <c r="I4" s="10">
        <f t="shared" si="5"/>
        <v>4405</v>
      </c>
      <c r="J4" s="10">
        <f t="shared" si="3"/>
        <v>160316761.10968694</v>
      </c>
      <c r="K4" s="11">
        <f t="shared" si="4"/>
        <v>1.5230000000000077E-2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35848.300778616569</v>
      </c>
      <c r="D5" s="11">
        <v>1.6279999999999999E-2</v>
      </c>
      <c r="E5" s="10">
        <f t="shared" si="2"/>
        <v>574.26136170728569</v>
      </c>
      <c r="F5" s="3"/>
      <c r="G5" s="28"/>
      <c r="H5" s="10"/>
      <c r="I5" s="10">
        <f t="shared" si="5"/>
        <v>4405</v>
      </c>
      <c r="J5" s="10">
        <f t="shared" si="3"/>
        <v>157911764.92980599</v>
      </c>
      <c r="K5" s="11">
        <f t="shared" si="4"/>
        <v>1.6280000000000072E-2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35274.039416909283</v>
      </c>
      <c r="D6" s="11">
        <v>1.643E-2</v>
      </c>
      <c r="E6" s="10">
        <f t="shared" si="2"/>
        <v>570.18433893117617</v>
      </c>
      <c r="F6" s="3"/>
      <c r="G6" s="28"/>
      <c r="H6" s="10"/>
      <c r="I6" s="10">
        <f t="shared" si="5"/>
        <v>4405</v>
      </c>
      <c r="J6" s="10">
        <f t="shared" si="3"/>
        <v>155382143.6314854</v>
      </c>
      <c r="K6" s="11">
        <f t="shared" si="4"/>
        <v>1.6429999999999945E-2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34703.855077978107</v>
      </c>
      <c r="D7" s="11">
        <v>1.6420000000000001E-2</v>
      </c>
      <c r="E7" s="10">
        <f t="shared" si="2"/>
        <v>560.63172741622839</v>
      </c>
      <c r="F7" s="3"/>
      <c r="G7" s="28"/>
      <c r="H7" s="10"/>
      <c r="I7" s="10">
        <f t="shared" si="5"/>
        <v>4405</v>
      </c>
      <c r="J7" s="10">
        <f t="shared" si="3"/>
        <v>152870481.61849356</v>
      </c>
      <c r="K7" s="11">
        <f t="shared" si="4"/>
        <v>1.6420000000000101E-2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34143.223350561879</v>
      </c>
      <c r="D8" s="11">
        <v>1.6570000000000001E-2</v>
      </c>
      <c r="E8" s="10">
        <f t="shared" si="2"/>
        <v>556.53148422519735</v>
      </c>
      <c r="F8" s="3"/>
      <c r="G8" s="28"/>
      <c r="H8" s="10"/>
      <c r="I8" s="10">
        <f t="shared" si="5"/>
        <v>4405</v>
      </c>
      <c r="J8" s="10">
        <f t="shared" si="3"/>
        <v>150400898.85922506</v>
      </c>
      <c r="K8" s="11">
        <f t="shared" si="4"/>
        <v>1.6569999999999752E-2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33586.691866336681</v>
      </c>
      <c r="D9" s="11">
        <v>1.678E-2</v>
      </c>
      <c r="E9" s="10">
        <f t="shared" si="2"/>
        <v>554.2838072317827</v>
      </c>
      <c r="F9" s="3"/>
      <c r="G9" s="28"/>
      <c r="H9" s="10"/>
      <c r="I9" s="10">
        <f t="shared" si="5"/>
        <v>4405</v>
      </c>
      <c r="J9" s="10">
        <f t="shared" si="3"/>
        <v>147949377.67121309</v>
      </c>
      <c r="K9" s="11">
        <f t="shared" si="4"/>
        <v>1.6780000000000017E-2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33032.408059104899</v>
      </c>
      <c r="D10" s="11">
        <v>1.7069999999999998E-2</v>
      </c>
      <c r="E10" s="10">
        <f t="shared" si="2"/>
        <v>554.39960432312</v>
      </c>
      <c r="F10" s="3"/>
      <c r="G10" s="28"/>
      <c r="H10" s="10"/>
      <c r="I10" s="10">
        <f t="shared" si="5"/>
        <v>4405</v>
      </c>
      <c r="J10" s="10">
        <f t="shared" si="3"/>
        <v>145507757.50035709</v>
      </c>
      <c r="K10" s="11">
        <f t="shared" si="4"/>
        <v>1.7069999999999919E-2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32478.008454781779</v>
      </c>
      <c r="D11" s="11">
        <v>1.7330000000000002E-2</v>
      </c>
      <c r="E11" s="10">
        <f t="shared" si="2"/>
        <v>553.25596072205735</v>
      </c>
      <c r="F11" s="3"/>
      <c r="G11" s="28"/>
      <c r="H11" s="10"/>
      <c r="I11" s="10">
        <f t="shared" si="5"/>
        <v>4405</v>
      </c>
      <c r="J11" s="10">
        <f t="shared" si="3"/>
        <v>143065627.24331373</v>
      </c>
      <c r="K11" s="11">
        <f t="shared" si="4"/>
        <v>1.7330000000000068E-2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31924.752494059721</v>
      </c>
      <c r="D12" s="11">
        <v>1.762E-2</v>
      </c>
      <c r="E12" s="10">
        <f t="shared" si="2"/>
        <v>552.77425654500985</v>
      </c>
      <c r="F12" s="3"/>
      <c r="G12" s="28"/>
      <c r="H12" s="10"/>
      <c r="I12" s="10">
        <f t="shared" si="5"/>
        <v>4405</v>
      </c>
      <c r="J12" s="10">
        <f t="shared" si="3"/>
        <v>140628534.73633307</v>
      </c>
      <c r="K12" s="11">
        <f t="shared" si="4"/>
        <v>1.7619999999999969E-2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31371.978237514712</v>
      </c>
      <c r="D13" s="11">
        <v>1.797E-2</v>
      </c>
      <c r="E13" s="10">
        <f t="shared" si="2"/>
        <v>553.80261592005627</v>
      </c>
      <c r="F13" s="3"/>
      <c r="G13" s="28"/>
      <c r="H13" s="10"/>
      <c r="I13" s="10">
        <f t="shared" si="5"/>
        <v>4405</v>
      </c>
      <c r="J13" s="10">
        <f t="shared" si="3"/>
        <v>138193564.13625231</v>
      </c>
      <c r="K13" s="11">
        <f t="shared" si="4"/>
        <v>1.7970000000000041E-2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30818.175621594655</v>
      </c>
      <c r="D14" s="11">
        <v>1.8280000000000001E-2</v>
      </c>
      <c r="E14" s="10">
        <f t="shared" si="2"/>
        <v>553.24296889141624</v>
      </c>
      <c r="F14" s="3"/>
      <c r="G14" s="28"/>
      <c r="H14" s="10"/>
      <c r="I14" s="10">
        <f t="shared" si="5"/>
        <v>4405</v>
      </c>
      <c r="J14" s="10">
        <f t="shared" si="3"/>
        <v>135754063.61312446</v>
      </c>
      <c r="K14" s="11">
        <f t="shared" si="4"/>
        <v>1.8280000000000074E-2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30264.932652703239</v>
      </c>
      <c r="D15" s="11">
        <v>1.8370000000000001E-2</v>
      </c>
      <c r="E15" s="10">
        <f t="shared" si="2"/>
        <v>545.93793300093239</v>
      </c>
      <c r="F15" s="3"/>
      <c r="G15" s="28"/>
      <c r="H15" s="10"/>
      <c r="I15" s="10">
        <f t="shared" si="5"/>
        <v>4405</v>
      </c>
      <c r="J15" s="10">
        <f t="shared" si="3"/>
        <v>133317028.33515777</v>
      </c>
      <c r="K15" s="11">
        <f t="shared" si="4"/>
        <v>1.8369999999999997E-2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29718.994719702307</v>
      </c>
      <c r="D16" s="11">
        <v>1.7219999999999999E-2</v>
      </c>
      <c r="E16" s="10">
        <f t="shared" si="2"/>
        <v>503.09774588906294</v>
      </c>
      <c r="F16" s="3"/>
      <c r="G16" s="28"/>
      <c r="H16" s="10"/>
      <c r="I16" s="10">
        <f t="shared" si="5"/>
        <v>4405</v>
      </c>
      <c r="J16" s="10">
        <f t="shared" si="3"/>
        <v>130912171.74028866</v>
      </c>
      <c r="K16" s="11">
        <f t="shared" si="4"/>
        <v>1.7220000000000013E-2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29215.896973813244</v>
      </c>
      <c r="D17" s="11">
        <v>1.7219999999999999E-2</v>
      </c>
      <c r="E17" s="10">
        <f t="shared" si="2"/>
        <v>494.58106003525609</v>
      </c>
      <c r="F17" s="3"/>
      <c r="G17" s="28"/>
      <c r="H17" s="10"/>
      <c r="I17" s="10">
        <f t="shared" si="5"/>
        <v>4405</v>
      </c>
      <c r="J17" s="10">
        <f t="shared" si="3"/>
        <v>128696026.16964734</v>
      </c>
      <c r="K17" s="11">
        <f t="shared" si="4"/>
        <v>1.7220000000000013E-2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28721.315913777988</v>
      </c>
      <c r="D18" s="11">
        <v>1.7770000000000001E-2</v>
      </c>
      <c r="E18" s="10">
        <f t="shared" si="2"/>
        <v>501.46672017040692</v>
      </c>
      <c r="F18" s="3"/>
      <c r="G18" s="28"/>
      <c r="H18" s="10"/>
      <c r="I18" s="10">
        <f t="shared" si="5"/>
        <v>4405</v>
      </c>
      <c r="J18" s="10">
        <f t="shared" si="3"/>
        <v>126517396.60019204</v>
      </c>
      <c r="K18" s="11">
        <f t="shared" si="4"/>
        <v>1.7770000000000064E-2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28219.849193607581</v>
      </c>
      <c r="D19" s="11">
        <v>1.84E-2</v>
      </c>
      <c r="E19" s="10">
        <f t="shared" si="2"/>
        <v>509.86373248466043</v>
      </c>
      <c r="F19" s="3"/>
      <c r="G19" s="28"/>
      <c r="H19" s="10"/>
      <c r="I19" s="10">
        <f t="shared" si="5"/>
        <v>4405</v>
      </c>
      <c r="J19" s="10">
        <f t="shared" si="3"/>
        <v>124308435.69784139</v>
      </c>
      <c r="K19" s="11">
        <f t="shared" si="4"/>
        <v>1.8399999999999972E-2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27709.98546112292</v>
      </c>
      <c r="D20" s="11">
        <v>1.9089999999999999E-2</v>
      </c>
      <c r="E20" s="10">
        <f t="shared" si="2"/>
        <v>519.07449043052111</v>
      </c>
      <c r="F20" s="3"/>
      <c r="G20" s="28"/>
      <c r="H20" s="10"/>
      <c r="I20" s="10">
        <f t="shared" si="5"/>
        <v>4405</v>
      </c>
      <c r="J20" s="10">
        <f t="shared" si="3"/>
        <v>122062485.95624647</v>
      </c>
      <c r="K20" s="11">
        <f t="shared" si="4"/>
        <v>1.9090000000000051E-2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27190.910970692399</v>
      </c>
      <c r="D21" s="11">
        <v>1.9789999999999999E-2</v>
      </c>
      <c r="E21" s="10">
        <f t="shared" si="2"/>
        <v>527.66562538365906</v>
      </c>
      <c r="F21" s="3"/>
      <c r="G21" s="28"/>
      <c r="H21" s="10"/>
      <c r="I21" s="10">
        <f t="shared" si="5"/>
        <v>4405</v>
      </c>
      <c r="J21" s="10">
        <f t="shared" si="3"/>
        <v>119775962.82590002</v>
      </c>
      <c r="K21" s="11">
        <f t="shared" si="4"/>
        <v>1.9789999999999974E-2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26663.24534530874</v>
      </c>
      <c r="D22" s="11">
        <v>2.06E-2</v>
      </c>
      <c r="E22" s="10">
        <f t="shared" si="2"/>
        <v>538.17641986415765</v>
      </c>
      <c r="F22" s="3"/>
      <c r="G22" s="28"/>
      <c r="H22" s="10"/>
      <c r="I22" s="10">
        <f t="shared" si="5"/>
        <v>4405</v>
      </c>
      <c r="J22" s="10">
        <f t="shared" si="3"/>
        <v>117451595.746085</v>
      </c>
      <c r="K22" s="11">
        <f t="shared" si="4"/>
        <v>2.0599999999999952E-2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26125.068925444582</v>
      </c>
      <c r="D23" s="11">
        <v>2.1649999999999999E-2</v>
      </c>
      <c r="E23" s="10">
        <f t="shared" si="2"/>
        <v>553.62182962450242</v>
      </c>
      <c r="F23" s="3"/>
      <c r="G23" s="28"/>
      <c r="H23" s="10"/>
      <c r="I23" s="10">
        <f t="shared" si="5"/>
        <v>4405</v>
      </c>
      <c r="J23" s="10">
        <f t="shared" si="3"/>
        <v>115080928.61658339</v>
      </c>
      <c r="K23" s="11">
        <f t="shared" si="4"/>
        <v>2.1649999999999947E-2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25571.44709582008</v>
      </c>
      <c r="D24" s="11">
        <v>2.298E-2</v>
      </c>
      <c r="E24" s="10">
        <f t="shared" si="2"/>
        <v>574.43142022516986</v>
      </c>
      <c r="F24" s="3"/>
      <c r="G24" s="28"/>
      <c r="H24" s="10"/>
      <c r="I24" s="10">
        <f t="shared" si="5"/>
        <v>4405</v>
      </c>
      <c r="J24" s="10">
        <f t="shared" si="3"/>
        <v>112642224.45708746</v>
      </c>
      <c r="K24" s="11">
        <f t="shared" si="4"/>
        <v>2.298E-2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24997.01567559491</v>
      </c>
      <c r="D25" s="11">
        <v>1.5310000000000001E-2</v>
      </c>
      <c r="E25" s="10">
        <f t="shared" si="2"/>
        <v>376.93345874004808</v>
      </c>
      <c r="F25" s="3"/>
      <c r="G25" s="28"/>
      <c r="H25" s="10"/>
      <c r="I25" s="10">
        <f t="shared" si="5"/>
        <v>4405</v>
      </c>
      <c r="J25" s="10">
        <f t="shared" si="3"/>
        <v>110111854.05099557</v>
      </c>
      <c r="K25" s="11">
        <f t="shared" si="4"/>
        <v>1.5309999999999935E-2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24620.082216854862</v>
      </c>
      <c r="D26" s="11">
        <v>1.2999999999999999E-2</v>
      </c>
      <c r="E26" s="10">
        <f t="shared" si="2"/>
        <v>315.95367109487779</v>
      </c>
      <c r="F26" s="3"/>
      <c r="G26" s="28"/>
      <c r="H26" s="10"/>
      <c r="I26" s="10">
        <f t="shared" si="5"/>
        <v>4405</v>
      </c>
      <c r="J26" s="10">
        <f t="shared" si="3"/>
        <v>108451462.16524567</v>
      </c>
      <c r="K26" s="11">
        <f t="shared" si="4"/>
        <v>1.2999999999999901E-2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24304.128545759984</v>
      </c>
      <c r="D27" s="11">
        <v>1.37E-2</v>
      </c>
      <c r="E27" s="10">
        <f t="shared" si="2"/>
        <v>328.46656908050863</v>
      </c>
      <c r="F27" s="3"/>
      <c r="G27" s="28"/>
      <c r="H27" s="10"/>
      <c r="I27" s="10">
        <f t="shared" si="5"/>
        <v>4405</v>
      </c>
      <c r="J27" s="10">
        <f t="shared" si="3"/>
        <v>107059686.24407274</v>
      </c>
      <c r="K27" s="11">
        <f t="shared" si="4"/>
        <v>1.3700000000000045E-2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23975.661976679476</v>
      </c>
      <c r="D28" s="11">
        <v>1.423E-2</v>
      </c>
      <c r="E28" s="10">
        <f t="shared" si="2"/>
        <v>336.38688456084856</v>
      </c>
      <c r="F28" s="3"/>
      <c r="G28" s="28"/>
      <c r="H28" s="10"/>
      <c r="I28" s="10">
        <f t="shared" si="5"/>
        <v>4405</v>
      </c>
      <c r="J28" s="10">
        <f t="shared" si="3"/>
        <v>105612791.00727309</v>
      </c>
      <c r="K28" s="11">
        <f t="shared" si="4"/>
        <v>1.4229999999999965E-2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23639.275092118627</v>
      </c>
      <c r="D29" s="11">
        <v>1.4760000000000001E-2</v>
      </c>
      <c r="E29" s="10">
        <f t="shared" si="2"/>
        <v>343.84061291307808</v>
      </c>
      <c r="F29" s="3"/>
      <c r="G29" s="28"/>
      <c r="H29" s="10"/>
      <c r="I29" s="10">
        <f t="shared" si="5"/>
        <v>4405</v>
      </c>
      <c r="J29" s="10">
        <f t="shared" si="3"/>
        <v>104131006.78078255</v>
      </c>
      <c r="K29" s="11">
        <f t="shared" si="4"/>
        <v>1.4760000000000106E-2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23295.434479205549</v>
      </c>
      <c r="D30" s="11">
        <v>1.5350000000000001E-2</v>
      </c>
      <c r="E30" s="10">
        <f t="shared" si="2"/>
        <v>352.178972035068</v>
      </c>
      <c r="F30" s="3"/>
      <c r="G30" s="28"/>
      <c r="H30" s="10"/>
      <c r="I30" s="10">
        <f t="shared" si="5"/>
        <v>4405</v>
      </c>
      <c r="J30" s="10">
        <f t="shared" si="3"/>
        <v>102616388.88090044</v>
      </c>
      <c r="K30" s="11">
        <f t="shared" si="4"/>
        <v>1.5349999999999975E-2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22943.255507170481</v>
      </c>
      <c r="D31" s="11">
        <v>1.584E-2</v>
      </c>
      <c r="E31" s="10">
        <f t="shared" si="2"/>
        <v>357.75433851156049</v>
      </c>
      <c r="F31" s="3"/>
      <c r="G31" s="28"/>
      <c r="H31" s="10"/>
      <c r="I31" s="10">
        <f t="shared" si="5"/>
        <v>4405</v>
      </c>
      <c r="J31" s="10">
        <f t="shared" si="3"/>
        <v>101065040.50908597</v>
      </c>
      <c r="K31" s="11">
        <f t="shared" si="4"/>
        <v>1.5840000000000076E-2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22585.501168658921</v>
      </c>
      <c r="D32" s="11">
        <v>1.6250000000000001E-2</v>
      </c>
      <c r="E32" s="10">
        <f t="shared" si="2"/>
        <v>361.14577514461052</v>
      </c>
      <c r="F32" s="3"/>
      <c r="G32" s="28"/>
      <c r="H32" s="10"/>
      <c r="I32" s="10">
        <f t="shared" si="5"/>
        <v>4405</v>
      </c>
      <c r="J32" s="10">
        <f t="shared" si="3"/>
        <v>99489132.647942543</v>
      </c>
      <c r="K32" s="11">
        <f t="shared" si="4"/>
        <v>1.6250000000000098E-2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22224.35539351431</v>
      </c>
      <c r="D33" s="11">
        <v>1.669E-2</v>
      </c>
      <c r="E33" s="10">
        <f t="shared" si="2"/>
        <v>364.83538887739269</v>
      </c>
      <c r="F33" s="3"/>
      <c r="G33" s="28"/>
      <c r="H33" s="10"/>
      <c r="I33" s="10">
        <f t="shared" si="5"/>
        <v>4405</v>
      </c>
      <c r="J33" s="10">
        <f t="shared" si="3"/>
        <v>97898285.508430541</v>
      </c>
      <c r="K33" s="11">
        <f t="shared" si="4"/>
        <v>1.6690000000000094E-2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21859.520004636917</v>
      </c>
      <c r="D34" s="11">
        <v>1.7270000000000001E-2</v>
      </c>
      <c r="E34" s="10">
        <f t="shared" si="2"/>
        <v>371.10492836717458</v>
      </c>
      <c r="F34" s="3"/>
      <c r="G34" s="28"/>
      <c r="H34" s="10"/>
      <c r="I34" s="10">
        <f t="shared" si="5"/>
        <v>4405</v>
      </c>
      <c r="J34" s="10">
        <f t="shared" ref="J34:J65" si="6">IF(I34="","",I34*C34)</f>
        <v>96291185.620425627</v>
      </c>
      <c r="K34" s="11">
        <f t="shared" ref="K34:K65" si="7">IFERROR(J34/J35-1,"")</f>
        <v>1.7269999999999897E-2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21488.415076269743</v>
      </c>
      <c r="D35" s="11">
        <v>1.3270000000000001E-2</v>
      </c>
      <c r="E35" s="10">
        <f t="shared" si="2"/>
        <v>281.41686624700014</v>
      </c>
      <c r="F35" s="3"/>
      <c r="G35" s="28"/>
      <c r="H35" s="10"/>
      <c r="I35" s="10">
        <f t="shared" ref="I35:I66" si="8">IF(H35&lt;&gt;"",H35,I34/(1+IF(G34="",0,G34)/100))</f>
        <v>4405</v>
      </c>
      <c r="J35" s="10">
        <f t="shared" si="6"/>
        <v>94656468.410968214</v>
      </c>
      <c r="K35" s="11">
        <f t="shared" si="7"/>
        <v>1.3269999999999893E-2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21206.998210022743</v>
      </c>
      <c r="D36" s="11">
        <v>8.6700000000000006E-3</v>
      </c>
      <c r="E36" s="10">
        <f t="shared" si="2"/>
        <v>182.2842698612003</v>
      </c>
      <c r="F36" s="3"/>
      <c r="G36" s="28"/>
      <c r="H36" s="10"/>
      <c r="I36" s="10">
        <f t="shared" si="8"/>
        <v>4405</v>
      </c>
      <c r="J36" s="10">
        <f t="shared" si="6"/>
        <v>93416827.115150183</v>
      </c>
      <c r="K36" s="11">
        <f t="shared" si="7"/>
        <v>8.6700000000001776E-3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21024.713940161542</v>
      </c>
      <c r="D37" s="11">
        <v>8.2900000000000005E-3</v>
      </c>
      <c r="E37" s="10">
        <f t="shared" si="2"/>
        <v>172.86185379597009</v>
      </c>
      <c r="F37" s="3"/>
      <c r="G37" s="28"/>
      <c r="H37" s="10"/>
      <c r="I37" s="10">
        <f t="shared" si="8"/>
        <v>4405</v>
      </c>
      <c r="J37" s="10">
        <f t="shared" si="6"/>
        <v>92613864.906411588</v>
      </c>
      <c r="K37" s="11">
        <f t="shared" si="7"/>
        <v>8.2899999999999086E-3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20851.852086365572</v>
      </c>
      <c r="D38" s="11">
        <v>7.9600000000000001E-3</v>
      </c>
      <c r="E38" s="10">
        <f t="shared" si="2"/>
        <v>164.66996964906139</v>
      </c>
      <c r="F38" s="3"/>
      <c r="G38" s="28"/>
      <c r="H38" s="10"/>
      <c r="I38" s="10">
        <f t="shared" si="8"/>
        <v>4405</v>
      </c>
      <c r="J38" s="10">
        <f t="shared" si="6"/>
        <v>91852408.440440342</v>
      </c>
      <c r="K38" s="11">
        <f t="shared" si="7"/>
        <v>7.9599999999997451E-3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20687.182116716511</v>
      </c>
      <c r="D39" s="11">
        <v>7.7499999999999999E-3</v>
      </c>
      <c r="E39" s="10">
        <f t="shared" si="2"/>
        <v>159.09269303354085</v>
      </c>
      <c r="F39" s="3"/>
      <c r="G39" s="28"/>
      <c r="H39" s="10"/>
      <c r="I39" s="10">
        <f t="shared" si="8"/>
        <v>4405</v>
      </c>
      <c r="J39" s="10">
        <f t="shared" si="6"/>
        <v>91127037.224136233</v>
      </c>
      <c r="K39" s="11">
        <f t="shared" si="7"/>
        <v>7.7499999999999236E-3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20528.08942368297</v>
      </c>
      <c r="D40" s="11">
        <v>7.6299999999999996E-3</v>
      </c>
      <c r="E40" s="10">
        <f t="shared" si="2"/>
        <v>155.44329000000289</v>
      </c>
      <c r="F40" s="3"/>
      <c r="G40" s="28"/>
      <c r="H40" s="10"/>
      <c r="I40" s="10">
        <f t="shared" si="8"/>
        <v>4405</v>
      </c>
      <c r="J40" s="10">
        <f t="shared" si="6"/>
        <v>90426233.911323488</v>
      </c>
      <c r="K40" s="11">
        <f t="shared" si="7"/>
        <v>7.6300000000000257E-3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20372.646133682967</v>
      </c>
      <c r="D41" s="11">
        <v>7.6299999999999996E-3</v>
      </c>
      <c r="E41" s="10">
        <f t="shared" si="2"/>
        <v>154.26623859948813</v>
      </c>
      <c r="F41" s="3"/>
      <c r="G41" s="28"/>
      <c r="H41" s="10"/>
      <c r="I41" s="10">
        <f t="shared" si="8"/>
        <v>4405</v>
      </c>
      <c r="J41" s="10">
        <f t="shared" si="6"/>
        <v>89741506.218873471</v>
      </c>
      <c r="K41" s="11">
        <f t="shared" si="7"/>
        <v>7.6300000000000257E-3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20218.379895083479</v>
      </c>
      <c r="D42" s="11">
        <v>3.1E-4</v>
      </c>
      <c r="E42" s="10">
        <f t="shared" si="2"/>
        <v>6.265755383308715</v>
      </c>
      <c r="F42" s="3"/>
      <c r="G42" s="28"/>
      <c r="H42" s="10"/>
      <c r="I42" s="10">
        <f t="shared" si="8"/>
        <v>4405</v>
      </c>
      <c r="J42" s="10">
        <f t="shared" si="6"/>
        <v>89061963.437842727</v>
      </c>
      <c r="K42" s="11">
        <f t="shared" si="7"/>
        <v>3.1000000000025452E-4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20212.11413970017</v>
      </c>
      <c r="D43" s="11">
        <v>-1.191E-2</v>
      </c>
      <c r="E43" s="10">
        <f t="shared" si="2"/>
        <v>-243.62788754448411</v>
      </c>
      <c r="F43" s="3"/>
      <c r="G43" s="28"/>
      <c r="H43" s="10"/>
      <c r="I43" s="10">
        <f t="shared" si="8"/>
        <v>4405</v>
      </c>
      <c r="J43" s="10">
        <f t="shared" si="6"/>
        <v>89034362.785379246</v>
      </c>
      <c r="K43" s="11">
        <f t="shared" si="7"/>
        <v>-1.1910000000000087E-2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20455.742027244654</v>
      </c>
      <c r="D44" s="11">
        <v>3.81E-3</v>
      </c>
      <c r="E44" s="10">
        <f t="shared" si="2"/>
        <v>77.640566565190966</v>
      </c>
      <c r="F44" s="3"/>
      <c r="G44" s="28"/>
      <c r="H44" s="10"/>
      <c r="I44" s="10">
        <f t="shared" si="8"/>
        <v>4405</v>
      </c>
      <c r="J44" s="10">
        <f t="shared" si="6"/>
        <v>90107543.630012706</v>
      </c>
      <c r="K44" s="11">
        <f t="shared" si="7"/>
        <v>3.8100000000000911E-3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20378.101460679463</v>
      </c>
      <c r="D45" s="11">
        <v>1.091E-2</v>
      </c>
      <c r="E45" s="10">
        <f t="shared" si="2"/>
        <v>219.92569757546516</v>
      </c>
      <c r="F45" s="3"/>
      <c r="G45" s="28"/>
      <c r="H45" s="10"/>
      <c r="I45" s="10">
        <f t="shared" si="8"/>
        <v>4405</v>
      </c>
      <c r="J45" s="10">
        <f t="shared" si="6"/>
        <v>89765536.934293032</v>
      </c>
      <c r="K45" s="11">
        <f t="shared" si="7"/>
        <v>1.0909999999999975E-2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20158.175763103998</v>
      </c>
      <c r="D46" s="11">
        <v>1.0410000000000001E-2</v>
      </c>
      <c r="E46" s="10">
        <f t="shared" si="2"/>
        <v>207.68461287389437</v>
      </c>
      <c r="F46" s="3"/>
      <c r="G46" s="28"/>
      <c r="H46" s="10"/>
      <c r="I46" s="10">
        <f t="shared" si="8"/>
        <v>4405</v>
      </c>
      <c r="J46" s="10">
        <f t="shared" si="6"/>
        <v>88796764.236473113</v>
      </c>
      <c r="K46" s="11">
        <f t="shared" si="7"/>
        <v>1.0409999999999808E-2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19950.491150230104</v>
      </c>
      <c r="D47" s="11">
        <v>9.8799999999999999E-3</v>
      </c>
      <c r="E47" s="10">
        <f t="shared" si="2"/>
        <v>195.18244995868008</v>
      </c>
      <c r="F47" s="3"/>
      <c r="G47" s="28"/>
      <c r="H47" s="10"/>
      <c r="I47" s="10">
        <f t="shared" si="8"/>
        <v>4405</v>
      </c>
      <c r="J47" s="10">
        <f t="shared" si="6"/>
        <v>87881913.516763613</v>
      </c>
      <c r="K47" s="11">
        <f t="shared" si="7"/>
        <v>9.8800000000001109E-3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19755.308700271424</v>
      </c>
      <c r="D48" s="11">
        <v>9.5399999999999999E-3</v>
      </c>
      <c r="E48" s="10">
        <f t="shared" si="2"/>
        <v>186.6846732180893</v>
      </c>
      <c r="F48" s="3"/>
      <c r="G48" s="28"/>
      <c r="H48" s="10"/>
      <c r="I48" s="10">
        <f t="shared" si="8"/>
        <v>4405</v>
      </c>
      <c r="J48" s="10">
        <f t="shared" si="6"/>
        <v>87022134.824695617</v>
      </c>
      <c r="K48" s="11">
        <f t="shared" si="7"/>
        <v>9.540000000000104E-3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19568.624027053334</v>
      </c>
      <c r="D49" s="11">
        <v>9.3600000000000003E-3</v>
      </c>
      <c r="E49" s="10">
        <f t="shared" si="2"/>
        <v>181.4638195423031</v>
      </c>
      <c r="F49" s="3"/>
      <c r="G49" s="28"/>
      <c r="H49" s="10"/>
      <c r="I49" s="10">
        <f t="shared" si="8"/>
        <v>4405</v>
      </c>
      <c r="J49" s="10">
        <f t="shared" si="6"/>
        <v>86199788.839169934</v>
      </c>
      <c r="K49" s="11">
        <f t="shared" si="7"/>
        <v>9.360000000000035E-3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19387.160207511031</v>
      </c>
      <c r="D50" s="11">
        <v>9.3200000000000002E-3</v>
      </c>
      <c r="E50" s="10">
        <f t="shared" si="2"/>
        <v>179.01986796457277</v>
      </c>
      <c r="F50" s="3"/>
      <c r="G50" s="28"/>
      <c r="H50" s="10"/>
      <c r="I50" s="10">
        <f t="shared" si="8"/>
        <v>4405</v>
      </c>
      <c r="J50" s="10">
        <f t="shared" si="6"/>
        <v>85400440.714086086</v>
      </c>
      <c r="K50" s="11">
        <f t="shared" si="7"/>
        <v>9.319999999999995E-3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19208.140339546459</v>
      </c>
      <c r="D51" s="11">
        <v>9.4000000000000004E-3</v>
      </c>
      <c r="E51" s="10">
        <f t="shared" si="2"/>
        <v>178.87509331458205</v>
      </c>
      <c r="F51" s="3"/>
      <c r="G51" s="28"/>
      <c r="H51" s="10"/>
      <c r="I51" s="10">
        <f t="shared" si="8"/>
        <v>4405</v>
      </c>
      <c r="J51" s="10">
        <f t="shared" si="6"/>
        <v>84611858.19570215</v>
      </c>
      <c r="K51" s="11">
        <f t="shared" si="7"/>
        <v>9.400000000000075E-3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19029.265246231877</v>
      </c>
      <c r="D52" s="11">
        <v>8.8199999999999997E-3</v>
      </c>
      <c r="E52" s="10">
        <f t="shared" si="2"/>
        <v>166.37072963637183</v>
      </c>
      <c r="F52" s="3"/>
      <c r="G52" s="28"/>
      <c r="H52" s="10"/>
      <c r="I52" s="10">
        <f t="shared" si="8"/>
        <v>4405</v>
      </c>
      <c r="J52" s="10">
        <f t="shared" si="6"/>
        <v>83823913.409651414</v>
      </c>
      <c r="K52" s="11">
        <f t="shared" si="7"/>
        <v>8.82000000000005E-3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18862.894516595505</v>
      </c>
      <c r="D53" s="11">
        <v>8.1300000000000001E-3</v>
      </c>
      <c r="E53" s="10">
        <f t="shared" si="2"/>
        <v>152.11860813577732</v>
      </c>
      <c r="F53" s="3"/>
      <c r="G53" s="28"/>
      <c r="H53" s="10"/>
      <c r="I53" s="10">
        <f t="shared" si="8"/>
        <v>4405</v>
      </c>
      <c r="J53" s="10">
        <f t="shared" si="6"/>
        <v>83091050.345603198</v>
      </c>
      <c r="K53" s="11">
        <f t="shared" si="7"/>
        <v>8.1299999999999706E-3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18710.775908459727</v>
      </c>
      <c r="D54" s="11">
        <v>9.1599999999999997E-3</v>
      </c>
      <c r="E54" s="10">
        <f t="shared" si="2"/>
        <v>169.83501855155919</v>
      </c>
      <c r="F54" s="3"/>
      <c r="G54" s="28"/>
      <c r="H54" s="10"/>
      <c r="I54" s="10">
        <f t="shared" si="8"/>
        <v>4405</v>
      </c>
      <c r="J54" s="10">
        <f t="shared" si="6"/>
        <v>82420967.876765102</v>
      </c>
      <c r="K54" s="11">
        <f t="shared" si="7"/>
        <v>9.160000000000057E-3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18540.940889908168</v>
      </c>
      <c r="D55" s="11">
        <v>0.01</v>
      </c>
      <c r="E55" s="10">
        <f t="shared" si="2"/>
        <v>183.57367217731007</v>
      </c>
      <c r="F55" s="3"/>
      <c r="G55" s="28"/>
      <c r="H55" s="10"/>
      <c r="I55" s="10">
        <f t="shared" si="8"/>
        <v>4405</v>
      </c>
      <c r="J55" s="10">
        <f t="shared" si="6"/>
        <v>81672844.620045483</v>
      </c>
      <c r="K55" s="11">
        <f t="shared" si="7"/>
        <v>1.0000000000000231E-2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18357.367217730858</v>
      </c>
      <c r="D56" s="11">
        <v>9.8899999999999995E-3</v>
      </c>
      <c r="E56" s="10">
        <f t="shared" si="2"/>
        <v>179.77637344993855</v>
      </c>
      <c r="F56" s="3"/>
      <c r="G56" s="28"/>
      <c r="H56" s="10"/>
      <c r="I56" s="10">
        <f t="shared" si="8"/>
        <v>4405</v>
      </c>
      <c r="J56" s="10">
        <f t="shared" si="6"/>
        <v>80864202.594104424</v>
      </c>
      <c r="K56" s="11">
        <f t="shared" si="7"/>
        <v>9.8899999999999544E-3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18177.59084428092</v>
      </c>
      <c r="D57" s="11">
        <v>2.0729999999999998E-2</v>
      </c>
      <c r="E57" s="10">
        <f t="shared" si="2"/>
        <v>369.16859326358826</v>
      </c>
      <c r="F57" s="3"/>
      <c r="G57" s="28"/>
      <c r="H57" s="10"/>
      <c r="I57" s="10">
        <f t="shared" si="8"/>
        <v>4405</v>
      </c>
      <c r="J57" s="10">
        <f t="shared" si="6"/>
        <v>80072287.669057444</v>
      </c>
      <c r="K57" s="11">
        <f t="shared" si="7"/>
        <v>2.0729999999999693E-2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17808.422251017331</v>
      </c>
      <c r="D58" s="11">
        <v>2.0369999999999999E-2</v>
      </c>
      <c r="E58" s="10">
        <f t="shared" si="2"/>
        <v>355.51570631557479</v>
      </c>
      <c r="F58" s="3"/>
      <c r="G58" s="28"/>
      <c r="H58" s="10"/>
      <c r="I58" s="10">
        <f t="shared" si="8"/>
        <v>4405</v>
      </c>
      <c r="J58" s="10">
        <f t="shared" si="6"/>
        <v>78446100.01573135</v>
      </c>
      <c r="K58" s="11">
        <f t="shared" si="7"/>
        <v>2.0369999999999999E-2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17452.906544701757</v>
      </c>
      <c r="D59" s="11">
        <v>1.9259999999999999E-2</v>
      </c>
      <c r="E59" s="10">
        <f t="shared" si="2"/>
        <v>329.79120150987728</v>
      </c>
      <c r="F59" s="3"/>
      <c r="G59" s="28"/>
      <c r="H59" s="10"/>
      <c r="I59" s="10">
        <f t="shared" si="8"/>
        <v>4405</v>
      </c>
      <c r="J59" s="10">
        <f t="shared" si="6"/>
        <v>76880053.329411238</v>
      </c>
      <c r="K59" s="11">
        <f t="shared" si="7"/>
        <v>1.9260000000000277E-2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17123.115343191879</v>
      </c>
      <c r="D60" s="11">
        <v>1.8200000000000001E-2</v>
      </c>
      <c r="E60" s="10">
        <f t="shared" si="2"/>
        <v>306.07022121988848</v>
      </c>
      <c r="F60" s="3"/>
      <c r="G60" s="28"/>
      <c r="H60" s="10"/>
      <c r="I60" s="10">
        <f t="shared" si="8"/>
        <v>4405</v>
      </c>
      <c r="J60" s="10">
        <f t="shared" si="6"/>
        <v>75427323.086760223</v>
      </c>
      <c r="K60" s="11">
        <f t="shared" si="7"/>
        <v>1.8199999999999772E-2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16817.045121971991</v>
      </c>
      <c r="D61" s="11">
        <v>1.7409999999999998E-2</v>
      </c>
      <c r="E61" s="10">
        <f t="shared" si="2"/>
        <v>287.77459979116611</v>
      </c>
      <c r="F61" s="3"/>
      <c r="G61" s="28"/>
      <c r="H61" s="10"/>
      <c r="I61" s="10">
        <f t="shared" si="8"/>
        <v>4405</v>
      </c>
      <c r="J61" s="10">
        <f t="shared" si="6"/>
        <v>74079083.762286618</v>
      </c>
      <c r="K61" s="11">
        <f t="shared" si="7"/>
        <v>1.7409999999999926E-2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16529.270522180825</v>
      </c>
      <c r="D62" s="11">
        <v>1.677E-2</v>
      </c>
      <c r="E62" s="10">
        <f t="shared" si="2"/>
        <v>272.62396280080247</v>
      </c>
      <c r="F62" s="3"/>
      <c r="G62" s="28"/>
      <c r="H62" s="10"/>
      <c r="I62" s="10">
        <f t="shared" si="8"/>
        <v>4405</v>
      </c>
      <c r="J62" s="10">
        <f t="shared" si="6"/>
        <v>72811436.650206536</v>
      </c>
      <c r="K62" s="11">
        <f t="shared" si="7"/>
        <v>1.6769999999999952E-2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16256.646559380022</v>
      </c>
      <c r="D63" s="11">
        <v>1.6299999999999999E-2</v>
      </c>
      <c r="E63" s="10">
        <f t="shared" si="2"/>
        <v>260.73338474652519</v>
      </c>
      <c r="F63" s="3"/>
      <c r="G63" s="28"/>
      <c r="H63" s="10"/>
      <c r="I63" s="10">
        <f t="shared" si="8"/>
        <v>4405</v>
      </c>
      <c r="J63" s="10">
        <f t="shared" si="6"/>
        <v>71610528.094069004</v>
      </c>
      <c r="K63" s="11">
        <f t="shared" si="7"/>
        <v>1.6299999999999981E-2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15995.913174633497</v>
      </c>
      <c r="D64" s="11">
        <v>1.5879999999999998E-2</v>
      </c>
      <c r="E64" s="10">
        <f t="shared" si="2"/>
        <v>250.04439620149788</v>
      </c>
      <c r="F64" s="3"/>
      <c r="G64" s="28"/>
      <c r="H64" s="10"/>
      <c r="I64" s="10">
        <f t="shared" si="8"/>
        <v>4405</v>
      </c>
      <c r="J64" s="10">
        <f t="shared" si="6"/>
        <v>70461997.534260556</v>
      </c>
      <c r="K64" s="11">
        <f t="shared" si="7"/>
        <v>1.5879999999999672E-2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15745.868778431999</v>
      </c>
      <c r="D65" s="11">
        <v>1.5480000000000001E-2</v>
      </c>
      <c r="E65" s="10">
        <f t="shared" si="2"/>
        <v>240.03037843199854</v>
      </c>
      <c r="F65" s="3"/>
      <c r="G65" s="28"/>
      <c r="H65" s="10"/>
      <c r="I65" s="10">
        <f t="shared" si="8"/>
        <v>4405</v>
      </c>
      <c r="J65" s="10">
        <f t="shared" si="6"/>
        <v>69360551.968992963</v>
      </c>
      <c r="K65" s="11">
        <f t="shared" si="7"/>
        <v>1.548000000000016E-2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15505.838400000001</v>
      </c>
      <c r="D66" s="11">
        <v>1.478E-2</v>
      </c>
      <c r="E66" s="10">
        <f t="shared" si="2"/>
        <v>225.83840000000055</v>
      </c>
      <c r="F66" s="24">
        <f>SUM(F2)</f>
        <v>37482</v>
      </c>
      <c r="G66" s="28"/>
      <c r="H66" s="10"/>
      <c r="I66" s="10">
        <f t="shared" si="8"/>
        <v>4405</v>
      </c>
      <c r="J66" s="10">
        <f t="shared" ref="J66:J67" si="9">IF(I66="","",I66*C66)</f>
        <v>68303218.151999995</v>
      </c>
      <c r="K66" s="11">
        <f t="shared" ref="K66" si="10">IFERROR(J66/J67-1,"")</f>
        <v>1.4780000000000015E-2</v>
      </c>
    </row>
    <row r="67" spans="1:11" ht="22.5" customHeight="1">
      <c r="A67" s="3">
        <f t="shared" si="0"/>
        <v>1950</v>
      </c>
      <c r="B67" s="3">
        <v>1700</v>
      </c>
      <c r="C67" s="10">
        <v>15280</v>
      </c>
      <c r="D67" s="11">
        <v>1.4080000000000001E-2</v>
      </c>
      <c r="E67" s="3" t="s">
        <v>72</v>
      </c>
      <c r="F67" s="10">
        <f>SUM(C2)</f>
        <v>37466.586087327174</v>
      </c>
      <c r="G67" s="28"/>
      <c r="H67" s="10"/>
      <c r="I67" s="10">
        <f t="shared" ref="I67" si="11">IF(H67&lt;&gt;"",H67,I66/(1+IF(G66="",0,G66)/100))</f>
        <v>4405</v>
      </c>
      <c r="J67" s="10">
        <f t="shared" si="9"/>
        <v>67308400</v>
      </c>
      <c r="K67" s="11"/>
    </row>
  </sheetData>
  <dataValidations count="1">
    <dataValidation type="custom" allowBlank="1" showDropDown="1" sqref="D2:D67" xr:uid="{00000000-0002-0000-4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13153870.456224238</v>
      </c>
      <c r="D2" s="11">
        <v>2.7279999999999999E-2</v>
      </c>
      <c r="E2" s="10">
        <f t="shared" ref="E2:E66" si="2">SUM(C2-C3)</f>
        <v>349308.45148917288</v>
      </c>
      <c r="F2" s="15">
        <v>13153004</v>
      </c>
      <c r="G2" s="28"/>
      <c r="H2" s="10"/>
      <c r="I2" s="10">
        <f>IF(H2&lt;&gt;"",H2,857)</f>
        <v>857</v>
      </c>
      <c r="J2" s="10">
        <f t="shared" ref="J2:J33" si="3">IF(I2="","",I2*C2)</f>
        <v>11272866980.984173</v>
      </c>
      <c r="K2" s="11">
        <f t="shared" ref="K2:K33" si="4">IFERROR(J2/J3-1,"")</f>
        <v>2.7280000000000193E-2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12804562.004735066</v>
      </c>
      <c r="D3" s="11">
        <v>2.7799999999999998E-2</v>
      </c>
      <c r="E3" s="10">
        <f t="shared" si="2"/>
        <v>346338.61036353</v>
      </c>
      <c r="F3" s="3"/>
      <c r="G3" s="28"/>
      <c r="H3" s="10"/>
      <c r="I3" s="10">
        <f t="shared" ref="I3:I34" si="5">IF(H3&lt;&gt;"",H3,I2/(1+IF(G2="",0,G2)/100))</f>
        <v>857</v>
      </c>
      <c r="J3" s="10">
        <f t="shared" si="3"/>
        <v>10973509638.057951</v>
      </c>
      <c r="K3" s="11">
        <f t="shared" si="4"/>
        <v>2.7800000000000047E-2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12458223.394371536</v>
      </c>
      <c r="D4" s="11">
        <v>2.8299999999999999E-2</v>
      </c>
      <c r="E4" s="10">
        <f t="shared" si="2"/>
        <v>342864.65239785425</v>
      </c>
      <c r="F4" s="3"/>
      <c r="G4" s="28"/>
      <c r="H4" s="10"/>
      <c r="I4" s="10">
        <f t="shared" si="5"/>
        <v>857</v>
      </c>
      <c r="J4" s="10">
        <f t="shared" si="3"/>
        <v>10676697448.976406</v>
      </c>
      <c r="K4" s="11">
        <f t="shared" si="4"/>
        <v>2.8299999999999992E-2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12115358.741973681</v>
      </c>
      <c r="D5" s="11">
        <v>2.8459999999999999E-2</v>
      </c>
      <c r="E5" s="10">
        <f t="shared" si="2"/>
        <v>335261.56563849933</v>
      </c>
      <c r="F5" s="3"/>
      <c r="G5" s="28"/>
      <c r="H5" s="10"/>
      <c r="I5" s="10">
        <f t="shared" si="5"/>
        <v>857</v>
      </c>
      <c r="J5" s="10">
        <f t="shared" si="3"/>
        <v>10382862441.871445</v>
      </c>
      <c r="K5" s="11">
        <f t="shared" si="4"/>
        <v>2.845999999999993E-2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11780097.176335182</v>
      </c>
      <c r="D6" s="11">
        <v>2.896E-2</v>
      </c>
      <c r="E6" s="10">
        <f t="shared" si="2"/>
        <v>331549.92830301262</v>
      </c>
      <c r="F6" s="3"/>
      <c r="G6" s="28"/>
      <c r="H6" s="10"/>
      <c r="I6" s="10">
        <f t="shared" si="5"/>
        <v>857</v>
      </c>
      <c r="J6" s="10">
        <f t="shared" si="3"/>
        <v>10095543280.119251</v>
      </c>
      <c r="K6" s="11">
        <f t="shared" si="4"/>
        <v>2.8960000000000097E-2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11448547.248032169</v>
      </c>
      <c r="D7" s="11">
        <v>2.9350000000000001E-2</v>
      </c>
      <c r="E7" s="10">
        <f t="shared" si="2"/>
        <v>326434.02315028384</v>
      </c>
      <c r="F7" s="3"/>
      <c r="G7" s="28"/>
      <c r="H7" s="10"/>
      <c r="I7" s="10">
        <f t="shared" si="5"/>
        <v>857</v>
      </c>
      <c r="J7" s="10">
        <f t="shared" si="3"/>
        <v>9811404991.56357</v>
      </c>
      <c r="K7" s="11">
        <f t="shared" si="4"/>
        <v>2.9350000000000209E-2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11122113.224881886</v>
      </c>
      <c r="D8" s="11">
        <v>2.9610000000000001E-2</v>
      </c>
      <c r="E8" s="10">
        <f t="shared" si="2"/>
        <v>319854.869891271</v>
      </c>
      <c r="F8" s="3"/>
      <c r="G8" s="28"/>
      <c r="H8" s="10"/>
      <c r="I8" s="10">
        <f t="shared" si="5"/>
        <v>857</v>
      </c>
      <c r="J8" s="10">
        <f t="shared" si="3"/>
        <v>9531651033.7237759</v>
      </c>
      <c r="K8" s="11">
        <f t="shared" si="4"/>
        <v>2.9609999999999914E-2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10802258.354990615</v>
      </c>
      <c r="D9" s="11">
        <v>2.9520000000000001E-2</v>
      </c>
      <c r="E9" s="10">
        <f t="shared" si="2"/>
        <v>309739.16644584201</v>
      </c>
      <c r="F9" s="3"/>
      <c r="G9" s="28"/>
      <c r="H9" s="10"/>
      <c r="I9" s="10">
        <f t="shared" si="5"/>
        <v>857</v>
      </c>
      <c r="J9" s="10">
        <f t="shared" si="3"/>
        <v>9257535410.2269573</v>
      </c>
      <c r="K9" s="11">
        <f t="shared" si="4"/>
        <v>2.9519999999999991E-2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10492519.188544773</v>
      </c>
      <c r="D10" s="11">
        <v>2.8549999999999999E-2</v>
      </c>
      <c r="E10" s="10">
        <f t="shared" si="2"/>
        <v>291246.33983078599</v>
      </c>
      <c r="F10" s="3"/>
      <c r="G10" s="28"/>
      <c r="H10" s="10"/>
      <c r="I10" s="10">
        <f t="shared" si="5"/>
        <v>857</v>
      </c>
      <c r="J10" s="10">
        <f t="shared" si="3"/>
        <v>8992088944.5828705</v>
      </c>
      <c r="K10" s="11">
        <f t="shared" si="4"/>
        <v>2.8550000000000075E-2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10201272.848713987</v>
      </c>
      <c r="D11" s="11">
        <v>2.7859999999999999E-2</v>
      </c>
      <c r="E11" s="10">
        <f t="shared" si="2"/>
        <v>276504.05849548802</v>
      </c>
      <c r="F11" s="3"/>
      <c r="G11" s="28"/>
      <c r="H11" s="10"/>
      <c r="I11" s="10">
        <f t="shared" si="5"/>
        <v>857</v>
      </c>
      <c r="J11" s="10">
        <f t="shared" si="3"/>
        <v>8742490831.347887</v>
      </c>
      <c r="K11" s="11">
        <f t="shared" si="4"/>
        <v>2.7859999999999996E-2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9924768.7902184986</v>
      </c>
      <c r="D12" s="11">
        <v>2.7230000000000001E-2</v>
      </c>
      <c r="E12" s="10">
        <f t="shared" si="2"/>
        <v>263087.57937136851</v>
      </c>
      <c r="F12" s="3"/>
      <c r="G12" s="28"/>
      <c r="H12" s="10"/>
      <c r="I12" s="10">
        <f t="shared" si="5"/>
        <v>857</v>
      </c>
      <c r="J12" s="10">
        <f t="shared" si="3"/>
        <v>8505526853.2172537</v>
      </c>
      <c r="K12" s="11">
        <f t="shared" si="4"/>
        <v>2.7230000000000087E-2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9661681.21084713</v>
      </c>
      <c r="D13" s="11">
        <v>2.631E-2</v>
      </c>
      <c r="E13" s="10">
        <f t="shared" si="2"/>
        <v>247682.3110535685</v>
      </c>
      <c r="F13" s="3"/>
      <c r="G13" s="28"/>
      <c r="H13" s="10"/>
      <c r="I13" s="10">
        <f t="shared" si="5"/>
        <v>857</v>
      </c>
      <c r="J13" s="10">
        <f t="shared" si="3"/>
        <v>8280060797.6959906</v>
      </c>
      <c r="K13" s="11">
        <f t="shared" si="4"/>
        <v>2.6310000000000056E-2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9413998.8997935615</v>
      </c>
      <c r="D14" s="11">
        <v>2.5399999999999999E-2</v>
      </c>
      <c r="E14" s="10">
        <f t="shared" si="2"/>
        <v>233192.48298688978</v>
      </c>
      <c r="F14" s="3"/>
      <c r="G14" s="28"/>
      <c r="H14" s="10"/>
      <c r="I14" s="10">
        <f t="shared" si="5"/>
        <v>857</v>
      </c>
      <c r="J14" s="10">
        <f t="shared" si="3"/>
        <v>8067797057.1230822</v>
      </c>
      <c r="K14" s="11">
        <f t="shared" si="4"/>
        <v>2.5400000000000089E-2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9180806.4168066718</v>
      </c>
      <c r="D15" s="11">
        <v>2.4649999999999998E-2</v>
      </c>
      <c r="E15" s="10">
        <f t="shared" si="2"/>
        <v>220862.61472140253</v>
      </c>
      <c r="F15" s="3"/>
      <c r="G15" s="28"/>
      <c r="H15" s="10"/>
      <c r="I15" s="10">
        <f t="shared" si="5"/>
        <v>857</v>
      </c>
      <c r="J15" s="10">
        <f t="shared" si="3"/>
        <v>7867951099.2033176</v>
      </c>
      <c r="K15" s="11">
        <f t="shared" si="4"/>
        <v>2.4650000000000061E-2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8959943.8020852692</v>
      </c>
      <c r="D16" s="11">
        <v>2.4320000000000001E-2</v>
      </c>
      <c r="E16" s="10">
        <f t="shared" si="2"/>
        <v>212732.1864912454</v>
      </c>
      <c r="F16" s="3"/>
      <c r="G16" s="28"/>
      <c r="H16" s="10"/>
      <c r="I16" s="10">
        <f t="shared" si="5"/>
        <v>857</v>
      </c>
      <c r="J16" s="10">
        <f t="shared" si="3"/>
        <v>7678671838.3870754</v>
      </c>
      <c r="K16" s="11">
        <f t="shared" si="4"/>
        <v>2.4319999999999897E-2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8747211.6155940238</v>
      </c>
      <c r="D17" s="11">
        <v>2.4070000000000001E-2</v>
      </c>
      <c r="E17" s="10">
        <f t="shared" si="2"/>
        <v>205596.67169954069</v>
      </c>
      <c r="F17" s="3"/>
      <c r="G17" s="28"/>
      <c r="H17" s="10"/>
      <c r="I17" s="10">
        <f t="shared" si="5"/>
        <v>857</v>
      </c>
      <c r="J17" s="10">
        <f t="shared" si="3"/>
        <v>7496360354.5640783</v>
      </c>
      <c r="K17" s="11">
        <f t="shared" si="4"/>
        <v>2.4070000000000036E-2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8541614.9438944831</v>
      </c>
      <c r="D18" s="11">
        <v>2.3890000000000002E-2</v>
      </c>
      <c r="E18" s="10">
        <f t="shared" si="2"/>
        <v>199297.95291451178</v>
      </c>
      <c r="F18" s="3"/>
      <c r="G18" s="28"/>
      <c r="H18" s="10"/>
      <c r="I18" s="10">
        <f t="shared" si="5"/>
        <v>857</v>
      </c>
      <c r="J18" s="10">
        <f t="shared" si="3"/>
        <v>7320164006.917572</v>
      </c>
      <c r="K18" s="11">
        <f t="shared" si="4"/>
        <v>2.3889999999999967E-2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8342316.9909799714</v>
      </c>
      <c r="D19" s="11">
        <v>2.2790000000000001E-2</v>
      </c>
      <c r="E19" s="10">
        <f t="shared" si="2"/>
        <v>185885.08317878935</v>
      </c>
      <c r="F19" s="3"/>
      <c r="G19" s="28"/>
      <c r="H19" s="10"/>
      <c r="I19" s="10">
        <f t="shared" si="5"/>
        <v>857</v>
      </c>
      <c r="J19" s="10">
        <f t="shared" si="3"/>
        <v>7149365661.2698355</v>
      </c>
      <c r="K19" s="11">
        <f t="shared" si="4"/>
        <v>2.2790000000000088E-2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8156431.907801182</v>
      </c>
      <c r="D20" s="11">
        <v>2.043E-2</v>
      </c>
      <c r="E20" s="10">
        <f t="shared" si="2"/>
        <v>163299.69118545856</v>
      </c>
      <c r="F20" s="3"/>
      <c r="G20" s="28"/>
      <c r="H20" s="10"/>
      <c r="I20" s="10">
        <f t="shared" si="5"/>
        <v>857</v>
      </c>
      <c r="J20" s="10">
        <f t="shared" si="3"/>
        <v>6990062144.9856129</v>
      </c>
      <c r="K20" s="11">
        <f t="shared" si="4"/>
        <v>2.0429999999999948E-2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7993132.2166157234</v>
      </c>
      <c r="D21" s="11">
        <v>1.9689999999999999E-2</v>
      </c>
      <c r="E21" s="10">
        <f t="shared" si="2"/>
        <v>154345.70638641529</v>
      </c>
      <c r="F21" s="3"/>
      <c r="G21" s="28"/>
      <c r="H21" s="10"/>
      <c r="I21" s="10">
        <f t="shared" si="5"/>
        <v>857</v>
      </c>
      <c r="J21" s="10">
        <f t="shared" si="3"/>
        <v>6850114309.6396751</v>
      </c>
      <c r="K21" s="11">
        <f t="shared" si="4"/>
        <v>1.9690000000000207E-2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7838786.5102293082</v>
      </c>
      <c r="D22" s="11">
        <v>1.9740000000000001E-2</v>
      </c>
      <c r="E22" s="10">
        <f t="shared" si="2"/>
        <v>151742.25362536218</v>
      </c>
      <c r="F22" s="3"/>
      <c r="G22" s="28"/>
      <c r="H22" s="10"/>
      <c r="I22" s="10">
        <f t="shared" si="5"/>
        <v>857</v>
      </c>
      <c r="J22" s="10">
        <f t="shared" si="3"/>
        <v>6717840039.2665167</v>
      </c>
      <c r="K22" s="11">
        <f t="shared" si="4"/>
        <v>1.9739999999999869E-2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7687044.256603946</v>
      </c>
      <c r="D23" s="11">
        <v>-2.2620000000000001E-2</v>
      </c>
      <c r="E23" s="10">
        <f t="shared" si="2"/>
        <v>-177905.15570646152</v>
      </c>
      <c r="F23" s="3"/>
      <c r="G23" s="28"/>
      <c r="H23" s="10"/>
      <c r="I23" s="10">
        <f t="shared" si="5"/>
        <v>857</v>
      </c>
      <c r="J23" s="10">
        <f t="shared" si="3"/>
        <v>6587796927.9095821</v>
      </c>
      <c r="K23" s="11">
        <f t="shared" si="4"/>
        <v>-2.2619999999999973E-2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7864949.4123104075</v>
      </c>
      <c r="D24" s="11">
        <v>-8.0999999999999996E-4</v>
      </c>
      <c r="E24" s="10">
        <f t="shared" si="2"/>
        <v>-6375.7734004259109</v>
      </c>
      <c r="F24" s="3"/>
      <c r="G24" s="28"/>
      <c r="H24" s="10"/>
      <c r="I24" s="10">
        <f t="shared" si="5"/>
        <v>857</v>
      </c>
      <c r="J24" s="10">
        <f t="shared" si="3"/>
        <v>6740261646.3500195</v>
      </c>
      <c r="K24" s="11">
        <f t="shared" si="4"/>
        <v>-8.099999999999774E-4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7871325.1857108334</v>
      </c>
      <c r="D25" s="11">
        <v>3.022E-2</v>
      </c>
      <c r="E25" s="10">
        <f t="shared" si="2"/>
        <v>230893.83540620562</v>
      </c>
      <c r="F25" s="3"/>
      <c r="G25" s="28"/>
      <c r="H25" s="10"/>
      <c r="I25" s="10">
        <f t="shared" si="5"/>
        <v>857</v>
      </c>
      <c r="J25" s="10">
        <f t="shared" si="3"/>
        <v>6745725684.1541843</v>
      </c>
      <c r="K25" s="11">
        <f t="shared" si="4"/>
        <v>3.0219999999999914E-2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7640431.3503046278</v>
      </c>
      <c r="D26" s="11">
        <v>2.7990000000000001E-2</v>
      </c>
      <c r="E26" s="10">
        <f t="shared" si="2"/>
        <v>208032.83445853181</v>
      </c>
      <c r="F26" s="3"/>
      <c r="G26" s="28"/>
      <c r="H26" s="10"/>
      <c r="I26" s="10">
        <f t="shared" si="5"/>
        <v>857</v>
      </c>
      <c r="J26" s="10">
        <f t="shared" si="3"/>
        <v>6547849667.2110662</v>
      </c>
      <c r="K26" s="11">
        <f t="shared" si="4"/>
        <v>2.7989999999999959E-2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7432398.515846096</v>
      </c>
      <c r="D27" s="11">
        <v>3.3660000000000002E-2</v>
      </c>
      <c r="E27" s="10">
        <f t="shared" si="2"/>
        <v>242027.87574577704</v>
      </c>
      <c r="F27" s="3"/>
      <c r="G27" s="28"/>
      <c r="H27" s="10"/>
      <c r="I27" s="10">
        <f t="shared" si="5"/>
        <v>857</v>
      </c>
      <c r="J27" s="10">
        <f t="shared" si="3"/>
        <v>6369565528.0801039</v>
      </c>
      <c r="K27" s="11">
        <f t="shared" si="4"/>
        <v>3.3660000000000023E-2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7190370.6401003189</v>
      </c>
      <c r="D28" s="11">
        <v>4.5560000000000003E-2</v>
      </c>
      <c r="E28" s="10">
        <f t="shared" si="2"/>
        <v>313318.4956989279</v>
      </c>
      <c r="F28" s="3"/>
      <c r="G28" s="28"/>
      <c r="H28" s="10"/>
      <c r="I28" s="10">
        <f t="shared" si="5"/>
        <v>857</v>
      </c>
      <c r="J28" s="10">
        <f t="shared" si="3"/>
        <v>6162147638.5659733</v>
      </c>
      <c r="K28" s="11">
        <f t="shared" si="4"/>
        <v>4.5560000000000045E-2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6877052.144401391</v>
      </c>
      <c r="D29" s="11">
        <v>4.8899999999999999E-2</v>
      </c>
      <c r="E29" s="10">
        <f t="shared" si="2"/>
        <v>320610.01988867205</v>
      </c>
      <c r="F29" s="3"/>
      <c r="G29" s="28"/>
      <c r="H29" s="10"/>
      <c r="I29" s="10">
        <f t="shared" si="5"/>
        <v>857</v>
      </c>
      <c r="J29" s="10">
        <f t="shared" si="3"/>
        <v>5893633687.7519922</v>
      </c>
      <c r="K29" s="11">
        <f t="shared" si="4"/>
        <v>4.8899999999999944E-2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6556442.124512719</v>
      </c>
      <c r="D30" s="11">
        <v>5.9369999999999999E-2</v>
      </c>
      <c r="E30" s="10">
        <f t="shared" si="2"/>
        <v>367440.99694376811</v>
      </c>
      <c r="F30" s="3"/>
      <c r="G30" s="28"/>
      <c r="H30" s="10"/>
      <c r="I30" s="10">
        <f t="shared" si="5"/>
        <v>857</v>
      </c>
      <c r="J30" s="10">
        <f t="shared" si="3"/>
        <v>5618870900.7074003</v>
      </c>
      <c r="K30" s="11">
        <f t="shared" si="4"/>
        <v>5.9369999999999923E-2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6189001.1275689509</v>
      </c>
      <c r="D31" s="11">
        <v>3.5560000000000001E-2</v>
      </c>
      <c r="E31" s="10">
        <f t="shared" si="2"/>
        <v>212523.54291045666</v>
      </c>
      <c r="F31" s="3"/>
      <c r="G31" s="28"/>
      <c r="H31" s="10"/>
      <c r="I31" s="10">
        <f t="shared" si="5"/>
        <v>857</v>
      </c>
      <c r="J31" s="10">
        <f t="shared" si="3"/>
        <v>5303973966.3265905</v>
      </c>
      <c r="K31" s="11">
        <f t="shared" si="4"/>
        <v>3.5560000000000036E-2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5976477.5846584942</v>
      </c>
      <c r="D32" s="11">
        <v>3.8170000000000003E-2</v>
      </c>
      <c r="E32" s="10">
        <f t="shared" si="2"/>
        <v>219734.86943989433</v>
      </c>
      <c r="F32" s="3"/>
      <c r="G32" s="28"/>
      <c r="H32" s="10"/>
      <c r="I32" s="10">
        <f t="shared" si="5"/>
        <v>857</v>
      </c>
      <c r="J32" s="10">
        <f t="shared" si="3"/>
        <v>5121841290.05233</v>
      </c>
      <c r="K32" s="11">
        <f t="shared" si="4"/>
        <v>3.8170000000000259E-2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5756742.7152185999</v>
      </c>
      <c r="D33" s="11">
        <v>3.8809999999999997E-2</v>
      </c>
      <c r="E33" s="10">
        <f t="shared" si="2"/>
        <v>215072.23147412296</v>
      </c>
      <c r="F33" s="3"/>
      <c r="G33" s="28"/>
      <c r="H33" s="10"/>
      <c r="I33" s="10">
        <f t="shared" si="5"/>
        <v>857</v>
      </c>
      <c r="J33" s="10">
        <f t="shared" si="3"/>
        <v>4933528506.9423399</v>
      </c>
      <c r="K33" s="11">
        <f t="shared" si="4"/>
        <v>3.8810000000000011E-2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5541670.4837444769</v>
      </c>
      <c r="D34" s="11">
        <v>3.9370000000000002E-2</v>
      </c>
      <c r="E34" s="10">
        <f t="shared" si="2"/>
        <v>209911.35682675056</v>
      </c>
      <c r="F34" s="3"/>
      <c r="G34" s="28"/>
      <c r="H34" s="10"/>
      <c r="I34" s="10">
        <f t="shared" si="5"/>
        <v>857</v>
      </c>
      <c r="J34" s="10">
        <f t="shared" ref="J34:J65" si="6">IF(I34="","",I34*C34)</f>
        <v>4749211604.5690165</v>
      </c>
      <c r="K34" s="11">
        <f t="shared" ref="K34:K65" si="7">IFERROR(J34/J35-1,"")</f>
        <v>3.9369999999999905E-2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5331759.1269177264</v>
      </c>
      <c r="D35" s="11">
        <v>3.9550000000000002E-2</v>
      </c>
      <c r="E35" s="10">
        <f t="shared" si="2"/>
        <v>202848.41851723939</v>
      </c>
      <c r="F35" s="3"/>
      <c r="G35" s="28"/>
      <c r="H35" s="10"/>
      <c r="I35" s="10">
        <f t="shared" ref="I35:I66" si="8">IF(H35&lt;&gt;"",H35,I34/(1+IF(G34="",0,G34)/100))</f>
        <v>857</v>
      </c>
      <c r="J35" s="10">
        <f t="shared" si="6"/>
        <v>4569317571.7684917</v>
      </c>
      <c r="K35" s="11">
        <f t="shared" si="7"/>
        <v>3.9549999999999974E-2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5128910.708400487</v>
      </c>
      <c r="D36" s="11">
        <v>3.9410000000000001E-2</v>
      </c>
      <c r="E36" s="10">
        <f t="shared" si="2"/>
        <v>194466.44829091802</v>
      </c>
      <c r="F36" s="3"/>
      <c r="G36" s="28"/>
      <c r="H36" s="10"/>
      <c r="I36" s="10">
        <f t="shared" si="8"/>
        <v>857</v>
      </c>
      <c r="J36" s="10">
        <f t="shared" si="6"/>
        <v>4395476477.0992174</v>
      </c>
      <c r="K36" s="11">
        <f t="shared" si="7"/>
        <v>3.9409999999999945E-2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4934444.2601095689</v>
      </c>
      <c r="D37" s="11">
        <v>3.9120000000000002E-2</v>
      </c>
      <c r="E37" s="10">
        <f t="shared" si="2"/>
        <v>185768.20719020534</v>
      </c>
      <c r="F37" s="3"/>
      <c r="G37" s="28"/>
      <c r="H37" s="10"/>
      <c r="I37" s="10">
        <f t="shared" si="8"/>
        <v>857</v>
      </c>
      <c r="J37" s="10">
        <f t="shared" si="6"/>
        <v>4228818730.9139004</v>
      </c>
      <c r="K37" s="11">
        <f t="shared" si="7"/>
        <v>3.9120000000000044E-2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4748676.0529193636</v>
      </c>
      <c r="D38" s="11">
        <v>3.7909999999999999E-2</v>
      </c>
      <c r="E38" s="10">
        <f t="shared" si="2"/>
        <v>173446.93582889996</v>
      </c>
      <c r="F38" s="3"/>
      <c r="G38" s="28"/>
      <c r="H38" s="10"/>
      <c r="I38" s="10">
        <f t="shared" si="8"/>
        <v>857</v>
      </c>
      <c r="J38" s="10">
        <f t="shared" si="6"/>
        <v>4069615377.3518944</v>
      </c>
      <c r="K38" s="11">
        <f t="shared" si="7"/>
        <v>3.791000000000011E-2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4575229.1170904636</v>
      </c>
      <c r="D39" s="11">
        <v>3.5929999999999997E-2</v>
      </c>
      <c r="E39" s="10">
        <f t="shared" si="2"/>
        <v>158686.38052480388</v>
      </c>
      <c r="F39" s="3"/>
      <c r="G39" s="28"/>
      <c r="H39" s="10"/>
      <c r="I39" s="10">
        <f t="shared" si="8"/>
        <v>857</v>
      </c>
      <c r="J39" s="10">
        <f t="shared" si="6"/>
        <v>3920971353.3465271</v>
      </c>
      <c r="K39" s="11">
        <f t="shared" si="7"/>
        <v>3.5929999999999795E-2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4416542.7365656598</v>
      </c>
      <c r="D40" s="11">
        <v>3.2340000000000001E-2</v>
      </c>
      <c r="E40" s="10">
        <f t="shared" si="2"/>
        <v>138356.54154690634</v>
      </c>
      <c r="F40" s="3"/>
      <c r="G40" s="28"/>
      <c r="H40" s="10"/>
      <c r="I40" s="10">
        <f t="shared" si="8"/>
        <v>857</v>
      </c>
      <c r="J40" s="10">
        <f t="shared" si="6"/>
        <v>3784977125.2367706</v>
      </c>
      <c r="K40" s="11">
        <f t="shared" si="7"/>
        <v>3.2340000000000035E-2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4278186.1950187534</v>
      </c>
      <c r="D41" s="11">
        <v>2.9690000000000001E-2</v>
      </c>
      <c r="E41" s="10">
        <f t="shared" si="2"/>
        <v>123356.88229477452</v>
      </c>
      <c r="F41" s="3"/>
      <c r="G41" s="28"/>
      <c r="H41" s="10"/>
      <c r="I41" s="10">
        <f t="shared" si="8"/>
        <v>857</v>
      </c>
      <c r="J41" s="10">
        <f t="shared" si="6"/>
        <v>3666405569.1310716</v>
      </c>
      <c r="K41" s="11">
        <f t="shared" si="7"/>
        <v>2.9689999999999994E-2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4154829.3127239789</v>
      </c>
      <c r="D42" s="11">
        <v>2.845E-2</v>
      </c>
      <c r="E42" s="10">
        <f t="shared" si="2"/>
        <v>114934.99338518875</v>
      </c>
      <c r="F42" s="3"/>
      <c r="G42" s="28"/>
      <c r="H42" s="10"/>
      <c r="I42" s="10">
        <f t="shared" si="8"/>
        <v>857</v>
      </c>
      <c r="J42" s="10">
        <f t="shared" si="6"/>
        <v>3560688721.0044498</v>
      </c>
      <c r="K42" s="11">
        <f t="shared" si="7"/>
        <v>2.8450000000000086E-2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4039894.3193387901</v>
      </c>
      <c r="D43" s="11">
        <v>2.7550000000000002E-2</v>
      </c>
      <c r="E43" s="10">
        <f t="shared" si="2"/>
        <v>108315.00997302681</v>
      </c>
      <c r="F43" s="3"/>
      <c r="G43" s="28"/>
      <c r="H43" s="10"/>
      <c r="I43" s="10">
        <f t="shared" si="8"/>
        <v>857</v>
      </c>
      <c r="J43" s="10">
        <f t="shared" si="6"/>
        <v>3462189431.6733432</v>
      </c>
      <c r="K43" s="11">
        <f t="shared" si="7"/>
        <v>2.7549999999999963E-2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3931579.3093657633</v>
      </c>
      <c r="D44" s="11">
        <v>2.6610000000000002E-2</v>
      </c>
      <c r="E44" s="10">
        <f t="shared" si="2"/>
        <v>101907.56511452561</v>
      </c>
      <c r="F44" s="3"/>
      <c r="G44" s="28"/>
      <c r="H44" s="10"/>
      <c r="I44" s="10">
        <f t="shared" si="8"/>
        <v>857</v>
      </c>
      <c r="J44" s="10">
        <f t="shared" si="6"/>
        <v>3369363468.1264591</v>
      </c>
      <c r="K44" s="11">
        <f t="shared" si="7"/>
        <v>2.6610000000000023E-2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3829671.7442512377</v>
      </c>
      <c r="D45" s="11">
        <v>2.58E-2</v>
      </c>
      <c r="E45" s="10">
        <f t="shared" si="2"/>
        <v>96320.46305486653</v>
      </c>
      <c r="F45" s="3"/>
      <c r="G45" s="28"/>
      <c r="H45" s="10"/>
      <c r="I45" s="10">
        <f t="shared" si="8"/>
        <v>857</v>
      </c>
      <c r="J45" s="10">
        <f t="shared" si="6"/>
        <v>3282028684.8233109</v>
      </c>
      <c r="K45" s="11">
        <f t="shared" si="7"/>
        <v>2.5800000000000045E-2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3733351.2811963712</v>
      </c>
      <c r="D46" s="11">
        <v>2.5319999999999999E-2</v>
      </c>
      <c r="E46" s="10">
        <f t="shared" si="2"/>
        <v>92194.099832142238</v>
      </c>
      <c r="F46" s="3"/>
      <c r="G46" s="28"/>
      <c r="H46" s="10"/>
      <c r="I46" s="10">
        <f t="shared" si="8"/>
        <v>857</v>
      </c>
      <c r="J46" s="10">
        <f t="shared" si="6"/>
        <v>3199482047.9852901</v>
      </c>
      <c r="K46" s="11">
        <f t="shared" si="7"/>
        <v>2.5320000000000009E-2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3641157.1813642289</v>
      </c>
      <c r="D47" s="11">
        <v>2.4750000000000001E-2</v>
      </c>
      <c r="E47" s="10">
        <f t="shared" si="2"/>
        <v>87942.073909504805</v>
      </c>
      <c r="F47" s="3"/>
      <c r="G47" s="28"/>
      <c r="H47" s="10"/>
      <c r="I47" s="10">
        <f t="shared" si="8"/>
        <v>857</v>
      </c>
      <c r="J47" s="10">
        <f t="shared" si="6"/>
        <v>3120471704.4291444</v>
      </c>
      <c r="K47" s="11">
        <f t="shared" si="7"/>
        <v>2.4750000000000272E-2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3553215.1074547241</v>
      </c>
      <c r="D48" s="11">
        <v>2.452E-2</v>
      </c>
      <c r="E48" s="10">
        <f t="shared" si="2"/>
        <v>85039.661924403626</v>
      </c>
      <c r="F48" s="3"/>
      <c r="G48" s="28"/>
      <c r="H48" s="10"/>
      <c r="I48" s="10">
        <f t="shared" si="8"/>
        <v>857</v>
      </c>
      <c r="J48" s="10">
        <f t="shared" si="6"/>
        <v>3045105347.0886984</v>
      </c>
      <c r="K48" s="11">
        <f t="shared" si="7"/>
        <v>2.4519999999999875E-2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3468175.4455303205</v>
      </c>
      <c r="D49" s="11">
        <v>2.4799999999999999E-2</v>
      </c>
      <c r="E49" s="10">
        <f t="shared" si="2"/>
        <v>83929.304302450735</v>
      </c>
      <c r="F49" s="3"/>
      <c r="G49" s="28"/>
      <c r="H49" s="10"/>
      <c r="I49" s="10">
        <f t="shared" si="8"/>
        <v>857</v>
      </c>
      <c r="J49" s="10">
        <f t="shared" si="6"/>
        <v>2972226356.8194847</v>
      </c>
      <c r="K49" s="11">
        <f t="shared" si="7"/>
        <v>2.4799999999999933E-2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3384246.1412278698</v>
      </c>
      <c r="D50" s="11">
        <v>2.479E-2</v>
      </c>
      <c r="E50" s="10">
        <f t="shared" si="2"/>
        <v>81866.003611509688</v>
      </c>
      <c r="F50" s="3"/>
      <c r="G50" s="28"/>
      <c r="H50" s="10"/>
      <c r="I50" s="10">
        <f t="shared" si="8"/>
        <v>857</v>
      </c>
      <c r="J50" s="10">
        <f t="shared" si="6"/>
        <v>2900298943.0322843</v>
      </c>
      <c r="K50" s="11">
        <f t="shared" si="7"/>
        <v>2.479000000000009E-2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3302380.1376163601</v>
      </c>
      <c r="D51" s="11">
        <v>2.4660000000000001E-2</v>
      </c>
      <c r="E51" s="10">
        <f t="shared" si="2"/>
        <v>79476.796394530218</v>
      </c>
      <c r="F51" s="3"/>
      <c r="G51" s="28"/>
      <c r="H51" s="10"/>
      <c r="I51" s="10">
        <f t="shared" si="8"/>
        <v>857</v>
      </c>
      <c r="J51" s="10">
        <f t="shared" si="6"/>
        <v>2830139777.9372206</v>
      </c>
      <c r="K51" s="11">
        <f t="shared" si="7"/>
        <v>2.4659999999999904E-2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3222903.3412218299</v>
      </c>
      <c r="D52" s="11">
        <v>2.4420000000000001E-2</v>
      </c>
      <c r="E52" s="10">
        <f t="shared" si="2"/>
        <v>76827.179860445205</v>
      </c>
      <c r="F52" s="3"/>
      <c r="G52" s="28"/>
      <c r="H52" s="10"/>
      <c r="I52" s="10">
        <f t="shared" si="8"/>
        <v>857</v>
      </c>
      <c r="J52" s="10">
        <f t="shared" si="6"/>
        <v>2762028163.4271083</v>
      </c>
      <c r="K52" s="11">
        <f t="shared" si="7"/>
        <v>2.4420000000000108E-2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3146076.1613613847</v>
      </c>
      <c r="D53" s="11">
        <v>2.443E-2</v>
      </c>
      <c r="E53" s="10">
        <f t="shared" si="2"/>
        <v>75025.761274131481</v>
      </c>
      <c r="F53" s="3"/>
      <c r="G53" s="28"/>
      <c r="H53" s="10"/>
      <c r="I53" s="10">
        <f t="shared" si="8"/>
        <v>857</v>
      </c>
      <c r="J53" s="10">
        <f t="shared" si="6"/>
        <v>2696187270.2867064</v>
      </c>
      <c r="K53" s="11">
        <f t="shared" si="7"/>
        <v>2.4429999999999952E-2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3071050.4000872532</v>
      </c>
      <c r="D54" s="11">
        <v>2.46E-2</v>
      </c>
      <c r="E54" s="10">
        <f t="shared" si="2"/>
        <v>73733.983839689754</v>
      </c>
      <c r="F54" s="3"/>
      <c r="G54" s="28"/>
      <c r="H54" s="10"/>
      <c r="I54" s="10">
        <f t="shared" si="8"/>
        <v>857</v>
      </c>
      <c r="J54" s="10">
        <f t="shared" si="6"/>
        <v>2631890192.8747759</v>
      </c>
      <c r="K54" s="11">
        <f t="shared" si="7"/>
        <v>2.4599999999999733E-2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2997316.4162475634</v>
      </c>
      <c r="D55" s="11">
        <v>2.4289999999999999E-2</v>
      </c>
      <c r="E55" s="10">
        <f t="shared" si="2"/>
        <v>71078.323278225027</v>
      </c>
      <c r="F55" s="3"/>
      <c r="G55" s="28"/>
      <c r="H55" s="10"/>
      <c r="I55" s="10">
        <f t="shared" si="8"/>
        <v>857</v>
      </c>
      <c r="J55" s="10">
        <f t="shared" si="6"/>
        <v>2568700168.7241621</v>
      </c>
      <c r="K55" s="11">
        <f t="shared" si="7"/>
        <v>2.4289999999999923E-2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2926238.0929693384</v>
      </c>
      <c r="D56" s="11">
        <v>2.3980000000000001E-2</v>
      </c>
      <c r="E56" s="10">
        <f t="shared" si="2"/>
        <v>68527.890651579481</v>
      </c>
      <c r="F56" s="3"/>
      <c r="G56" s="28"/>
      <c r="H56" s="10"/>
      <c r="I56" s="10">
        <f t="shared" si="8"/>
        <v>857</v>
      </c>
      <c r="J56" s="10">
        <f t="shared" si="6"/>
        <v>2507786045.6747231</v>
      </c>
      <c r="K56" s="11">
        <f t="shared" si="7"/>
        <v>2.397999999999989E-2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2857710.2023177589</v>
      </c>
      <c r="D57" s="11">
        <v>2.3630000000000002E-2</v>
      </c>
      <c r="E57" s="10">
        <f t="shared" si="2"/>
        <v>65968.848197853658</v>
      </c>
      <c r="F57" s="3"/>
      <c r="G57" s="28"/>
      <c r="H57" s="10"/>
      <c r="I57" s="10">
        <f t="shared" si="8"/>
        <v>857</v>
      </c>
      <c r="J57" s="10">
        <f t="shared" si="6"/>
        <v>2449057643.3863196</v>
      </c>
      <c r="K57" s="11">
        <f t="shared" si="7"/>
        <v>2.3630000000000262E-2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2791741.3541199053</v>
      </c>
      <c r="D58" s="11">
        <v>2.3199999999999998E-2</v>
      </c>
      <c r="E58" s="10">
        <f t="shared" si="2"/>
        <v>63299.843056667596</v>
      </c>
      <c r="F58" s="3"/>
      <c r="G58" s="28"/>
      <c r="H58" s="10"/>
      <c r="I58" s="10">
        <f t="shared" si="8"/>
        <v>857</v>
      </c>
      <c r="J58" s="10">
        <f t="shared" si="6"/>
        <v>2392522340.4807587</v>
      </c>
      <c r="K58" s="11">
        <f t="shared" si="7"/>
        <v>2.3200000000000109E-2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2728441.5110632377</v>
      </c>
      <c r="D59" s="11">
        <v>2.2579999999999999E-2</v>
      </c>
      <c r="E59" s="10">
        <f t="shared" si="2"/>
        <v>60247.813686761074</v>
      </c>
      <c r="F59" s="3"/>
      <c r="G59" s="28"/>
      <c r="H59" s="10"/>
      <c r="I59" s="10">
        <f t="shared" si="8"/>
        <v>857</v>
      </c>
      <c r="J59" s="10">
        <f t="shared" si="6"/>
        <v>2338274374.9811945</v>
      </c>
      <c r="K59" s="11">
        <f t="shared" si="7"/>
        <v>2.2580000000000044E-2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2668193.6973764766</v>
      </c>
      <c r="D60" s="11">
        <v>2.1909999999999999E-2</v>
      </c>
      <c r="E60" s="10">
        <f t="shared" si="2"/>
        <v>57206.724574100226</v>
      </c>
      <c r="F60" s="3"/>
      <c r="G60" s="28"/>
      <c r="H60" s="10"/>
      <c r="I60" s="10">
        <f t="shared" si="8"/>
        <v>857</v>
      </c>
      <c r="J60" s="10">
        <f t="shared" si="6"/>
        <v>2286641998.6516404</v>
      </c>
      <c r="K60" s="11">
        <f t="shared" si="7"/>
        <v>2.1910000000000096E-2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2610986.9728023764</v>
      </c>
      <c r="D61" s="11">
        <v>2.1309999999999999E-2</v>
      </c>
      <c r="E61" s="10">
        <f t="shared" si="2"/>
        <v>54479.181042404845</v>
      </c>
      <c r="F61" s="3"/>
      <c r="G61" s="28"/>
      <c r="H61" s="10"/>
      <c r="I61" s="10">
        <f t="shared" si="8"/>
        <v>857</v>
      </c>
      <c r="J61" s="10">
        <f t="shared" si="6"/>
        <v>2237615835.6916366</v>
      </c>
      <c r="K61" s="11">
        <f t="shared" si="7"/>
        <v>2.130999999999994E-2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2556507.7917599715</v>
      </c>
      <c r="D62" s="11">
        <v>2.0590000000000001E-2</v>
      </c>
      <c r="E62" s="10">
        <f t="shared" si="2"/>
        <v>51576.53458522819</v>
      </c>
      <c r="F62" s="3"/>
      <c r="G62" s="28"/>
      <c r="H62" s="10"/>
      <c r="I62" s="10">
        <f t="shared" si="8"/>
        <v>857</v>
      </c>
      <c r="J62" s="10">
        <f t="shared" si="6"/>
        <v>2190927177.5382957</v>
      </c>
      <c r="K62" s="11">
        <f t="shared" si="7"/>
        <v>2.0590000000000108E-2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2504931.2571747433</v>
      </c>
      <c r="D63" s="11">
        <v>1.9859999999999999E-2</v>
      </c>
      <c r="E63" s="10">
        <f t="shared" si="2"/>
        <v>48779.180247769691</v>
      </c>
      <c r="F63" s="3"/>
      <c r="G63" s="28"/>
      <c r="H63" s="10"/>
      <c r="I63" s="10">
        <f t="shared" si="8"/>
        <v>857</v>
      </c>
      <c r="J63" s="10">
        <f t="shared" si="6"/>
        <v>2146726087.3987551</v>
      </c>
      <c r="K63" s="11">
        <f t="shared" si="7"/>
        <v>1.9859999999999989E-2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2456152.0769269736</v>
      </c>
      <c r="D64" s="11">
        <v>1.9689999999999999E-2</v>
      </c>
      <c r="E64" s="10">
        <f t="shared" si="2"/>
        <v>47427.781379333232</v>
      </c>
      <c r="F64" s="3"/>
      <c r="G64" s="28"/>
      <c r="H64" s="10"/>
      <c r="I64" s="10">
        <f t="shared" si="8"/>
        <v>857</v>
      </c>
      <c r="J64" s="10">
        <f t="shared" si="6"/>
        <v>2104922329.9264164</v>
      </c>
      <c r="K64" s="11">
        <f t="shared" si="7"/>
        <v>1.9690000000000207E-2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2408724.2955476404</v>
      </c>
      <c r="D65" s="11">
        <v>1.9060000000000001E-2</v>
      </c>
      <c r="E65" s="10">
        <f t="shared" si="2"/>
        <v>45051.601547640283</v>
      </c>
      <c r="F65" s="3"/>
      <c r="G65" s="28"/>
      <c r="H65" s="10"/>
      <c r="I65" s="10">
        <f t="shared" si="8"/>
        <v>857</v>
      </c>
      <c r="J65" s="10">
        <f t="shared" si="6"/>
        <v>2064276721.2843277</v>
      </c>
      <c r="K65" s="11">
        <f t="shared" si="7"/>
        <v>1.9060000000000077E-2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2363672.6940000001</v>
      </c>
      <c r="D66" s="11">
        <v>1.821E-2</v>
      </c>
      <c r="E66" s="10">
        <f t="shared" si="2"/>
        <v>42272.694000000134</v>
      </c>
      <c r="F66" s="24">
        <f>SUM(F2)</f>
        <v>13153004</v>
      </c>
      <c r="G66" s="28"/>
      <c r="H66" s="10"/>
      <c r="I66" s="10">
        <f t="shared" si="8"/>
        <v>857</v>
      </c>
      <c r="J66" s="10">
        <f t="shared" ref="J66:J67" si="9">IF(I66="","",I66*C66)</f>
        <v>2025667498.7580001</v>
      </c>
      <c r="K66" s="11">
        <f t="shared" ref="K66" si="10">IFERROR(J66/J67-1,"")</f>
        <v>1.8210000000000059E-2</v>
      </c>
    </row>
    <row r="67" spans="1:11" ht="22.5" customHeight="1">
      <c r="A67" s="3">
        <f t="shared" si="0"/>
        <v>1950</v>
      </c>
      <c r="B67" s="3">
        <v>1700</v>
      </c>
      <c r="C67" s="10">
        <v>2321400</v>
      </c>
      <c r="D67" s="11">
        <v>1.711E-2</v>
      </c>
      <c r="E67" s="3" t="s">
        <v>72</v>
      </c>
      <c r="F67" s="10">
        <f>SUM(C2)</f>
        <v>13153870.456224238</v>
      </c>
      <c r="G67" s="28"/>
      <c r="H67" s="10"/>
      <c r="I67" s="10">
        <f t="shared" ref="I67" si="11">IF(H67&lt;&gt;"",H67,I66/(1+IF(G66="",0,G66)/100))</f>
        <v>857</v>
      </c>
      <c r="J67" s="10">
        <f t="shared" si="9"/>
        <v>1989439800</v>
      </c>
      <c r="K67" s="11"/>
    </row>
  </sheetData>
  <dataValidations count="1">
    <dataValidation type="custom" allowBlank="1" showDropDown="1" sqref="D2:D67" xr:uid="{00000000-0002-0000-4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22993508.527761962</v>
      </c>
      <c r="D2" s="11">
        <v>2.043E-2</v>
      </c>
      <c r="E2" s="10">
        <f t="shared" ref="E2:E66" si="2">SUM(C2-C3)</f>
        <v>460352.3800967969</v>
      </c>
      <c r="F2" s="15">
        <v>22993720</v>
      </c>
      <c r="G2" s="28"/>
      <c r="H2" s="10"/>
      <c r="I2" s="10">
        <f>IF(H2&lt;&gt;"",H2,437)</f>
        <v>437</v>
      </c>
      <c r="J2" s="10">
        <f t="shared" ref="J2:J33" si="3">IF(I2="","",I2*C2)</f>
        <v>10048163226.631977</v>
      </c>
      <c r="K2" s="11">
        <f t="shared" ref="K2:K33" si="4">IFERROR(J2/J3-1,"")</f>
        <v>2.0429999999999948E-2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22533156.147665165</v>
      </c>
      <c r="D3" s="11">
        <v>2.1559999999999999E-2</v>
      </c>
      <c r="E3" s="10">
        <f t="shared" si="2"/>
        <v>475561.73552572727</v>
      </c>
      <c r="F3" s="3"/>
      <c r="G3" s="28"/>
      <c r="H3" s="10"/>
      <c r="I3" s="10">
        <f t="shared" ref="I3:I34" si="5">IF(H3&lt;&gt;"",H3,I2/(1+IF(G2="",0,G2)/100))</f>
        <v>437</v>
      </c>
      <c r="J3" s="10">
        <f t="shared" si="3"/>
        <v>9846989236.5296764</v>
      </c>
      <c r="K3" s="11">
        <f t="shared" si="4"/>
        <v>2.1560000000000024E-2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22057594.412139438</v>
      </c>
      <c r="D4" s="11">
        <v>2.3990000000000001E-2</v>
      </c>
      <c r="E4" s="10">
        <f t="shared" si="2"/>
        <v>516764.5093674995</v>
      </c>
      <c r="F4" s="3"/>
      <c r="G4" s="28"/>
      <c r="H4" s="10"/>
      <c r="I4" s="10">
        <f t="shared" si="5"/>
        <v>437</v>
      </c>
      <c r="J4" s="10">
        <f t="shared" si="3"/>
        <v>9639168758.1049347</v>
      </c>
      <c r="K4" s="11">
        <f t="shared" si="4"/>
        <v>2.3989999999999956E-2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21540829.902771939</v>
      </c>
      <c r="D5" s="11">
        <v>2.2089999999999999E-2</v>
      </c>
      <c r="E5" s="10">
        <f t="shared" si="2"/>
        <v>465552.86966140941</v>
      </c>
      <c r="F5" s="3"/>
      <c r="G5" s="28"/>
      <c r="H5" s="10"/>
      <c r="I5" s="10">
        <f t="shared" si="5"/>
        <v>437</v>
      </c>
      <c r="J5" s="10">
        <f t="shared" si="3"/>
        <v>9413342667.5113373</v>
      </c>
      <c r="K5" s="11">
        <f t="shared" si="4"/>
        <v>2.2089999999999943E-2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21075277.033110529</v>
      </c>
      <c r="D6" s="11">
        <v>2.281E-2</v>
      </c>
      <c r="E6" s="10">
        <f t="shared" si="2"/>
        <v>470006.2270854339</v>
      </c>
      <c r="F6" s="3"/>
      <c r="G6" s="28"/>
      <c r="H6" s="10"/>
      <c r="I6" s="10">
        <f t="shared" si="5"/>
        <v>437</v>
      </c>
      <c r="J6" s="10">
        <f t="shared" si="3"/>
        <v>9209896063.4693012</v>
      </c>
      <c r="K6" s="11">
        <f t="shared" si="4"/>
        <v>2.2809999999999997E-2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20605270.806025095</v>
      </c>
      <c r="D7" s="11">
        <v>1.924E-2</v>
      </c>
      <c r="E7" s="10">
        <f t="shared" si="2"/>
        <v>388961.78555386513</v>
      </c>
      <c r="F7" s="3"/>
      <c r="G7" s="28"/>
      <c r="H7" s="10"/>
      <c r="I7" s="10">
        <f t="shared" si="5"/>
        <v>437</v>
      </c>
      <c r="J7" s="10">
        <f t="shared" si="3"/>
        <v>9004503342.2329674</v>
      </c>
      <c r="K7" s="11">
        <f t="shared" si="4"/>
        <v>1.9240000000000146E-2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20216309.02047123</v>
      </c>
      <c r="D8" s="11">
        <v>1.9120000000000002E-2</v>
      </c>
      <c r="E8" s="10">
        <f t="shared" si="2"/>
        <v>379283.9199224934</v>
      </c>
      <c r="F8" s="3"/>
      <c r="G8" s="28"/>
      <c r="H8" s="10"/>
      <c r="I8" s="10">
        <f t="shared" si="5"/>
        <v>437</v>
      </c>
      <c r="J8" s="10">
        <f t="shared" si="3"/>
        <v>8834527041.9459267</v>
      </c>
      <c r="K8" s="11">
        <f t="shared" si="4"/>
        <v>1.9120000000000026E-2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19837025.100548737</v>
      </c>
      <c r="D9" s="11">
        <v>1.864E-2</v>
      </c>
      <c r="E9" s="10">
        <f t="shared" si="2"/>
        <v>362995.90421957523</v>
      </c>
      <c r="F9" s="3"/>
      <c r="G9" s="28"/>
      <c r="H9" s="10"/>
      <c r="I9" s="10">
        <f t="shared" si="5"/>
        <v>437</v>
      </c>
      <c r="J9" s="10">
        <f t="shared" si="3"/>
        <v>8668779968.9397984</v>
      </c>
      <c r="K9" s="11">
        <f t="shared" si="4"/>
        <v>1.863999999999999E-2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19474029.196329162</v>
      </c>
      <c r="D10" s="11">
        <v>1.8700000000000001E-2</v>
      </c>
      <c r="E10" s="10">
        <f t="shared" si="2"/>
        <v>357479.47970094532</v>
      </c>
      <c r="F10" s="3"/>
      <c r="G10" s="28"/>
      <c r="H10" s="10"/>
      <c r="I10" s="10">
        <f t="shared" si="5"/>
        <v>437</v>
      </c>
      <c r="J10" s="10">
        <f t="shared" si="3"/>
        <v>8510150758.7958431</v>
      </c>
      <c r="K10" s="11">
        <f t="shared" si="4"/>
        <v>1.8699999999999717E-2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19116549.716628216</v>
      </c>
      <c r="D11" s="11">
        <v>1.9050000000000001E-2</v>
      </c>
      <c r="E11" s="10">
        <f t="shared" si="2"/>
        <v>357362.51616875455</v>
      </c>
      <c r="F11" s="3"/>
      <c r="G11" s="28"/>
      <c r="H11" s="10"/>
      <c r="I11" s="10">
        <f t="shared" si="5"/>
        <v>437</v>
      </c>
      <c r="J11" s="10">
        <f t="shared" si="3"/>
        <v>8353932226.1665306</v>
      </c>
      <c r="K11" s="11">
        <f t="shared" si="4"/>
        <v>1.9050000000000233E-2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18759187.200459462</v>
      </c>
      <c r="D12" s="11">
        <v>2.002E-2</v>
      </c>
      <c r="E12" s="10">
        <f t="shared" si="2"/>
        <v>368187.80784023553</v>
      </c>
      <c r="F12" s="3"/>
      <c r="G12" s="28"/>
      <c r="H12" s="10"/>
      <c r="I12" s="10">
        <f t="shared" si="5"/>
        <v>437</v>
      </c>
      <c r="J12" s="10">
        <f t="shared" si="3"/>
        <v>8197764806.6007843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18390999.392619226</v>
      </c>
      <c r="D13" s="11">
        <v>2.043E-2</v>
      </c>
      <c r="E13" s="10">
        <f t="shared" si="2"/>
        <v>368205.67563792691</v>
      </c>
      <c r="F13" s="3"/>
      <c r="G13" s="28"/>
      <c r="H13" s="10"/>
      <c r="I13" s="10">
        <f t="shared" si="5"/>
        <v>437</v>
      </c>
      <c r="J13" s="10">
        <f t="shared" si="3"/>
        <v>8036866734.5746021</v>
      </c>
      <c r="K13" s="11">
        <f t="shared" si="4"/>
        <v>2.0429999999999948E-2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18022793.716981299</v>
      </c>
      <c r="D14" s="11">
        <v>2.086E-2</v>
      </c>
      <c r="E14" s="10">
        <f t="shared" si="2"/>
        <v>368273.29598204792</v>
      </c>
      <c r="F14" s="3"/>
      <c r="G14" s="28"/>
      <c r="H14" s="10"/>
      <c r="I14" s="10">
        <f t="shared" si="5"/>
        <v>437</v>
      </c>
      <c r="J14" s="10">
        <f t="shared" si="3"/>
        <v>7875960854.3208275</v>
      </c>
      <c r="K14" s="11">
        <f t="shared" si="4"/>
        <v>2.0860000000000101E-2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17654520.420999251</v>
      </c>
      <c r="D15" s="11">
        <v>2.1049999999999999E-2</v>
      </c>
      <c r="E15" s="10">
        <f t="shared" si="2"/>
        <v>363966.16704572365</v>
      </c>
      <c r="F15" s="3"/>
      <c r="G15" s="28"/>
      <c r="H15" s="10"/>
      <c r="I15" s="10">
        <f t="shared" si="5"/>
        <v>437</v>
      </c>
      <c r="J15" s="10">
        <f t="shared" si="3"/>
        <v>7715025423.9766731</v>
      </c>
      <c r="K15" s="11">
        <f t="shared" si="4"/>
        <v>2.1050000000000235E-2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17290554.253953528</v>
      </c>
      <c r="D16" s="11">
        <v>2.103E-2</v>
      </c>
      <c r="E16" s="10">
        <f t="shared" si="2"/>
        <v>356130.92265716568</v>
      </c>
      <c r="F16" s="3"/>
      <c r="G16" s="28"/>
      <c r="H16" s="10"/>
      <c r="I16" s="10">
        <f t="shared" si="5"/>
        <v>437</v>
      </c>
      <c r="J16" s="10">
        <f t="shared" si="3"/>
        <v>7555972208.9776917</v>
      </c>
      <c r="K16" s="11">
        <f t="shared" si="4"/>
        <v>2.1030000000000104E-2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16934423.331296362</v>
      </c>
      <c r="D17" s="11">
        <v>2.146E-2</v>
      </c>
      <c r="E17" s="10">
        <f t="shared" si="2"/>
        <v>355777.73450709693</v>
      </c>
      <c r="F17" s="3"/>
      <c r="G17" s="28"/>
      <c r="H17" s="10"/>
      <c r="I17" s="10">
        <f t="shared" si="5"/>
        <v>437</v>
      </c>
      <c r="J17" s="10">
        <f t="shared" si="3"/>
        <v>7400342995.7765102</v>
      </c>
      <c r="K17" s="11">
        <f t="shared" si="4"/>
        <v>2.1460000000000035E-2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16578645.596789265</v>
      </c>
      <c r="D18" s="11">
        <v>2.1770000000000001E-2</v>
      </c>
      <c r="E18" s="10">
        <f t="shared" si="2"/>
        <v>353227.35512111709</v>
      </c>
      <c r="F18" s="3"/>
      <c r="G18" s="28"/>
      <c r="H18" s="10"/>
      <c r="I18" s="10">
        <f t="shared" si="5"/>
        <v>437</v>
      </c>
      <c r="J18" s="10">
        <f t="shared" si="3"/>
        <v>7244868125.7969084</v>
      </c>
      <c r="K18" s="11">
        <f t="shared" si="4"/>
        <v>2.1770000000000067E-2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16225418.241668148</v>
      </c>
      <c r="D19" s="11">
        <v>2.2859999999999998E-2</v>
      </c>
      <c r="E19" s="10">
        <f t="shared" si="2"/>
        <v>362623.48806731589</v>
      </c>
      <c r="F19" s="3"/>
      <c r="G19" s="28"/>
      <c r="H19" s="10"/>
      <c r="I19" s="10">
        <f t="shared" si="5"/>
        <v>437</v>
      </c>
      <c r="J19" s="10">
        <f t="shared" si="3"/>
        <v>7090507771.6089811</v>
      </c>
      <c r="K19" s="11">
        <f t="shared" si="4"/>
        <v>2.2860000000000102E-2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15862794.753600832</v>
      </c>
      <c r="D20" s="11">
        <v>2.0820000000000002E-2</v>
      </c>
      <c r="E20" s="10">
        <f t="shared" si="2"/>
        <v>323527.54331808724</v>
      </c>
      <c r="F20" s="3"/>
      <c r="G20" s="28"/>
      <c r="H20" s="10"/>
      <c r="I20" s="10">
        <f t="shared" si="5"/>
        <v>437</v>
      </c>
      <c r="J20" s="10">
        <f t="shared" si="3"/>
        <v>6932041307.3235636</v>
      </c>
      <c r="K20" s="11">
        <f t="shared" si="4"/>
        <v>2.0820000000000061E-2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15539267.210282745</v>
      </c>
      <c r="D21" s="11">
        <v>2.0629999999999999E-2</v>
      </c>
      <c r="E21" s="10">
        <f t="shared" si="2"/>
        <v>314095.29657969251</v>
      </c>
      <c r="F21" s="3"/>
      <c r="G21" s="28"/>
      <c r="H21" s="10"/>
      <c r="I21" s="10">
        <f t="shared" si="5"/>
        <v>437</v>
      </c>
      <c r="J21" s="10">
        <f t="shared" si="3"/>
        <v>6790659770.8935595</v>
      </c>
      <c r="K21" s="11">
        <f t="shared" si="4"/>
        <v>2.0629999999999926E-2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15225171.913703052</v>
      </c>
      <c r="D22" s="11">
        <v>2.0840000000000001E-2</v>
      </c>
      <c r="E22" s="10">
        <f t="shared" si="2"/>
        <v>310815.19403782301</v>
      </c>
      <c r="F22" s="3"/>
      <c r="G22" s="28"/>
      <c r="H22" s="10"/>
      <c r="I22" s="10">
        <f t="shared" si="5"/>
        <v>437</v>
      </c>
      <c r="J22" s="10">
        <f t="shared" si="3"/>
        <v>6653400126.2882338</v>
      </c>
      <c r="K22" s="11">
        <f t="shared" si="4"/>
        <v>2.083999999999997E-2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14914356.719665229</v>
      </c>
      <c r="D23" s="11">
        <v>2.1250000000000002E-2</v>
      </c>
      <c r="E23" s="10">
        <f t="shared" si="2"/>
        <v>310335.45193917863</v>
      </c>
      <c r="F23" s="3"/>
      <c r="G23" s="28"/>
      <c r="H23" s="10"/>
      <c r="I23" s="10">
        <f t="shared" si="5"/>
        <v>437</v>
      </c>
      <c r="J23" s="10">
        <f t="shared" si="3"/>
        <v>6517573886.4937048</v>
      </c>
      <c r="K23" s="11">
        <f t="shared" si="4"/>
        <v>2.1249999999999991E-2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14604021.267726051</v>
      </c>
      <c r="D24" s="11">
        <v>2.1839999999999998E-2</v>
      </c>
      <c r="E24" s="10">
        <f t="shared" si="2"/>
        <v>312134.80044540949</v>
      </c>
      <c r="F24" s="3"/>
      <c r="G24" s="28"/>
      <c r="H24" s="10"/>
      <c r="I24" s="10">
        <f t="shared" si="5"/>
        <v>437</v>
      </c>
      <c r="J24" s="10">
        <f t="shared" si="3"/>
        <v>6381957293.9962845</v>
      </c>
      <c r="K24" s="11">
        <f t="shared" si="4"/>
        <v>2.1840000000000082E-2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14291886.467280641</v>
      </c>
      <c r="D25" s="11">
        <v>2.4340000000000001E-2</v>
      </c>
      <c r="E25" s="10">
        <f t="shared" si="2"/>
        <v>339598.68462972343</v>
      </c>
      <c r="F25" s="3"/>
      <c r="G25" s="28"/>
      <c r="H25" s="10"/>
      <c r="I25" s="10">
        <f t="shared" si="5"/>
        <v>437</v>
      </c>
      <c r="J25" s="10">
        <f t="shared" si="3"/>
        <v>6245554386.2016401</v>
      </c>
      <c r="K25" s="11">
        <f t="shared" si="4"/>
        <v>2.4340000000000028E-2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13952287.782650918</v>
      </c>
      <c r="D26" s="11">
        <v>2.3439999999999999E-2</v>
      </c>
      <c r="E26" s="10">
        <f t="shared" si="2"/>
        <v>319551.34216498956</v>
      </c>
      <c r="F26" s="3"/>
      <c r="G26" s="28"/>
      <c r="H26" s="10"/>
      <c r="I26" s="10">
        <f t="shared" si="5"/>
        <v>437</v>
      </c>
      <c r="J26" s="10">
        <f t="shared" si="3"/>
        <v>6097149761.0184507</v>
      </c>
      <c r="K26" s="11">
        <f t="shared" si="4"/>
        <v>2.3439999999999905E-2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13632736.440485928</v>
      </c>
      <c r="D27" s="11">
        <v>3.1820000000000001E-2</v>
      </c>
      <c r="E27" s="10">
        <f t="shared" si="2"/>
        <v>420416.03529323079</v>
      </c>
      <c r="F27" s="3"/>
      <c r="G27" s="28"/>
      <c r="H27" s="10"/>
      <c r="I27" s="10">
        <f t="shared" si="5"/>
        <v>437</v>
      </c>
      <c r="J27" s="10">
        <f t="shared" si="3"/>
        <v>5957505824.4923506</v>
      </c>
      <c r="K27" s="11">
        <f t="shared" si="4"/>
        <v>3.1819999999999959E-2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13212320.405192697</v>
      </c>
      <c r="D28" s="11">
        <v>2.6700000000000002E-2</v>
      </c>
      <c r="E28" s="10">
        <f t="shared" si="2"/>
        <v>343594.96914253943</v>
      </c>
      <c r="F28" s="3"/>
      <c r="G28" s="28"/>
      <c r="H28" s="10"/>
      <c r="I28" s="10">
        <f t="shared" si="5"/>
        <v>437</v>
      </c>
      <c r="J28" s="10">
        <f t="shared" si="3"/>
        <v>5773784017.0692091</v>
      </c>
      <c r="K28" s="11">
        <f t="shared" si="4"/>
        <v>2.6700000000000168E-2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12868725.436050158</v>
      </c>
      <c r="D29" s="11">
        <v>2.776E-2</v>
      </c>
      <c r="E29" s="10">
        <f t="shared" si="2"/>
        <v>347586.80830617249</v>
      </c>
      <c r="F29" s="3"/>
      <c r="G29" s="28"/>
      <c r="H29" s="10"/>
      <c r="I29" s="10">
        <f t="shared" si="5"/>
        <v>437</v>
      </c>
      <c r="J29" s="10">
        <f t="shared" si="3"/>
        <v>5623633015.5539188</v>
      </c>
      <c r="K29" s="11">
        <f t="shared" si="4"/>
        <v>2.7760000000000007E-2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12521138.627743986</v>
      </c>
      <c r="D30" s="11">
        <v>2.785E-2</v>
      </c>
      <c r="E30" s="10">
        <f t="shared" si="2"/>
        <v>339265.17564106546</v>
      </c>
      <c r="F30" s="3"/>
      <c r="G30" s="28"/>
      <c r="H30" s="10"/>
      <c r="I30" s="10">
        <f t="shared" si="5"/>
        <v>437</v>
      </c>
      <c r="J30" s="10">
        <f t="shared" si="3"/>
        <v>5471737580.3241215</v>
      </c>
      <c r="K30" s="11">
        <f t="shared" si="4"/>
        <v>2.784999999999993E-2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12181873.45210292</v>
      </c>
      <c r="D31" s="11">
        <v>2.7609999999999999E-2</v>
      </c>
      <c r="E31" s="10">
        <f t="shared" si="2"/>
        <v>327304.64477044903</v>
      </c>
      <c r="F31" s="3"/>
      <c r="G31" s="28"/>
      <c r="H31" s="10"/>
      <c r="I31" s="10">
        <f t="shared" si="5"/>
        <v>437</v>
      </c>
      <c r="J31" s="10">
        <f t="shared" si="3"/>
        <v>5323478698.5689764</v>
      </c>
      <c r="K31" s="11">
        <f t="shared" si="4"/>
        <v>2.7610000000000134E-2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11854568.807332471</v>
      </c>
      <c r="D32" s="11">
        <v>2.9590000000000002E-2</v>
      </c>
      <c r="E32" s="10">
        <f t="shared" si="2"/>
        <v>340695.51084312052</v>
      </c>
      <c r="F32" s="3"/>
      <c r="G32" s="28"/>
      <c r="H32" s="10"/>
      <c r="I32" s="10">
        <f t="shared" si="5"/>
        <v>437</v>
      </c>
      <c r="J32" s="10">
        <f t="shared" si="3"/>
        <v>5180446568.8042898</v>
      </c>
      <c r="K32" s="11">
        <f t="shared" si="4"/>
        <v>2.9590000000000005E-2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11513873.29648935</v>
      </c>
      <c r="D33" s="11">
        <v>2.9940000000000001E-2</v>
      </c>
      <c r="E33" s="10">
        <f t="shared" si="2"/>
        <v>334704.31918062456</v>
      </c>
      <c r="F33" s="3"/>
      <c r="G33" s="28"/>
      <c r="H33" s="10"/>
      <c r="I33" s="10">
        <f t="shared" si="5"/>
        <v>437</v>
      </c>
      <c r="J33" s="10">
        <f t="shared" si="3"/>
        <v>5031562630.5658464</v>
      </c>
      <c r="K33" s="11">
        <f t="shared" si="4"/>
        <v>2.99400000000003E-2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11179168.977308726</v>
      </c>
      <c r="D34" s="11">
        <v>3.0300000000000001E-2</v>
      </c>
      <c r="E34" s="10">
        <f t="shared" si="2"/>
        <v>328767.17462142557</v>
      </c>
      <c r="F34" s="3"/>
      <c r="G34" s="28"/>
      <c r="H34" s="10"/>
      <c r="I34" s="10">
        <f t="shared" si="5"/>
        <v>437</v>
      </c>
      <c r="J34" s="10">
        <f t="shared" ref="J34:J65" si="6">IF(I34="","",I34*C34)</f>
        <v>4885296843.0839128</v>
      </c>
      <c r="K34" s="11">
        <f t="shared" ref="K34:K65" si="7">IFERROR(J34/J35-1,"")</f>
        <v>3.0299999999999994E-2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10850401.8026873</v>
      </c>
      <c r="D35" s="11">
        <v>2.8230000000000002E-2</v>
      </c>
      <c r="E35" s="10">
        <f t="shared" si="2"/>
        <v>297897.20479840413</v>
      </c>
      <c r="F35" s="3"/>
      <c r="G35" s="28"/>
      <c r="H35" s="10"/>
      <c r="I35" s="10">
        <f t="shared" ref="I35:I66" si="8">IF(H35&lt;&gt;"",H35,I34/(1+IF(G34="",0,G34)/100))</f>
        <v>437</v>
      </c>
      <c r="J35" s="10">
        <f t="shared" si="6"/>
        <v>4741625587.7743502</v>
      </c>
      <c r="K35" s="11">
        <f t="shared" si="7"/>
        <v>2.8229999999999977E-2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10552504.597888896</v>
      </c>
      <c r="D36" s="11">
        <v>2.682E-2</v>
      </c>
      <c r="E36" s="10">
        <f t="shared" si="2"/>
        <v>275625.88702536002</v>
      </c>
      <c r="F36" s="3"/>
      <c r="G36" s="28"/>
      <c r="H36" s="10"/>
      <c r="I36" s="10">
        <f t="shared" si="8"/>
        <v>437</v>
      </c>
      <c r="J36" s="10">
        <f t="shared" si="6"/>
        <v>4611444509.2774477</v>
      </c>
      <c r="K36" s="11">
        <f t="shared" si="7"/>
        <v>2.6819999999999844E-2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10276878.710863536</v>
      </c>
      <c r="D37" s="11">
        <v>2.691E-2</v>
      </c>
      <c r="E37" s="10">
        <f t="shared" si="2"/>
        <v>269303.83978083543</v>
      </c>
      <c r="F37" s="3"/>
      <c r="G37" s="28"/>
      <c r="H37" s="10"/>
      <c r="I37" s="10">
        <f t="shared" si="8"/>
        <v>437</v>
      </c>
      <c r="J37" s="10">
        <f t="shared" si="6"/>
        <v>4490995996.6473656</v>
      </c>
      <c r="K37" s="11">
        <f t="shared" si="7"/>
        <v>2.6909999999999989E-2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10007574.871082701</v>
      </c>
      <c r="D38" s="11">
        <v>2.5239999999999999E-2</v>
      </c>
      <c r="E38" s="10">
        <f t="shared" si="2"/>
        <v>246372.74174449593</v>
      </c>
      <c r="F38" s="3"/>
      <c r="G38" s="28"/>
      <c r="H38" s="10"/>
      <c r="I38" s="10">
        <f t="shared" si="8"/>
        <v>437</v>
      </c>
      <c r="J38" s="10">
        <f t="shared" si="6"/>
        <v>4373310218.6631403</v>
      </c>
      <c r="K38" s="11">
        <f t="shared" si="7"/>
        <v>2.5239999999999929E-2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9761202.1293382049</v>
      </c>
      <c r="D39" s="11">
        <v>2.4750000000000001E-2</v>
      </c>
      <c r="E39" s="10">
        <f t="shared" si="2"/>
        <v>235754.82088423707</v>
      </c>
      <c r="F39" s="3"/>
      <c r="G39" s="28"/>
      <c r="H39" s="10"/>
      <c r="I39" s="10">
        <f t="shared" si="8"/>
        <v>437</v>
      </c>
      <c r="J39" s="10">
        <f t="shared" si="6"/>
        <v>4265645330.5207953</v>
      </c>
      <c r="K39" s="11">
        <f t="shared" si="7"/>
        <v>2.475000000000005E-2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9525447.3084539678</v>
      </c>
      <c r="D40" s="11">
        <v>2.4340000000000001E-2</v>
      </c>
      <c r="E40" s="10">
        <f t="shared" si="2"/>
        <v>226340.2654272709</v>
      </c>
      <c r="F40" s="3"/>
      <c r="G40" s="28"/>
      <c r="H40" s="10"/>
      <c r="I40" s="10">
        <f t="shared" si="8"/>
        <v>437</v>
      </c>
      <c r="J40" s="10">
        <f t="shared" si="6"/>
        <v>4162620473.794384</v>
      </c>
      <c r="K40" s="11">
        <f t="shared" si="7"/>
        <v>2.4340000000000028E-2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9299107.0430266969</v>
      </c>
      <c r="D41" s="11">
        <v>2.299E-2</v>
      </c>
      <c r="E41" s="10">
        <f t="shared" si="2"/>
        <v>208981.97530687973</v>
      </c>
      <c r="F41" s="3"/>
      <c r="G41" s="28"/>
      <c r="H41" s="10"/>
      <c r="I41" s="10">
        <f t="shared" si="8"/>
        <v>437</v>
      </c>
      <c r="J41" s="10">
        <f t="shared" si="6"/>
        <v>4063709777.8026667</v>
      </c>
      <c r="K41" s="11">
        <f t="shared" si="7"/>
        <v>2.2990000000000066E-2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9090125.0677198172</v>
      </c>
      <c r="D42" s="11">
        <v>2.3810000000000001E-2</v>
      </c>
      <c r="E42" s="10">
        <f t="shared" si="2"/>
        <v>211402.38702728972</v>
      </c>
      <c r="F42" s="3"/>
      <c r="G42" s="28"/>
      <c r="H42" s="10"/>
      <c r="I42" s="10">
        <f t="shared" si="8"/>
        <v>437</v>
      </c>
      <c r="J42" s="10">
        <f t="shared" si="6"/>
        <v>3972384654.5935602</v>
      </c>
      <c r="K42" s="11">
        <f t="shared" si="7"/>
        <v>2.3810000000000109E-2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8878722.6806925274</v>
      </c>
      <c r="D43" s="11">
        <v>2.333E-2</v>
      </c>
      <c r="E43" s="10">
        <f t="shared" si="2"/>
        <v>202418.18390993774</v>
      </c>
      <c r="F43" s="3"/>
      <c r="G43" s="28"/>
      <c r="H43" s="10"/>
      <c r="I43" s="10">
        <f t="shared" si="8"/>
        <v>437</v>
      </c>
      <c r="J43" s="10">
        <f t="shared" si="6"/>
        <v>3880001811.4626346</v>
      </c>
      <c r="K43" s="11">
        <f t="shared" si="7"/>
        <v>2.3330000000000073E-2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8676304.4967825897</v>
      </c>
      <c r="D44" s="11">
        <v>2.2890000000000001E-2</v>
      </c>
      <c r="E44" s="10">
        <f t="shared" si="2"/>
        <v>194156.3706081342</v>
      </c>
      <c r="F44" s="3"/>
      <c r="G44" s="28"/>
      <c r="H44" s="10"/>
      <c r="I44" s="10">
        <f t="shared" si="8"/>
        <v>437</v>
      </c>
      <c r="J44" s="10">
        <f t="shared" si="6"/>
        <v>3791545065.0939918</v>
      </c>
      <c r="K44" s="11">
        <f t="shared" si="7"/>
        <v>2.2890000000000077E-2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8482148.1261744555</v>
      </c>
      <c r="D45" s="11">
        <v>2.3109999999999999E-2</v>
      </c>
      <c r="E45" s="10">
        <f t="shared" si="2"/>
        <v>191594.68991202395</v>
      </c>
      <c r="F45" s="3"/>
      <c r="G45" s="28"/>
      <c r="H45" s="10"/>
      <c r="I45" s="10">
        <f t="shared" si="8"/>
        <v>437</v>
      </c>
      <c r="J45" s="10">
        <f t="shared" si="6"/>
        <v>3706698731.138237</v>
      </c>
      <c r="K45" s="11">
        <f t="shared" si="7"/>
        <v>2.3109999999999742E-2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8290553.4362624316</v>
      </c>
      <c r="D46" s="11">
        <v>2.291E-2</v>
      </c>
      <c r="E46" s="10">
        <f t="shared" si="2"/>
        <v>185682.5910635069</v>
      </c>
      <c r="F46" s="3"/>
      <c r="G46" s="28"/>
      <c r="H46" s="10"/>
      <c r="I46" s="10">
        <f t="shared" si="8"/>
        <v>437</v>
      </c>
      <c r="J46" s="10">
        <f t="shared" si="6"/>
        <v>3622971851.6466827</v>
      </c>
      <c r="K46" s="11">
        <f t="shared" si="7"/>
        <v>2.2909999999999986E-2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8104870.8451989247</v>
      </c>
      <c r="D47" s="11">
        <v>2.3310000000000001E-2</v>
      </c>
      <c r="E47" s="10">
        <f t="shared" si="2"/>
        <v>184621.02334735915</v>
      </c>
      <c r="F47" s="3"/>
      <c r="G47" s="28"/>
      <c r="H47" s="10"/>
      <c r="I47" s="10">
        <f t="shared" si="8"/>
        <v>437</v>
      </c>
      <c r="J47" s="10">
        <f t="shared" si="6"/>
        <v>3541828559.3519301</v>
      </c>
      <c r="K47" s="11">
        <f t="shared" si="7"/>
        <v>2.3309999999999942E-2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7920249.8218515655</v>
      </c>
      <c r="D48" s="11">
        <v>2.419E-2</v>
      </c>
      <c r="E48" s="10">
        <f t="shared" si="2"/>
        <v>187065.72334292345</v>
      </c>
      <c r="F48" s="3"/>
      <c r="G48" s="28"/>
      <c r="H48" s="10"/>
      <c r="I48" s="10">
        <f t="shared" si="8"/>
        <v>437</v>
      </c>
      <c r="J48" s="10">
        <f t="shared" si="6"/>
        <v>3461149172.1491342</v>
      </c>
      <c r="K48" s="11">
        <f t="shared" si="7"/>
        <v>2.4189999999999934E-2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7733184.0985086421</v>
      </c>
      <c r="D49" s="11">
        <v>2.4510000000000001E-2</v>
      </c>
      <c r="E49" s="10">
        <f t="shared" si="2"/>
        <v>185005.84889795817</v>
      </c>
      <c r="F49" s="3"/>
      <c r="G49" s="28"/>
      <c r="H49" s="10"/>
      <c r="I49" s="10">
        <f t="shared" si="8"/>
        <v>437</v>
      </c>
      <c r="J49" s="10">
        <f t="shared" si="6"/>
        <v>3379401451.0482764</v>
      </c>
      <c r="K49" s="11">
        <f t="shared" si="7"/>
        <v>2.4510000000000032E-2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7548178.2496106839</v>
      </c>
      <c r="D50" s="11">
        <v>2.47E-2</v>
      </c>
      <c r="E50" s="10">
        <f t="shared" si="2"/>
        <v>181945.93809445016</v>
      </c>
      <c r="F50" s="3"/>
      <c r="G50" s="28"/>
      <c r="H50" s="10"/>
      <c r="I50" s="10">
        <f t="shared" si="8"/>
        <v>437</v>
      </c>
      <c r="J50" s="10">
        <f t="shared" si="6"/>
        <v>3298553895.0798688</v>
      </c>
      <c r="K50" s="11">
        <f t="shared" si="7"/>
        <v>2.4699999999999944E-2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7366232.3115162337</v>
      </c>
      <c r="D51" s="11">
        <v>2.4979999999999999E-2</v>
      </c>
      <c r="E51" s="10">
        <f t="shared" si="2"/>
        <v>179523.97426454723</v>
      </c>
      <c r="F51" s="3"/>
      <c r="G51" s="28"/>
      <c r="H51" s="10"/>
      <c r="I51" s="10">
        <f t="shared" si="8"/>
        <v>437</v>
      </c>
      <c r="J51" s="10">
        <f t="shared" si="6"/>
        <v>3219043520.1325941</v>
      </c>
      <c r="K51" s="11">
        <f t="shared" si="7"/>
        <v>2.4980000000000002E-2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7186708.3372516865</v>
      </c>
      <c r="D52" s="11">
        <v>2.5149999999999999E-2</v>
      </c>
      <c r="E52" s="10">
        <f t="shared" si="2"/>
        <v>176311.48093633167</v>
      </c>
      <c r="F52" s="3"/>
      <c r="G52" s="28"/>
      <c r="H52" s="10"/>
      <c r="I52" s="10">
        <f t="shared" si="8"/>
        <v>437</v>
      </c>
      <c r="J52" s="10">
        <f t="shared" si="6"/>
        <v>3140591543.3789868</v>
      </c>
      <c r="K52" s="11">
        <f t="shared" si="7"/>
        <v>2.5150000000000006E-2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7010396.8563153548</v>
      </c>
      <c r="D53" s="11">
        <v>2.58E-2</v>
      </c>
      <c r="E53" s="10">
        <f t="shared" si="2"/>
        <v>176319.2034440795</v>
      </c>
      <c r="F53" s="3"/>
      <c r="G53" s="28"/>
      <c r="H53" s="10"/>
      <c r="I53" s="10">
        <f t="shared" si="8"/>
        <v>437</v>
      </c>
      <c r="J53" s="10">
        <f t="shared" si="6"/>
        <v>3063543426.2098103</v>
      </c>
      <c r="K53" s="11">
        <f t="shared" si="7"/>
        <v>2.5800000000000267E-2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6834077.6528712753</v>
      </c>
      <c r="D54" s="11">
        <v>2.6259999999999999E-2</v>
      </c>
      <c r="E54" s="10">
        <f t="shared" si="2"/>
        <v>174870.77267398033</v>
      </c>
      <c r="F54" s="3"/>
      <c r="G54" s="28"/>
      <c r="H54" s="10"/>
      <c r="I54" s="10">
        <f t="shared" si="8"/>
        <v>437</v>
      </c>
      <c r="J54" s="10">
        <f t="shared" si="6"/>
        <v>2986491934.3047471</v>
      </c>
      <c r="K54" s="11">
        <f t="shared" si="7"/>
        <v>2.625999999999995E-2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6659206.880197295</v>
      </c>
      <c r="D55" s="11">
        <v>2.632E-2</v>
      </c>
      <c r="E55" s="10">
        <f t="shared" si="2"/>
        <v>170775.51356963906</v>
      </c>
      <c r="F55" s="3"/>
      <c r="G55" s="28"/>
      <c r="H55" s="10"/>
      <c r="I55" s="10">
        <f t="shared" si="8"/>
        <v>437</v>
      </c>
      <c r="J55" s="10">
        <f t="shared" si="6"/>
        <v>2910073406.6462178</v>
      </c>
      <c r="K55" s="11">
        <f t="shared" si="7"/>
        <v>2.6319999999999899E-2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6488431.3666276559</v>
      </c>
      <c r="D56" s="11">
        <v>2.632E-2</v>
      </c>
      <c r="E56" s="10">
        <f t="shared" si="2"/>
        <v>166395.97159720119</v>
      </c>
      <c r="F56" s="3"/>
      <c r="G56" s="28"/>
      <c r="H56" s="10"/>
      <c r="I56" s="10">
        <f t="shared" si="8"/>
        <v>437</v>
      </c>
      <c r="J56" s="10">
        <f t="shared" si="6"/>
        <v>2835444507.2162857</v>
      </c>
      <c r="K56" s="11">
        <f t="shared" si="7"/>
        <v>2.6319999999999899E-2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6322035.3950304547</v>
      </c>
      <c r="D57" s="11">
        <v>2.537E-2</v>
      </c>
      <c r="E57" s="10">
        <f t="shared" si="2"/>
        <v>156421.62143608835</v>
      </c>
      <c r="F57" s="3"/>
      <c r="G57" s="28"/>
      <c r="H57" s="10"/>
      <c r="I57" s="10">
        <f t="shared" si="8"/>
        <v>437</v>
      </c>
      <c r="J57" s="10">
        <f t="shared" si="6"/>
        <v>2762729467.6283088</v>
      </c>
      <c r="K57" s="11">
        <f t="shared" si="7"/>
        <v>2.5369999999999893E-2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6165613.7735943664</v>
      </c>
      <c r="D58" s="11">
        <v>2.504E-2</v>
      </c>
      <c r="E58" s="10">
        <f t="shared" si="2"/>
        <v>150615.55538398772</v>
      </c>
      <c r="F58" s="3"/>
      <c r="G58" s="28"/>
      <c r="H58" s="10"/>
      <c r="I58" s="10">
        <f t="shared" si="8"/>
        <v>437</v>
      </c>
      <c r="J58" s="10">
        <f t="shared" si="6"/>
        <v>2694373219.0607381</v>
      </c>
      <c r="K58" s="11">
        <f t="shared" si="7"/>
        <v>2.5039999999999951E-2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6014998.2182103787</v>
      </c>
      <c r="D59" s="11">
        <v>2.3290000000000002E-2</v>
      </c>
      <c r="E59" s="10">
        <f t="shared" si="2"/>
        <v>136900.88684744295</v>
      </c>
      <c r="F59" s="3"/>
      <c r="G59" s="28"/>
      <c r="H59" s="10"/>
      <c r="I59" s="10">
        <f t="shared" si="8"/>
        <v>437</v>
      </c>
      <c r="J59" s="10">
        <f t="shared" si="6"/>
        <v>2628554221.3579354</v>
      </c>
      <c r="K59" s="11">
        <f t="shared" si="7"/>
        <v>2.3290000000000033E-2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5878097.3313629357</v>
      </c>
      <c r="D60" s="11">
        <v>2.4629999999999999E-2</v>
      </c>
      <c r="E60" s="10">
        <f t="shared" si="2"/>
        <v>141297.38273471314</v>
      </c>
      <c r="F60" s="3"/>
      <c r="G60" s="28"/>
      <c r="H60" s="10"/>
      <c r="I60" s="10">
        <f t="shared" si="8"/>
        <v>437</v>
      </c>
      <c r="J60" s="10">
        <f t="shared" si="6"/>
        <v>2568728533.805603</v>
      </c>
      <c r="K60" s="11">
        <f t="shared" si="7"/>
        <v>2.462999999999993E-2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5736799.9486282226</v>
      </c>
      <c r="D61" s="11">
        <v>2.4549999999999999E-2</v>
      </c>
      <c r="E61" s="10">
        <f t="shared" si="2"/>
        <v>137463.70478631929</v>
      </c>
      <c r="F61" s="3"/>
      <c r="G61" s="28"/>
      <c r="H61" s="10"/>
      <c r="I61" s="10">
        <f t="shared" si="8"/>
        <v>437</v>
      </c>
      <c r="J61" s="10">
        <f t="shared" si="6"/>
        <v>2506981577.5505333</v>
      </c>
      <c r="K61" s="11">
        <f t="shared" si="7"/>
        <v>2.4550000000000072E-2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5599336.2438419033</v>
      </c>
      <c r="D62" s="11">
        <v>2.461E-2</v>
      </c>
      <c r="E62" s="10">
        <f t="shared" si="2"/>
        <v>134489.86927801743</v>
      </c>
      <c r="F62" s="3"/>
      <c r="G62" s="28"/>
      <c r="H62" s="10"/>
      <c r="I62" s="10">
        <f t="shared" si="8"/>
        <v>437</v>
      </c>
      <c r="J62" s="10">
        <f t="shared" si="6"/>
        <v>2446909938.5589118</v>
      </c>
      <c r="K62" s="11">
        <f t="shared" si="7"/>
        <v>2.4610000000000021E-2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5464846.3745638859</v>
      </c>
      <c r="D63" s="11">
        <v>2.4969999999999999E-2</v>
      </c>
      <c r="E63" s="10">
        <f t="shared" si="2"/>
        <v>133132.88581408188</v>
      </c>
      <c r="F63" s="3"/>
      <c r="G63" s="28"/>
      <c r="H63" s="10"/>
      <c r="I63" s="10">
        <f t="shared" si="8"/>
        <v>437</v>
      </c>
      <c r="J63" s="10">
        <f t="shared" si="6"/>
        <v>2388137865.6844182</v>
      </c>
      <c r="K63" s="11">
        <f t="shared" si="7"/>
        <v>2.4969999999999937E-2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5331713.488749804</v>
      </c>
      <c r="D64" s="11">
        <v>2.461E-2</v>
      </c>
      <c r="E64" s="10">
        <f t="shared" si="2"/>
        <v>128061.86642540339</v>
      </c>
      <c r="F64" s="3"/>
      <c r="G64" s="28"/>
      <c r="H64" s="10"/>
      <c r="I64" s="10">
        <f t="shared" si="8"/>
        <v>437</v>
      </c>
      <c r="J64" s="10">
        <f t="shared" si="6"/>
        <v>2329958794.5836644</v>
      </c>
      <c r="K64" s="11">
        <f t="shared" si="7"/>
        <v>2.4610000000000021E-2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5203651.6223244006</v>
      </c>
      <c r="D65" s="11">
        <v>2.358E-2</v>
      </c>
      <c r="E65" s="10">
        <f t="shared" si="2"/>
        <v>119875.44232439995</v>
      </c>
      <c r="F65" s="3"/>
      <c r="G65" s="28"/>
      <c r="H65" s="10"/>
      <c r="I65" s="10">
        <f t="shared" si="8"/>
        <v>437</v>
      </c>
      <c r="J65" s="10">
        <f t="shared" si="6"/>
        <v>2273995758.9557629</v>
      </c>
      <c r="K65" s="11">
        <f t="shared" si="7"/>
        <v>2.3579999999999934E-2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5083776.1800000006</v>
      </c>
      <c r="D66" s="11">
        <v>2.2069999999999999E-2</v>
      </c>
      <c r="E66" s="10">
        <f t="shared" si="2"/>
        <v>109776.18000000063</v>
      </c>
      <c r="F66" s="24">
        <f>SUM(F2)</f>
        <v>22993720</v>
      </c>
      <c r="G66" s="28"/>
      <c r="H66" s="10"/>
      <c r="I66" s="10">
        <f t="shared" si="8"/>
        <v>437</v>
      </c>
      <c r="J66" s="10">
        <f t="shared" ref="J66:J67" si="9">IF(I66="","",I66*C66)</f>
        <v>2221610190.6600003</v>
      </c>
      <c r="K66" s="11">
        <f t="shared" ref="K66" si="10">IFERROR(J66/J67-1,"")</f>
        <v>2.2070000000000256E-2</v>
      </c>
    </row>
    <row r="67" spans="1:11" ht="22.5" customHeight="1">
      <c r="A67" s="3">
        <f t="shared" si="0"/>
        <v>1950</v>
      </c>
      <c r="B67" s="3">
        <v>1700</v>
      </c>
      <c r="C67" s="10">
        <v>4974000</v>
      </c>
      <c r="D67" s="11">
        <v>2.0740000000000001E-2</v>
      </c>
      <c r="E67" s="3" t="s">
        <v>72</v>
      </c>
      <c r="F67" s="10">
        <f>SUM(C2)</f>
        <v>22993508.527761962</v>
      </c>
      <c r="G67" s="28"/>
      <c r="H67" s="10"/>
      <c r="I67" s="10">
        <f t="shared" ref="I67" si="11">IF(H67&lt;&gt;"",H67,I66/(1+IF(G66="",0,G66)/100))</f>
        <v>437</v>
      </c>
      <c r="J67" s="10">
        <f t="shared" si="9"/>
        <v>2173638000</v>
      </c>
      <c r="K67" s="11"/>
    </row>
  </sheetData>
  <dataValidations count="1">
    <dataValidation type="custom" allowBlank="1" showDropDown="1" sqref="D2:D67" xr:uid="{00000000-0002-0000-4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12584591.775440041</v>
      </c>
      <c r="D2" s="11">
        <v>1.2160000000000001E-2</v>
      </c>
      <c r="E2" s="10">
        <f t="shared" ref="E2:E66" si="2">SUM(C2-C3)</f>
        <v>151190.16359997541</v>
      </c>
      <c r="F2" s="15">
        <v>12584520</v>
      </c>
      <c r="G2" s="28"/>
      <c r="H2" s="10"/>
      <c r="I2" s="10">
        <f>IF(H2&lt;&gt;"",H2,2905)</f>
        <v>2905</v>
      </c>
      <c r="J2" s="10">
        <f t="shared" ref="J2:J33" si="3">IF(I2="","",I2*C2)</f>
        <v>36558239107.65332</v>
      </c>
      <c r="K2" s="11">
        <f t="shared" ref="K2:K33" si="4">IFERROR(J2/J3-1,"")</f>
        <v>1.2159999999999949E-2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12433401.611840066</v>
      </c>
      <c r="D3" s="11">
        <v>1.2959999999999999E-2</v>
      </c>
      <c r="E3" s="10">
        <f t="shared" si="2"/>
        <v>159075.26939805038</v>
      </c>
      <c r="F3" s="3"/>
      <c r="G3" s="28"/>
      <c r="H3" s="10"/>
      <c r="I3" s="10">
        <f t="shared" ref="I3:I34" si="5">IF(H3&lt;&gt;"",H3,I2/(1+IF(G2="",0,G2)/100))</f>
        <v>2905</v>
      </c>
      <c r="J3" s="10">
        <f t="shared" si="3"/>
        <v>36119031682.395393</v>
      </c>
      <c r="K3" s="11">
        <f t="shared" si="4"/>
        <v>1.2960000000000305E-2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12274326.342442015</v>
      </c>
      <c r="D4" s="11">
        <v>1.354E-2</v>
      </c>
      <c r="E4" s="10">
        <f t="shared" si="2"/>
        <v>163974.16843604296</v>
      </c>
      <c r="F4" s="3"/>
      <c r="G4" s="28"/>
      <c r="H4" s="10"/>
      <c r="I4" s="10">
        <f t="shared" si="5"/>
        <v>2905</v>
      </c>
      <c r="J4" s="10">
        <f t="shared" si="3"/>
        <v>35656918024.794052</v>
      </c>
      <c r="K4" s="11">
        <f t="shared" si="4"/>
        <v>1.3540000000000108E-2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12110352.174005972</v>
      </c>
      <c r="D5" s="11">
        <v>1.363E-2</v>
      </c>
      <c r="E5" s="10">
        <f t="shared" si="2"/>
        <v>162844.52919872291</v>
      </c>
      <c r="F5" s="3"/>
      <c r="G5" s="28"/>
      <c r="H5" s="10"/>
      <c r="I5" s="10">
        <f t="shared" si="5"/>
        <v>2905</v>
      </c>
      <c r="J5" s="10">
        <f t="shared" si="3"/>
        <v>35180573065.48735</v>
      </c>
      <c r="K5" s="11">
        <f t="shared" si="4"/>
        <v>1.3630000000000031E-2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11947507.644807249</v>
      </c>
      <c r="D6" s="11">
        <v>1.213E-2</v>
      </c>
      <c r="E6" s="10">
        <f t="shared" si="2"/>
        <v>143186.41649937443</v>
      </c>
      <c r="F6" s="3"/>
      <c r="G6" s="28"/>
      <c r="H6" s="10"/>
      <c r="I6" s="10">
        <f t="shared" si="5"/>
        <v>2905</v>
      </c>
      <c r="J6" s="10">
        <f t="shared" si="3"/>
        <v>34707509708.165062</v>
      </c>
      <c r="K6" s="11">
        <f t="shared" si="4"/>
        <v>1.2130000000000196E-2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11804321.228307875</v>
      </c>
      <c r="D7" s="11">
        <v>1.163E-2</v>
      </c>
      <c r="E7" s="10">
        <f t="shared" si="2"/>
        <v>135705.99516149238</v>
      </c>
      <c r="F7" s="3"/>
      <c r="G7" s="28"/>
      <c r="H7" s="10"/>
      <c r="I7" s="10">
        <f t="shared" si="5"/>
        <v>2905</v>
      </c>
      <c r="J7" s="10">
        <f t="shared" si="3"/>
        <v>34291553168.234375</v>
      </c>
      <c r="K7" s="11">
        <f t="shared" si="4"/>
        <v>1.1630000000000029E-2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11668615.233146382</v>
      </c>
      <c r="D8" s="11">
        <v>1.047E-2</v>
      </c>
      <c r="E8" s="10">
        <f t="shared" si="2"/>
        <v>120904.53105093911</v>
      </c>
      <c r="F8" s="3"/>
      <c r="G8" s="28"/>
      <c r="H8" s="10"/>
      <c r="I8" s="10">
        <f t="shared" si="5"/>
        <v>2905</v>
      </c>
      <c r="J8" s="10">
        <f t="shared" si="3"/>
        <v>33897327252.290241</v>
      </c>
      <c r="K8" s="11">
        <f t="shared" si="4"/>
        <v>1.0469999999999979E-2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11547710.702095443</v>
      </c>
      <c r="D9" s="11">
        <v>1.26E-2</v>
      </c>
      <c r="E9" s="10">
        <f t="shared" si="2"/>
        <v>143690.65262334794</v>
      </c>
      <c r="F9" s="3"/>
      <c r="G9" s="28"/>
      <c r="H9" s="10"/>
      <c r="I9" s="10">
        <f t="shared" si="5"/>
        <v>2905</v>
      </c>
      <c r="J9" s="10">
        <f t="shared" si="3"/>
        <v>33546099589.587261</v>
      </c>
      <c r="K9" s="11">
        <f t="shared" si="4"/>
        <v>1.2599999999999945E-2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11404020.049472095</v>
      </c>
      <c r="D10" s="11">
        <v>1.3129999999999999E-2</v>
      </c>
      <c r="E10" s="10">
        <f t="shared" si="2"/>
        <v>147794.24481514655</v>
      </c>
      <c r="F10" s="3"/>
      <c r="G10" s="28"/>
      <c r="H10" s="10"/>
      <c r="I10" s="10">
        <f t="shared" si="5"/>
        <v>2905</v>
      </c>
      <c r="J10" s="10">
        <f t="shared" si="3"/>
        <v>33128678243.716438</v>
      </c>
      <c r="K10" s="11">
        <f t="shared" si="4"/>
        <v>1.3130000000000086E-2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11256225.804656949</v>
      </c>
      <c r="D11" s="11">
        <v>1.354E-2</v>
      </c>
      <c r="E11" s="10">
        <f t="shared" si="2"/>
        <v>150373.24367568828</v>
      </c>
      <c r="F11" s="3"/>
      <c r="G11" s="28"/>
      <c r="H11" s="10"/>
      <c r="I11" s="10">
        <f t="shared" si="5"/>
        <v>2905</v>
      </c>
      <c r="J11" s="10">
        <f t="shared" si="3"/>
        <v>32699335962.528435</v>
      </c>
      <c r="K11" s="11">
        <f t="shared" si="4"/>
        <v>1.3540000000000108E-2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11105852.560981261</v>
      </c>
      <c r="D12" s="11">
        <v>1.2829999999999999E-2</v>
      </c>
      <c r="E12" s="10">
        <f t="shared" si="2"/>
        <v>140683.12387803383</v>
      </c>
      <c r="F12" s="3"/>
      <c r="G12" s="28"/>
      <c r="H12" s="10"/>
      <c r="I12" s="10">
        <f t="shared" si="5"/>
        <v>2905</v>
      </c>
      <c r="J12" s="10">
        <f t="shared" si="3"/>
        <v>32262501689.650562</v>
      </c>
      <c r="K12" s="11">
        <f t="shared" si="4"/>
        <v>1.2829999999999897E-2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10965169.437103227</v>
      </c>
      <c r="D13" s="11">
        <v>1.23E-2</v>
      </c>
      <c r="E13" s="10">
        <f t="shared" si="2"/>
        <v>133232.82038562559</v>
      </c>
      <c r="F13" s="3"/>
      <c r="G13" s="28"/>
      <c r="H13" s="10"/>
      <c r="I13" s="10">
        <f t="shared" si="5"/>
        <v>2905</v>
      </c>
      <c r="J13" s="10">
        <f t="shared" si="3"/>
        <v>31853817214.784874</v>
      </c>
      <c r="K13" s="11">
        <f t="shared" si="4"/>
        <v>1.2299999999999978E-2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10831936.616717601</v>
      </c>
      <c r="D14" s="11">
        <v>8.8400000000000006E-3</v>
      </c>
      <c r="E14" s="10">
        <f t="shared" si="2"/>
        <v>94915.268716331571</v>
      </c>
      <c r="F14" s="3"/>
      <c r="G14" s="28"/>
      <c r="H14" s="10"/>
      <c r="I14" s="10">
        <f t="shared" si="5"/>
        <v>2905</v>
      </c>
      <c r="J14" s="10">
        <f t="shared" si="3"/>
        <v>31466775871.564632</v>
      </c>
      <c r="K14" s="11">
        <f t="shared" si="4"/>
        <v>8.840000000000181E-3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10737021.34800127</v>
      </c>
      <c r="D15" s="11">
        <v>8.9499999999999996E-3</v>
      </c>
      <c r="E15" s="10">
        <f t="shared" si="2"/>
        <v>95243.908087231219</v>
      </c>
      <c r="F15" s="3"/>
      <c r="G15" s="28"/>
      <c r="H15" s="10"/>
      <c r="I15" s="10">
        <f t="shared" si="5"/>
        <v>2905</v>
      </c>
      <c r="J15" s="10">
        <f t="shared" si="3"/>
        <v>31191047015.943687</v>
      </c>
      <c r="K15" s="11">
        <f t="shared" si="4"/>
        <v>8.9500000000000135E-3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10641777.439914038</v>
      </c>
      <c r="D16" s="11">
        <v>8.9899999999999997E-3</v>
      </c>
      <c r="E16" s="10">
        <f t="shared" si="2"/>
        <v>94817.172801343724</v>
      </c>
      <c r="F16" s="3"/>
      <c r="G16" s="28"/>
      <c r="H16" s="10"/>
      <c r="I16" s="10">
        <f t="shared" si="5"/>
        <v>2905</v>
      </c>
      <c r="J16" s="10">
        <f t="shared" si="3"/>
        <v>30914363462.950283</v>
      </c>
      <c r="K16" s="11">
        <f t="shared" si="4"/>
        <v>8.9900000000000535E-3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10546960.267112695</v>
      </c>
      <c r="D17" s="11">
        <v>9.7599999999999996E-3</v>
      </c>
      <c r="E17" s="10">
        <f t="shared" si="2"/>
        <v>101943.36496496201</v>
      </c>
      <c r="F17" s="3"/>
      <c r="G17" s="28"/>
      <c r="H17" s="10"/>
      <c r="I17" s="10">
        <f t="shared" si="5"/>
        <v>2905</v>
      </c>
      <c r="J17" s="10">
        <f t="shared" si="3"/>
        <v>30638919575.962379</v>
      </c>
      <c r="K17" s="11">
        <f t="shared" si="4"/>
        <v>9.7599999999999909E-3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10445016.902147733</v>
      </c>
      <c r="D18" s="11">
        <v>8.5000000000000006E-3</v>
      </c>
      <c r="E18" s="10">
        <f t="shared" si="2"/>
        <v>88034.35167898424</v>
      </c>
      <c r="F18" s="3"/>
      <c r="G18" s="28"/>
      <c r="H18" s="10"/>
      <c r="I18" s="10">
        <f t="shared" si="5"/>
        <v>2905</v>
      </c>
      <c r="J18" s="10">
        <f t="shared" si="3"/>
        <v>30342774100.739162</v>
      </c>
      <c r="K18" s="11">
        <f t="shared" si="4"/>
        <v>8.499999999999952E-3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10356982.550468748</v>
      </c>
      <c r="D19" s="11">
        <v>1.0030000000000001E-2</v>
      </c>
      <c r="E19" s="10">
        <f t="shared" si="2"/>
        <v>102848.95991327055</v>
      </c>
      <c r="F19" s="3"/>
      <c r="G19" s="28"/>
      <c r="H19" s="10"/>
      <c r="I19" s="10">
        <f t="shared" si="5"/>
        <v>2905</v>
      </c>
      <c r="J19" s="10">
        <f t="shared" si="3"/>
        <v>30087034309.111713</v>
      </c>
      <c r="K19" s="11">
        <f t="shared" si="4"/>
        <v>1.0029999999999983E-2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10254133.590555478</v>
      </c>
      <c r="D20" s="11">
        <v>1.244E-2</v>
      </c>
      <c r="E20" s="10">
        <f t="shared" si="2"/>
        <v>125994.05581220612</v>
      </c>
      <c r="F20" s="3"/>
      <c r="G20" s="28"/>
      <c r="H20" s="10"/>
      <c r="I20" s="10">
        <f t="shared" si="5"/>
        <v>2905</v>
      </c>
      <c r="J20" s="10">
        <f t="shared" si="3"/>
        <v>29788258080.563663</v>
      </c>
      <c r="K20" s="11">
        <f t="shared" si="4"/>
        <v>1.2440000000000007E-2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10128139.534743272</v>
      </c>
      <c r="D21" s="11">
        <v>1.427E-2</v>
      </c>
      <c r="E21" s="10">
        <f t="shared" si="2"/>
        <v>142495.14543542266</v>
      </c>
      <c r="F21" s="3"/>
      <c r="G21" s="28"/>
      <c r="H21" s="10"/>
      <c r="I21" s="10">
        <f t="shared" si="5"/>
        <v>2905</v>
      </c>
      <c r="J21" s="10">
        <f t="shared" si="3"/>
        <v>29422245348.429203</v>
      </c>
      <c r="K21" s="11">
        <f t="shared" si="4"/>
        <v>1.4270000000000005E-2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9985644.3893078491</v>
      </c>
      <c r="D22" s="11">
        <v>1.4460000000000001E-2</v>
      </c>
      <c r="E22" s="10">
        <f t="shared" si="2"/>
        <v>142334.26440607943</v>
      </c>
      <c r="F22" s="3"/>
      <c r="G22" s="28"/>
      <c r="H22" s="10"/>
      <c r="I22" s="10">
        <f t="shared" si="5"/>
        <v>2905</v>
      </c>
      <c r="J22" s="10">
        <f t="shared" si="3"/>
        <v>29008296950.939301</v>
      </c>
      <c r="K22" s="11">
        <f t="shared" si="4"/>
        <v>1.4459999999999917E-2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9843310.1249017697</v>
      </c>
      <c r="D23" s="11">
        <v>1.435E-2</v>
      </c>
      <c r="E23" s="10">
        <f t="shared" si="2"/>
        <v>139253.21663364768</v>
      </c>
      <c r="F23" s="3"/>
      <c r="G23" s="28"/>
      <c r="H23" s="10"/>
      <c r="I23" s="10">
        <f t="shared" si="5"/>
        <v>2905</v>
      </c>
      <c r="J23" s="10">
        <f t="shared" si="3"/>
        <v>28594815912.839642</v>
      </c>
      <c r="K23" s="11">
        <f t="shared" si="4"/>
        <v>1.4350000000000085E-2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9704056.908268122</v>
      </c>
      <c r="D24" s="11">
        <v>1.338E-2</v>
      </c>
      <c r="E24" s="10">
        <f t="shared" si="2"/>
        <v>128125.9561394807</v>
      </c>
      <c r="F24" s="3"/>
      <c r="G24" s="28"/>
      <c r="H24" s="10"/>
      <c r="I24" s="10">
        <f t="shared" si="5"/>
        <v>2905</v>
      </c>
      <c r="J24" s="10">
        <f t="shared" si="3"/>
        <v>28190285318.518894</v>
      </c>
      <c r="K24" s="11">
        <f t="shared" si="4"/>
        <v>1.3379999999999947E-2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9575930.9521286413</v>
      </c>
      <c r="D25" s="11">
        <v>1.2999999999999999E-2</v>
      </c>
      <c r="E25" s="10">
        <f t="shared" si="2"/>
        <v>122889.53837874718</v>
      </c>
      <c r="F25" s="3"/>
      <c r="G25" s="28"/>
      <c r="H25" s="10"/>
      <c r="I25" s="10">
        <f t="shared" si="5"/>
        <v>2905</v>
      </c>
      <c r="J25" s="10">
        <f t="shared" si="3"/>
        <v>27818079415.933704</v>
      </c>
      <c r="K25" s="11">
        <f t="shared" si="4"/>
        <v>1.2999999999999901E-2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9453041.4137498941</v>
      </c>
      <c r="D26" s="11">
        <v>1.1849999999999999E-2</v>
      </c>
      <c r="E26" s="10">
        <f t="shared" si="2"/>
        <v>110706.6667519249</v>
      </c>
      <c r="F26" s="3"/>
      <c r="G26" s="28"/>
      <c r="H26" s="10"/>
      <c r="I26" s="10">
        <f t="shared" si="5"/>
        <v>2905</v>
      </c>
      <c r="J26" s="10">
        <f t="shared" si="3"/>
        <v>27461085306.943443</v>
      </c>
      <c r="K26" s="11">
        <f t="shared" si="4"/>
        <v>1.1849999999999916E-2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9342334.7469979692</v>
      </c>
      <c r="D27" s="11">
        <v>1.103E-2</v>
      </c>
      <c r="E27" s="10">
        <f t="shared" si="2"/>
        <v>101921.75529844686</v>
      </c>
      <c r="F27" s="3"/>
      <c r="G27" s="28"/>
      <c r="H27" s="10"/>
      <c r="I27" s="10">
        <f t="shared" si="5"/>
        <v>2905</v>
      </c>
      <c r="J27" s="10">
        <f t="shared" si="3"/>
        <v>27139482440.029102</v>
      </c>
      <c r="K27" s="11">
        <f t="shared" si="4"/>
        <v>1.1030000000000317E-2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9240412.9916995224</v>
      </c>
      <c r="D28" s="11">
        <v>6.5900000000000004E-3</v>
      </c>
      <c r="E28" s="10">
        <f t="shared" si="2"/>
        <v>60495.65524722077</v>
      </c>
      <c r="F28" s="3"/>
      <c r="G28" s="28"/>
      <c r="H28" s="10"/>
      <c r="I28" s="10">
        <f t="shared" si="5"/>
        <v>2905</v>
      </c>
      <c r="J28" s="10">
        <f t="shared" si="3"/>
        <v>26843399740.887112</v>
      </c>
      <c r="K28" s="11">
        <f t="shared" si="4"/>
        <v>6.5899999999998737E-3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9179917.3364523016</v>
      </c>
      <c r="D29" s="11">
        <v>1.7670000000000002E-2</v>
      </c>
      <c r="E29" s="10">
        <f t="shared" si="2"/>
        <v>159392.67084134556</v>
      </c>
      <c r="F29" s="3"/>
      <c r="G29" s="28"/>
      <c r="H29" s="10"/>
      <c r="I29" s="10">
        <f t="shared" si="5"/>
        <v>2905</v>
      </c>
      <c r="J29" s="10">
        <f t="shared" si="3"/>
        <v>26667659862.393936</v>
      </c>
      <c r="K29" s="11">
        <f t="shared" si="4"/>
        <v>1.7670000000000075E-2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9020524.665610956</v>
      </c>
      <c r="D30" s="11">
        <v>1.18E-2</v>
      </c>
      <c r="E30" s="10">
        <f t="shared" si="2"/>
        <v>105200.82136213593</v>
      </c>
      <c r="F30" s="3"/>
      <c r="G30" s="28"/>
      <c r="H30" s="10"/>
      <c r="I30" s="10">
        <f t="shared" si="5"/>
        <v>2905</v>
      </c>
      <c r="J30" s="10">
        <f t="shared" si="3"/>
        <v>26204624153.599827</v>
      </c>
      <c r="K30" s="11">
        <f t="shared" si="4"/>
        <v>1.1799999999999811E-2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8915323.8442488201</v>
      </c>
      <c r="D31" s="11">
        <v>1.3100000000000001E-2</v>
      </c>
      <c r="E31" s="10">
        <f t="shared" si="2"/>
        <v>115280.56693284027</v>
      </c>
      <c r="F31" s="3"/>
      <c r="G31" s="28"/>
      <c r="H31" s="10"/>
      <c r="I31" s="10">
        <f t="shared" si="5"/>
        <v>2905</v>
      </c>
      <c r="J31" s="10">
        <f t="shared" si="3"/>
        <v>25899015767.542824</v>
      </c>
      <c r="K31" s="11">
        <f t="shared" si="4"/>
        <v>1.3100000000000112E-2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8800043.2773159798</v>
      </c>
      <c r="D32" s="11">
        <v>1.3650000000000001E-2</v>
      </c>
      <c r="E32" s="10">
        <f t="shared" si="2"/>
        <v>118503.02445159853</v>
      </c>
      <c r="F32" s="3"/>
      <c r="G32" s="28"/>
      <c r="H32" s="10"/>
      <c r="I32" s="10">
        <f t="shared" si="5"/>
        <v>2905</v>
      </c>
      <c r="J32" s="10">
        <f t="shared" si="3"/>
        <v>25564125720.602921</v>
      </c>
      <c r="K32" s="11">
        <f t="shared" si="4"/>
        <v>1.364999999999994E-2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8681540.2528643813</v>
      </c>
      <c r="D33" s="11">
        <v>1.406E-2</v>
      </c>
      <c r="E33" s="10">
        <f t="shared" si="2"/>
        <v>120370.05300995335</v>
      </c>
      <c r="F33" s="3"/>
      <c r="G33" s="28"/>
      <c r="H33" s="10"/>
      <c r="I33" s="10">
        <f t="shared" si="5"/>
        <v>2905</v>
      </c>
      <c r="J33" s="10">
        <f t="shared" si="3"/>
        <v>25219874434.571026</v>
      </c>
      <c r="K33" s="11">
        <f t="shared" si="4"/>
        <v>1.4059999999999961E-2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8561170.1998544279</v>
      </c>
      <c r="D34" s="11">
        <v>1.721E-2</v>
      </c>
      <c r="E34" s="10">
        <f t="shared" si="2"/>
        <v>144844.95742225647</v>
      </c>
      <c r="F34" s="3"/>
      <c r="G34" s="28"/>
      <c r="H34" s="10"/>
      <c r="I34" s="10">
        <f t="shared" si="5"/>
        <v>2905</v>
      </c>
      <c r="J34" s="10">
        <f t="shared" ref="J34:J65" si="6">IF(I34="","",I34*C34)</f>
        <v>24870199430.577114</v>
      </c>
      <c r="K34" s="11">
        <f t="shared" ref="K34:K65" si="7">IFERROR(J34/J35-1,"")</f>
        <v>1.7209999999999948E-2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8416325.2424321715</v>
      </c>
      <c r="D35" s="11">
        <v>1.6660000000000001E-2</v>
      </c>
      <c r="E35" s="10">
        <f t="shared" si="2"/>
        <v>137918.26032195613</v>
      </c>
      <c r="F35" s="3"/>
      <c r="G35" s="28"/>
      <c r="H35" s="10"/>
      <c r="I35" s="10">
        <f t="shared" ref="I35:I66" si="8">IF(H35&lt;&gt;"",H35,I34/(1+IF(G34="",0,G34)/100))</f>
        <v>2905</v>
      </c>
      <c r="J35" s="10">
        <f t="shared" si="6"/>
        <v>24449424829.265457</v>
      </c>
      <c r="K35" s="11">
        <f t="shared" si="7"/>
        <v>1.6659999999999897E-2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8278406.9821102154</v>
      </c>
      <c r="D36" s="11">
        <v>1.6209999999999999E-2</v>
      </c>
      <c r="E36" s="10">
        <f t="shared" si="2"/>
        <v>132052.4076519683</v>
      </c>
      <c r="F36" s="3"/>
      <c r="G36" s="28"/>
      <c r="H36" s="10"/>
      <c r="I36" s="10">
        <f t="shared" si="8"/>
        <v>2905</v>
      </c>
      <c r="J36" s="10">
        <f t="shared" si="6"/>
        <v>24048772283.030174</v>
      </c>
      <c r="K36" s="11">
        <f t="shared" si="7"/>
        <v>1.6209999999999836E-2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8146354.5744582471</v>
      </c>
      <c r="D37" s="11">
        <v>1.5640000000000001E-2</v>
      </c>
      <c r="E37" s="10">
        <f t="shared" si="2"/>
        <v>125446.99454976898</v>
      </c>
      <c r="F37" s="3"/>
      <c r="G37" s="28"/>
      <c r="H37" s="10"/>
      <c r="I37" s="10">
        <f t="shared" si="8"/>
        <v>2905</v>
      </c>
      <c r="J37" s="10">
        <f t="shared" si="6"/>
        <v>23665160038.801208</v>
      </c>
      <c r="K37" s="11">
        <f t="shared" si="7"/>
        <v>1.5640000000000098E-2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8020907.5799084781</v>
      </c>
      <c r="D38" s="11">
        <v>1.566E-2</v>
      </c>
      <c r="E38" s="10">
        <f t="shared" si="2"/>
        <v>123670.72908391245</v>
      </c>
      <c r="F38" s="3"/>
      <c r="G38" s="28"/>
      <c r="H38" s="10"/>
      <c r="I38" s="10">
        <f t="shared" si="8"/>
        <v>2905</v>
      </c>
      <c r="J38" s="10">
        <f t="shared" si="6"/>
        <v>23300736519.634129</v>
      </c>
      <c r="K38" s="11">
        <f t="shared" si="7"/>
        <v>1.5660000000000007E-2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7897236.8508245656</v>
      </c>
      <c r="D39" s="11">
        <v>2.095E-2</v>
      </c>
      <c r="E39" s="10">
        <f t="shared" si="2"/>
        <v>162052.12010850199</v>
      </c>
      <c r="F39" s="3"/>
      <c r="G39" s="28"/>
      <c r="H39" s="10"/>
      <c r="I39" s="10">
        <f t="shared" si="8"/>
        <v>2905</v>
      </c>
      <c r="J39" s="10">
        <f t="shared" si="6"/>
        <v>22941473051.645363</v>
      </c>
      <c r="K39" s="11">
        <f t="shared" si="7"/>
        <v>2.0950000000000024E-2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7735184.7307160636</v>
      </c>
      <c r="D40" s="11">
        <v>2.486E-2</v>
      </c>
      <c r="E40" s="10">
        <f t="shared" si="2"/>
        <v>187632.15698300488</v>
      </c>
      <c r="F40" s="3"/>
      <c r="G40" s="28"/>
      <c r="H40" s="10"/>
      <c r="I40" s="10">
        <f t="shared" si="8"/>
        <v>2905</v>
      </c>
      <c r="J40" s="10">
        <f t="shared" si="6"/>
        <v>22470711642.730164</v>
      </c>
      <c r="K40" s="11">
        <f t="shared" si="7"/>
        <v>2.4860000000000104E-2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7547552.5737330588</v>
      </c>
      <c r="D41" s="11">
        <v>2.5139999999999999E-2</v>
      </c>
      <c r="E41" s="10">
        <f t="shared" si="2"/>
        <v>185092.25247639231</v>
      </c>
      <c r="F41" s="3"/>
      <c r="G41" s="28"/>
      <c r="H41" s="10"/>
      <c r="I41" s="10">
        <f t="shared" si="8"/>
        <v>2905</v>
      </c>
      <c r="J41" s="10">
        <f t="shared" si="6"/>
        <v>21925640226.694534</v>
      </c>
      <c r="K41" s="11">
        <f t="shared" si="7"/>
        <v>2.513999999999994E-2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7362460.3212566664</v>
      </c>
      <c r="D42" s="11">
        <v>1.729E-2</v>
      </c>
      <c r="E42" s="10">
        <f t="shared" si="2"/>
        <v>125133.38276649546</v>
      </c>
      <c r="F42" s="3"/>
      <c r="G42" s="28"/>
      <c r="H42" s="10"/>
      <c r="I42" s="10">
        <f t="shared" si="8"/>
        <v>2905</v>
      </c>
      <c r="J42" s="10">
        <f t="shared" si="6"/>
        <v>21387947233.250614</v>
      </c>
      <c r="K42" s="11">
        <f t="shared" si="7"/>
        <v>1.7290000000000028E-2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7237326.938490171</v>
      </c>
      <c r="D43" s="11">
        <v>1.7239999999999998E-2</v>
      </c>
      <c r="E43" s="10">
        <f t="shared" si="2"/>
        <v>122656.91126928758</v>
      </c>
      <c r="F43" s="3"/>
      <c r="G43" s="28"/>
      <c r="H43" s="10"/>
      <c r="I43" s="10">
        <f t="shared" si="8"/>
        <v>2905</v>
      </c>
      <c r="J43" s="10">
        <f t="shared" si="6"/>
        <v>21024434756.313946</v>
      </c>
      <c r="K43" s="11">
        <f t="shared" si="7"/>
        <v>1.7239999999999922E-2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7114670.0272208834</v>
      </c>
      <c r="D44" s="11">
        <v>1.738E-2</v>
      </c>
      <c r="E44" s="10">
        <f t="shared" si="2"/>
        <v>121540.58962540887</v>
      </c>
      <c r="F44" s="3"/>
      <c r="G44" s="28"/>
      <c r="H44" s="10"/>
      <c r="I44" s="10">
        <f t="shared" si="8"/>
        <v>2905</v>
      </c>
      <c r="J44" s="10">
        <f t="shared" si="6"/>
        <v>20668116429.076668</v>
      </c>
      <c r="K44" s="11">
        <f t="shared" si="7"/>
        <v>1.7379999999999951E-2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6993129.4375954745</v>
      </c>
      <c r="D45" s="11">
        <v>1.788E-2</v>
      </c>
      <c r="E45" s="10">
        <f t="shared" si="2"/>
        <v>122840.76152808405</v>
      </c>
      <c r="F45" s="3"/>
      <c r="G45" s="28"/>
      <c r="H45" s="10"/>
      <c r="I45" s="10">
        <f t="shared" si="8"/>
        <v>2905</v>
      </c>
      <c r="J45" s="10">
        <f t="shared" si="6"/>
        <v>20315041016.214855</v>
      </c>
      <c r="K45" s="11">
        <f t="shared" si="7"/>
        <v>1.7879999999999896E-2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6870288.6760673905</v>
      </c>
      <c r="D46" s="11">
        <v>1.866E-2</v>
      </c>
      <c r="E46" s="10">
        <f t="shared" si="2"/>
        <v>125851.20324290451</v>
      </c>
      <c r="F46" s="3"/>
      <c r="G46" s="28"/>
      <c r="H46" s="10"/>
      <c r="I46" s="10">
        <f t="shared" si="8"/>
        <v>2905</v>
      </c>
      <c r="J46" s="10">
        <f t="shared" si="6"/>
        <v>19958188603.975769</v>
      </c>
      <c r="K46" s="11">
        <f t="shared" si="7"/>
        <v>1.8660000000000121E-2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6744437.472824486</v>
      </c>
      <c r="D47" s="11">
        <v>1.9439999999999999E-2</v>
      </c>
      <c r="E47" s="10">
        <f t="shared" si="2"/>
        <v>128611.65391951241</v>
      </c>
      <c r="F47" s="3"/>
      <c r="G47" s="28"/>
      <c r="H47" s="10"/>
      <c r="I47" s="10">
        <f t="shared" si="8"/>
        <v>2905</v>
      </c>
      <c r="J47" s="10">
        <f t="shared" si="6"/>
        <v>19592590858.55513</v>
      </c>
      <c r="K47" s="11">
        <f t="shared" si="7"/>
        <v>1.9439999999999902E-2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6615825.8189049736</v>
      </c>
      <c r="D48" s="11">
        <v>2.034E-2</v>
      </c>
      <c r="E48" s="10">
        <f t="shared" si="2"/>
        <v>131883.38902378362</v>
      </c>
      <c r="F48" s="3"/>
      <c r="G48" s="28"/>
      <c r="H48" s="10"/>
      <c r="I48" s="10">
        <f t="shared" si="8"/>
        <v>2905</v>
      </c>
      <c r="J48" s="10">
        <f t="shared" si="6"/>
        <v>19218974003.918949</v>
      </c>
      <c r="K48" s="11">
        <f t="shared" si="7"/>
        <v>2.0340000000000247E-2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6483942.4298811899</v>
      </c>
      <c r="D49" s="11">
        <v>2.155E-2</v>
      </c>
      <c r="E49" s="10">
        <f t="shared" si="2"/>
        <v>136781.32187747955</v>
      </c>
      <c r="F49" s="3"/>
      <c r="G49" s="28"/>
      <c r="H49" s="10"/>
      <c r="I49" s="10">
        <f t="shared" si="8"/>
        <v>2905</v>
      </c>
      <c r="J49" s="10">
        <f t="shared" si="6"/>
        <v>18835852758.804855</v>
      </c>
      <c r="K49" s="11">
        <f t="shared" si="7"/>
        <v>2.1549999999999958E-2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6347161.1080037104</v>
      </c>
      <c r="D50" s="11">
        <v>2.283E-2</v>
      </c>
      <c r="E50" s="10">
        <f t="shared" si="2"/>
        <v>141671.33159540128</v>
      </c>
      <c r="F50" s="3"/>
      <c r="G50" s="28"/>
      <c r="H50" s="10"/>
      <c r="I50" s="10">
        <f t="shared" si="8"/>
        <v>2905</v>
      </c>
      <c r="J50" s="10">
        <f t="shared" si="6"/>
        <v>18438503018.750778</v>
      </c>
      <c r="K50" s="11">
        <f t="shared" si="7"/>
        <v>2.2829999999999906E-2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6205489.7764083091</v>
      </c>
      <c r="D51" s="11">
        <v>2.5190000000000001E-2</v>
      </c>
      <c r="E51" s="10">
        <f t="shared" si="2"/>
        <v>152475.43135196902</v>
      </c>
      <c r="F51" s="3"/>
      <c r="G51" s="28"/>
      <c r="H51" s="10"/>
      <c r="I51" s="10">
        <f t="shared" si="8"/>
        <v>2905</v>
      </c>
      <c r="J51" s="10">
        <f t="shared" si="6"/>
        <v>18026947800.466137</v>
      </c>
      <c r="K51" s="11">
        <f t="shared" si="7"/>
        <v>2.5189999999999824E-2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6053014.3450563401</v>
      </c>
      <c r="D52" s="11">
        <v>2.6669999999999999E-2</v>
      </c>
      <c r="E52" s="10">
        <f t="shared" si="2"/>
        <v>157240.29394318722</v>
      </c>
      <c r="F52" s="3"/>
      <c r="G52" s="28"/>
      <c r="H52" s="10"/>
      <c r="I52" s="10">
        <f t="shared" si="8"/>
        <v>2905</v>
      </c>
      <c r="J52" s="10">
        <f t="shared" si="6"/>
        <v>17584006672.388668</v>
      </c>
      <c r="K52" s="11">
        <f t="shared" si="7"/>
        <v>2.6669999999999972E-2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5895774.0511131529</v>
      </c>
      <c r="D53" s="11">
        <v>2.8830000000000001E-2</v>
      </c>
      <c r="E53" s="10">
        <f t="shared" si="2"/>
        <v>165212.10102115199</v>
      </c>
      <c r="F53" s="3"/>
      <c r="G53" s="28"/>
      <c r="H53" s="10"/>
      <c r="I53" s="10">
        <f t="shared" si="8"/>
        <v>2905</v>
      </c>
      <c r="J53" s="10">
        <f t="shared" si="6"/>
        <v>17127223618.483709</v>
      </c>
      <c r="K53" s="11">
        <f t="shared" si="7"/>
        <v>2.8829999999999911E-2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5730561.9500920009</v>
      </c>
      <c r="D54" s="11">
        <v>3.0509999999999999E-2</v>
      </c>
      <c r="E54" s="10">
        <f t="shared" si="2"/>
        <v>169663.02616889402</v>
      </c>
      <c r="F54" s="3"/>
      <c r="G54" s="28"/>
      <c r="H54" s="10"/>
      <c r="I54" s="10">
        <f t="shared" si="8"/>
        <v>2905</v>
      </c>
      <c r="J54" s="10">
        <f t="shared" si="6"/>
        <v>16647282465.017263</v>
      </c>
      <c r="K54" s="11">
        <f t="shared" si="7"/>
        <v>3.0510000000000037E-2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5560898.9239231069</v>
      </c>
      <c r="D55" s="11">
        <v>3.1109999999999999E-2</v>
      </c>
      <c r="E55" s="10">
        <f t="shared" si="2"/>
        <v>167779.93184359372</v>
      </c>
      <c r="F55" s="3"/>
      <c r="G55" s="28"/>
      <c r="H55" s="10"/>
      <c r="I55" s="10">
        <f t="shared" si="8"/>
        <v>2905</v>
      </c>
      <c r="J55" s="10">
        <f t="shared" si="6"/>
        <v>16154411373.996626</v>
      </c>
      <c r="K55" s="11">
        <f t="shared" si="7"/>
        <v>3.1109999999999971E-2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5393118.9920795131</v>
      </c>
      <c r="D56" s="11">
        <v>3.1390000000000001E-2</v>
      </c>
      <c r="E56" s="10">
        <f t="shared" si="2"/>
        <v>164137.72206573281</v>
      </c>
      <c r="F56" s="3"/>
      <c r="G56" s="28"/>
      <c r="H56" s="10"/>
      <c r="I56" s="10">
        <f t="shared" si="8"/>
        <v>2905</v>
      </c>
      <c r="J56" s="10">
        <f t="shared" si="6"/>
        <v>15667010671.990986</v>
      </c>
      <c r="K56" s="11">
        <f t="shared" si="7"/>
        <v>3.1390000000000029E-2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5228981.2700137803</v>
      </c>
      <c r="D57" s="11">
        <v>3.1029999999999999E-2</v>
      </c>
      <c r="E57" s="10">
        <f t="shared" si="2"/>
        <v>157372.03457564488</v>
      </c>
      <c r="F57" s="3"/>
      <c r="G57" s="28"/>
      <c r="H57" s="10"/>
      <c r="I57" s="10">
        <f t="shared" si="8"/>
        <v>2905</v>
      </c>
      <c r="J57" s="10">
        <f t="shared" si="6"/>
        <v>15190190589.390032</v>
      </c>
      <c r="K57" s="11">
        <f t="shared" si="7"/>
        <v>3.1029999999999891E-2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5071609.2354381355</v>
      </c>
      <c r="D58" s="11">
        <v>3.0079999999999999E-2</v>
      </c>
      <c r="E58" s="10">
        <f t="shared" si="2"/>
        <v>148099.18239552248</v>
      </c>
      <c r="F58" s="3"/>
      <c r="G58" s="28"/>
      <c r="H58" s="10"/>
      <c r="I58" s="10">
        <f t="shared" si="8"/>
        <v>2905</v>
      </c>
      <c r="J58" s="10">
        <f t="shared" si="6"/>
        <v>14733024828.947784</v>
      </c>
      <c r="K58" s="11">
        <f t="shared" si="7"/>
        <v>3.0080000000000107E-2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4923510.053042613</v>
      </c>
      <c r="D59" s="11">
        <v>2.8809999999999999E-2</v>
      </c>
      <c r="E59" s="10">
        <f t="shared" si="2"/>
        <v>137874.16979632527</v>
      </c>
      <c r="F59" s="3"/>
      <c r="G59" s="28"/>
      <c r="H59" s="10"/>
      <c r="I59" s="10">
        <f t="shared" si="8"/>
        <v>2905</v>
      </c>
      <c r="J59" s="10">
        <f t="shared" si="6"/>
        <v>14302796704.088791</v>
      </c>
      <c r="K59" s="11">
        <f t="shared" si="7"/>
        <v>2.8810000000000002E-2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4785635.8832462877</v>
      </c>
      <c r="D60" s="11">
        <v>2.7310000000000001E-2</v>
      </c>
      <c r="E60" s="10">
        <f t="shared" si="2"/>
        <v>127221.30220815167</v>
      </c>
      <c r="F60" s="3"/>
      <c r="G60" s="28"/>
      <c r="H60" s="10"/>
      <c r="I60" s="10">
        <f t="shared" si="8"/>
        <v>2905</v>
      </c>
      <c r="J60" s="10">
        <f t="shared" si="6"/>
        <v>13902272240.830465</v>
      </c>
      <c r="K60" s="11">
        <f t="shared" si="7"/>
        <v>2.7309999999999945E-2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4658414.581038136</v>
      </c>
      <c r="D61" s="11">
        <v>2.5729999999999999E-2</v>
      </c>
      <c r="E61" s="10">
        <f t="shared" si="2"/>
        <v>116854.34487644024</v>
      </c>
      <c r="F61" s="3"/>
      <c r="G61" s="28"/>
      <c r="H61" s="10"/>
      <c r="I61" s="10">
        <f t="shared" si="8"/>
        <v>2905</v>
      </c>
      <c r="J61" s="10">
        <f t="shared" si="6"/>
        <v>13532694357.915785</v>
      </c>
      <c r="K61" s="11">
        <f t="shared" si="7"/>
        <v>2.5729999999999809E-2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4541560.2361616958</v>
      </c>
      <c r="D62" s="11">
        <v>2.4029999999999999E-2</v>
      </c>
      <c r="E62" s="10">
        <f t="shared" si="2"/>
        <v>106572.74930906855</v>
      </c>
      <c r="F62" s="3"/>
      <c r="G62" s="28"/>
      <c r="H62" s="10"/>
      <c r="I62" s="10">
        <f t="shared" si="8"/>
        <v>2905</v>
      </c>
      <c r="J62" s="10">
        <f t="shared" si="6"/>
        <v>13193232486.049726</v>
      </c>
      <c r="K62" s="11">
        <f t="shared" si="7"/>
        <v>2.4029999999999996E-2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4434987.4868526272</v>
      </c>
      <c r="D63" s="11">
        <v>2.231E-2</v>
      </c>
      <c r="E63" s="10">
        <f t="shared" si="2"/>
        <v>96785.290989701636</v>
      </c>
      <c r="F63" s="3"/>
      <c r="G63" s="28"/>
      <c r="H63" s="10"/>
      <c r="I63" s="10">
        <f t="shared" si="8"/>
        <v>2905</v>
      </c>
      <c r="J63" s="10">
        <f t="shared" si="6"/>
        <v>12883638649.306883</v>
      </c>
      <c r="K63" s="11">
        <f t="shared" si="7"/>
        <v>2.2310000000000052E-2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4338202.1958629256</v>
      </c>
      <c r="D64" s="11">
        <v>2.0740000000000001E-2</v>
      </c>
      <c r="E64" s="10">
        <f t="shared" si="2"/>
        <v>88146.162139425054</v>
      </c>
      <c r="F64" s="3"/>
      <c r="G64" s="28"/>
      <c r="H64" s="10"/>
      <c r="I64" s="10">
        <f t="shared" si="8"/>
        <v>2905</v>
      </c>
      <c r="J64" s="10">
        <f t="shared" si="6"/>
        <v>12602477378.981798</v>
      </c>
      <c r="K64" s="11">
        <f t="shared" si="7"/>
        <v>2.0739999999999981E-2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4250056.0337235006</v>
      </c>
      <c r="D65" s="11">
        <v>1.925E-2</v>
      </c>
      <c r="E65" s="10">
        <f t="shared" si="2"/>
        <v>80268.411723500118</v>
      </c>
      <c r="F65" s="3"/>
      <c r="G65" s="28"/>
      <c r="H65" s="10"/>
      <c r="I65" s="10">
        <f t="shared" si="8"/>
        <v>2905</v>
      </c>
      <c r="J65" s="10">
        <f t="shared" si="6"/>
        <v>12346412777.966768</v>
      </c>
      <c r="K65" s="11">
        <f t="shared" si="7"/>
        <v>1.9249999999999989E-2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4169787.6220000004</v>
      </c>
      <c r="D66" s="11">
        <v>1.7940000000000001E-2</v>
      </c>
      <c r="E66" s="10">
        <f t="shared" si="2"/>
        <v>73487.62200000044</v>
      </c>
      <c r="F66" s="24">
        <f>SUM(F2)</f>
        <v>12584520</v>
      </c>
      <c r="G66" s="28"/>
      <c r="H66" s="10"/>
      <c r="I66" s="10">
        <f t="shared" si="8"/>
        <v>2905</v>
      </c>
      <c r="J66" s="10">
        <f t="shared" ref="J66:J67" si="9">IF(I66="","",I66*C66)</f>
        <v>12113233041.910002</v>
      </c>
      <c r="K66" s="11">
        <f t="shared" ref="K66" si="10">IFERROR(J66/J67-1,"")</f>
        <v>1.7940000000000067E-2</v>
      </c>
    </row>
    <row r="67" spans="1:11" ht="22.5" customHeight="1">
      <c r="A67" s="3">
        <f t="shared" si="0"/>
        <v>1950</v>
      </c>
      <c r="B67" s="3">
        <v>1700</v>
      </c>
      <c r="C67" s="10">
        <v>4096300</v>
      </c>
      <c r="D67" s="11">
        <v>1.6979999999999999E-2</v>
      </c>
      <c r="E67" s="3" t="s">
        <v>72</v>
      </c>
      <c r="F67" s="10">
        <f>SUM(C2)</f>
        <v>12584591.775440041</v>
      </c>
      <c r="G67" s="28"/>
      <c r="H67" s="10"/>
      <c r="I67" s="10">
        <f t="shared" ref="I67" si="11">IF(H67&lt;&gt;"",H67,I66/(1+IF(G66="",0,G66)/100))</f>
        <v>2905</v>
      </c>
      <c r="J67" s="10">
        <f t="shared" si="9"/>
        <v>11899751500</v>
      </c>
      <c r="K67" s="11"/>
    </row>
  </sheetData>
  <dataValidations count="1">
    <dataValidation type="custom" allowBlank="1" showDropDown="1" sqref="D2:D67" xr:uid="{00000000-0002-0000-4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4348249.0110484492</v>
      </c>
      <c r="D2" s="11">
        <v>2.1649999999999999E-2</v>
      </c>
      <c r="E2" s="10">
        <f t="shared" ref="E2:E66" si="2">SUM(C2-C3)</f>
        <v>92144.659217147157</v>
      </c>
      <c r="F2" s="15">
        <v>4348275</v>
      </c>
      <c r="G2" s="28"/>
      <c r="H2" s="10"/>
      <c r="I2" s="10">
        <f>IF(H2&lt;&gt;"",H2,7341)</f>
        <v>7341</v>
      </c>
      <c r="J2" s="10">
        <f t="shared" ref="J2:J33" si="3">IF(I2="","",I2*C2)</f>
        <v>31920495990.106667</v>
      </c>
      <c r="K2" s="11">
        <f t="shared" ref="K2:K33" si="4">IFERROR(J2/J3-1,"")</f>
        <v>2.1649999999999947E-2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4256104.351831302</v>
      </c>
      <c r="D3" s="11">
        <v>2.147E-2</v>
      </c>
      <c r="E3" s="10">
        <f t="shared" si="2"/>
        <v>89457.899335094262</v>
      </c>
      <c r="F3" s="3"/>
      <c r="G3" s="28"/>
      <c r="H3" s="10"/>
      <c r="I3" s="10">
        <f t="shared" ref="I3:I34" si="5">IF(H3&lt;&gt;"",H3,I2/(1+IF(G2="",0,G2)/100))</f>
        <v>7341</v>
      </c>
      <c r="J3" s="10">
        <f t="shared" si="3"/>
        <v>31244062046.793587</v>
      </c>
      <c r="K3" s="11">
        <f t="shared" si="4"/>
        <v>2.14700000000001E-2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4166646.4524962078</v>
      </c>
      <c r="D4" s="11">
        <v>2.0959999999999999E-2</v>
      </c>
      <c r="E4" s="10">
        <f t="shared" si="2"/>
        <v>85539.991424072534</v>
      </c>
      <c r="F4" s="3"/>
      <c r="G4" s="28"/>
      <c r="H4" s="10"/>
      <c r="I4" s="10">
        <f t="shared" si="5"/>
        <v>7341</v>
      </c>
      <c r="J4" s="10">
        <f t="shared" si="3"/>
        <v>30587351607.774662</v>
      </c>
      <c r="K4" s="11">
        <f t="shared" si="4"/>
        <v>2.096000000000009E-2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4081106.4610721353</v>
      </c>
      <c r="D5" s="11">
        <v>1.899E-2</v>
      </c>
      <c r="E5" s="10">
        <f t="shared" si="2"/>
        <v>76055.909965515137</v>
      </c>
      <c r="F5" s="3"/>
      <c r="G5" s="28"/>
      <c r="H5" s="10"/>
      <c r="I5" s="10">
        <f t="shared" si="5"/>
        <v>7341</v>
      </c>
      <c r="J5" s="10">
        <f t="shared" si="3"/>
        <v>29959402530.730545</v>
      </c>
      <c r="K5" s="11">
        <f t="shared" si="4"/>
        <v>1.8990000000000062E-2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4005050.5511066201</v>
      </c>
      <c r="D6" s="11">
        <v>1.7299999999999999E-2</v>
      </c>
      <c r="E6" s="10">
        <f t="shared" si="2"/>
        <v>68109.087323449086</v>
      </c>
      <c r="F6" s="3"/>
      <c r="G6" s="28"/>
      <c r="H6" s="10"/>
      <c r="I6" s="10">
        <f t="shared" si="5"/>
        <v>7341</v>
      </c>
      <c r="J6" s="10">
        <f t="shared" si="3"/>
        <v>29401076095.673698</v>
      </c>
      <c r="K6" s="11">
        <f t="shared" si="4"/>
        <v>1.7300000000000093E-2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3936941.463783171</v>
      </c>
      <c r="D7" s="11">
        <v>1.4590000000000001E-2</v>
      </c>
      <c r="E7" s="10">
        <f t="shared" si="2"/>
        <v>56613.978017324116</v>
      </c>
      <c r="F7" s="3"/>
      <c r="G7" s="28"/>
      <c r="H7" s="10"/>
      <c r="I7" s="10">
        <f t="shared" si="5"/>
        <v>7341</v>
      </c>
      <c r="J7" s="10">
        <f t="shared" si="3"/>
        <v>28901087285.632259</v>
      </c>
      <c r="K7" s="11">
        <f t="shared" si="4"/>
        <v>1.4590000000000103E-2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3880327.4857658469</v>
      </c>
      <c r="D8" s="11">
        <v>1.2529999999999999E-2</v>
      </c>
      <c r="E8" s="10">
        <f t="shared" si="2"/>
        <v>48018.827488218434</v>
      </c>
      <c r="F8" s="3"/>
      <c r="G8" s="28"/>
      <c r="H8" s="10"/>
      <c r="I8" s="10">
        <f t="shared" si="5"/>
        <v>7341</v>
      </c>
      <c r="J8" s="10">
        <f t="shared" si="3"/>
        <v>28485484073.007084</v>
      </c>
      <c r="K8" s="11">
        <f t="shared" si="4"/>
        <v>1.2530000000000152E-2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3832308.6582776285</v>
      </c>
      <c r="D9" s="11">
        <v>1.078E-2</v>
      </c>
      <c r="E9" s="10">
        <f t="shared" si="2"/>
        <v>40871.690512508154</v>
      </c>
      <c r="F9" s="3"/>
      <c r="G9" s="28"/>
      <c r="H9" s="10"/>
      <c r="I9" s="10">
        <f t="shared" si="5"/>
        <v>7341</v>
      </c>
      <c r="J9" s="10">
        <f t="shared" si="3"/>
        <v>28132977860.416069</v>
      </c>
      <c r="K9" s="11">
        <f t="shared" si="4"/>
        <v>1.0780000000000012E-2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3791436.9677651203</v>
      </c>
      <c r="D10" s="11">
        <v>9.4000000000000004E-3</v>
      </c>
      <c r="E10" s="10">
        <f t="shared" si="2"/>
        <v>35307.615907462314</v>
      </c>
      <c r="F10" s="3"/>
      <c r="G10" s="28"/>
      <c r="H10" s="10"/>
      <c r="I10" s="10">
        <f t="shared" si="5"/>
        <v>7341</v>
      </c>
      <c r="J10" s="10">
        <f t="shared" si="3"/>
        <v>27832938780.363747</v>
      </c>
      <c r="K10" s="11">
        <f t="shared" si="4"/>
        <v>9.400000000000075E-3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3756129.351857658</v>
      </c>
      <c r="D11" s="11">
        <v>8.4799999999999997E-3</v>
      </c>
      <c r="E11" s="10">
        <f t="shared" si="2"/>
        <v>31584.143367992714</v>
      </c>
      <c r="F11" s="3"/>
      <c r="G11" s="28"/>
      <c r="H11" s="10"/>
      <c r="I11" s="10">
        <f t="shared" si="5"/>
        <v>7341</v>
      </c>
      <c r="J11" s="10">
        <f t="shared" si="3"/>
        <v>27573745571.987068</v>
      </c>
      <c r="K11" s="11">
        <f t="shared" si="4"/>
        <v>8.4800000000000431E-3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3724545.2084896653</v>
      </c>
      <c r="D12" s="11">
        <v>8.0700000000000008E-3</v>
      </c>
      <c r="E12" s="10">
        <f t="shared" si="2"/>
        <v>29816.460992303677</v>
      </c>
      <c r="F12" s="3"/>
      <c r="G12" s="28"/>
      <c r="H12" s="10"/>
      <c r="I12" s="10">
        <f t="shared" si="5"/>
        <v>7341</v>
      </c>
      <c r="J12" s="10">
        <f t="shared" si="3"/>
        <v>27341886375.522633</v>
      </c>
      <c r="K12" s="11">
        <f t="shared" si="4"/>
        <v>8.0700000000000216E-3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3694728.7474973616</v>
      </c>
      <c r="D13" s="11">
        <v>8.1200000000000005E-3</v>
      </c>
      <c r="E13" s="10">
        <f t="shared" si="2"/>
        <v>29759.549884615</v>
      </c>
      <c r="F13" s="3"/>
      <c r="G13" s="28"/>
      <c r="H13" s="10"/>
      <c r="I13" s="10">
        <f t="shared" si="5"/>
        <v>7341</v>
      </c>
      <c r="J13" s="10">
        <f t="shared" si="3"/>
        <v>27123003735.378132</v>
      </c>
      <c r="K13" s="11">
        <f t="shared" si="4"/>
        <v>8.1199999999999051E-3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3664969.1976127466</v>
      </c>
      <c r="D14" s="11">
        <v>8.4499999999999992E-3</v>
      </c>
      <c r="E14" s="10">
        <f t="shared" si="2"/>
        <v>30709.494491375983</v>
      </c>
      <c r="F14" s="3"/>
      <c r="G14" s="28"/>
      <c r="H14" s="10"/>
      <c r="I14" s="10">
        <f t="shared" si="5"/>
        <v>7341</v>
      </c>
      <c r="J14" s="10">
        <f t="shared" si="3"/>
        <v>26904538879.675175</v>
      </c>
      <c r="K14" s="11">
        <f t="shared" si="4"/>
        <v>8.4500000000000686E-3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3634259.7031213706</v>
      </c>
      <c r="D15" s="11">
        <v>8.8599999999999998E-3</v>
      </c>
      <c r="E15" s="10">
        <f t="shared" si="2"/>
        <v>31916.758489439264</v>
      </c>
      <c r="F15" s="3"/>
      <c r="G15" s="28"/>
      <c r="H15" s="10"/>
      <c r="I15" s="10">
        <f t="shared" si="5"/>
        <v>7341</v>
      </c>
      <c r="J15" s="10">
        <f t="shared" si="3"/>
        <v>26679100480.613983</v>
      </c>
      <c r="K15" s="11">
        <f t="shared" si="4"/>
        <v>8.86000000000009E-3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3602342.9446319314</v>
      </c>
      <c r="D16" s="11">
        <v>9.1199999999999996E-3</v>
      </c>
      <c r="E16" s="10">
        <f t="shared" si="2"/>
        <v>32556.452805457637</v>
      </c>
      <c r="F16" s="3"/>
      <c r="G16" s="28"/>
      <c r="H16" s="10"/>
      <c r="I16" s="10">
        <f t="shared" si="5"/>
        <v>7341</v>
      </c>
      <c r="J16" s="10">
        <f t="shared" si="3"/>
        <v>26444799556.543007</v>
      </c>
      <c r="K16" s="11">
        <f t="shared" si="4"/>
        <v>9.120000000000017E-3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3569786.4918264737</v>
      </c>
      <c r="D17" s="11">
        <v>9.1400000000000006E-3</v>
      </c>
      <c r="E17" s="10">
        <f t="shared" si="2"/>
        <v>32332.33102968242</v>
      </c>
      <c r="F17" s="3"/>
      <c r="G17" s="28"/>
      <c r="H17" s="10"/>
      <c r="I17" s="10">
        <f t="shared" si="5"/>
        <v>7341</v>
      </c>
      <c r="J17" s="10">
        <f t="shared" si="3"/>
        <v>26205802636.498142</v>
      </c>
      <c r="K17" s="11">
        <f t="shared" si="4"/>
        <v>9.139999999999926E-3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3537454.1607967913</v>
      </c>
      <c r="D18" s="11">
        <v>8.1600000000000006E-3</v>
      </c>
      <c r="E18" s="10">
        <f t="shared" si="2"/>
        <v>28631.988922493998</v>
      </c>
      <c r="F18" s="3"/>
      <c r="G18" s="28"/>
      <c r="H18" s="10"/>
      <c r="I18" s="10">
        <f t="shared" si="5"/>
        <v>7341</v>
      </c>
      <c r="J18" s="10">
        <f t="shared" si="3"/>
        <v>25968450994.409245</v>
      </c>
      <c r="K18" s="11">
        <f t="shared" si="4"/>
        <v>8.1599999999999451E-3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3508822.1718742973</v>
      </c>
      <c r="D19" s="11">
        <v>9.3900000000000008E-3</v>
      </c>
      <c r="E19" s="10">
        <f t="shared" si="2"/>
        <v>32641.338029799983</v>
      </c>
      <c r="F19" s="3"/>
      <c r="G19" s="28"/>
      <c r="H19" s="10"/>
      <c r="I19" s="10">
        <f t="shared" si="5"/>
        <v>7341</v>
      </c>
      <c r="J19" s="10">
        <f t="shared" si="3"/>
        <v>25758263563.729218</v>
      </c>
      <c r="K19" s="11">
        <f t="shared" si="4"/>
        <v>9.3900000000000095E-3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3476180.8338444973</v>
      </c>
      <c r="D20" s="11">
        <v>1.0319999999999999E-2</v>
      </c>
      <c r="E20" s="10">
        <f t="shared" si="2"/>
        <v>35507.746263832785</v>
      </c>
      <c r="F20" s="3"/>
      <c r="G20" s="28"/>
      <c r="H20" s="10"/>
      <c r="I20" s="10">
        <f t="shared" si="5"/>
        <v>7341</v>
      </c>
      <c r="J20" s="10">
        <f t="shared" si="3"/>
        <v>25518643501.252457</v>
      </c>
      <c r="K20" s="11">
        <f t="shared" si="4"/>
        <v>1.0320000000000329E-2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3440673.0875806645</v>
      </c>
      <c r="D21" s="11">
        <v>1.128E-2</v>
      </c>
      <c r="E21" s="10">
        <f t="shared" si="2"/>
        <v>38377.889830620494</v>
      </c>
      <c r="F21" s="3"/>
      <c r="G21" s="28"/>
      <c r="H21" s="10"/>
      <c r="I21" s="10">
        <f t="shared" si="5"/>
        <v>7341</v>
      </c>
      <c r="J21" s="10">
        <f t="shared" si="3"/>
        <v>25257981135.929657</v>
      </c>
      <c r="K21" s="11">
        <f t="shared" si="4"/>
        <v>1.1279999999999957E-2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3402295.1977500441</v>
      </c>
      <c r="D22" s="11">
        <v>1.234E-2</v>
      </c>
      <c r="E22" s="10">
        <f t="shared" si="2"/>
        <v>41472.551455277484</v>
      </c>
      <c r="F22" s="3"/>
      <c r="G22" s="28"/>
      <c r="H22" s="10"/>
      <c r="I22" s="10">
        <f t="shared" si="5"/>
        <v>7341</v>
      </c>
      <c r="J22" s="10">
        <f t="shared" si="3"/>
        <v>24976249046.683075</v>
      </c>
      <c r="K22" s="11">
        <f t="shared" si="4"/>
        <v>1.2340000000000018E-2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3360822.6462947666</v>
      </c>
      <c r="D23" s="11">
        <v>1.349E-2</v>
      </c>
      <c r="E23" s="10">
        <f t="shared" si="2"/>
        <v>44734.035361489747</v>
      </c>
      <c r="F23" s="3"/>
      <c r="G23" s="28"/>
      <c r="H23" s="10"/>
      <c r="I23" s="10">
        <f t="shared" si="5"/>
        <v>7341</v>
      </c>
      <c r="J23" s="10">
        <f t="shared" si="3"/>
        <v>24671799046.449883</v>
      </c>
      <c r="K23" s="11">
        <f t="shared" si="4"/>
        <v>1.3490000000000002E-2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3316088.6109332768</v>
      </c>
      <c r="D24" s="11">
        <v>1.4670000000000001E-2</v>
      </c>
      <c r="E24" s="10">
        <f t="shared" si="2"/>
        <v>47943.686048065778</v>
      </c>
      <c r="F24" s="3"/>
      <c r="G24" s="28"/>
      <c r="H24" s="10"/>
      <c r="I24" s="10">
        <f t="shared" si="5"/>
        <v>7341</v>
      </c>
      <c r="J24" s="10">
        <f t="shared" si="3"/>
        <v>24343406492.861187</v>
      </c>
      <c r="K24" s="11">
        <f t="shared" si="4"/>
        <v>1.4669999999999961E-2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3268144.924885211</v>
      </c>
      <c r="D25" s="11">
        <v>1.5820000000000001E-2</v>
      </c>
      <c r="E25" s="10">
        <f t="shared" si="2"/>
        <v>50896.864318170585</v>
      </c>
      <c r="F25" s="3"/>
      <c r="G25" s="28"/>
      <c r="H25" s="10"/>
      <c r="I25" s="10">
        <f t="shared" si="5"/>
        <v>7341</v>
      </c>
      <c r="J25" s="10">
        <f t="shared" si="3"/>
        <v>23991451893.582333</v>
      </c>
      <c r="K25" s="11">
        <f t="shared" si="4"/>
        <v>1.5819999999999945E-2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3217248.0605670405</v>
      </c>
      <c r="D26" s="11">
        <v>1.6920000000000001E-2</v>
      </c>
      <c r="E26" s="10">
        <f t="shared" si="2"/>
        <v>53530.107761470601</v>
      </c>
      <c r="F26" s="3"/>
      <c r="G26" s="28"/>
      <c r="H26" s="10"/>
      <c r="I26" s="10">
        <f t="shared" si="5"/>
        <v>7341</v>
      </c>
      <c r="J26" s="10">
        <f t="shared" si="3"/>
        <v>23617818012.622643</v>
      </c>
      <c r="K26" s="11">
        <f t="shared" si="4"/>
        <v>1.6920000000000046E-2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3163717.9528055699</v>
      </c>
      <c r="D27" s="11">
        <v>1.8069999999999999E-2</v>
      </c>
      <c r="E27" s="10">
        <f t="shared" si="2"/>
        <v>56153.68629583111</v>
      </c>
      <c r="F27" s="3"/>
      <c r="G27" s="28"/>
      <c r="H27" s="10"/>
      <c r="I27" s="10">
        <f t="shared" si="5"/>
        <v>7341</v>
      </c>
      <c r="J27" s="10">
        <f t="shared" si="3"/>
        <v>23224853491.545689</v>
      </c>
      <c r="K27" s="11">
        <f t="shared" si="4"/>
        <v>1.807000000000003E-2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3107564.2665097388</v>
      </c>
      <c r="D28" s="11">
        <v>1.9619999999999999E-2</v>
      </c>
      <c r="E28" s="10">
        <f t="shared" si="2"/>
        <v>59797.190040329937</v>
      </c>
      <c r="F28" s="3"/>
      <c r="G28" s="28"/>
      <c r="H28" s="10"/>
      <c r="I28" s="10">
        <f t="shared" si="5"/>
        <v>7341</v>
      </c>
      <c r="J28" s="10">
        <f t="shared" si="3"/>
        <v>22812629280.44799</v>
      </c>
      <c r="K28" s="11">
        <f t="shared" si="4"/>
        <v>1.9619999999999971E-2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3047767.0764694088</v>
      </c>
      <c r="D29" s="11">
        <v>2.6040000000000001E-2</v>
      </c>
      <c r="E29" s="10">
        <f t="shared" si="2"/>
        <v>77349.669283130672</v>
      </c>
      <c r="F29" s="3"/>
      <c r="G29" s="28"/>
      <c r="H29" s="10"/>
      <c r="I29" s="10">
        <f t="shared" si="5"/>
        <v>7341</v>
      </c>
      <c r="J29" s="10">
        <f t="shared" si="3"/>
        <v>22373658108.361931</v>
      </c>
      <c r="K29" s="11">
        <f t="shared" si="4"/>
        <v>2.6040000000000063E-2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2970417.4071862781</v>
      </c>
      <c r="D30" s="11">
        <v>2.6200000000000001E-2</v>
      </c>
      <c r="E30" s="10">
        <f t="shared" si="2"/>
        <v>75837.980966946576</v>
      </c>
      <c r="F30" s="3"/>
      <c r="G30" s="28"/>
      <c r="H30" s="10"/>
      <c r="I30" s="10">
        <f t="shared" si="5"/>
        <v>7341</v>
      </c>
      <c r="J30" s="10">
        <f t="shared" si="3"/>
        <v>21805834186.154469</v>
      </c>
      <c r="K30" s="11">
        <f t="shared" si="4"/>
        <v>2.6200000000000001E-2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2894579.4262193316</v>
      </c>
      <c r="D31" s="11">
        <v>2.572E-2</v>
      </c>
      <c r="E31" s="10">
        <f t="shared" si="2"/>
        <v>72581.779474282637</v>
      </c>
      <c r="F31" s="3"/>
      <c r="G31" s="28"/>
      <c r="H31" s="10"/>
      <c r="I31" s="10">
        <f t="shared" si="5"/>
        <v>7341</v>
      </c>
      <c r="J31" s="10">
        <f t="shared" si="3"/>
        <v>21249107567.876114</v>
      </c>
      <c r="K31" s="11">
        <f t="shared" si="4"/>
        <v>2.5719999999999965E-2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2821997.6467450489</v>
      </c>
      <c r="D32" s="11">
        <v>2.5100000000000001E-2</v>
      </c>
      <c r="E32" s="10">
        <f t="shared" si="2"/>
        <v>69097.786492342595</v>
      </c>
      <c r="F32" s="3"/>
      <c r="G32" s="28"/>
      <c r="H32" s="10"/>
      <c r="I32" s="10">
        <f t="shared" si="5"/>
        <v>7341</v>
      </c>
      <c r="J32" s="10">
        <f t="shared" si="3"/>
        <v>20716284724.755405</v>
      </c>
      <c r="K32" s="11">
        <f t="shared" si="4"/>
        <v>2.50999999999999E-2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2752899.8602527063</v>
      </c>
      <c r="D33" s="11">
        <v>2.46E-2</v>
      </c>
      <c r="E33" s="10">
        <f t="shared" si="2"/>
        <v>66095.389968979638</v>
      </c>
      <c r="F33" s="3"/>
      <c r="G33" s="28"/>
      <c r="H33" s="10"/>
      <c r="I33" s="10">
        <f t="shared" si="5"/>
        <v>7341</v>
      </c>
      <c r="J33" s="10">
        <f t="shared" si="3"/>
        <v>20209037874.115116</v>
      </c>
      <c r="K33" s="11">
        <f t="shared" si="4"/>
        <v>2.4599999999999955E-2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2686804.4702837267</v>
      </c>
      <c r="D34" s="11">
        <v>2.4279999999999999E-2</v>
      </c>
      <c r="E34" s="10">
        <f t="shared" si="2"/>
        <v>63689.237843645271</v>
      </c>
      <c r="F34" s="3"/>
      <c r="G34" s="28"/>
      <c r="H34" s="10"/>
      <c r="I34" s="10">
        <f t="shared" si="5"/>
        <v>7341</v>
      </c>
      <c r="J34" s="10">
        <f t="shared" ref="J34:J65" si="6">IF(I34="","",I34*C34)</f>
        <v>19723831616.352837</v>
      </c>
      <c r="K34" s="11">
        <f t="shared" ref="K34:K65" si="7">IFERROR(J34/J35-1,"")</f>
        <v>2.4280000000000079E-2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2623115.2324400814</v>
      </c>
      <c r="D35" s="11">
        <v>2.4119999999999999E-2</v>
      </c>
      <c r="E35" s="10">
        <f t="shared" si="2"/>
        <v>61779.419800858013</v>
      </c>
      <c r="F35" s="3"/>
      <c r="G35" s="28"/>
      <c r="H35" s="10"/>
      <c r="I35" s="10">
        <f t="shared" ref="I35:I66" si="8">IF(H35&lt;&gt;"",H35,I34/(1+IF(G34="",0,G34)/100))</f>
        <v>7341</v>
      </c>
      <c r="J35" s="10">
        <f t="shared" si="6"/>
        <v>19256288921.342636</v>
      </c>
      <c r="K35" s="11">
        <f t="shared" si="7"/>
        <v>2.4119999999999919E-2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2561335.8126392234</v>
      </c>
      <c r="D36" s="11">
        <v>2.4080000000000001E-2</v>
      </c>
      <c r="E36" s="10">
        <f t="shared" si="2"/>
        <v>60226.707257589791</v>
      </c>
      <c r="F36" s="3"/>
      <c r="G36" s="28"/>
      <c r="H36" s="10"/>
      <c r="I36" s="10">
        <f t="shared" si="8"/>
        <v>7341</v>
      </c>
      <c r="J36" s="10">
        <f t="shared" si="6"/>
        <v>18802766200.584538</v>
      </c>
      <c r="K36" s="11">
        <f t="shared" si="7"/>
        <v>2.4080000000000101E-2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2501109.1053816336</v>
      </c>
      <c r="D37" s="11">
        <v>2.4150000000000001E-2</v>
      </c>
      <c r="E37" s="10">
        <f t="shared" si="2"/>
        <v>58977.478782372084</v>
      </c>
      <c r="F37" s="3"/>
      <c r="G37" s="28"/>
      <c r="H37" s="10"/>
      <c r="I37" s="10">
        <f t="shared" si="8"/>
        <v>7341</v>
      </c>
      <c r="J37" s="10">
        <f t="shared" si="6"/>
        <v>18360641942.606571</v>
      </c>
      <c r="K37" s="11">
        <f t="shared" si="7"/>
        <v>2.4149999999999894E-2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2442131.6265992615</v>
      </c>
      <c r="D38" s="11">
        <v>2.4250000000000001E-2</v>
      </c>
      <c r="E38" s="10">
        <f t="shared" si="2"/>
        <v>57819.567434739787</v>
      </c>
      <c r="F38" s="3"/>
      <c r="G38" s="28"/>
      <c r="H38" s="10"/>
      <c r="I38" s="10">
        <f t="shared" si="8"/>
        <v>7341</v>
      </c>
      <c r="J38" s="10">
        <f t="shared" si="6"/>
        <v>17927688270.865177</v>
      </c>
      <c r="K38" s="11">
        <f t="shared" si="7"/>
        <v>2.4249999999999883E-2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2384312.0591645218</v>
      </c>
      <c r="D39" s="11">
        <v>2.5999999999999999E-2</v>
      </c>
      <c r="E39" s="10">
        <f t="shared" si="2"/>
        <v>60421.163292668294</v>
      </c>
      <c r="F39" s="3"/>
      <c r="G39" s="28"/>
      <c r="H39" s="10"/>
      <c r="I39" s="10">
        <f t="shared" si="8"/>
        <v>7341</v>
      </c>
      <c r="J39" s="10">
        <f t="shared" si="6"/>
        <v>17503234826.326756</v>
      </c>
      <c r="K39" s="11">
        <f t="shared" si="7"/>
        <v>2.6000000000000245E-2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2323890.8958718535</v>
      </c>
      <c r="D40" s="11">
        <v>2.8129999999999999E-2</v>
      </c>
      <c r="E40" s="10">
        <f t="shared" si="2"/>
        <v>63582.475855072029</v>
      </c>
      <c r="F40" s="3"/>
      <c r="G40" s="28"/>
      <c r="H40" s="10"/>
      <c r="I40" s="10">
        <f t="shared" si="8"/>
        <v>7341</v>
      </c>
      <c r="J40" s="10">
        <f t="shared" si="6"/>
        <v>17059683066.595276</v>
      </c>
      <c r="K40" s="11">
        <f t="shared" si="7"/>
        <v>2.8129999999999988E-2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2260308.4200167814</v>
      </c>
      <c r="D41" s="11">
        <v>2.8889999999999999E-2</v>
      </c>
      <c r="E41" s="10">
        <f t="shared" si="2"/>
        <v>63466.755682614166</v>
      </c>
      <c r="F41" s="3"/>
      <c r="G41" s="28"/>
      <c r="H41" s="10"/>
      <c r="I41" s="10">
        <f t="shared" si="8"/>
        <v>7341</v>
      </c>
      <c r="J41" s="10">
        <f t="shared" si="6"/>
        <v>16592924111.343193</v>
      </c>
      <c r="K41" s="11">
        <f t="shared" si="7"/>
        <v>2.8890000000000082E-2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2196841.6643341673</v>
      </c>
      <c r="D42" s="11">
        <v>2.8920000000000001E-2</v>
      </c>
      <c r="E42" s="10">
        <f t="shared" si="2"/>
        <v>61746.939443828538</v>
      </c>
      <c r="F42" s="3"/>
      <c r="G42" s="28"/>
      <c r="H42" s="10"/>
      <c r="I42" s="10">
        <f t="shared" si="8"/>
        <v>7341</v>
      </c>
      <c r="J42" s="10">
        <f t="shared" si="6"/>
        <v>16127014657.877121</v>
      </c>
      <c r="K42" s="11">
        <f t="shared" si="7"/>
        <v>2.8919999999999835E-2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2135094.7248903387</v>
      </c>
      <c r="D43" s="11">
        <v>2.8670000000000001E-2</v>
      </c>
      <c r="E43" s="10">
        <f t="shared" si="2"/>
        <v>59507.097283488372</v>
      </c>
      <c r="F43" s="3"/>
      <c r="G43" s="28"/>
      <c r="H43" s="10"/>
      <c r="I43" s="10">
        <f t="shared" si="8"/>
        <v>7341</v>
      </c>
      <c r="J43" s="10">
        <f t="shared" si="6"/>
        <v>15673730375.419977</v>
      </c>
      <c r="K43" s="11">
        <f t="shared" si="7"/>
        <v>2.8669999999999973E-2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2075587.6276068504</v>
      </c>
      <c r="D44" s="11">
        <v>2.8209999999999999E-2</v>
      </c>
      <c r="E44" s="10">
        <f t="shared" si="2"/>
        <v>56945.883598476416</v>
      </c>
      <c r="F44" s="3"/>
      <c r="G44" s="28"/>
      <c r="H44" s="10"/>
      <c r="I44" s="10">
        <f t="shared" si="8"/>
        <v>7341</v>
      </c>
      <c r="J44" s="10">
        <f t="shared" si="6"/>
        <v>15236888774.261889</v>
      </c>
      <c r="K44" s="11">
        <f t="shared" si="7"/>
        <v>2.8210000000000068E-2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2018641.7440083739</v>
      </c>
      <c r="D45" s="11">
        <v>2.76E-2</v>
      </c>
      <c r="E45" s="10">
        <f t="shared" si="2"/>
        <v>54218.092774067074</v>
      </c>
      <c r="F45" s="3"/>
      <c r="G45" s="28"/>
      <c r="H45" s="10"/>
      <c r="I45" s="10">
        <f t="shared" si="8"/>
        <v>7341</v>
      </c>
      <c r="J45" s="10">
        <f t="shared" si="6"/>
        <v>14818849042.765472</v>
      </c>
      <c r="K45" s="11">
        <f t="shared" si="7"/>
        <v>2.7600000000000069E-2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1964423.6512343069</v>
      </c>
      <c r="D46" s="11">
        <v>2.69E-2</v>
      </c>
      <c r="E46" s="10">
        <f t="shared" si="2"/>
        <v>51458.755690138089</v>
      </c>
      <c r="F46" s="3"/>
      <c r="G46" s="28"/>
      <c r="H46" s="10"/>
      <c r="I46" s="10">
        <f t="shared" si="8"/>
        <v>7341</v>
      </c>
      <c r="J46" s="10">
        <f t="shared" si="6"/>
        <v>14420834023.711046</v>
      </c>
      <c r="K46" s="11">
        <f t="shared" si="7"/>
        <v>2.6899999999999924E-2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1912964.8955441688</v>
      </c>
      <c r="D47" s="11">
        <v>2.6110000000000001E-2</v>
      </c>
      <c r="E47" s="10">
        <f t="shared" si="2"/>
        <v>48676.568226270378</v>
      </c>
      <c r="F47" s="3"/>
      <c r="G47" s="28"/>
      <c r="H47" s="10"/>
      <c r="I47" s="10">
        <f t="shared" si="8"/>
        <v>7341</v>
      </c>
      <c r="J47" s="10">
        <f t="shared" si="6"/>
        <v>14043075298.189743</v>
      </c>
      <c r="K47" s="11">
        <f t="shared" si="7"/>
        <v>2.6110000000000078E-2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1864288.3273178984</v>
      </c>
      <c r="D48" s="11">
        <v>2.5479999999999999E-2</v>
      </c>
      <c r="E48" s="10">
        <f t="shared" si="2"/>
        <v>46321.78743618587</v>
      </c>
      <c r="F48" s="3"/>
      <c r="G48" s="28"/>
      <c r="H48" s="10"/>
      <c r="I48" s="10">
        <f t="shared" si="8"/>
        <v>7341</v>
      </c>
      <c r="J48" s="10">
        <f t="shared" si="6"/>
        <v>13685740610.840693</v>
      </c>
      <c r="K48" s="11">
        <f t="shared" si="7"/>
        <v>2.5479999999999947E-2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1817966.5398817125</v>
      </c>
      <c r="D49" s="11">
        <v>2.647E-2</v>
      </c>
      <c r="E49" s="10">
        <f t="shared" si="2"/>
        <v>46880.643672653707</v>
      </c>
      <c r="F49" s="3"/>
      <c r="G49" s="28"/>
      <c r="H49" s="10"/>
      <c r="I49" s="10">
        <f t="shared" si="8"/>
        <v>7341</v>
      </c>
      <c r="J49" s="10">
        <f t="shared" si="6"/>
        <v>13345692369.271652</v>
      </c>
      <c r="K49" s="11">
        <f t="shared" si="7"/>
        <v>2.6469999999999994E-2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1771085.8962090588</v>
      </c>
      <c r="D50" s="11">
        <v>2.7830000000000001E-2</v>
      </c>
      <c r="E50" s="10">
        <f t="shared" si="2"/>
        <v>47954.74007520522</v>
      </c>
      <c r="F50" s="3"/>
      <c r="G50" s="28"/>
      <c r="H50" s="10"/>
      <c r="I50" s="10">
        <f t="shared" si="8"/>
        <v>7341</v>
      </c>
      <c r="J50" s="10">
        <f t="shared" si="6"/>
        <v>13001541564.070702</v>
      </c>
      <c r="K50" s="11">
        <f t="shared" si="7"/>
        <v>2.7830000000000021E-2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1723131.1561338536</v>
      </c>
      <c r="D51" s="11">
        <v>2.8510000000000001E-2</v>
      </c>
      <c r="E51" s="10">
        <f t="shared" si="2"/>
        <v>47764.6977291191</v>
      </c>
      <c r="F51" s="3"/>
      <c r="G51" s="28"/>
      <c r="H51" s="10"/>
      <c r="I51" s="10">
        <f t="shared" si="8"/>
        <v>7341</v>
      </c>
      <c r="J51" s="10">
        <f t="shared" si="6"/>
        <v>12649505817.178619</v>
      </c>
      <c r="K51" s="11">
        <f t="shared" si="7"/>
        <v>2.8510000000000035E-2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1675366.4584047345</v>
      </c>
      <c r="D52" s="11">
        <v>2.828E-2</v>
      </c>
      <c r="E52" s="10">
        <f t="shared" si="2"/>
        <v>46076.324973437237</v>
      </c>
      <c r="F52" s="3"/>
      <c r="G52" s="28"/>
      <c r="H52" s="10"/>
      <c r="I52" s="10">
        <f t="shared" si="8"/>
        <v>7341</v>
      </c>
      <c r="J52" s="10">
        <f t="shared" si="6"/>
        <v>12298865171.149157</v>
      </c>
      <c r="K52" s="11">
        <f t="shared" si="7"/>
        <v>2.8280000000000083E-2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1629290.1334312973</v>
      </c>
      <c r="D53" s="11">
        <v>2.7179999999999999E-2</v>
      </c>
      <c r="E53" s="10">
        <f t="shared" si="2"/>
        <v>43112.313155106734</v>
      </c>
      <c r="F53" s="3"/>
      <c r="G53" s="28"/>
      <c r="H53" s="10"/>
      <c r="I53" s="10">
        <f t="shared" si="8"/>
        <v>7341</v>
      </c>
      <c r="J53" s="10">
        <f t="shared" si="6"/>
        <v>11960618869.519154</v>
      </c>
      <c r="K53" s="11">
        <f t="shared" si="7"/>
        <v>2.7179999999999982E-2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1586177.8202761905</v>
      </c>
      <c r="D54" s="11">
        <v>2.5989999999999999E-2</v>
      </c>
      <c r="E54" s="10">
        <f t="shared" si="2"/>
        <v>40180.47110496019</v>
      </c>
      <c r="F54" s="3"/>
      <c r="G54" s="28"/>
      <c r="H54" s="10"/>
      <c r="I54" s="10">
        <f t="shared" si="8"/>
        <v>7341</v>
      </c>
      <c r="J54" s="10">
        <f t="shared" si="6"/>
        <v>11644131378.647514</v>
      </c>
      <c r="K54" s="11">
        <f t="shared" si="7"/>
        <v>2.5989999999999958E-2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1545997.3491712303</v>
      </c>
      <c r="D55" s="11">
        <v>3.073E-2</v>
      </c>
      <c r="E55" s="10">
        <f t="shared" si="2"/>
        <v>46092.088655643864</v>
      </c>
      <c r="F55" s="3"/>
      <c r="G55" s="28"/>
      <c r="H55" s="10"/>
      <c r="I55" s="10">
        <f t="shared" si="8"/>
        <v>7341</v>
      </c>
      <c r="J55" s="10">
        <f t="shared" si="6"/>
        <v>11349166540.266003</v>
      </c>
      <c r="K55" s="11">
        <f t="shared" si="7"/>
        <v>3.0730000000000146E-2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1499905.2605155865</v>
      </c>
      <c r="D56" s="11">
        <v>3.2030000000000003E-2</v>
      </c>
      <c r="E56" s="10">
        <f t="shared" si="2"/>
        <v>46550.938920684624</v>
      </c>
      <c r="F56" s="3"/>
      <c r="G56" s="28"/>
      <c r="H56" s="10"/>
      <c r="I56" s="10">
        <f t="shared" si="8"/>
        <v>7341</v>
      </c>
      <c r="J56" s="10">
        <f t="shared" si="6"/>
        <v>11010804517.44492</v>
      </c>
      <c r="K56" s="11">
        <f t="shared" si="7"/>
        <v>3.2029999999999781E-2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1453354.3215949018</v>
      </c>
      <c r="D57" s="11">
        <v>3.177E-2</v>
      </c>
      <c r="E57" s="10">
        <f t="shared" si="2"/>
        <v>44751.317441939609</v>
      </c>
      <c r="F57" s="3"/>
      <c r="G57" s="28"/>
      <c r="H57" s="10"/>
      <c r="I57" s="10">
        <f t="shared" si="8"/>
        <v>7341</v>
      </c>
      <c r="J57" s="10">
        <f t="shared" si="6"/>
        <v>10669074074.828175</v>
      </c>
      <c r="K57" s="11">
        <f t="shared" si="7"/>
        <v>3.1769999999999854E-2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1408603.0041529622</v>
      </c>
      <c r="D58" s="11">
        <v>3.0939999999999999E-2</v>
      </c>
      <c r="E58" s="10">
        <f t="shared" si="2"/>
        <v>42274.212804326788</v>
      </c>
      <c r="F58" s="3"/>
      <c r="G58" s="28"/>
      <c r="H58" s="10"/>
      <c r="I58" s="10">
        <f t="shared" si="8"/>
        <v>7341</v>
      </c>
      <c r="J58" s="10">
        <f t="shared" si="6"/>
        <v>10340554653.486897</v>
      </c>
      <c r="K58" s="11">
        <f t="shared" si="7"/>
        <v>3.094000000000019E-2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1366328.7913486355</v>
      </c>
      <c r="D59" s="11">
        <v>2.93E-2</v>
      </c>
      <c r="E59" s="10">
        <f t="shared" si="2"/>
        <v>38893.843958530109</v>
      </c>
      <c r="F59" s="3"/>
      <c r="G59" s="28"/>
      <c r="H59" s="10"/>
      <c r="I59" s="10">
        <f t="shared" si="8"/>
        <v>7341</v>
      </c>
      <c r="J59" s="10">
        <f t="shared" si="6"/>
        <v>10030219657.290333</v>
      </c>
      <c r="K59" s="11">
        <f t="shared" si="7"/>
        <v>2.9299999999999882E-2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1327434.9473901053</v>
      </c>
      <c r="D60" s="11">
        <v>2.819E-2</v>
      </c>
      <c r="E60" s="10">
        <f t="shared" si="2"/>
        <v>36394.432125314372</v>
      </c>
      <c r="F60" s="3"/>
      <c r="G60" s="28"/>
      <c r="H60" s="10"/>
      <c r="I60" s="10">
        <f t="shared" si="8"/>
        <v>7341</v>
      </c>
      <c r="J60" s="10">
        <f t="shared" si="6"/>
        <v>9744699948.7907639</v>
      </c>
      <c r="K60" s="11">
        <f t="shared" si="7"/>
        <v>2.8189999999999937E-2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1291040.515264791</v>
      </c>
      <c r="D61" s="11">
        <v>2.801E-2</v>
      </c>
      <c r="E61" s="10">
        <f t="shared" si="2"/>
        <v>35176.744226774899</v>
      </c>
      <c r="F61" s="3"/>
      <c r="G61" s="28"/>
      <c r="H61" s="10"/>
      <c r="I61" s="10">
        <f t="shared" si="8"/>
        <v>7341</v>
      </c>
      <c r="J61" s="10">
        <f t="shared" si="6"/>
        <v>9477528422.5588303</v>
      </c>
      <c r="K61" s="11">
        <f t="shared" si="7"/>
        <v>2.8009999999999868E-2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1255863.7710380161</v>
      </c>
      <c r="D62" s="11">
        <v>1.7999999999999999E-2</v>
      </c>
      <c r="E62" s="10">
        <f t="shared" si="2"/>
        <v>22205.842709905934</v>
      </c>
      <c r="F62" s="3"/>
      <c r="G62" s="28"/>
      <c r="H62" s="10"/>
      <c r="I62" s="10">
        <f t="shared" si="8"/>
        <v>7341</v>
      </c>
      <c r="J62" s="10">
        <f t="shared" si="6"/>
        <v>9219295943.1900768</v>
      </c>
      <c r="K62" s="11">
        <f t="shared" si="7"/>
        <v>1.8000000000000016E-2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1233657.9283281101</v>
      </c>
      <c r="D63" s="11">
        <v>1.686E-2</v>
      </c>
      <c r="E63" s="10">
        <f t="shared" si="2"/>
        <v>20454.607981051551</v>
      </c>
      <c r="F63" s="3"/>
      <c r="G63" s="28"/>
      <c r="H63" s="10"/>
      <c r="I63" s="10">
        <f t="shared" si="8"/>
        <v>7341</v>
      </c>
      <c r="J63" s="10">
        <f t="shared" si="6"/>
        <v>9056282851.856657</v>
      </c>
      <c r="K63" s="11">
        <f t="shared" si="7"/>
        <v>1.6860000000000097E-2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1213203.3203470586</v>
      </c>
      <c r="D64" s="11">
        <v>1.6369999999999999E-2</v>
      </c>
      <c r="E64" s="10">
        <f t="shared" si="2"/>
        <v>19540.264228658285</v>
      </c>
      <c r="F64" s="3"/>
      <c r="G64" s="28"/>
      <c r="H64" s="10"/>
      <c r="I64" s="10">
        <f t="shared" si="8"/>
        <v>7341</v>
      </c>
      <c r="J64" s="10">
        <f t="shared" si="6"/>
        <v>8906125574.667757</v>
      </c>
      <c r="K64" s="11">
        <f t="shared" si="7"/>
        <v>1.6369999999999996E-2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1193663.0561184003</v>
      </c>
      <c r="D65" s="11">
        <v>1.6039999999999999E-2</v>
      </c>
      <c r="E65" s="10">
        <f t="shared" si="2"/>
        <v>18844.096118400106</v>
      </c>
      <c r="F65" s="3"/>
      <c r="G65" s="28"/>
      <c r="H65" s="10"/>
      <c r="I65" s="10">
        <f t="shared" si="8"/>
        <v>7341</v>
      </c>
      <c r="J65" s="10">
        <f t="shared" si="6"/>
        <v>8762680494.9651775</v>
      </c>
      <c r="K65" s="11">
        <f t="shared" si="7"/>
        <v>1.6040000000000276E-2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1174818.9600000002</v>
      </c>
      <c r="D66" s="11">
        <v>1.584E-2</v>
      </c>
      <c r="E66" s="10">
        <f t="shared" si="2"/>
        <v>18318.960000000196</v>
      </c>
      <c r="F66" s="24">
        <f>SUM(F2)</f>
        <v>4348275</v>
      </c>
      <c r="G66" s="28"/>
      <c r="H66" s="10"/>
      <c r="I66" s="10">
        <f t="shared" si="8"/>
        <v>7341</v>
      </c>
      <c r="J66" s="10">
        <f t="shared" ref="J66:J67" si="9">IF(I66="","",I66*C66)</f>
        <v>8624345985.3600006</v>
      </c>
      <c r="K66" s="11">
        <f t="shared" ref="K66" si="10">IFERROR(J66/J67-1,"")</f>
        <v>1.5840000000000076E-2</v>
      </c>
    </row>
    <row r="67" spans="1:11" ht="22.5" customHeight="1">
      <c r="A67" s="3">
        <f t="shared" si="0"/>
        <v>1950</v>
      </c>
      <c r="B67" s="3">
        <v>1700</v>
      </c>
      <c r="C67" s="10">
        <v>1156500</v>
      </c>
      <c r="D67" s="11">
        <v>1.6240000000000001E-2</v>
      </c>
      <c r="E67" s="3" t="s">
        <v>72</v>
      </c>
      <c r="F67" s="10">
        <f>SUM(C2)</f>
        <v>4348249.0110484492</v>
      </c>
      <c r="G67" s="28"/>
      <c r="H67" s="10"/>
      <c r="I67" s="10">
        <f t="shared" ref="I67" si="11">IF(H67&lt;&gt;"",H67,I66/(1+IF(G66="",0,G66)/100))</f>
        <v>7341</v>
      </c>
      <c r="J67" s="10">
        <f t="shared" si="9"/>
        <v>8489866500</v>
      </c>
      <c r="K67" s="11"/>
    </row>
  </sheetData>
  <dataValidations count="1">
    <dataValidation type="custom" allowBlank="1" showDropDown="1" sqref="D2:D67" xr:uid="{00000000-0002-0000-4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820977.25533157552</v>
      </c>
      <c r="D2" s="11">
        <v>2.15E-3</v>
      </c>
      <c r="E2" s="10">
        <f t="shared" ref="E2:E66" si="2">SUM(C2-C3)</f>
        <v>1761.314273275435</v>
      </c>
      <c r="F2" s="15">
        <v>820937</v>
      </c>
      <c r="G2" s="28"/>
      <c r="H2" s="10"/>
      <c r="I2" s="10">
        <f>IF(H2&lt;&gt;"",H2,18254)</f>
        <v>18254</v>
      </c>
      <c r="J2" s="10">
        <f t="shared" ref="J2:J33" si="3">IF(I2="","",I2*C2)</f>
        <v>14986118818.82258</v>
      </c>
      <c r="K2" s="11">
        <f t="shared" ref="K2:K33" si="4">IFERROR(J2/J3-1,"")</f>
        <v>2.1500000000003183E-3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819215.94105830009</v>
      </c>
      <c r="D3" s="11">
        <v>-1.97E-3</v>
      </c>
      <c r="E3" s="10">
        <f t="shared" si="2"/>
        <v>-1617.0409746048972</v>
      </c>
      <c r="F3" s="3"/>
      <c r="G3" s="28"/>
      <c r="H3" s="10"/>
      <c r="I3" s="10">
        <f t="shared" ref="I3:I34" si="5">IF(H3&lt;&gt;"",H3,I2/(1+IF(G2="",0,G2)/100))</f>
        <v>18254</v>
      </c>
      <c r="J3" s="10">
        <f t="shared" si="3"/>
        <v>14953967788.078209</v>
      </c>
      <c r="K3" s="11">
        <f t="shared" si="4"/>
        <v>-1.9700000000002493E-3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820832.98203290498</v>
      </c>
      <c r="D4" s="11">
        <v>-3.3E-3</v>
      </c>
      <c r="E4" s="10">
        <f t="shared" si="2"/>
        <v>-2717.7173078244086</v>
      </c>
      <c r="F4" s="3"/>
      <c r="G4" s="28"/>
      <c r="H4" s="10"/>
      <c r="I4" s="10">
        <f t="shared" si="5"/>
        <v>18254</v>
      </c>
      <c r="J4" s="10">
        <f t="shared" si="3"/>
        <v>14983485254.028648</v>
      </c>
      <c r="K4" s="11">
        <f t="shared" si="4"/>
        <v>-3.2999999999999696E-3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823550.69934072939</v>
      </c>
      <c r="D5" s="11">
        <v>-3.81E-3</v>
      </c>
      <c r="E5" s="10">
        <f t="shared" si="2"/>
        <v>-3149.7286305706948</v>
      </c>
      <c r="F5" s="3"/>
      <c r="G5" s="28"/>
      <c r="H5" s="10"/>
      <c r="I5" s="10">
        <f t="shared" si="5"/>
        <v>18254</v>
      </c>
      <c r="J5" s="10">
        <f t="shared" si="3"/>
        <v>15033094465.765675</v>
      </c>
      <c r="K5" s="11">
        <f t="shared" si="4"/>
        <v>-3.8100000000000911E-3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826700.42797130009</v>
      </c>
      <c r="D6" s="11">
        <v>-3.3500000000000001E-3</v>
      </c>
      <c r="E6" s="10">
        <f t="shared" si="2"/>
        <v>-2778.7552638376364</v>
      </c>
      <c r="F6" s="3"/>
      <c r="G6" s="28"/>
      <c r="H6" s="10"/>
      <c r="I6" s="10">
        <f t="shared" si="5"/>
        <v>18254</v>
      </c>
      <c r="J6" s="10">
        <f t="shared" si="3"/>
        <v>15090589612.188112</v>
      </c>
      <c r="K6" s="11">
        <f t="shared" si="4"/>
        <v>-3.3499999999998531E-3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829479.18323513772</v>
      </c>
      <c r="D7" s="11">
        <v>-2.81E-3</v>
      </c>
      <c r="E7" s="10">
        <f t="shared" si="2"/>
        <v>-2337.404611850041</v>
      </c>
      <c r="F7" s="3"/>
      <c r="G7" s="28"/>
      <c r="H7" s="10"/>
      <c r="I7" s="10">
        <f t="shared" si="5"/>
        <v>18254</v>
      </c>
      <c r="J7" s="10">
        <f t="shared" si="3"/>
        <v>15141313010.774204</v>
      </c>
      <c r="K7" s="11">
        <f t="shared" si="4"/>
        <v>-2.8099999999999792E-3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831816.58784698776</v>
      </c>
      <c r="D8" s="11">
        <v>-1.81E-3</v>
      </c>
      <c r="E8" s="10">
        <f t="shared" si="2"/>
        <v>-1508.3180797273526</v>
      </c>
      <c r="F8" s="3"/>
      <c r="G8" s="28"/>
      <c r="H8" s="10"/>
      <c r="I8" s="10">
        <f t="shared" si="5"/>
        <v>18254</v>
      </c>
      <c r="J8" s="10">
        <f t="shared" si="3"/>
        <v>15183979994.558914</v>
      </c>
      <c r="K8" s="11">
        <f t="shared" si="4"/>
        <v>-1.8100000000000893E-3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833324.90592671512</v>
      </c>
      <c r="D9" s="11">
        <v>-2E-3</v>
      </c>
      <c r="E9" s="10">
        <f t="shared" si="2"/>
        <v>-1669.9897914363537</v>
      </c>
      <c r="F9" s="3"/>
      <c r="G9" s="28"/>
      <c r="H9" s="10"/>
      <c r="I9" s="10">
        <f t="shared" si="5"/>
        <v>18254</v>
      </c>
      <c r="J9" s="10">
        <f t="shared" si="3"/>
        <v>15211512832.786259</v>
      </c>
      <c r="K9" s="11">
        <f t="shared" si="4"/>
        <v>-2.0000000000000018E-3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834994.89571815147</v>
      </c>
      <c r="D10" s="11">
        <v>-3.4199999999999999E-3</v>
      </c>
      <c r="E10" s="10">
        <f t="shared" si="2"/>
        <v>-2865.4824934838107</v>
      </c>
      <c r="F10" s="3"/>
      <c r="G10" s="28"/>
      <c r="H10" s="10"/>
      <c r="I10" s="10">
        <f t="shared" si="5"/>
        <v>18254</v>
      </c>
      <c r="J10" s="10">
        <f t="shared" si="3"/>
        <v>15241996826.439137</v>
      </c>
      <c r="K10" s="11">
        <f t="shared" si="4"/>
        <v>-3.4200000000000896E-3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837860.37821163528</v>
      </c>
      <c r="D11" s="11">
        <v>-5.7600000000000004E-3</v>
      </c>
      <c r="E11" s="10">
        <f t="shared" si="2"/>
        <v>-4854.0350202154368</v>
      </c>
      <c r="F11" s="3"/>
      <c r="G11" s="28"/>
      <c r="H11" s="10"/>
      <c r="I11" s="10">
        <f t="shared" si="5"/>
        <v>18254</v>
      </c>
      <c r="J11" s="10">
        <f t="shared" si="3"/>
        <v>15294303343.875191</v>
      </c>
      <c r="K11" s="11">
        <f t="shared" si="4"/>
        <v>-5.7599999999999874E-3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842714.41323185072</v>
      </c>
      <c r="D12" s="11">
        <v>-6.0299999999999998E-3</v>
      </c>
      <c r="E12" s="10">
        <f t="shared" si="2"/>
        <v>-5112.3956576033961</v>
      </c>
      <c r="F12" s="3"/>
      <c r="G12" s="28"/>
      <c r="H12" s="10"/>
      <c r="I12" s="10">
        <f t="shared" si="5"/>
        <v>18254</v>
      </c>
      <c r="J12" s="10">
        <f t="shared" si="3"/>
        <v>15382908899.134203</v>
      </c>
      <c r="K12" s="11">
        <f t="shared" si="4"/>
        <v>-6.0299999999999798E-3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847826.80888945411</v>
      </c>
      <c r="D13" s="11">
        <v>-5.4900000000000001E-3</v>
      </c>
      <c r="E13" s="10">
        <f t="shared" si="2"/>
        <v>-4680.2638292255579</v>
      </c>
      <c r="F13" s="3"/>
      <c r="G13" s="28"/>
      <c r="H13" s="10"/>
      <c r="I13" s="10">
        <f t="shared" si="5"/>
        <v>18254</v>
      </c>
      <c r="J13" s="10">
        <f t="shared" si="3"/>
        <v>15476230569.468096</v>
      </c>
      <c r="K13" s="11">
        <f t="shared" si="4"/>
        <v>-5.4899999999999949E-3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852507.07271867967</v>
      </c>
      <c r="D14" s="11">
        <v>-6.4599999999999996E-3</v>
      </c>
      <c r="E14" s="10">
        <f t="shared" si="2"/>
        <v>-5543.0034923230996</v>
      </c>
      <c r="F14" s="3"/>
      <c r="G14" s="28"/>
      <c r="H14" s="10"/>
      <c r="I14" s="10">
        <f t="shared" si="5"/>
        <v>18254</v>
      </c>
      <c r="J14" s="10">
        <f t="shared" si="3"/>
        <v>15561664105.406778</v>
      </c>
      <c r="K14" s="11">
        <f t="shared" si="4"/>
        <v>-6.4600000000001323E-3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858050.07621100277</v>
      </c>
      <c r="D15" s="11">
        <v>-6.0200000000000002E-3</v>
      </c>
      <c r="E15" s="10">
        <f t="shared" si="2"/>
        <v>-5196.7458689211635</v>
      </c>
      <c r="F15" s="3"/>
      <c r="G15" s="28"/>
      <c r="H15" s="10"/>
      <c r="I15" s="10">
        <f t="shared" si="5"/>
        <v>18254</v>
      </c>
      <c r="J15" s="10">
        <f t="shared" si="3"/>
        <v>15662846091.155645</v>
      </c>
      <c r="K15" s="11">
        <f t="shared" si="4"/>
        <v>-6.0199999999999143E-3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863246.82207992394</v>
      </c>
      <c r="D16" s="11">
        <v>-6.6E-3</v>
      </c>
      <c r="E16" s="10">
        <f t="shared" si="2"/>
        <v>-5735.2818861763226</v>
      </c>
      <c r="F16" s="3"/>
      <c r="G16" s="28"/>
      <c r="H16" s="10"/>
      <c r="I16" s="10">
        <f t="shared" si="5"/>
        <v>18254</v>
      </c>
      <c r="J16" s="10">
        <f t="shared" si="3"/>
        <v>15757707490.246931</v>
      </c>
      <c r="K16" s="11">
        <f t="shared" si="4"/>
        <v>-6.6000000000000503E-3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868982.10396610026</v>
      </c>
      <c r="D17" s="11">
        <v>-6.0699999999999999E-3</v>
      </c>
      <c r="E17" s="10">
        <f t="shared" si="2"/>
        <v>-5306.9344632662833</v>
      </c>
      <c r="F17" s="3"/>
      <c r="G17" s="28"/>
      <c r="H17" s="10"/>
      <c r="I17" s="10">
        <f t="shared" si="5"/>
        <v>18254</v>
      </c>
      <c r="J17" s="10">
        <f t="shared" si="3"/>
        <v>15862399325.797194</v>
      </c>
      <c r="K17" s="11">
        <f t="shared" si="4"/>
        <v>-6.0700000000000198E-3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874289.03842936654</v>
      </c>
      <c r="D18" s="11">
        <v>-3.3300000000000001E-3</v>
      </c>
      <c r="E18" s="10">
        <f t="shared" si="2"/>
        <v>-2921.1097935824655</v>
      </c>
      <c r="F18" s="3"/>
      <c r="G18" s="28"/>
      <c r="H18" s="10"/>
      <c r="I18" s="10">
        <f t="shared" si="5"/>
        <v>18254</v>
      </c>
      <c r="J18" s="10">
        <f t="shared" si="3"/>
        <v>15959272107.489656</v>
      </c>
      <c r="K18" s="11">
        <f t="shared" si="4"/>
        <v>-3.3300000000000551E-3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877210.14822294901</v>
      </c>
      <c r="D19" s="11">
        <v>-7.4900000000000001E-3</v>
      </c>
      <c r="E19" s="10">
        <f t="shared" si="2"/>
        <v>-6619.8869635468582</v>
      </c>
      <c r="F19" s="3"/>
      <c r="G19" s="28"/>
      <c r="H19" s="10"/>
      <c r="I19" s="10">
        <f t="shared" si="5"/>
        <v>18254</v>
      </c>
      <c r="J19" s="10">
        <f t="shared" si="3"/>
        <v>16012594045.661711</v>
      </c>
      <c r="K19" s="11">
        <f t="shared" si="4"/>
        <v>-7.4900000000001077E-3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883830.03518649586</v>
      </c>
      <c r="D20" s="11">
        <v>-7.0400000000000003E-3</v>
      </c>
      <c r="E20" s="10">
        <f t="shared" si="2"/>
        <v>-6266.2780451508006</v>
      </c>
      <c r="F20" s="3"/>
      <c r="G20" s="28"/>
      <c r="H20" s="10"/>
      <c r="I20" s="10">
        <f t="shared" si="5"/>
        <v>18254</v>
      </c>
      <c r="J20" s="10">
        <f t="shared" si="3"/>
        <v>16133433462.294296</v>
      </c>
      <c r="K20" s="11">
        <f t="shared" si="4"/>
        <v>-7.0399999999999352E-3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890096.31323164667</v>
      </c>
      <c r="D21" s="11">
        <v>-1.136E-2</v>
      </c>
      <c r="E21" s="10">
        <f t="shared" si="2"/>
        <v>-10227.680569582037</v>
      </c>
      <c r="F21" s="3"/>
      <c r="G21" s="28"/>
      <c r="H21" s="10"/>
      <c r="I21" s="10">
        <f t="shared" si="5"/>
        <v>18254</v>
      </c>
      <c r="J21" s="10">
        <f t="shared" si="3"/>
        <v>16247818101.730478</v>
      </c>
      <c r="K21" s="11">
        <f t="shared" si="4"/>
        <v>-1.1360000000000148E-2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900323.9938012287</v>
      </c>
      <c r="D22" s="11">
        <v>-1.374E-2</v>
      </c>
      <c r="E22" s="10">
        <f t="shared" si="2"/>
        <v>-12542.789603987592</v>
      </c>
      <c r="F22" s="3"/>
      <c r="G22" s="28"/>
      <c r="H22" s="10"/>
      <c r="I22" s="10">
        <f t="shared" si="5"/>
        <v>18254</v>
      </c>
      <c r="J22" s="10">
        <f t="shared" si="3"/>
        <v>16434514182.84763</v>
      </c>
      <c r="K22" s="11">
        <f t="shared" si="4"/>
        <v>-1.3739999999999863E-2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912866.78340521629</v>
      </c>
      <c r="D23" s="11">
        <v>-1.7559999999999999E-2</v>
      </c>
      <c r="E23" s="10">
        <f t="shared" si="2"/>
        <v>-16316.457714054384</v>
      </c>
      <c r="F23" s="3"/>
      <c r="G23" s="28"/>
      <c r="H23" s="10"/>
      <c r="I23" s="10">
        <f t="shared" si="5"/>
        <v>18254</v>
      </c>
      <c r="J23" s="10">
        <f t="shared" si="3"/>
        <v>16663470264.278818</v>
      </c>
      <c r="K23" s="11">
        <f t="shared" si="4"/>
        <v>-1.756000000000002E-2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929183.24111927068</v>
      </c>
      <c r="D24" s="11">
        <v>-2.0830000000000001E-2</v>
      </c>
      <c r="E24" s="10">
        <f t="shared" si="2"/>
        <v>-19766.625726395287</v>
      </c>
      <c r="F24" s="3"/>
      <c r="G24" s="28"/>
      <c r="H24" s="10"/>
      <c r="I24" s="10">
        <f t="shared" si="5"/>
        <v>18254</v>
      </c>
      <c r="J24" s="10">
        <f t="shared" si="3"/>
        <v>16961310883.391167</v>
      </c>
      <c r="K24" s="11">
        <f t="shared" si="4"/>
        <v>-2.0830000000000126E-2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948949.86684566597</v>
      </c>
      <c r="D25" s="11">
        <v>-2.623E-2</v>
      </c>
      <c r="E25" s="10">
        <f t="shared" si="2"/>
        <v>-25561.431351717329</v>
      </c>
      <c r="F25" s="3"/>
      <c r="G25" s="28"/>
      <c r="H25" s="10"/>
      <c r="I25" s="10">
        <f t="shared" si="5"/>
        <v>18254</v>
      </c>
      <c r="J25" s="10">
        <f t="shared" si="3"/>
        <v>17322130869.400787</v>
      </c>
      <c r="K25" s="11">
        <f t="shared" si="4"/>
        <v>-2.6229999999999976E-2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974511.29819738329</v>
      </c>
      <c r="D26" s="11">
        <v>-6.3499999999999997E-3</v>
      </c>
      <c r="E26" s="10">
        <f t="shared" si="2"/>
        <v>-6227.6925915094325</v>
      </c>
      <c r="F26" s="3"/>
      <c r="G26" s="28"/>
      <c r="H26" s="10"/>
      <c r="I26" s="10">
        <f t="shared" si="5"/>
        <v>18254</v>
      </c>
      <c r="J26" s="10">
        <f t="shared" si="3"/>
        <v>17788729237.295036</v>
      </c>
      <c r="K26" s="11">
        <f t="shared" si="4"/>
        <v>-6.3499999999998558E-3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980738.99078889273</v>
      </c>
      <c r="D27" s="11">
        <v>6.0000000000000002E-5</v>
      </c>
      <c r="E27" s="10">
        <f t="shared" si="2"/>
        <v>58.840808998793364</v>
      </c>
      <c r="F27" s="3"/>
      <c r="G27" s="28"/>
      <c r="H27" s="10"/>
      <c r="I27" s="10">
        <f t="shared" si="5"/>
        <v>18254</v>
      </c>
      <c r="J27" s="10">
        <f t="shared" si="3"/>
        <v>17902409537.860447</v>
      </c>
      <c r="K27" s="11">
        <f t="shared" si="4"/>
        <v>5.9999999999948983E-5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980680.14997989393</v>
      </c>
      <c r="D28" s="11">
        <v>3.3999999999999998E-3</v>
      </c>
      <c r="E28" s="10">
        <f t="shared" si="2"/>
        <v>3323.0142614428187</v>
      </c>
      <c r="F28" s="3"/>
      <c r="G28" s="28"/>
      <c r="H28" s="10"/>
      <c r="I28" s="10">
        <f t="shared" si="5"/>
        <v>18254</v>
      </c>
      <c r="J28" s="10">
        <f t="shared" si="3"/>
        <v>17901335457.732983</v>
      </c>
      <c r="K28" s="11">
        <f t="shared" si="4"/>
        <v>3.4000000000000696E-3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977357.13571845111</v>
      </c>
      <c r="D29" s="11">
        <v>7.4700000000000001E-3</v>
      </c>
      <c r="E29" s="10">
        <f t="shared" si="2"/>
        <v>7246.7247697865823</v>
      </c>
      <c r="F29" s="3"/>
      <c r="G29" s="28"/>
      <c r="H29" s="10"/>
      <c r="I29" s="10">
        <f t="shared" si="5"/>
        <v>18254</v>
      </c>
      <c r="J29" s="10">
        <f t="shared" si="3"/>
        <v>17840677155.404606</v>
      </c>
      <c r="K29" s="11">
        <f t="shared" si="4"/>
        <v>7.4700000000000877E-3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970110.41094866453</v>
      </c>
      <c r="D30" s="11">
        <v>7.7799999999999996E-3</v>
      </c>
      <c r="E30" s="10">
        <f t="shared" si="2"/>
        <v>7489.1930750565371</v>
      </c>
      <c r="F30" s="3"/>
      <c r="G30" s="28"/>
      <c r="H30" s="10"/>
      <c r="I30" s="10">
        <f t="shared" si="5"/>
        <v>18254</v>
      </c>
      <c r="J30" s="10">
        <f t="shared" si="3"/>
        <v>17708395441.456921</v>
      </c>
      <c r="K30" s="11">
        <f t="shared" si="4"/>
        <v>7.7799999999996761E-3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962621.21787360799</v>
      </c>
      <c r="D31" s="11">
        <v>7.3499999999999998E-3</v>
      </c>
      <c r="E31" s="10">
        <f t="shared" si="2"/>
        <v>7023.6421813381603</v>
      </c>
      <c r="F31" s="3"/>
      <c r="G31" s="28"/>
      <c r="H31" s="10"/>
      <c r="I31" s="10">
        <f t="shared" si="5"/>
        <v>18254</v>
      </c>
      <c r="J31" s="10">
        <f t="shared" si="3"/>
        <v>17571687711.064842</v>
      </c>
      <c r="K31" s="11">
        <f t="shared" si="4"/>
        <v>7.3499999999999677E-3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955597.57569226983</v>
      </c>
      <c r="D32" s="11">
        <v>6.1199999999999996E-3</v>
      </c>
      <c r="E32" s="10">
        <f t="shared" si="2"/>
        <v>5812.6835399719421</v>
      </c>
      <c r="F32" s="3"/>
      <c r="G32" s="28"/>
      <c r="H32" s="10"/>
      <c r="I32" s="10">
        <f t="shared" si="5"/>
        <v>18254</v>
      </c>
      <c r="J32" s="10">
        <f t="shared" si="3"/>
        <v>17443478146.686695</v>
      </c>
      <c r="K32" s="11">
        <f t="shared" si="4"/>
        <v>6.1199999999999033E-3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949784.89215229789</v>
      </c>
      <c r="D33" s="11">
        <v>6.6E-3</v>
      </c>
      <c r="E33" s="10">
        <f t="shared" si="2"/>
        <v>6227.4789272850612</v>
      </c>
      <c r="F33" s="3"/>
      <c r="G33" s="28"/>
      <c r="H33" s="10"/>
      <c r="I33" s="10">
        <f t="shared" si="5"/>
        <v>18254</v>
      </c>
      <c r="J33" s="10">
        <f t="shared" si="3"/>
        <v>17337373421.348045</v>
      </c>
      <c r="K33" s="11">
        <f t="shared" si="4"/>
        <v>6.5999999999999392E-3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943557.41322501283</v>
      </c>
      <c r="D34" s="11">
        <v>7.1399999999999996E-3</v>
      </c>
      <c r="E34" s="10">
        <f t="shared" si="2"/>
        <v>6689.238765639835</v>
      </c>
      <c r="F34" s="3"/>
      <c r="G34" s="28"/>
      <c r="H34" s="10"/>
      <c r="I34" s="10">
        <f t="shared" si="5"/>
        <v>18254</v>
      </c>
      <c r="J34" s="10">
        <f t="shared" ref="J34:J65" si="6">IF(I34="","",I34*C34)</f>
        <v>17223697021.009384</v>
      </c>
      <c r="K34" s="11">
        <f t="shared" ref="K34:K65" si="7">IFERROR(J34/J35-1,"")</f>
        <v>7.1399999999999242E-3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936868.174459373</v>
      </c>
      <c r="D35" s="11">
        <v>6.6299999999999996E-3</v>
      </c>
      <c r="E35" s="10">
        <f t="shared" si="2"/>
        <v>6170.5254131761612</v>
      </c>
      <c r="F35" s="3"/>
      <c r="G35" s="28"/>
      <c r="H35" s="10"/>
      <c r="I35" s="10">
        <f t="shared" ref="I35:I66" si="8">IF(H35&lt;&gt;"",H35,I34/(1+IF(G34="",0,G34)/100))</f>
        <v>18254</v>
      </c>
      <c r="J35" s="10">
        <f t="shared" si="6"/>
        <v>17101591656.581394</v>
      </c>
      <c r="K35" s="11">
        <f t="shared" si="7"/>
        <v>6.6299999999996917E-3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930697.64904619684</v>
      </c>
      <c r="D36" s="11">
        <v>6.2100000000000002E-3</v>
      </c>
      <c r="E36" s="10">
        <f t="shared" si="2"/>
        <v>5743.9623941094615</v>
      </c>
      <c r="F36" s="3"/>
      <c r="G36" s="28"/>
      <c r="H36" s="10"/>
      <c r="I36" s="10">
        <f t="shared" si="8"/>
        <v>18254</v>
      </c>
      <c r="J36" s="10">
        <f t="shared" si="6"/>
        <v>16988954885.689278</v>
      </c>
      <c r="K36" s="11">
        <f t="shared" si="7"/>
        <v>6.2100000000000488E-3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924953.68665208737</v>
      </c>
      <c r="D37" s="11">
        <v>5.7800000000000004E-3</v>
      </c>
      <c r="E37" s="10">
        <f t="shared" si="2"/>
        <v>5315.508668743656</v>
      </c>
      <c r="F37" s="3"/>
      <c r="G37" s="28"/>
      <c r="H37" s="10"/>
      <c r="I37" s="10">
        <f t="shared" si="8"/>
        <v>18254</v>
      </c>
      <c r="J37" s="10">
        <f t="shared" si="6"/>
        <v>16884104596.147203</v>
      </c>
      <c r="K37" s="11">
        <f t="shared" si="7"/>
        <v>5.7799999999998963E-3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919638.17798334372</v>
      </c>
      <c r="D38" s="11">
        <v>5.6899999999999997E-3</v>
      </c>
      <c r="E38" s="10">
        <f t="shared" si="2"/>
        <v>5203.1353923428105</v>
      </c>
      <c r="F38" s="3"/>
      <c r="G38" s="28"/>
      <c r="H38" s="10"/>
      <c r="I38" s="10">
        <f t="shared" si="8"/>
        <v>18254</v>
      </c>
      <c r="J38" s="10">
        <f t="shared" si="6"/>
        <v>16787075300.907957</v>
      </c>
      <c r="K38" s="11">
        <f t="shared" si="7"/>
        <v>5.6899999999999729E-3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914435.04259100091</v>
      </c>
      <c r="D39" s="11">
        <v>7.7099999999999998E-3</v>
      </c>
      <c r="E39" s="10">
        <f t="shared" si="2"/>
        <v>6996.3523021272849</v>
      </c>
      <c r="F39" s="3"/>
      <c r="G39" s="28"/>
      <c r="H39" s="10"/>
      <c r="I39" s="10">
        <f t="shared" si="8"/>
        <v>18254</v>
      </c>
      <c r="J39" s="10">
        <f t="shared" si="6"/>
        <v>16692097267.456131</v>
      </c>
      <c r="K39" s="11">
        <f t="shared" si="7"/>
        <v>7.7100000000001057E-3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907438.69028887362</v>
      </c>
      <c r="D40" s="11">
        <v>8.3499999999999998E-3</v>
      </c>
      <c r="E40" s="10">
        <f t="shared" si="2"/>
        <v>7514.3680903576314</v>
      </c>
      <c r="F40" s="3"/>
      <c r="G40" s="28"/>
      <c r="H40" s="10"/>
      <c r="I40" s="10">
        <f t="shared" si="8"/>
        <v>18254</v>
      </c>
      <c r="J40" s="10">
        <f t="shared" si="6"/>
        <v>16564385852.533098</v>
      </c>
      <c r="K40" s="11">
        <f t="shared" si="7"/>
        <v>8.3500000000000796E-3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899924.32219851599</v>
      </c>
      <c r="D41" s="11">
        <v>7.8799999999999999E-3</v>
      </c>
      <c r="E41" s="10">
        <f t="shared" si="2"/>
        <v>7035.9602918247692</v>
      </c>
      <c r="F41" s="3"/>
      <c r="G41" s="28"/>
      <c r="H41" s="10"/>
      <c r="I41" s="10">
        <f t="shared" si="8"/>
        <v>18254</v>
      </c>
      <c r="J41" s="10">
        <f t="shared" si="6"/>
        <v>16427218577.411711</v>
      </c>
      <c r="K41" s="11">
        <f t="shared" si="7"/>
        <v>7.8800000000001091E-3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892888.36190669122</v>
      </c>
      <c r="D42" s="11">
        <v>8.0300000000000007E-3</v>
      </c>
      <c r="E42" s="10">
        <f t="shared" si="2"/>
        <v>7112.7779392584926</v>
      </c>
      <c r="F42" s="3"/>
      <c r="G42" s="28"/>
      <c r="H42" s="10"/>
      <c r="I42" s="10">
        <f t="shared" si="8"/>
        <v>18254</v>
      </c>
      <c r="J42" s="10">
        <f t="shared" si="6"/>
        <v>16298784158.244741</v>
      </c>
      <c r="K42" s="11">
        <f t="shared" si="7"/>
        <v>8.0299999999999816E-3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885775.58396743273</v>
      </c>
      <c r="D43" s="11">
        <v>8.8500000000000002E-3</v>
      </c>
      <c r="E43" s="10">
        <f t="shared" si="2"/>
        <v>7770.3463528887369</v>
      </c>
      <c r="F43" s="3"/>
      <c r="G43" s="28"/>
      <c r="H43" s="10"/>
      <c r="I43" s="10">
        <f t="shared" si="8"/>
        <v>18254</v>
      </c>
      <c r="J43" s="10">
        <f t="shared" si="6"/>
        <v>16168947509.741516</v>
      </c>
      <c r="K43" s="11">
        <f t="shared" si="7"/>
        <v>8.8500000000000245E-3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878005.23761454399</v>
      </c>
      <c r="D44" s="11">
        <v>8.5199999999999998E-3</v>
      </c>
      <c r="E44" s="10">
        <f t="shared" si="2"/>
        <v>7417.4083057113457</v>
      </c>
      <c r="F44" s="3"/>
      <c r="G44" s="28"/>
      <c r="H44" s="10"/>
      <c r="I44" s="10">
        <f t="shared" si="8"/>
        <v>18254</v>
      </c>
      <c r="J44" s="10">
        <f t="shared" si="6"/>
        <v>16027107607.415886</v>
      </c>
      <c r="K44" s="11">
        <f t="shared" si="7"/>
        <v>8.5200000000000831E-3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870587.82930883265</v>
      </c>
      <c r="D45" s="11">
        <v>8.8900000000000003E-3</v>
      </c>
      <c r="E45" s="10">
        <f t="shared" si="2"/>
        <v>7671.3276993087493</v>
      </c>
      <c r="F45" s="3"/>
      <c r="G45" s="28"/>
      <c r="H45" s="10"/>
      <c r="I45" s="10">
        <f t="shared" si="8"/>
        <v>18254</v>
      </c>
      <c r="J45" s="10">
        <f t="shared" si="6"/>
        <v>15891710236.20343</v>
      </c>
      <c r="K45" s="11">
        <f t="shared" si="7"/>
        <v>8.8900000000000645E-3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862916.5016095239</v>
      </c>
      <c r="D46" s="11">
        <v>9.4999999999999998E-3</v>
      </c>
      <c r="E46" s="10">
        <f t="shared" si="2"/>
        <v>8120.5614316895371</v>
      </c>
      <c r="F46" s="3"/>
      <c r="G46" s="28"/>
      <c r="H46" s="10"/>
      <c r="I46" s="10">
        <f t="shared" si="8"/>
        <v>18254</v>
      </c>
      <c r="J46" s="10">
        <f t="shared" si="6"/>
        <v>15751677820.380249</v>
      </c>
      <c r="K46" s="11">
        <f t="shared" si="7"/>
        <v>9.5000000000000639E-3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854795.94017783436</v>
      </c>
      <c r="D47" s="11">
        <v>8.9899999999999997E-3</v>
      </c>
      <c r="E47" s="10">
        <f t="shared" si="2"/>
        <v>7616.1463465433335</v>
      </c>
      <c r="F47" s="3"/>
      <c r="G47" s="28"/>
      <c r="H47" s="10"/>
      <c r="I47" s="10">
        <f t="shared" si="8"/>
        <v>18254</v>
      </c>
      <c r="J47" s="10">
        <f t="shared" si="6"/>
        <v>15603445092.006189</v>
      </c>
      <c r="K47" s="11">
        <f t="shared" si="7"/>
        <v>8.9900000000000535E-3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847179.79383129103</v>
      </c>
      <c r="D48" s="11">
        <v>1.0449999999999999E-2</v>
      </c>
      <c r="E48" s="10">
        <f t="shared" si="2"/>
        <v>8761.4714686892694</v>
      </c>
      <c r="F48" s="3"/>
      <c r="G48" s="28"/>
      <c r="H48" s="10"/>
      <c r="I48" s="10">
        <f t="shared" si="8"/>
        <v>18254</v>
      </c>
      <c r="J48" s="10">
        <f t="shared" si="6"/>
        <v>15464419956.596386</v>
      </c>
      <c r="K48" s="11">
        <f t="shared" si="7"/>
        <v>1.045000000000007E-2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838418.32236260176</v>
      </c>
      <c r="D49" s="11">
        <v>1.103E-2</v>
      </c>
      <c r="E49" s="10">
        <f t="shared" si="2"/>
        <v>9146.8641837132163</v>
      </c>
      <c r="F49" s="3"/>
      <c r="G49" s="28"/>
      <c r="H49" s="10"/>
      <c r="I49" s="10">
        <f t="shared" si="8"/>
        <v>18254</v>
      </c>
      <c r="J49" s="10">
        <f t="shared" si="6"/>
        <v>15304488056.406933</v>
      </c>
      <c r="K49" s="11">
        <f t="shared" si="7"/>
        <v>1.1030000000000095E-2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829271.45817888854</v>
      </c>
      <c r="D50" s="11">
        <v>1.043E-2</v>
      </c>
      <c r="E50" s="10">
        <f t="shared" si="2"/>
        <v>8560.0202971069375</v>
      </c>
      <c r="F50" s="3"/>
      <c r="G50" s="28"/>
      <c r="H50" s="10"/>
      <c r="I50" s="10">
        <f t="shared" si="8"/>
        <v>18254</v>
      </c>
      <c r="J50" s="10">
        <f t="shared" si="6"/>
        <v>15137521197.597431</v>
      </c>
      <c r="K50" s="11">
        <f t="shared" si="7"/>
        <v>1.0429999999999939E-2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820711.4378817816</v>
      </c>
      <c r="D51" s="11">
        <v>1.03E-2</v>
      </c>
      <c r="E51" s="10">
        <f t="shared" si="2"/>
        <v>8367.1462042782223</v>
      </c>
      <c r="F51" s="3"/>
      <c r="G51" s="28"/>
      <c r="H51" s="10"/>
      <c r="I51" s="10">
        <f t="shared" si="8"/>
        <v>18254</v>
      </c>
      <c r="J51" s="10">
        <f t="shared" si="6"/>
        <v>14981266587.094042</v>
      </c>
      <c r="K51" s="11">
        <f t="shared" si="7"/>
        <v>1.0299999999999976E-2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812344.29167750338</v>
      </c>
      <c r="D52" s="11">
        <v>1.068E-2</v>
      </c>
      <c r="E52" s="10">
        <f t="shared" si="2"/>
        <v>8584.1582252698718</v>
      </c>
      <c r="F52" s="3"/>
      <c r="G52" s="28"/>
      <c r="H52" s="10"/>
      <c r="I52" s="10">
        <f t="shared" si="8"/>
        <v>18254</v>
      </c>
      <c r="J52" s="10">
        <f t="shared" si="6"/>
        <v>14828532700.281147</v>
      </c>
      <c r="K52" s="11">
        <f t="shared" si="7"/>
        <v>1.0680000000000023E-2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803760.13345223351</v>
      </c>
      <c r="D53" s="11">
        <v>1.1820000000000001E-2</v>
      </c>
      <c r="E53" s="10">
        <f t="shared" si="2"/>
        <v>9389.461344315554</v>
      </c>
      <c r="F53" s="3"/>
      <c r="G53" s="28"/>
      <c r="H53" s="10"/>
      <c r="I53" s="10">
        <f t="shared" si="8"/>
        <v>18254</v>
      </c>
      <c r="J53" s="10">
        <f t="shared" si="6"/>
        <v>14671837476.037071</v>
      </c>
      <c r="K53" s="11">
        <f t="shared" si="7"/>
        <v>1.1819999999999942E-2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794370.67210791796</v>
      </c>
      <c r="D54" s="11">
        <v>1.112E-2</v>
      </c>
      <c r="E54" s="10">
        <f t="shared" si="2"/>
        <v>8736.2547213387443</v>
      </c>
      <c r="F54" s="3"/>
      <c r="G54" s="28"/>
      <c r="H54" s="10"/>
      <c r="I54" s="10">
        <f t="shared" si="8"/>
        <v>18254</v>
      </c>
      <c r="J54" s="10">
        <f t="shared" si="6"/>
        <v>14500442248.657934</v>
      </c>
      <c r="K54" s="11">
        <f t="shared" si="7"/>
        <v>1.1120000000000019E-2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785634.41738657921</v>
      </c>
      <c r="D55" s="11">
        <v>1.137E-2</v>
      </c>
      <c r="E55" s="10">
        <f t="shared" si="2"/>
        <v>8832.2407483764691</v>
      </c>
      <c r="F55" s="3"/>
      <c r="G55" s="28"/>
      <c r="H55" s="10"/>
      <c r="I55" s="10">
        <f t="shared" si="8"/>
        <v>18254</v>
      </c>
      <c r="J55" s="10">
        <f t="shared" si="6"/>
        <v>14340970654.974617</v>
      </c>
      <c r="K55" s="11">
        <f t="shared" si="7"/>
        <v>1.1370000000000102E-2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776802.17663820274</v>
      </c>
      <c r="D56" s="11">
        <v>1.1900000000000001E-2</v>
      </c>
      <c r="E56" s="10">
        <f t="shared" si="2"/>
        <v>9135.2365866139298</v>
      </c>
      <c r="F56" s="3"/>
      <c r="G56" s="28"/>
      <c r="H56" s="10"/>
      <c r="I56" s="10">
        <f t="shared" si="8"/>
        <v>18254</v>
      </c>
      <c r="J56" s="10">
        <f t="shared" si="6"/>
        <v>14179746932.353752</v>
      </c>
      <c r="K56" s="11">
        <f t="shared" si="7"/>
        <v>1.1900000000000022E-2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767666.94005158881</v>
      </c>
      <c r="D57" s="11">
        <v>1.2070000000000001E-2</v>
      </c>
      <c r="E57" s="10">
        <f t="shared" si="2"/>
        <v>9155.236264707637</v>
      </c>
      <c r="F57" s="3"/>
      <c r="G57" s="28"/>
      <c r="H57" s="10"/>
      <c r="I57" s="10">
        <f t="shared" si="8"/>
        <v>18254</v>
      </c>
      <c r="J57" s="10">
        <f t="shared" si="6"/>
        <v>14012992323.701702</v>
      </c>
      <c r="K57" s="11">
        <f t="shared" si="7"/>
        <v>1.2069999999999803E-2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758511.70378688117</v>
      </c>
      <c r="D58" s="11">
        <v>5.2100000000000002E-3</v>
      </c>
      <c r="E58" s="10">
        <f t="shared" si="2"/>
        <v>3931.3635725168278</v>
      </c>
      <c r="F58" s="3"/>
      <c r="G58" s="28"/>
      <c r="H58" s="10"/>
      <c r="I58" s="10">
        <f t="shared" si="8"/>
        <v>18254</v>
      </c>
      <c r="J58" s="10">
        <f t="shared" si="6"/>
        <v>13845872640.92573</v>
      </c>
      <c r="K58" s="11">
        <f t="shared" si="7"/>
        <v>5.2100000000001589E-3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754580.34021436435</v>
      </c>
      <c r="D59" s="11">
        <v>1.0630000000000001E-2</v>
      </c>
      <c r="E59" s="10">
        <f t="shared" si="2"/>
        <v>7936.8206133586355</v>
      </c>
      <c r="F59" s="3"/>
      <c r="G59" s="28"/>
      <c r="H59" s="10"/>
      <c r="I59" s="10">
        <f t="shared" si="8"/>
        <v>18254</v>
      </c>
      <c r="J59" s="10">
        <f t="shared" si="6"/>
        <v>13774109530.273006</v>
      </c>
      <c r="K59" s="11">
        <f t="shared" si="7"/>
        <v>1.0629999999999917E-2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746643.51960100571</v>
      </c>
      <c r="D60" s="11">
        <v>8.8199999999999997E-3</v>
      </c>
      <c r="E60" s="10">
        <f t="shared" si="2"/>
        <v>6527.8204663675278</v>
      </c>
      <c r="F60" s="3"/>
      <c r="G60" s="28"/>
      <c r="H60" s="10"/>
      <c r="I60" s="10">
        <f t="shared" si="8"/>
        <v>18254</v>
      </c>
      <c r="J60" s="10">
        <f t="shared" si="6"/>
        <v>13629230806.796759</v>
      </c>
      <c r="K60" s="11">
        <f t="shared" si="7"/>
        <v>8.82000000000005E-3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740115.69913463818</v>
      </c>
      <c r="D61" s="11">
        <v>9.1000000000000004E-3</v>
      </c>
      <c r="E61" s="10">
        <f t="shared" si="2"/>
        <v>6674.3165812360821</v>
      </c>
      <c r="F61" s="3"/>
      <c r="G61" s="28"/>
      <c r="H61" s="10"/>
      <c r="I61" s="10">
        <f t="shared" si="8"/>
        <v>18254</v>
      </c>
      <c r="J61" s="10">
        <f t="shared" si="6"/>
        <v>13510071972.003685</v>
      </c>
      <c r="K61" s="11">
        <f t="shared" si="7"/>
        <v>9.100000000000108E-3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733441.3825534021</v>
      </c>
      <c r="D62" s="11">
        <v>1.018E-2</v>
      </c>
      <c r="E62" s="10">
        <f t="shared" si="2"/>
        <v>7391.1909505174262</v>
      </c>
      <c r="F62" s="3"/>
      <c r="G62" s="28"/>
      <c r="H62" s="10"/>
      <c r="I62" s="10">
        <f t="shared" si="8"/>
        <v>18254</v>
      </c>
      <c r="J62" s="10">
        <f t="shared" si="6"/>
        <v>13388238997.129803</v>
      </c>
      <c r="K62" s="11">
        <f t="shared" si="7"/>
        <v>1.0180000000000078E-2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726050.19160288468</v>
      </c>
      <c r="D63" s="11">
        <v>1.0619999999999999E-2</v>
      </c>
      <c r="E63" s="10">
        <f t="shared" si="2"/>
        <v>7629.6264024288394</v>
      </c>
      <c r="F63" s="3"/>
      <c r="G63" s="28"/>
      <c r="H63" s="10"/>
      <c r="I63" s="10">
        <f t="shared" si="8"/>
        <v>18254</v>
      </c>
      <c r="J63" s="10">
        <f t="shared" si="6"/>
        <v>13253320197.519056</v>
      </c>
      <c r="K63" s="11">
        <f t="shared" si="7"/>
        <v>1.0619999999999852E-2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718420.56520045584</v>
      </c>
      <c r="D64" s="11">
        <v>1.056E-2</v>
      </c>
      <c r="E64" s="10">
        <f t="shared" si="2"/>
        <v>7507.2446648558835</v>
      </c>
      <c r="F64" s="3"/>
      <c r="G64" s="28"/>
      <c r="H64" s="10"/>
      <c r="I64" s="10">
        <f t="shared" si="8"/>
        <v>18254</v>
      </c>
      <c r="J64" s="10">
        <f t="shared" si="6"/>
        <v>13114048997.169121</v>
      </c>
      <c r="K64" s="11">
        <f t="shared" si="7"/>
        <v>1.0559999999999903E-2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710913.32053559995</v>
      </c>
      <c r="D65" s="11">
        <v>1.192E-2</v>
      </c>
      <c r="E65" s="10">
        <f t="shared" si="2"/>
        <v>8374.2655355999013</v>
      </c>
      <c r="F65" s="3"/>
      <c r="G65" s="28"/>
      <c r="H65" s="10"/>
      <c r="I65" s="10">
        <f t="shared" si="8"/>
        <v>18254</v>
      </c>
      <c r="J65" s="10">
        <f t="shared" si="6"/>
        <v>12977011753.056841</v>
      </c>
      <c r="K65" s="11">
        <f t="shared" si="7"/>
        <v>1.1919999999999709E-2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702539.05500000005</v>
      </c>
      <c r="D66" s="11">
        <v>1.2449999999999999E-2</v>
      </c>
      <c r="E66" s="10">
        <f t="shared" si="2"/>
        <v>8639.0550000000512</v>
      </c>
      <c r="F66" s="24">
        <f>SUM(F2)</f>
        <v>820937</v>
      </c>
      <c r="G66" s="28"/>
      <c r="H66" s="10"/>
      <c r="I66" s="10">
        <f t="shared" si="8"/>
        <v>18254</v>
      </c>
      <c r="J66" s="10">
        <f t="shared" ref="J66:J67" si="9">IF(I66="","",I66*C66)</f>
        <v>12824147909.970001</v>
      </c>
      <c r="K66" s="11">
        <f t="shared" ref="K66" si="10">IFERROR(J66/J67-1,"")</f>
        <v>1.2450000000000072E-2</v>
      </c>
    </row>
    <row r="67" spans="1:11" ht="22.5" customHeight="1">
      <c r="A67" s="3">
        <f t="shared" si="0"/>
        <v>1950</v>
      </c>
      <c r="B67" s="3">
        <v>1700</v>
      </c>
      <c r="C67" s="10">
        <v>693900</v>
      </c>
      <c r="D67" s="11">
        <v>1.3089999999999999E-2</v>
      </c>
      <c r="E67" s="3" t="s">
        <v>72</v>
      </c>
      <c r="F67" s="10">
        <f>SUM(C2)</f>
        <v>820977.25533157552</v>
      </c>
      <c r="G67" s="28"/>
      <c r="H67" s="10"/>
      <c r="I67" s="10">
        <f t="shared" ref="I67" si="11">IF(H67&lt;&gt;"",H67,I66/(1+IF(G66="",0,G66)/100))</f>
        <v>18254</v>
      </c>
      <c r="J67" s="10">
        <f t="shared" si="9"/>
        <v>12666450600</v>
      </c>
      <c r="K67" s="11"/>
    </row>
  </sheetData>
  <dataValidations count="1">
    <dataValidation type="custom" allowBlank="1" showDropDown="1" sqref="D2:D67" xr:uid="{00000000-0002-0000-4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9164625.6366110574</v>
      </c>
      <c r="D2" s="11">
        <v>1.7319999999999999E-2</v>
      </c>
      <c r="E2" s="10">
        <f t="shared" ref="E2:E66" si="2">SUM(C2-C3)</f>
        <v>156028.89555509016</v>
      </c>
      <c r="F2" s="15">
        <v>9164021</v>
      </c>
      <c r="G2" s="28"/>
      <c r="H2" s="10"/>
      <c r="I2" s="10">
        <f>IF(H2&lt;&gt;"",H2,6429)</f>
        <v>6429</v>
      </c>
      <c r="J2" s="10">
        <f t="shared" ref="J2:J33" si="3">IF(I2="","",I2*C2)</f>
        <v>58919378217.772491</v>
      </c>
      <c r="K2" s="11">
        <f t="shared" ref="K2:K33" si="4">IFERROR(J2/J3-1,"")</f>
        <v>1.7320000000000002E-2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9008596.7410559673</v>
      </c>
      <c r="D3" s="11">
        <v>1.8190000000000001E-2</v>
      </c>
      <c r="E3" s="10">
        <f t="shared" si="2"/>
        <v>160938.89619796723</v>
      </c>
      <c r="F3" s="3"/>
      <c r="G3" s="28"/>
      <c r="H3" s="10"/>
      <c r="I3" s="10">
        <f t="shared" ref="I3:I34" si="5">IF(H3&lt;&gt;"",H3,I2/(1+IF(G2="",0,G2)/100))</f>
        <v>6429</v>
      </c>
      <c r="J3" s="10">
        <f t="shared" si="3"/>
        <v>57916268448.248817</v>
      </c>
      <c r="K3" s="11">
        <f t="shared" si="4"/>
        <v>1.819000000000015E-2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8847657.8448580001</v>
      </c>
      <c r="D4" s="11">
        <v>1.8939999999999999E-2</v>
      </c>
      <c r="E4" s="10">
        <f t="shared" si="2"/>
        <v>164459.77150922455</v>
      </c>
      <c r="F4" s="3"/>
      <c r="G4" s="28"/>
      <c r="H4" s="10"/>
      <c r="I4" s="10">
        <f t="shared" si="5"/>
        <v>6429</v>
      </c>
      <c r="J4" s="10">
        <f t="shared" si="3"/>
        <v>56881592284.592079</v>
      </c>
      <c r="K4" s="11">
        <f t="shared" si="4"/>
        <v>1.8939999999999735E-2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8683198.0733487755</v>
      </c>
      <c r="D5" s="11">
        <v>1.984E-2</v>
      </c>
      <c r="E5" s="10">
        <f t="shared" si="2"/>
        <v>168923.21322485991</v>
      </c>
      <c r="F5" s="3"/>
      <c r="G5" s="28"/>
      <c r="H5" s="10"/>
      <c r="I5" s="10">
        <f t="shared" si="5"/>
        <v>6429</v>
      </c>
      <c r="J5" s="10">
        <f t="shared" si="3"/>
        <v>55824280413.55928</v>
      </c>
      <c r="K5" s="11">
        <f t="shared" si="4"/>
        <v>1.984000000000008E-2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8514274.8601239156</v>
      </c>
      <c r="D6" s="11">
        <v>2.0580000000000001E-2</v>
      </c>
      <c r="E6" s="10">
        <f t="shared" si="2"/>
        <v>171690.38842751179</v>
      </c>
      <c r="F6" s="3"/>
      <c r="G6" s="28"/>
      <c r="H6" s="10"/>
      <c r="I6" s="10">
        <f t="shared" si="5"/>
        <v>6429</v>
      </c>
      <c r="J6" s="10">
        <f t="shared" si="3"/>
        <v>54738273075.736656</v>
      </c>
      <c r="K6" s="11">
        <f t="shared" si="4"/>
        <v>2.0580000000000043E-2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8342584.4716964038</v>
      </c>
      <c r="D7" s="11">
        <v>2.1309999999999999E-2</v>
      </c>
      <c r="E7" s="10">
        <f t="shared" si="2"/>
        <v>174071.02162110433</v>
      </c>
      <c r="F7" s="3"/>
      <c r="G7" s="28"/>
      <c r="H7" s="10"/>
      <c r="I7" s="10">
        <f t="shared" si="5"/>
        <v>6429</v>
      </c>
      <c r="J7" s="10">
        <f t="shared" si="3"/>
        <v>53634475568.536179</v>
      </c>
      <c r="K7" s="11">
        <f t="shared" si="4"/>
        <v>2.130999999999994E-2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8168513.4500752995</v>
      </c>
      <c r="D8" s="11">
        <v>2.2620000000000001E-2</v>
      </c>
      <c r="E8" s="10">
        <f t="shared" si="2"/>
        <v>180684.68662915286</v>
      </c>
      <c r="F8" s="3"/>
      <c r="G8" s="28"/>
      <c r="H8" s="10"/>
      <c r="I8" s="10">
        <f t="shared" si="5"/>
        <v>6429</v>
      </c>
      <c r="J8" s="10">
        <f t="shared" si="3"/>
        <v>52515372970.534103</v>
      </c>
      <c r="K8" s="11">
        <f t="shared" si="4"/>
        <v>2.2620000000000307E-2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7987828.7634461466</v>
      </c>
      <c r="D9" s="11">
        <v>2.358E-2</v>
      </c>
      <c r="E9" s="10">
        <f t="shared" si="2"/>
        <v>184013.9532250138</v>
      </c>
      <c r="F9" s="3"/>
      <c r="G9" s="28"/>
      <c r="H9" s="10"/>
      <c r="I9" s="10">
        <f t="shared" si="5"/>
        <v>6429</v>
      </c>
      <c r="J9" s="10">
        <f t="shared" si="3"/>
        <v>51353751120.195274</v>
      </c>
      <c r="K9" s="11">
        <f t="shared" si="4"/>
        <v>2.3579999999999934E-2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7803814.8102211328</v>
      </c>
      <c r="D10" s="11">
        <v>2.41E-2</v>
      </c>
      <c r="E10" s="10">
        <f t="shared" si="2"/>
        <v>183646.06671841536</v>
      </c>
      <c r="F10" s="3"/>
      <c r="G10" s="28"/>
      <c r="H10" s="10"/>
      <c r="I10" s="10">
        <f t="shared" si="5"/>
        <v>6429</v>
      </c>
      <c r="J10" s="10">
        <f t="shared" si="3"/>
        <v>50170725414.911659</v>
      </c>
      <c r="K10" s="11">
        <f t="shared" si="4"/>
        <v>2.4099999999999788E-2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7620168.7435027175</v>
      </c>
      <c r="D11" s="11">
        <v>2.436E-2</v>
      </c>
      <c r="E11" s="10">
        <f t="shared" si="2"/>
        <v>181212.96281749196</v>
      </c>
      <c r="F11" s="3"/>
      <c r="G11" s="28"/>
      <c r="H11" s="10"/>
      <c r="I11" s="10">
        <f t="shared" si="5"/>
        <v>6429</v>
      </c>
      <c r="J11" s="10">
        <f t="shared" si="3"/>
        <v>48990064851.978973</v>
      </c>
      <c r="K11" s="11">
        <f t="shared" si="4"/>
        <v>2.4360000000000159E-2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7438955.7806852255</v>
      </c>
      <c r="D12" s="11">
        <v>2.452E-2</v>
      </c>
      <c r="E12" s="10">
        <f t="shared" si="2"/>
        <v>178037.71106703859</v>
      </c>
      <c r="F12" s="3"/>
      <c r="G12" s="28"/>
      <c r="H12" s="10"/>
      <c r="I12" s="10">
        <f t="shared" si="5"/>
        <v>6429</v>
      </c>
      <c r="J12" s="10">
        <f t="shared" si="3"/>
        <v>47825046714.025314</v>
      </c>
      <c r="K12" s="11">
        <f t="shared" si="4"/>
        <v>2.4520000000000097E-2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7260918.0696181869</v>
      </c>
      <c r="D13" s="11">
        <v>2.477E-2</v>
      </c>
      <c r="E13" s="10">
        <f t="shared" si="2"/>
        <v>175505.66525604948</v>
      </c>
      <c r="F13" s="3"/>
      <c r="G13" s="28"/>
      <c r="H13" s="10"/>
      <c r="I13" s="10">
        <f t="shared" si="5"/>
        <v>6429</v>
      </c>
      <c r="J13" s="10">
        <f t="shared" si="3"/>
        <v>46680442269.575325</v>
      </c>
      <c r="K13" s="11">
        <f t="shared" si="4"/>
        <v>2.4769999999999959E-2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7085412.4043621374</v>
      </c>
      <c r="D14" s="11">
        <v>2.52E-2</v>
      </c>
      <c r="E14" s="10">
        <f t="shared" si="2"/>
        <v>174163.4730685968</v>
      </c>
      <c r="F14" s="3"/>
      <c r="G14" s="28"/>
      <c r="H14" s="10"/>
      <c r="I14" s="10">
        <f t="shared" si="5"/>
        <v>6429</v>
      </c>
      <c r="J14" s="10">
        <f t="shared" si="3"/>
        <v>45552116347.64418</v>
      </c>
      <c r="K14" s="11">
        <f t="shared" si="4"/>
        <v>2.5199999999999889E-2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6911248.9312935406</v>
      </c>
      <c r="D15" s="11">
        <v>2.6079999999999999E-2</v>
      </c>
      <c r="E15" s="10">
        <f t="shared" si="2"/>
        <v>175664.05360998772</v>
      </c>
      <c r="F15" s="3"/>
      <c r="G15" s="28"/>
      <c r="H15" s="10"/>
      <c r="I15" s="10">
        <f t="shared" si="5"/>
        <v>6429</v>
      </c>
      <c r="J15" s="10">
        <f t="shared" si="3"/>
        <v>44432419379.286171</v>
      </c>
      <c r="K15" s="11">
        <f t="shared" si="4"/>
        <v>2.6080000000000103E-2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6735584.8776835529</v>
      </c>
      <c r="D16" s="11">
        <v>2.1749999999999999E-2</v>
      </c>
      <c r="E16" s="10">
        <f t="shared" si="2"/>
        <v>143380.4463808341</v>
      </c>
      <c r="F16" s="3"/>
      <c r="G16" s="28"/>
      <c r="H16" s="10"/>
      <c r="I16" s="10">
        <f t="shared" si="5"/>
        <v>6429</v>
      </c>
      <c r="J16" s="10">
        <f t="shared" si="3"/>
        <v>43303075178.627563</v>
      </c>
      <c r="K16" s="11">
        <f t="shared" si="4"/>
        <v>2.1750000000000158E-2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6592204.4313027188</v>
      </c>
      <c r="D17" s="11">
        <v>1.0619999999999999E-2</v>
      </c>
      <c r="E17" s="10">
        <f t="shared" si="2"/>
        <v>69273.526212063618</v>
      </c>
      <c r="F17" s="3"/>
      <c r="G17" s="28"/>
      <c r="H17" s="10"/>
      <c r="I17" s="10">
        <f t="shared" si="5"/>
        <v>6429</v>
      </c>
      <c r="J17" s="10">
        <f t="shared" si="3"/>
        <v>42381282288.845177</v>
      </c>
      <c r="K17" s="11">
        <f t="shared" si="4"/>
        <v>1.0620000000000074E-2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6522930.9050906552</v>
      </c>
      <c r="D18" s="11">
        <v>1.14E-2</v>
      </c>
      <c r="E18" s="10">
        <f t="shared" si="2"/>
        <v>73523.247298827395</v>
      </c>
      <c r="F18" s="3"/>
      <c r="G18" s="28"/>
      <c r="H18" s="10"/>
      <c r="I18" s="10">
        <f t="shared" si="5"/>
        <v>6429</v>
      </c>
      <c r="J18" s="10">
        <f t="shared" si="3"/>
        <v>41935922788.82782</v>
      </c>
      <c r="K18" s="11">
        <f t="shared" si="4"/>
        <v>1.1399999999999855E-2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6449407.6577918278</v>
      </c>
      <c r="D19" s="11">
        <v>1.2489999999999999E-2</v>
      </c>
      <c r="E19" s="10">
        <f t="shared" si="2"/>
        <v>79559.404681349173</v>
      </c>
      <c r="F19" s="3"/>
      <c r="G19" s="28"/>
      <c r="H19" s="10"/>
      <c r="I19" s="10">
        <f t="shared" si="5"/>
        <v>6429</v>
      </c>
      <c r="J19" s="10">
        <f t="shared" si="3"/>
        <v>41463241831.943665</v>
      </c>
      <c r="K19" s="11">
        <f t="shared" si="4"/>
        <v>1.248999999999989E-2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6369848.2531104786</v>
      </c>
      <c r="D20" s="11">
        <v>1.3679999999999999E-2</v>
      </c>
      <c r="E20" s="10">
        <f t="shared" si="2"/>
        <v>85963.542836546898</v>
      </c>
      <c r="F20" s="3"/>
      <c r="G20" s="28"/>
      <c r="H20" s="10"/>
      <c r="I20" s="10">
        <f t="shared" si="5"/>
        <v>6429</v>
      </c>
      <c r="J20" s="10">
        <f t="shared" si="3"/>
        <v>40951754419.247269</v>
      </c>
      <c r="K20" s="11">
        <f t="shared" si="4"/>
        <v>1.3679999999999914E-2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6283884.7102739317</v>
      </c>
      <c r="D21" s="11">
        <v>1.473E-2</v>
      </c>
      <c r="E21" s="10">
        <f t="shared" si="2"/>
        <v>91217.980923334137</v>
      </c>
      <c r="F21" s="3"/>
      <c r="G21" s="28"/>
      <c r="H21" s="10"/>
      <c r="I21" s="10">
        <f t="shared" si="5"/>
        <v>6429</v>
      </c>
      <c r="J21" s="10">
        <f t="shared" si="3"/>
        <v>40399094802.351105</v>
      </c>
      <c r="K21" s="11">
        <f t="shared" si="4"/>
        <v>1.472999999999991E-2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6192666.7293505976</v>
      </c>
      <c r="D22" s="11">
        <v>1.5689999999999999E-2</v>
      </c>
      <c r="E22" s="10">
        <f t="shared" si="2"/>
        <v>95662.004138576798</v>
      </c>
      <c r="F22" s="3"/>
      <c r="G22" s="28"/>
      <c r="H22" s="10"/>
      <c r="I22" s="10">
        <f t="shared" si="5"/>
        <v>6429</v>
      </c>
      <c r="J22" s="10">
        <f t="shared" si="3"/>
        <v>39812654402.994995</v>
      </c>
      <c r="K22" s="11">
        <f t="shared" si="4"/>
        <v>1.5689999999999982E-2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6097004.7252120208</v>
      </c>
      <c r="D23" s="11">
        <v>1.6639999999999999E-2</v>
      </c>
      <c r="E23" s="10">
        <f t="shared" si="2"/>
        <v>99793.59323607944</v>
      </c>
      <c r="F23" s="3"/>
      <c r="G23" s="28"/>
      <c r="H23" s="10"/>
      <c r="I23" s="10">
        <f t="shared" si="5"/>
        <v>6429</v>
      </c>
      <c r="J23" s="10">
        <f t="shared" si="3"/>
        <v>39197643378.388084</v>
      </c>
      <c r="K23" s="11">
        <f t="shared" si="4"/>
        <v>1.6639999999999988E-2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5997211.1319759414</v>
      </c>
      <c r="D24" s="11">
        <v>1.78E-2</v>
      </c>
      <c r="E24" s="10">
        <f t="shared" si="2"/>
        <v>104883.43304104172</v>
      </c>
      <c r="F24" s="3"/>
      <c r="G24" s="28"/>
      <c r="H24" s="10"/>
      <c r="I24" s="10">
        <f t="shared" si="5"/>
        <v>6429</v>
      </c>
      <c r="J24" s="10">
        <f t="shared" si="3"/>
        <v>38556070367.473328</v>
      </c>
      <c r="K24" s="11">
        <f t="shared" si="4"/>
        <v>1.7800000000000038E-2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5892327.6989348996</v>
      </c>
      <c r="D25" s="11">
        <v>1.8669999999999999E-2</v>
      </c>
      <c r="E25" s="10">
        <f t="shared" si="2"/>
        <v>107993.5191368293</v>
      </c>
      <c r="F25" s="3"/>
      <c r="G25" s="28"/>
      <c r="H25" s="10"/>
      <c r="I25" s="10">
        <f t="shared" si="5"/>
        <v>6429</v>
      </c>
      <c r="J25" s="10">
        <f t="shared" si="3"/>
        <v>37881774776.452469</v>
      </c>
      <c r="K25" s="11">
        <f t="shared" si="4"/>
        <v>1.8669999999999964E-2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5784334.1797980703</v>
      </c>
      <c r="D26" s="11">
        <v>1.9369999999999998E-2</v>
      </c>
      <c r="E26" s="10">
        <f t="shared" si="2"/>
        <v>109913.52802484669</v>
      </c>
      <c r="F26" s="3"/>
      <c r="G26" s="28"/>
      <c r="H26" s="10"/>
      <c r="I26" s="10">
        <f t="shared" si="5"/>
        <v>6429</v>
      </c>
      <c r="J26" s="10">
        <f t="shared" si="3"/>
        <v>37187484441.921791</v>
      </c>
      <c r="K26" s="11">
        <f t="shared" si="4"/>
        <v>1.9369999999999887E-2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5674420.6517732237</v>
      </c>
      <c r="D27" s="11">
        <v>2.4379999999999999E-2</v>
      </c>
      <c r="E27" s="10">
        <f t="shared" si="2"/>
        <v>135049.85990573</v>
      </c>
      <c r="F27" s="3"/>
      <c r="G27" s="28"/>
      <c r="H27" s="10"/>
      <c r="I27" s="10">
        <f t="shared" si="5"/>
        <v>6429</v>
      </c>
      <c r="J27" s="10">
        <f t="shared" si="3"/>
        <v>36480850370.250053</v>
      </c>
      <c r="K27" s="11">
        <f t="shared" si="4"/>
        <v>2.4380000000000068E-2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5539370.7918674937</v>
      </c>
      <c r="D28" s="11">
        <v>2.504E-2</v>
      </c>
      <c r="E28" s="10">
        <f t="shared" si="2"/>
        <v>135317.49456446711</v>
      </c>
      <c r="F28" s="3"/>
      <c r="G28" s="28"/>
      <c r="H28" s="10"/>
      <c r="I28" s="10">
        <f t="shared" si="5"/>
        <v>6429</v>
      </c>
      <c r="J28" s="10">
        <f t="shared" si="3"/>
        <v>35612614820.916115</v>
      </c>
      <c r="K28" s="11">
        <f t="shared" si="4"/>
        <v>2.5039999999999729E-2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5404053.2973030265</v>
      </c>
      <c r="D29" s="11">
        <v>2.631E-2</v>
      </c>
      <c r="E29" s="10">
        <f t="shared" si="2"/>
        <v>138535.76624221075</v>
      </c>
      <c r="F29" s="3"/>
      <c r="G29" s="28"/>
      <c r="H29" s="10"/>
      <c r="I29" s="10">
        <f t="shared" si="5"/>
        <v>6429</v>
      </c>
      <c r="J29" s="10">
        <f t="shared" si="3"/>
        <v>34742658648.36116</v>
      </c>
      <c r="K29" s="11">
        <f t="shared" si="4"/>
        <v>2.6310000000000278E-2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5265517.5310608158</v>
      </c>
      <c r="D30" s="11">
        <v>2.5989999999999999E-2</v>
      </c>
      <c r="E30" s="10">
        <f t="shared" si="2"/>
        <v>133384.1466605626</v>
      </c>
      <c r="F30" s="3"/>
      <c r="G30" s="28"/>
      <c r="H30" s="10"/>
      <c r="I30" s="10">
        <f t="shared" si="5"/>
        <v>6429</v>
      </c>
      <c r="J30" s="10">
        <f t="shared" si="3"/>
        <v>33852012207.189983</v>
      </c>
      <c r="K30" s="11">
        <f t="shared" si="4"/>
        <v>2.5989999999999958E-2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5132133.3844002532</v>
      </c>
      <c r="D31" s="11">
        <v>2.3189999999999999E-2</v>
      </c>
      <c r="E31" s="10">
        <f t="shared" si="2"/>
        <v>116316.78689612076</v>
      </c>
      <c r="F31" s="3"/>
      <c r="G31" s="28"/>
      <c r="H31" s="10"/>
      <c r="I31" s="10">
        <f t="shared" si="5"/>
        <v>6429</v>
      </c>
      <c r="J31" s="10">
        <f t="shared" si="3"/>
        <v>32994485528.309227</v>
      </c>
      <c r="K31" s="11">
        <f t="shared" si="4"/>
        <v>2.3189999999999822E-2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5015816.5975041324</v>
      </c>
      <c r="D32" s="11">
        <v>2.214E-2</v>
      </c>
      <c r="E32" s="10">
        <f t="shared" si="2"/>
        <v>108644.78395204339</v>
      </c>
      <c r="F32" s="3"/>
      <c r="G32" s="28"/>
      <c r="H32" s="10"/>
      <c r="I32" s="10">
        <f t="shared" si="5"/>
        <v>6429</v>
      </c>
      <c r="J32" s="10">
        <f t="shared" si="3"/>
        <v>32246684905.354069</v>
      </c>
      <c r="K32" s="11">
        <f t="shared" si="4"/>
        <v>2.2140000000000049E-2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4907171.813552089</v>
      </c>
      <c r="D33" s="11">
        <v>1.9949999999999999E-2</v>
      </c>
      <c r="E33" s="10">
        <f t="shared" si="2"/>
        <v>95983.212589208968</v>
      </c>
      <c r="F33" s="3"/>
      <c r="G33" s="28"/>
      <c r="H33" s="10"/>
      <c r="I33" s="10">
        <f t="shared" si="5"/>
        <v>6429</v>
      </c>
      <c r="J33" s="10">
        <f t="shared" si="3"/>
        <v>31548207589.326382</v>
      </c>
      <c r="K33" s="11">
        <f t="shared" si="4"/>
        <v>1.9949999999999912E-2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4811188.6009628801</v>
      </c>
      <c r="D34" s="11">
        <v>1.8249999999999999E-2</v>
      </c>
      <c r="E34" s="10">
        <f t="shared" si="2"/>
        <v>86230.485605277121</v>
      </c>
      <c r="F34" s="3"/>
      <c r="G34" s="28"/>
      <c r="H34" s="10"/>
      <c r="I34" s="10">
        <f t="shared" si="5"/>
        <v>6429</v>
      </c>
      <c r="J34" s="10">
        <f t="shared" ref="J34:J65" si="6">IF(I34="","",I34*C34)</f>
        <v>30931131515.590355</v>
      </c>
      <c r="K34" s="11">
        <f t="shared" ref="K34:K65" si="7">IFERROR(J34/J35-1,"")</f>
        <v>1.8250000000000099E-2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4724958.1153576029</v>
      </c>
      <c r="D35" s="11">
        <v>1.7950000000000001E-2</v>
      </c>
      <c r="E35" s="10">
        <f t="shared" si="2"/>
        <v>83317.449944171123</v>
      </c>
      <c r="F35" s="3"/>
      <c r="G35" s="28"/>
      <c r="H35" s="10"/>
      <c r="I35" s="10">
        <f t="shared" ref="I35:I66" si="8">IF(H35&lt;&gt;"",H35,I34/(1+IF(G34="",0,G34)/100))</f>
        <v>6429</v>
      </c>
      <c r="J35" s="10">
        <f t="shared" si="6"/>
        <v>30376755723.634029</v>
      </c>
      <c r="K35" s="11">
        <f t="shared" si="7"/>
        <v>1.794999999999991E-2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4641640.6654134318</v>
      </c>
      <c r="D36" s="11">
        <v>1.934E-2</v>
      </c>
      <c r="E36" s="10">
        <f t="shared" si="2"/>
        <v>88066.13148615323</v>
      </c>
      <c r="F36" s="3"/>
      <c r="G36" s="28"/>
      <c r="H36" s="10"/>
      <c r="I36" s="10">
        <f t="shared" si="8"/>
        <v>6429</v>
      </c>
      <c r="J36" s="10">
        <f t="shared" si="6"/>
        <v>29841107837.942955</v>
      </c>
      <c r="K36" s="11">
        <f t="shared" si="7"/>
        <v>1.9339999999999913E-2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4553574.5339272786</v>
      </c>
      <c r="D37" s="11">
        <v>2.2290000000000001E-2</v>
      </c>
      <c r="E37" s="10">
        <f t="shared" si="2"/>
        <v>99286.089427891187</v>
      </c>
      <c r="F37" s="3"/>
      <c r="G37" s="28"/>
      <c r="H37" s="10"/>
      <c r="I37" s="10">
        <f t="shared" si="8"/>
        <v>6429</v>
      </c>
      <c r="J37" s="10">
        <f t="shared" si="6"/>
        <v>29274930678.618473</v>
      </c>
      <c r="K37" s="11">
        <f t="shared" si="7"/>
        <v>2.2289999999999921E-2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4454288.4444993874</v>
      </c>
      <c r="D38" s="11">
        <v>2.4799999999999999E-2</v>
      </c>
      <c r="E38" s="10">
        <f t="shared" si="2"/>
        <v>107793.08491762727</v>
      </c>
      <c r="F38" s="3"/>
      <c r="G38" s="28"/>
      <c r="H38" s="10"/>
      <c r="I38" s="10">
        <f t="shared" si="8"/>
        <v>6429</v>
      </c>
      <c r="J38" s="10">
        <f t="shared" si="6"/>
        <v>28636620409.686562</v>
      </c>
      <c r="K38" s="11">
        <f t="shared" si="7"/>
        <v>2.4799999999999933E-2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4346495.3595817601</v>
      </c>
      <c r="D39" s="11">
        <v>2.6980000000000001E-2</v>
      </c>
      <c r="E39" s="10">
        <f t="shared" si="2"/>
        <v>114187.6616891427</v>
      </c>
      <c r="F39" s="3"/>
      <c r="G39" s="28"/>
      <c r="H39" s="10"/>
      <c r="I39" s="10">
        <f t="shared" si="8"/>
        <v>6429</v>
      </c>
      <c r="J39" s="10">
        <f t="shared" si="6"/>
        <v>27943618666.751137</v>
      </c>
      <c r="K39" s="11">
        <f t="shared" si="7"/>
        <v>2.6980000000000004E-2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4232307.6978926174</v>
      </c>
      <c r="D40" s="11">
        <v>2.69E-2</v>
      </c>
      <c r="E40" s="10">
        <f t="shared" si="2"/>
        <v>110866.76119710878</v>
      </c>
      <c r="F40" s="3"/>
      <c r="G40" s="28"/>
      <c r="H40" s="10"/>
      <c r="I40" s="10">
        <f t="shared" si="8"/>
        <v>6429</v>
      </c>
      <c r="J40" s="10">
        <f t="shared" si="6"/>
        <v>27209506189.751637</v>
      </c>
      <c r="K40" s="11">
        <f t="shared" si="7"/>
        <v>2.6899999999999702E-2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4121440.9366955087</v>
      </c>
      <c r="D41" s="11">
        <v>2.588E-2</v>
      </c>
      <c r="E41" s="10">
        <f t="shared" si="2"/>
        <v>103972.0936578149</v>
      </c>
      <c r="F41" s="3"/>
      <c r="G41" s="28"/>
      <c r="H41" s="10"/>
      <c r="I41" s="10">
        <f t="shared" si="8"/>
        <v>6429</v>
      </c>
      <c r="J41" s="10">
        <f t="shared" si="6"/>
        <v>26496743782.015427</v>
      </c>
      <c r="K41" s="11">
        <f t="shared" si="7"/>
        <v>2.5879999999999903E-2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4017468.8430376938</v>
      </c>
      <c r="D42" s="11">
        <v>2.4539999999999999E-2</v>
      </c>
      <c r="E42" s="10">
        <f t="shared" si="2"/>
        <v>96227.268245402724</v>
      </c>
      <c r="F42" s="3"/>
      <c r="G42" s="28"/>
      <c r="H42" s="10"/>
      <c r="I42" s="10">
        <f t="shared" si="8"/>
        <v>6429</v>
      </c>
      <c r="J42" s="10">
        <f t="shared" si="6"/>
        <v>25828307191.889332</v>
      </c>
      <c r="K42" s="11">
        <f t="shared" si="7"/>
        <v>2.4540000000000006E-2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3921241.574792291</v>
      </c>
      <c r="D43" s="11">
        <v>2.2960000000000001E-2</v>
      </c>
      <c r="E43" s="10">
        <f t="shared" si="2"/>
        <v>88010.974580855109</v>
      </c>
      <c r="F43" s="3"/>
      <c r="G43" s="28"/>
      <c r="H43" s="10"/>
      <c r="I43" s="10">
        <f t="shared" si="8"/>
        <v>6429</v>
      </c>
      <c r="J43" s="10">
        <f t="shared" si="6"/>
        <v>25209662084.339638</v>
      </c>
      <c r="K43" s="11">
        <f t="shared" si="7"/>
        <v>2.2960000000000091E-2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3833230.6002114359</v>
      </c>
      <c r="D44" s="11">
        <v>2.179E-2</v>
      </c>
      <c r="E44" s="10">
        <f t="shared" si="2"/>
        <v>81744.873974698596</v>
      </c>
      <c r="F44" s="3"/>
      <c r="G44" s="28"/>
      <c r="H44" s="10"/>
      <c r="I44" s="10">
        <f t="shared" si="8"/>
        <v>6429</v>
      </c>
      <c r="J44" s="10">
        <f t="shared" si="6"/>
        <v>24643839528.759323</v>
      </c>
      <c r="K44" s="11">
        <f t="shared" si="7"/>
        <v>2.1790000000000198E-2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3751485.7262367373</v>
      </c>
      <c r="D45" s="11">
        <v>2.1100000000000001E-2</v>
      </c>
      <c r="E45" s="10">
        <f t="shared" si="2"/>
        <v>77520.662837719079</v>
      </c>
      <c r="F45" s="3"/>
      <c r="G45" s="28"/>
      <c r="H45" s="10"/>
      <c r="I45" s="10">
        <f t="shared" si="8"/>
        <v>6429</v>
      </c>
      <c r="J45" s="10">
        <f t="shared" si="6"/>
        <v>24118301733.975983</v>
      </c>
      <c r="K45" s="11">
        <f t="shared" si="7"/>
        <v>2.1099999999999897E-2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3673965.0633990183</v>
      </c>
      <c r="D46" s="11">
        <v>2.1579999999999998E-2</v>
      </c>
      <c r="E46" s="10">
        <f t="shared" si="2"/>
        <v>77609.35616217088</v>
      </c>
      <c r="F46" s="3"/>
      <c r="G46" s="28"/>
      <c r="H46" s="10"/>
      <c r="I46" s="10">
        <f t="shared" si="8"/>
        <v>6429</v>
      </c>
      <c r="J46" s="10">
        <f t="shared" si="6"/>
        <v>23619921392.592289</v>
      </c>
      <c r="K46" s="11">
        <f t="shared" si="7"/>
        <v>2.1579999999999933E-2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3596355.7072368474</v>
      </c>
      <c r="D47" s="11">
        <v>2.1839999999999998E-2</v>
      </c>
      <c r="E47" s="10">
        <f t="shared" si="2"/>
        <v>76865.662575406022</v>
      </c>
      <c r="F47" s="3"/>
      <c r="G47" s="28"/>
      <c r="H47" s="10"/>
      <c r="I47" s="10">
        <f t="shared" si="8"/>
        <v>6429</v>
      </c>
      <c r="J47" s="10">
        <f t="shared" si="6"/>
        <v>23120970841.825691</v>
      </c>
      <c r="K47" s="11">
        <f t="shared" si="7"/>
        <v>2.1840000000000082E-2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3519490.0446614414</v>
      </c>
      <c r="D48" s="11">
        <v>1.83E-2</v>
      </c>
      <c r="E48" s="10">
        <f t="shared" si="2"/>
        <v>63249.207323288079</v>
      </c>
      <c r="F48" s="3"/>
      <c r="G48" s="28"/>
      <c r="H48" s="10"/>
      <c r="I48" s="10">
        <f t="shared" si="8"/>
        <v>6429</v>
      </c>
      <c r="J48" s="10">
        <f t="shared" si="6"/>
        <v>22626801497.128407</v>
      </c>
      <c r="K48" s="11">
        <f t="shared" si="7"/>
        <v>1.8299999999999983E-2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3456240.8373381533</v>
      </c>
      <c r="D49" s="11">
        <v>1.6639999999999999E-2</v>
      </c>
      <c r="E49" s="10">
        <f t="shared" si="2"/>
        <v>56570.514177395031</v>
      </c>
      <c r="F49" s="3"/>
      <c r="G49" s="28"/>
      <c r="H49" s="10"/>
      <c r="I49" s="10">
        <f t="shared" si="8"/>
        <v>6429</v>
      </c>
      <c r="J49" s="10">
        <f t="shared" si="6"/>
        <v>22220172343.246986</v>
      </c>
      <c r="K49" s="11">
        <f t="shared" si="7"/>
        <v>1.6639999999999988E-2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3399670.3231607582</v>
      </c>
      <c r="D50" s="11">
        <v>1.487E-2</v>
      </c>
      <c r="E50" s="10">
        <f t="shared" si="2"/>
        <v>49812.387503227219</v>
      </c>
      <c r="F50" s="3"/>
      <c r="G50" s="28"/>
      <c r="H50" s="10"/>
      <c r="I50" s="10">
        <f t="shared" si="8"/>
        <v>6429</v>
      </c>
      <c r="J50" s="10">
        <f t="shared" si="6"/>
        <v>21856480507.600513</v>
      </c>
      <c r="K50" s="11">
        <f t="shared" si="7"/>
        <v>1.4869999999999939E-2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3349857.935657531</v>
      </c>
      <c r="D51" s="11">
        <v>1.3050000000000001E-2</v>
      </c>
      <c r="E51" s="10">
        <f t="shared" si="2"/>
        <v>43152.505858872551</v>
      </c>
      <c r="F51" s="3"/>
      <c r="G51" s="28"/>
      <c r="H51" s="10"/>
      <c r="I51" s="10">
        <f t="shared" si="8"/>
        <v>6429</v>
      </c>
      <c r="J51" s="10">
        <f t="shared" si="6"/>
        <v>21536236668.342266</v>
      </c>
      <c r="K51" s="11">
        <f t="shared" si="7"/>
        <v>1.3050000000000006E-2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3306705.4297986585</v>
      </c>
      <c r="D52" s="11">
        <v>1.1769999999999999E-2</v>
      </c>
      <c r="E52" s="10">
        <f t="shared" si="2"/>
        <v>38467.164383931551</v>
      </c>
      <c r="F52" s="3"/>
      <c r="G52" s="28"/>
      <c r="H52" s="10"/>
      <c r="I52" s="10">
        <f t="shared" si="8"/>
        <v>6429</v>
      </c>
      <c r="J52" s="10">
        <f t="shared" si="6"/>
        <v>21258809208.175575</v>
      </c>
      <c r="K52" s="11">
        <f t="shared" si="7"/>
        <v>1.1770000000000058E-2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3268238.2654147269</v>
      </c>
      <c r="D53" s="11">
        <v>1.108E-2</v>
      </c>
      <c r="E53" s="10">
        <f t="shared" si="2"/>
        <v>35815.247043552343</v>
      </c>
      <c r="F53" s="3"/>
      <c r="G53" s="28"/>
      <c r="H53" s="10"/>
      <c r="I53" s="10">
        <f t="shared" si="8"/>
        <v>6429</v>
      </c>
      <c r="J53" s="10">
        <f t="shared" si="6"/>
        <v>21011503808.35128</v>
      </c>
      <c r="K53" s="11">
        <f t="shared" si="7"/>
        <v>1.1079999999999979E-2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3232423.0183711746</v>
      </c>
      <c r="D54" s="11">
        <v>1.031E-2</v>
      </c>
      <c r="E54" s="10">
        <f t="shared" si="2"/>
        <v>32986.193662744015</v>
      </c>
      <c r="F54" s="3"/>
      <c r="G54" s="28"/>
      <c r="H54" s="10"/>
      <c r="I54" s="10">
        <f t="shared" si="8"/>
        <v>6429</v>
      </c>
      <c r="J54" s="10">
        <f t="shared" si="6"/>
        <v>20781247585.10828</v>
      </c>
      <c r="K54" s="11">
        <f t="shared" si="7"/>
        <v>1.0310000000000041E-2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3199436.8247084306</v>
      </c>
      <c r="D55" s="11">
        <v>1.001E-2</v>
      </c>
      <c r="E55" s="10">
        <f t="shared" si="2"/>
        <v>31708.955966110807</v>
      </c>
      <c r="F55" s="3"/>
      <c r="G55" s="28"/>
      <c r="H55" s="10"/>
      <c r="I55" s="10">
        <f t="shared" si="8"/>
        <v>6429</v>
      </c>
      <c r="J55" s="10">
        <f t="shared" si="6"/>
        <v>20569179346.050499</v>
      </c>
      <c r="K55" s="11">
        <f t="shared" si="7"/>
        <v>1.0009999999999852E-2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3167727.8687423198</v>
      </c>
      <c r="D56" s="11">
        <v>1.014E-2</v>
      </c>
      <c r="E56" s="10">
        <f t="shared" si="2"/>
        <v>31798.325567789841</v>
      </c>
      <c r="F56" s="3"/>
      <c r="G56" s="28"/>
      <c r="H56" s="10"/>
      <c r="I56" s="10">
        <f t="shared" si="8"/>
        <v>6429</v>
      </c>
      <c r="J56" s="10">
        <f t="shared" si="6"/>
        <v>20365322468.144375</v>
      </c>
      <c r="K56" s="11">
        <f t="shared" si="7"/>
        <v>1.0140000000000038E-2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3135929.5431745299</v>
      </c>
      <c r="D57" s="11">
        <v>1.017E-2</v>
      </c>
      <c r="E57" s="10">
        <f t="shared" si="2"/>
        <v>31571.323098176625</v>
      </c>
      <c r="F57" s="3"/>
      <c r="G57" s="28"/>
      <c r="H57" s="10"/>
      <c r="I57" s="10">
        <f t="shared" si="8"/>
        <v>6429</v>
      </c>
      <c r="J57" s="10">
        <f t="shared" si="6"/>
        <v>20160891033.069054</v>
      </c>
      <c r="K57" s="11">
        <f t="shared" si="7"/>
        <v>1.0170000000000012E-2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3104358.2200763533</v>
      </c>
      <c r="D58" s="11">
        <v>1.115E-2</v>
      </c>
      <c r="E58" s="10">
        <f t="shared" si="2"/>
        <v>34231.908375464845</v>
      </c>
      <c r="F58" s="3"/>
      <c r="G58" s="28"/>
      <c r="H58" s="10"/>
      <c r="I58" s="10">
        <f t="shared" si="8"/>
        <v>6429</v>
      </c>
      <c r="J58" s="10">
        <f t="shared" si="6"/>
        <v>19957918996.870876</v>
      </c>
      <c r="K58" s="11">
        <f t="shared" si="7"/>
        <v>1.1149999999999993E-2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3070126.3117008884</v>
      </c>
      <c r="D59" s="11">
        <v>1.077E-2</v>
      </c>
      <c r="E59" s="10">
        <f t="shared" si="2"/>
        <v>32712.941991766915</v>
      </c>
      <c r="F59" s="3"/>
      <c r="G59" s="28"/>
      <c r="H59" s="10"/>
      <c r="I59" s="10">
        <f t="shared" si="8"/>
        <v>6429</v>
      </c>
      <c r="J59" s="10">
        <f t="shared" si="6"/>
        <v>19737842057.925011</v>
      </c>
      <c r="K59" s="11">
        <f t="shared" si="7"/>
        <v>1.0769999999999724E-2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3037413.3697091215</v>
      </c>
      <c r="D60" s="11">
        <v>9.9600000000000001E-3</v>
      </c>
      <c r="E60" s="10">
        <f t="shared" si="2"/>
        <v>29954.29240990011</v>
      </c>
      <c r="F60" s="3"/>
      <c r="G60" s="28"/>
      <c r="H60" s="10"/>
      <c r="I60" s="10">
        <f t="shared" si="8"/>
        <v>6429</v>
      </c>
      <c r="J60" s="10">
        <f t="shared" si="6"/>
        <v>19527530553.859943</v>
      </c>
      <c r="K60" s="11">
        <f t="shared" si="7"/>
        <v>9.9599999999999689E-3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3007459.0772992214</v>
      </c>
      <c r="D61" s="11">
        <v>9.7400000000000004E-3</v>
      </c>
      <c r="E61" s="10">
        <f t="shared" si="2"/>
        <v>29010.093106041662</v>
      </c>
      <c r="F61" s="3"/>
      <c r="G61" s="28"/>
      <c r="H61" s="10"/>
      <c r="I61" s="10">
        <f t="shared" si="8"/>
        <v>6429</v>
      </c>
      <c r="J61" s="10">
        <f t="shared" si="6"/>
        <v>19334954407.956696</v>
      </c>
      <c r="K61" s="11">
        <f t="shared" si="7"/>
        <v>9.7400000000000819E-3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2978448.9841931798</v>
      </c>
      <c r="D62" s="11">
        <v>9.3500000000000007E-3</v>
      </c>
      <c r="E62" s="10">
        <f t="shared" si="2"/>
        <v>27590.526578695513</v>
      </c>
      <c r="F62" s="3"/>
      <c r="G62" s="28"/>
      <c r="H62" s="10"/>
      <c r="I62" s="10">
        <f t="shared" si="8"/>
        <v>6429</v>
      </c>
      <c r="J62" s="10">
        <f t="shared" si="6"/>
        <v>19148448519.377953</v>
      </c>
      <c r="K62" s="11">
        <f t="shared" si="7"/>
        <v>9.3499999999999694E-3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2950858.4576144842</v>
      </c>
      <c r="D63" s="11">
        <v>9.9100000000000004E-3</v>
      </c>
      <c r="E63" s="10">
        <f t="shared" si="2"/>
        <v>28956.052831400651</v>
      </c>
      <c r="F63" s="3"/>
      <c r="G63" s="28"/>
      <c r="H63" s="10"/>
      <c r="I63" s="10">
        <f t="shared" si="8"/>
        <v>6429</v>
      </c>
      <c r="J63" s="10">
        <f t="shared" si="6"/>
        <v>18971069024.003521</v>
      </c>
      <c r="K63" s="11">
        <f t="shared" si="7"/>
        <v>9.9100000000000854E-3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2921902.4047830836</v>
      </c>
      <c r="D64" s="11">
        <v>1.0829999999999999E-2</v>
      </c>
      <c r="E64" s="10">
        <f t="shared" si="2"/>
        <v>31305.168073563837</v>
      </c>
      <c r="F64" s="3"/>
      <c r="G64" s="28"/>
      <c r="H64" s="10"/>
      <c r="I64" s="10">
        <f t="shared" si="8"/>
        <v>6429</v>
      </c>
      <c r="J64" s="10">
        <f t="shared" si="6"/>
        <v>18784910560.350445</v>
      </c>
      <c r="K64" s="11">
        <f t="shared" si="7"/>
        <v>1.0829999999999895E-2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2890597.2367095198</v>
      </c>
      <c r="D65" s="11">
        <v>1.2489999999999999E-2</v>
      </c>
      <c r="E65" s="10">
        <f t="shared" si="2"/>
        <v>35658.188709519804</v>
      </c>
      <c r="F65" s="3"/>
      <c r="G65" s="28"/>
      <c r="H65" s="10"/>
      <c r="I65" s="10">
        <f t="shared" si="8"/>
        <v>6429</v>
      </c>
      <c r="J65" s="10">
        <f t="shared" si="6"/>
        <v>18583649634.805504</v>
      </c>
      <c r="K65" s="11">
        <f t="shared" si="7"/>
        <v>1.2490000000000112E-2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2854939.048</v>
      </c>
      <c r="D66" s="11">
        <v>1.426E-2</v>
      </c>
      <c r="E66" s="10">
        <f t="shared" si="2"/>
        <v>40139.047999999952</v>
      </c>
      <c r="F66" s="24">
        <f>SUM(F2)</f>
        <v>9164021</v>
      </c>
      <c r="G66" s="28"/>
      <c r="H66" s="10"/>
      <c r="I66" s="10">
        <f t="shared" si="8"/>
        <v>6429</v>
      </c>
      <c r="J66" s="10">
        <f t="shared" ref="J66:J67" si="9">IF(I66="","",I66*C66)</f>
        <v>18354403139.591999</v>
      </c>
      <c r="K66" s="11">
        <f t="shared" ref="K66" si="10">IFERROR(J66/J67-1,"")</f>
        <v>1.4259999999999939E-2</v>
      </c>
    </row>
    <row r="67" spans="1:11" ht="22.5" customHeight="1">
      <c r="A67" s="3">
        <f t="shared" si="0"/>
        <v>1950</v>
      </c>
      <c r="B67" s="3">
        <v>1700</v>
      </c>
      <c r="C67" s="10">
        <v>2814800</v>
      </c>
      <c r="D67" s="11">
        <v>1.47E-2</v>
      </c>
      <c r="E67" s="3" t="s">
        <v>72</v>
      </c>
      <c r="F67" s="10">
        <f>SUM(C2)</f>
        <v>9164625.6366110574</v>
      </c>
      <c r="G67" s="28"/>
      <c r="H67" s="10"/>
      <c r="I67" s="10">
        <f t="shared" ref="I67" si="11">IF(H67&lt;&gt;"",H67,I66/(1+IF(G66="",0,G66)/100))</f>
        <v>6429</v>
      </c>
      <c r="J67" s="10">
        <f t="shared" si="9"/>
        <v>18096349200</v>
      </c>
      <c r="K67" s="11"/>
    </row>
  </sheetData>
  <dataValidations count="1">
    <dataValidation type="custom" allowBlank="1" showDropDown="1" sqref="D2:D67" xr:uid="{00000000-0002-0000-4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6524314.5465817414</v>
      </c>
      <c r="D2" s="11">
        <v>-2.0000000000000002E-5</v>
      </c>
      <c r="E2" s="10">
        <f t="shared" ref="E2:E66" si="2">SUM(C2-C3)</f>
        <v>-130.48890070989728</v>
      </c>
      <c r="F2" s="15">
        <v>6524522</v>
      </c>
      <c r="G2" s="28"/>
      <c r="H2" s="10"/>
      <c r="I2" s="10">
        <f>IF(H2&lt;&gt;"",H2,24722)</f>
        <v>24722</v>
      </c>
      <c r="J2" s="10">
        <f t="shared" ref="J2:J33" si="3">IF(I2="","",I2*C2)</f>
        <v>161294104220.59381</v>
      </c>
      <c r="K2" s="11">
        <f t="shared" ref="K2:K33" si="4">IFERROR(J2/J3-1,"")</f>
        <v>-2.0000000000131024E-5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6524445.0354824513</v>
      </c>
      <c r="D3" s="11">
        <v>8.0000000000000007E-5</v>
      </c>
      <c r="E3" s="10">
        <f t="shared" si="2"/>
        <v>521.91384973097593</v>
      </c>
      <c r="F3" s="3"/>
      <c r="G3" s="28"/>
      <c r="H3" s="10"/>
      <c r="I3" s="10">
        <f t="shared" ref="I3:I34" si="5">IF(H3&lt;&gt;"",H3,I2/(1+IF(G2="",0,G2)/100))</f>
        <v>24722</v>
      </c>
      <c r="J3" s="10">
        <f t="shared" si="3"/>
        <v>161297330167.19717</v>
      </c>
      <c r="K3" s="11">
        <f t="shared" si="4"/>
        <v>8.0000000000080007E-5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6523923.1216327203</v>
      </c>
      <c r="D4" s="11">
        <v>2.2000000000000001E-4</v>
      </c>
      <c r="E4" s="10">
        <f t="shared" si="2"/>
        <v>1434.9473983319476</v>
      </c>
      <c r="F4" s="3"/>
      <c r="G4" s="28"/>
      <c r="H4" s="10"/>
      <c r="I4" s="10">
        <f t="shared" si="5"/>
        <v>24722</v>
      </c>
      <c r="J4" s="10">
        <f t="shared" si="3"/>
        <v>161284427413.00412</v>
      </c>
      <c r="K4" s="11">
        <f t="shared" si="4"/>
        <v>2.20000000000109E-4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6522488.1742343884</v>
      </c>
      <c r="D5" s="11">
        <v>3.6999999999999999E-4</v>
      </c>
      <c r="E5" s="10">
        <f t="shared" si="2"/>
        <v>2412.4280260968953</v>
      </c>
      <c r="F5" s="3"/>
      <c r="G5" s="28"/>
      <c r="H5" s="10"/>
      <c r="I5" s="10">
        <f t="shared" si="5"/>
        <v>24722</v>
      </c>
      <c r="J5" s="10">
        <f t="shared" si="3"/>
        <v>161248952643.42255</v>
      </c>
      <c r="K5" s="11">
        <f t="shared" si="4"/>
        <v>3.6999999999998145E-4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6520075.7462082915</v>
      </c>
      <c r="D6" s="11">
        <v>1.6800000000000001E-3</v>
      </c>
      <c r="E6" s="10">
        <f t="shared" si="2"/>
        <v>10935.35585579183</v>
      </c>
      <c r="F6" s="3"/>
      <c r="G6" s="28"/>
      <c r="H6" s="10"/>
      <c r="I6" s="10">
        <f t="shared" si="5"/>
        <v>24722</v>
      </c>
      <c r="J6" s="10">
        <f t="shared" si="3"/>
        <v>161189312597.76138</v>
      </c>
      <c r="K6" s="11">
        <f t="shared" si="4"/>
        <v>1.6799999999999038E-3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6509140.3903524997</v>
      </c>
      <c r="D7" s="11">
        <v>4.2599999999999999E-3</v>
      </c>
      <c r="E7" s="10">
        <f t="shared" si="2"/>
        <v>27611.313865832984</v>
      </c>
      <c r="F7" s="3"/>
      <c r="G7" s="28"/>
      <c r="H7" s="10"/>
      <c r="I7" s="10">
        <f t="shared" si="5"/>
        <v>24722</v>
      </c>
      <c r="J7" s="10">
        <f t="shared" si="3"/>
        <v>160918968730.29449</v>
      </c>
      <c r="K7" s="11">
        <f t="shared" si="4"/>
        <v>4.2599999999999305E-3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6481529.0764866667</v>
      </c>
      <c r="D8" s="11">
        <v>6.3000000000000003E-4</v>
      </c>
      <c r="E8" s="10">
        <f t="shared" si="2"/>
        <v>4080.7924189623445</v>
      </c>
      <c r="F8" s="3"/>
      <c r="G8" s="28"/>
      <c r="H8" s="10"/>
      <c r="I8" s="10">
        <f t="shared" si="5"/>
        <v>24722</v>
      </c>
      <c r="J8" s="10">
        <f t="shared" si="3"/>
        <v>160236361828.90338</v>
      </c>
      <c r="K8" s="11">
        <f t="shared" si="4"/>
        <v>6.2999999999990841E-4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6477448.2840677043</v>
      </c>
      <c r="D9" s="11">
        <v>-2.9999999999999997E-4</v>
      </c>
      <c r="E9" s="10">
        <f t="shared" si="2"/>
        <v>-1943.8176305089146</v>
      </c>
      <c r="F9" s="3"/>
      <c r="G9" s="28"/>
      <c r="H9" s="10"/>
      <c r="I9" s="10">
        <f t="shared" si="5"/>
        <v>24722</v>
      </c>
      <c r="J9" s="10">
        <f t="shared" si="3"/>
        <v>160135476478.7218</v>
      </c>
      <c r="K9" s="11">
        <f t="shared" si="4"/>
        <v>-2.9999999999985594E-4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6479392.1016982133</v>
      </c>
      <c r="D10" s="11">
        <v>-9.8999999999999999E-4</v>
      </c>
      <c r="E10" s="10">
        <f t="shared" si="2"/>
        <v>-6420.95492605865</v>
      </c>
      <c r="F10" s="3"/>
      <c r="G10" s="28"/>
      <c r="H10" s="10"/>
      <c r="I10" s="10">
        <f t="shared" si="5"/>
        <v>24722</v>
      </c>
      <c r="J10" s="10">
        <f t="shared" si="3"/>
        <v>160183531538.18323</v>
      </c>
      <c r="K10" s="11">
        <f t="shared" si="4"/>
        <v>-9.9000000000015742E-4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6485813.0566242719</v>
      </c>
      <c r="D11" s="11">
        <v>-1.6800000000000001E-3</v>
      </c>
      <c r="E11" s="10">
        <f t="shared" si="2"/>
        <v>-10914.502298991196</v>
      </c>
      <c r="F11" s="3"/>
      <c r="G11" s="28"/>
      <c r="H11" s="10"/>
      <c r="I11" s="10">
        <f t="shared" si="5"/>
        <v>24722</v>
      </c>
      <c r="J11" s="10">
        <f t="shared" si="3"/>
        <v>160342270385.86526</v>
      </c>
      <c r="K11" s="11">
        <f t="shared" si="4"/>
        <v>-1.6799999999997928E-3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6496727.5589232631</v>
      </c>
      <c r="D12" s="11">
        <v>-1.1100000000000001E-3</v>
      </c>
      <c r="E12" s="10">
        <f t="shared" si="2"/>
        <v>-7219.3811034299433</v>
      </c>
      <c r="F12" s="3"/>
      <c r="G12" s="28"/>
      <c r="H12" s="10"/>
      <c r="I12" s="10">
        <f t="shared" si="5"/>
        <v>24722</v>
      </c>
      <c r="J12" s="10">
        <f t="shared" si="3"/>
        <v>160612098711.7009</v>
      </c>
      <c r="K12" s="11">
        <f t="shared" si="4"/>
        <v>-1.1100000000001664E-3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6503946.940026693</v>
      </c>
      <c r="D13" s="11">
        <v>-1.15E-3</v>
      </c>
      <c r="E13" s="10">
        <f t="shared" si="2"/>
        <v>-7488.1503539374098</v>
      </c>
      <c r="F13" s="3"/>
      <c r="G13" s="28"/>
      <c r="H13" s="10"/>
      <c r="I13" s="10">
        <f t="shared" si="5"/>
        <v>24722</v>
      </c>
      <c r="J13" s="10">
        <f t="shared" si="3"/>
        <v>160790576251.3399</v>
      </c>
      <c r="K13" s="11">
        <f t="shared" si="4"/>
        <v>-1.1499999999999844E-3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6511435.0903806305</v>
      </c>
      <c r="D14" s="11">
        <v>-7.2999999999999996E-4</v>
      </c>
      <c r="E14" s="10">
        <f t="shared" si="2"/>
        <v>-4756.820094646886</v>
      </c>
      <c r="F14" s="3"/>
      <c r="G14" s="28"/>
      <c r="H14" s="10"/>
      <c r="I14" s="10">
        <f t="shared" si="5"/>
        <v>24722</v>
      </c>
      <c r="J14" s="10">
        <f t="shared" si="3"/>
        <v>160975698304.38995</v>
      </c>
      <c r="K14" s="11">
        <f t="shared" si="4"/>
        <v>-7.299999999998974E-4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6516191.9104752773</v>
      </c>
      <c r="D15" s="11">
        <v>-6.2E-4</v>
      </c>
      <c r="E15" s="10">
        <f t="shared" si="2"/>
        <v>-4042.5453626187518</v>
      </c>
      <c r="F15" s="3"/>
      <c r="G15" s="28"/>
      <c r="H15" s="10"/>
      <c r="I15" s="10">
        <f t="shared" si="5"/>
        <v>24722</v>
      </c>
      <c r="J15" s="10">
        <f t="shared" si="3"/>
        <v>161093296410.76981</v>
      </c>
      <c r="K15" s="11">
        <f t="shared" si="4"/>
        <v>-6.199999999998429E-4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6520234.4558378961</v>
      </c>
      <c r="D16" s="11">
        <v>-3.2000000000000003E-4</v>
      </c>
      <c r="E16" s="10">
        <f t="shared" si="2"/>
        <v>-2087.142911599949</v>
      </c>
      <c r="F16" s="3"/>
      <c r="G16" s="28"/>
      <c r="H16" s="10"/>
      <c r="I16" s="10">
        <f t="shared" si="5"/>
        <v>24722</v>
      </c>
      <c r="J16" s="10">
        <f t="shared" si="3"/>
        <v>161193236217.22446</v>
      </c>
      <c r="K16" s="11">
        <f t="shared" si="4"/>
        <v>-3.1999999999998696E-4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6522321.598749496</v>
      </c>
      <c r="D17" s="11">
        <v>-2.4000000000000001E-4</v>
      </c>
      <c r="E17" s="10">
        <f t="shared" si="2"/>
        <v>-1565.73295961041</v>
      </c>
      <c r="F17" s="3"/>
      <c r="G17" s="28"/>
      <c r="H17" s="10"/>
      <c r="I17" s="10">
        <f t="shared" si="5"/>
        <v>24722</v>
      </c>
      <c r="J17" s="10">
        <f t="shared" si="3"/>
        <v>161244834564.28503</v>
      </c>
      <c r="K17" s="11">
        <f t="shared" si="4"/>
        <v>-2.40000000000129E-4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6523887.3317091065</v>
      </c>
      <c r="D18" s="11">
        <v>-1.2999999999999999E-3</v>
      </c>
      <c r="E18" s="10">
        <f t="shared" si="2"/>
        <v>-8492.0932524502277</v>
      </c>
      <c r="F18" s="3"/>
      <c r="G18" s="28"/>
      <c r="H18" s="10"/>
      <c r="I18" s="10">
        <f t="shared" si="5"/>
        <v>24722</v>
      </c>
      <c r="J18" s="10">
        <f t="shared" si="3"/>
        <v>161283542614.51254</v>
      </c>
      <c r="K18" s="11">
        <f t="shared" si="4"/>
        <v>-1.2999999999998568E-3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6532379.4249615567</v>
      </c>
      <c r="D19" s="11">
        <v>-7.2000000000000005E-4</v>
      </c>
      <c r="E19" s="10">
        <f t="shared" si="2"/>
        <v>-4706.7020114213228</v>
      </c>
      <c r="F19" s="3"/>
      <c r="G19" s="28"/>
      <c r="H19" s="10"/>
      <c r="I19" s="10">
        <f t="shared" si="5"/>
        <v>24722</v>
      </c>
      <c r="J19" s="10">
        <f t="shared" si="3"/>
        <v>161493484143.8996</v>
      </c>
      <c r="K19" s="11">
        <f t="shared" si="4"/>
        <v>-7.2000000000016495E-4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6537086.126972978</v>
      </c>
      <c r="D20" s="11">
        <v>-4.2000000000000002E-4</v>
      </c>
      <c r="E20" s="10">
        <f t="shared" si="2"/>
        <v>-2746.7297998443246</v>
      </c>
      <c r="F20" s="3"/>
      <c r="G20" s="28"/>
      <c r="H20" s="10"/>
      <c r="I20" s="10">
        <f t="shared" si="5"/>
        <v>24722</v>
      </c>
      <c r="J20" s="10">
        <f t="shared" si="3"/>
        <v>161609843231.02597</v>
      </c>
      <c r="K20" s="11">
        <f t="shared" si="4"/>
        <v>-4.1999999999997595E-4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6539832.8567728223</v>
      </c>
      <c r="D21" s="11">
        <v>-1.3999999999999999E-4</v>
      </c>
      <c r="E21" s="10">
        <f t="shared" si="2"/>
        <v>-915.7047986201942</v>
      </c>
      <c r="F21" s="3"/>
      <c r="G21" s="28"/>
      <c r="H21" s="10"/>
      <c r="I21" s="10">
        <f t="shared" si="5"/>
        <v>24722</v>
      </c>
      <c r="J21" s="10">
        <f t="shared" si="3"/>
        <v>161677747885.13773</v>
      </c>
      <c r="K21" s="11">
        <f t="shared" si="4"/>
        <v>-1.3999999999991797E-4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6540748.5615714425</v>
      </c>
      <c r="D22" s="11">
        <v>-1.3999999999999999E-4</v>
      </c>
      <c r="E22" s="10">
        <f t="shared" si="2"/>
        <v>-915.8330152425915</v>
      </c>
      <c r="F22" s="3"/>
      <c r="G22" s="28"/>
      <c r="H22" s="10"/>
      <c r="I22" s="10">
        <f t="shared" si="5"/>
        <v>24722</v>
      </c>
      <c r="J22" s="10">
        <f t="shared" si="3"/>
        <v>161700385939.16919</v>
      </c>
      <c r="K22" s="11">
        <f t="shared" si="4"/>
        <v>-1.4000000000002899E-4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6541664.3945866851</v>
      </c>
      <c r="D23" s="11">
        <v>1.2099999999999999E-3</v>
      </c>
      <c r="E23" s="10">
        <f t="shared" si="2"/>
        <v>7905.8478415608406</v>
      </c>
      <c r="F23" s="3"/>
      <c r="G23" s="28"/>
      <c r="H23" s="10"/>
      <c r="I23" s="10">
        <f t="shared" si="5"/>
        <v>24722</v>
      </c>
      <c r="J23" s="10">
        <f t="shared" si="3"/>
        <v>161723027162.97202</v>
      </c>
      <c r="K23" s="11">
        <f t="shared" si="4"/>
        <v>1.2099999999997113E-3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6533758.5467451243</v>
      </c>
      <c r="D24" s="11">
        <v>1.3699999999999999E-3</v>
      </c>
      <c r="E24" s="10">
        <f t="shared" si="2"/>
        <v>8939.0027752397582</v>
      </c>
      <c r="F24" s="3"/>
      <c r="G24" s="28"/>
      <c r="H24" s="10"/>
      <c r="I24" s="10">
        <f t="shared" si="5"/>
        <v>24722</v>
      </c>
      <c r="J24" s="10">
        <f t="shared" si="3"/>
        <v>161527578792.63297</v>
      </c>
      <c r="K24" s="11">
        <f t="shared" si="4"/>
        <v>1.3700000000000934E-3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6524819.5439698845</v>
      </c>
      <c r="D25" s="11">
        <v>1.83E-3</v>
      </c>
      <c r="E25" s="10">
        <f t="shared" si="2"/>
        <v>11918.608711523004</v>
      </c>
      <c r="F25" s="3"/>
      <c r="G25" s="28"/>
      <c r="H25" s="10"/>
      <c r="I25" s="10">
        <f t="shared" si="5"/>
        <v>24722</v>
      </c>
      <c r="J25" s="10">
        <f t="shared" si="3"/>
        <v>161306588766.0235</v>
      </c>
      <c r="K25" s="11">
        <f t="shared" si="4"/>
        <v>1.8299999999999983E-3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6512900.9352583615</v>
      </c>
      <c r="D26" s="11">
        <v>2.3999999999999998E-3</v>
      </c>
      <c r="E26" s="10">
        <f t="shared" si="2"/>
        <v>15593.537754010409</v>
      </c>
      <c r="F26" s="3"/>
      <c r="G26" s="28"/>
      <c r="H26" s="10"/>
      <c r="I26" s="10">
        <f t="shared" si="5"/>
        <v>24722</v>
      </c>
      <c r="J26" s="10">
        <f t="shared" si="3"/>
        <v>161011936921.45721</v>
      </c>
      <c r="K26" s="11">
        <f t="shared" si="4"/>
        <v>2.3999999999999577E-3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6497307.3975043511</v>
      </c>
      <c r="D27" s="11">
        <v>2.7200000000000002E-3</v>
      </c>
      <c r="E27" s="10">
        <f t="shared" si="2"/>
        <v>17624.736837015487</v>
      </c>
      <c r="F27" s="3"/>
      <c r="G27" s="28"/>
      <c r="H27" s="10"/>
      <c r="I27" s="10">
        <f t="shared" si="5"/>
        <v>24722</v>
      </c>
      <c r="J27" s="10">
        <f t="shared" si="3"/>
        <v>160626433481.10257</v>
      </c>
      <c r="K27" s="11">
        <f t="shared" si="4"/>
        <v>2.7200000000000557E-3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6479682.6606673356</v>
      </c>
      <c r="D28" s="11">
        <v>3.46E-3</v>
      </c>
      <c r="E28" s="10">
        <f t="shared" si="2"/>
        <v>22342.397311212495</v>
      </c>
      <c r="F28" s="3"/>
      <c r="G28" s="28"/>
      <c r="H28" s="10"/>
      <c r="I28" s="10">
        <f t="shared" si="5"/>
        <v>24722</v>
      </c>
      <c r="J28" s="10">
        <f t="shared" si="3"/>
        <v>160190714737.01788</v>
      </c>
      <c r="K28" s="11">
        <f t="shared" si="4"/>
        <v>3.4600000000002407E-3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6457340.2633561231</v>
      </c>
      <c r="D29" s="11">
        <v>2.8900000000000002E-3</v>
      </c>
      <c r="E29" s="10">
        <f t="shared" si="2"/>
        <v>18607.93642483186</v>
      </c>
      <c r="F29" s="3"/>
      <c r="G29" s="28"/>
      <c r="H29" s="10"/>
      <c r="I29" s="10">
        <f t="shared" si="5"/>
        <v>24722</v>
      </c>
      <c r="J29" s="10">
        <f t="shared" si="3"/>
        <v>159638365990.69006</v>
      </c>
      <c r="K29" s="11">
        <f t="shared" si="4"/>
        <v>2.8900000000000592E-3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6438732.3269312913</v>
      </c>
      <c r="D30" s="11">
        <v>5.1799999999999997E-3</v>
      </c>
      <c r="E30" s="10">
        <f t="shared" si="2"/>
        <v>33180.757131562568</v>
      </c>
      <c r="F30" s="3"/>
      <c r="G30" s="28"/>
      <c r="H30" s="10"/>
      <c r="I30" s="10">
        <f t="shared" si="5"/>
        <v>24722</v>
      </c>
      <c r="J30" s="10">
        <f t="shared" si="3"/>
        <v>159178340586.39539</v>
      </c>
      <c r="K30" s="11">
        <f t="shared" si="4"/>
        <v>5.1799999999999624E-3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6405551.5697997287</v>
      </c>
      <c r="D31" s="11">
        <v>6.1700000000000001E-3</v>
      </c>
      <c r="E31" s="10">
        <f t="shared" si="2"/>
        <v>39279.896225950681</v>
      </c>
      <c r="F31" s="3"/>
      <c r="G31" s="28"/>
      <c r="H31" s="10"/>
      <c r="I31" s="10">
        <f t="shared" si="5"/>
        <v>24722</v>
      </c>
      <c r="J31" s="10">
        <f t="shared" si="3"/>
        <v>158358045908.5889</v>
      </c>
      <c r="K31" s="11">
        <f t="shared" si="4"/>
        <v>6.1700000000000088E-3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6366271.673573778</v>
      </c>
      <c r="D32" s="11">
        <v>7.3200000000000001E-3</v>
      </c>
      <c r="E32" s="10">
        <f t="shared" si="2"/>
        <v>46262.467389270663</v>
      </c>
      <c r="F32" s="3"/>
      <c r="G32" s="28"/>
      <c r="H32" s="10"/>
      <c r="I32" s="10">
        <f t="shared" si="5"/>
        <v>24722</v>
      </c>
      <c r="J32" s="10">
        <f t="shared" si="3"/>
        <v>157386968314.09094</v>
      </c>
      <c r="K32" s="11">
        <f t="shared" si="4"/>
        <v>7.3199999999999932E-3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6320009.2061845073</v>
      </c>
      <c r="D33" s="11">
        <v>8.6099999999999996E-3</v>
      </c>
      <c r="E33" s="10">
        <f t="shared" si="2"/>
        <v>53950.763194147497</v>
      </c>
      <c r="F33" s="3"/>
      <c r="G33" s="28"/>
      <c r="H33" s="10"/>
      <c r="I33" s="10">
        <f t="shared" si="5"/>
        <v>24722</v>
      </c>
      <c r="J33" s="10">
        <f t="shared" si="3"/>
        <v>156243267595.2934</v>
      </c>
      <c r="K33" s="11">
        <f t="shared" si="4"/>
        <v>8.6100000000002286E-3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6266058.4429903599</v>
      </c>
      <c r="D34" s="11">
        <v>9.4800000000000006E-3</v>
      </c>
      <c r="E34" s="10">
        <f t="shared" si="2"/>
        <v>58844.389229651541</v>
      </c>
      <c r="F34" s="3"/>
      <c r="G34" s="28"/>
      <c r="H34" s="10"/>
      <c r="I34" s="10">
        <f t="shared" si="5"/>
        <v>24722</v>
      </c>
      <c r="J34" s="10">
        <f t="shared" ref="J34:J65" si="6">IF(I34="","",I34*C34)</f>
        <v>154909496827.60767</v>
      </c>
      <c r="K34" s="11">
        <f t="shared" ref="K34:K65" si="7">IFERROR(J34/J35-1,"")</f>
        <v>9.4799999999999329E-3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6207214.0537607083</v>
      </c>
      <c r="D35" s="11">
        <v>9.2200000000000008E-3</v>
      </c>
      <c r="E35" s="10">
        <f t="shared" si="2"/>
        <v>56707.668868704699</v>
      </c>
      <c r="F35" s="3"/>
      <c r="G35" s="28"/>
      <c r="H35" s="10"/>
      <c r="I35" s="10">
        <f t="shared" ref="I35:I66" si="8">IF(H35&lt;&gt;"",H35,I34/(1+IF(G34="",0,G34)/100))</f>
        <v>24722</v>
      </c>
      <c r="J35" s="10">
        <f t="shared" si="6"/>
        <v>153454745837.07224</v>
      </c>
      <c r="K35" s="11">
        <f t="shared" si="7"/>
        <v>9.220000000000228E-3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6150506.3848920036</v>
      </c>
      <c r="D36" s="11">
        <v>9.2200000000000008E-3</v>
      </c>
      <c r="E36" s="10">
        <f t="shared" si="2"/>
        <v>56189.6007497916</v>
      </c>
      <c r="F36" s="3"/>
      <c r="G36" s="28"/>
      <c r="H36" s="10"/>
      <c r="I36" s="10">
        <f t="shared" si="8"/>
        <v>24722</v>
      </c>
      <c r="J36" s="10">
        <f t="shared" si="6"/>
        <v>152052818847.30011</v>
      </c>
      <c r="K36" s="11">
        <f t="shared" si="7"/>
        <v>9.220000000000228E-3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6094316.784142212</v>
      </c>
      <c r="D37" s="11">
        <v>8.9300000000000004E-3</v>
      </c>
      <c r="E37" s="10">
        <f t="shared" si="2"/>
        <v>53940.559684408829</v>
      </c>
      <c r="F37" s="3"/>
      <c r="G37" s="28"/>
      <c r="H37" s="10"/>
      <c r="I37" s="10">
        <f t="shared" si="8"/>
        <v>24722</v>
      </c>
      <c r="J37" s="10">
        <f t="shared" si="6"/>
        <v>150663699537.56375</v>
      </c>
      <c r="K37" s="11">
        <f t="shared" si="7"/>
        <v>8.9300000000001045E-3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6040376.2244578032</v>
      </c>
      <c r="D38" s="11">
        <v>9.6100000000000005E-3</v>
      </c>
      <c r="E38" s="10">
        <f t="shared" si="2"/>
        <v>57495.483916600235</v>
      </c>
      <c r="F38" s="3"/>
      <c r="G38" s="28"/>
      <c r="H38" s="10"/>
      <c r="I38" s="10">
        <f t="shared" si="8"/>
        <v>24722</v>
      </c>
      <c r="J38" s="10">
        <f t="shared" si="6"/>
        <v>149330181021.04581</v>
      </c>
      <c r="K38" s="11">
        <f t="shared" si="7"/>
        <v>9.6099999999998964E-3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5982880.7405412029</v>
      </c>
      <c r="D39" s="11">
        <v>8.2900000000000005E-3</v>
      </c>
      <c r="E39" s="10">
        <f t="shared" si="2"/>
        <v>49190.293803455308</v>
      </c>
      <c r="F39" s="3"/>
      <c r="G39" s="28"/>
      <c r="H39" s="10"/>
      <c r="I39" s="10">
        <f t="shared" si="8"/>
        <v>24722</v>
      </c>
      <c r="J39" s="10">
        <f t="shared" si="6"/>
        <v>147908777667.65961</v>
      </c>
      <c r="K39" s="11">
        <f t="shared" si="7"/>
        <v>8.2899999999996865E-3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5933690.4467377476</v>
      </c>
      <c r="D40" s="11">
        <v>9.2899999999999996E-3</v>
      </c>
      <c r="E40" s="10">
        <f t="shared" si="2"/>
        <v>54616.596072678454</v>
      </c>
      <c r="F40" s="3"/>
      <c r="G40" s="28"/>
      <c r="H40" s="10"/>
      <c r="I40" s="10">
        <f t="shared" si="8"/>
        <v>24722</v>
      </c>
      <c r="J40" s="10">
        <f t="shared" si="6"/>
        <v>146692695224.25061</v>
      </c>
      <c r="K40" s="11">
        <f t="shared" si="7"/>
        <v>9.2900000000000205E-3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5879073.8506650692</v>
      </c>
      <c r="D41" s="11">
        <v>9.9799999999999993E-3</v>
      </c>
      <c r="E41" s="10">
        <f t="shared" si="2"/>
        <v>58093.385046870448</v>
      </c>
      <c r="F41" s="3"/>
      <c r="G41" s="28"/>
      <c r="H41" s="10"/>
      <c r="I41" s="10">
        <f t="shared" si="8"/>
        <v>24722</v>
      </c>
      <c r="J41" s="10">
        <f t="shared" si="6"/>
        <v>145342463736.14185</v>
      </c>
      <c r="K41" s="11">
        <f t="shared" si="7"/>
        <v>9.9800000000000999E-3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5820980.4656181987</v>
      </c>
      <c r="D42" s="11">
        <v>9.4900000000000002E-3</v>
      </c>
      <c r="E42" s="10">
        <f t="shared" si="2"/>
        <v>54721.794786195271</v>
      </c>
      <c r="F42" s="3"/>
      <c r="G42" s="28"/>
      <c r="H42" s="10"/>
      <c r="I42" s="10">
        <f t="shared" si="8"/>
        <v>24722</v>
      </c>
      <c r="J42" s="10">
        <f t="shared" si="6"/>
        <v>143906279071.01312</v>
      </c>
      <c r="K42" s="11">
        <f t="shared" si="7"/>
        <v>9.4899999999999984E-3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5766258.6708320035</v>
      </c>
      <c r="D43" s="11">
        <v>9.5600000000000008E-3</v>
      </c>
      <c r="E43" s="10">
        <f t="shared" si="2"/>
        <v>54603.424158201553</v>
      </c>
      <c r="F43" s="3"/>
      <c r="G43" s="28"/>
      <c r="H43" s="10"/>
      <c r="I43" s="10">
        <f t="shared" si="8"/>
        <v>24722</v>
      </c>
      <c r="J43" s="10">
        <f t="shared" si="6"/>
        <v>142553446860.30878</v>
      </c>
      <c r="K43" s="11">
        <f t="shared" si="7"/>
        <v>9.5599999999997909E-3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5711655.2466738019</v>
      </c>
      <c r="D44" s="11">
        <v>8.8999999999999999E-3</v>
      </c>
      <c r="E44" s="10">
        <f t="shared" si="2"/>
        <v>50385.302503118291</v>
      </c>
      <c r="F44" s="3"/>
      <c r="G44" s="28"/>
      <c r="H44" s="10"/>
      <c r="I44" s="10">
        <f t="shared" si="8"/>
        <v>24722</v>
      </c>
      <c r="J44" s="10">
        <f t="shared" si="6"/>
        <v>141203541008.26974</v>
      </c>
      <c r="K44" s="11">
        <f t="shared" si="7"/>
        <v>8.90000000000013E-3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5661269.9441706836</v>
      </c>
      <c r="D45" s="11">
        <v>8.6499999999999997E-3</v>
      </c>
      <c r="E45" s="10">
        <f t="shared" si="2"/>
        <v>48550.027281095274</v>
      </c>
      <c r="F45" s="3"/>
      <c r="G45" s="28"/>
      <c r="H45" s="10"/>
      <c r="I45" s="10">
        <f t="shared" si="8"/>
        <v>24722</v>
      </c>
      <c r="J45" s="10">
        <f t="shared" si="6"/>
        <v>139957915559.78763</v>
      </c>
      <c r="K45" s="11">
        <f t="shared" si="7"/>
        <v>8.6500000000000465E-3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5612719.9168895883</v>
      </c>
      <c r="D46" s="11">
        <v>7.7999999999999996E-3</v>
      </c>
      <c r="E46" s="10">
        <f t="shared" si="2"/>
        <v>43440.380384737626</v>
      </c>
      <c r="F46" s="3"/>
      <c r="G46" s="28"/>
      <c r="H46" s="10"/>
      <c r="I46" s="10">
        <f t="shared" si="8"/>
        <v>24722</v>
      </c>
      <c r="J46" s="10">
        <f t="shared" si="6"/>
        <v>138757661785.34439</v>
      </c>
      <c r="K46" s="11">
        <f t="shared" si="7"/>
        <v>7.7999999999998071E-3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5569279.5365048507</v>
      </c>
      <c r="D47" s="11">
        <v>6.1999999999999998E-3</v>
      </c>
      <c r="E47" s="10">
        <f t="shared" si="2"/>
        <v>34316.769157553092</v>
      </c>
      <c r="F47" s="3"/>
      <c r="G47" s="28"/>
      <c r="H47" s="10"/>
      <c r="I47" s="10">
        <f t="shared" si="8"/>
        <v>24722</v>
      </c>
      <c r="J47" s="10">
        <f t="shared" si="6"/>
        <v>137683728701.47293</v>
      </c>
      <c r="K47" s="11">
        <f t="shared" si="7"/>
        <v>6.1999999999999833E-3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5534962.7673472976</v>
      </c>
      <c r="D48" s="11">
        <v>7.3600000000000002E-3</v>
      </c>
      <c r="E48" s="10">
        <f t="shared" si="2"/>
        <v>40439.68985037785</v>
      </c>
      <c r="F48" s="3"/>
      <c r="G48" s="28"/>
      <c r="H48" s="10"/>
      <c r="I48" s="10">
        <f t="shared" si="8"/>
        <v>24722</v>
      </c>
      <c r="J48" s="10">
        <f t="shared" si="6"/>
        <v>136835349534.35989</v>
      </c>
      <c r="K48" s="11">
        <f t="shared" si="7"/>
        <v>7.3600000000002552E-3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5494523.0774969198</v>
      </c>
      <c r="D49" s="11">
        <v>7.8200000000000006E-3</v>
      </c>
      <c r="E49" s="10">
        <f t="shared" si="2"/>
        <v>42633.774350604042</v>
      </c>
      <c r="F49" s="3"/>
      <c r="G49" s="28"/>
      <c r="H49" s="10"/>
      <c r="I49" s="10">
        <f t="shared" si="8"/>
        <v>24722</v>
      </c>
      <c r="J49" s="10">
        <f t="shared" si="6"/>
        <v>135835599521.87885</v>
      </c>
      <c r="K49" s="11">
        <f t="shared" si="7"/>
        <v>7.8199999999999381E-3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5451889.3031463157</v>
      </c>
      <c r="D50" s="11">
        <v>7.8200000000000006E-3</v>
      </c>
      <c r="E50" s="10">
        <f t="shared" si="2"/>
        <v>42302.965163028799</v>
      </c>
      <c r="F50" s="3"/>
      <c r="G50" s="28"/>
      <c r="H50" s="10"/>
      <c r="I50" s="10">
        <f t="shared" si="8"/>
        <v>24722</v>
      </c>
      <c r="J50" s="10">
        <f t="shared" si="6"/>
        <v>134781607352.38322</v>
      </c>
      <c r="K50" s="11">
        <f t="shared" si="7"/>
        <v>7.8199999999999381E-3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5409586.3379832869</v>
      </c>
      <c r="D51" s="11">
        <v>8.6099999999999996E-3</v>
      </c>
      <c r="E51" s="10">
        <f t="shared" si="2"/>
        <v>46178.937716298737</v>
      </c>
      <c r="F51" s="3"/>
      <c r="G51" s="28"/>
      <c r="H51" s="10"/>
      <c r="I51" s="10">
        <f t="shared" si="8"/>
        <v>24722</v>
      </c>
      <c r="J51" s="10">
        <f t="shared" si="6"/>
        <v>133735793447.62282</v>
      </c>
      <c r="K51" s="11">
        <f t="shared" si="7"/>
        <v>8.6100000000000065E-3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5363407.4002669882</v>
      </c>
      <c r="D52" s="11">
        <v>9.1999999999999998E-3</v>
      </c>
      <c r="E52" s="10">
        <f t="shared" si="2"/>
        <v>48893.527628276497</v>
      </c>
      <c r="F52" s="3"/>
      <c r="G52" s="28"/>
      <c r="H52" s="10"/>
      <c r="I52" s="10">
        <f t="shared" si="8"/>
        <v>24722</v>
      </c>
      <c r="J52" s="10">
        <f t="shared" si="6"/>
        <v>132594157749.40048</v>
      </c>
      <c r="K52" s="11">
        <f t="shared" si="7"/>
        <v>9.200000000000097E-3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5314513.8726387117</v>
      </c>
      <c r="D53" s="11">
        <v>9.7599999999999996E-3</v>
      </c>
      <c r="E53" s="10">
        <f t="shared" si="2"/>
        <v>51368.300781328231</v>
      </c>
      <c r="F53" s="3"/>
      <c r="G53" s="28"/>
      <c r="H53" s="10"/>
      <c r="I53" s="10">
        <f t="shared" si="8"/>
        <v>24722</v>
      </c>
      <c r="J53" s="10">
        <f t="shared" si="6"/>
        <v>131385411959.37424</v>
      </c>
      <c r="K53" s="11">
        <f t="shared" si="7"/>
        <v>9.7599999999999909E-3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5263145.5718573835</v>
      </c>
      <c r="D54" s="11">
        <v>1.095E-2</v>
      </c>
      <c r="E54" s="10">
        <f t="shared" si="2"/>
        <v>57007.215007506311</v>
      </c>
      <c r="F54" s="3"/>
      <c r="G54" s="28"/>
      <c r="H54" s="10"/>
      <c r="I54" s="10">
        <f t="shared" si="8"/>
        <v>24722</v>
      </c>
      <c r="J54" s="10">
        <f t="shared" si="6"/>
        <v>130115484827.45824</v>
      </c>
      <c r="K54" s="11">
        <f t="shared" si="7"/>
        <v>1.0950000000000015E-2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5206138.3568498772</v>
      </c>
      <c r="D55" s="11">
        <v>1.108E-2</v>
      </c>
      <c r="E55" s="10">
        <f t="shared" si="2"/>
        <v>57051.878183621913</v>
      </c>
      <c r="F55" s="3"/>
      <c r="G55" s="28"/>
      <c r="H55" s="10"/>
      <c r="I55" s="10">
        <f t="shared" si="8"/>
        <v>24722</v>
      </c>
      <c r="J55" s="10">
        <f t="shared" si="6"/>
        <v>128706152458.04266</v>
      </c>
      <c r="K55" s="11">
        <f t="shared" si="7"/>
        <v>1.1079999999999979E-2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5149086.4786662553</v>
      </c>
      <c r="D56" s="11">
        <v>1.2699999999999999E-2</v>
      </c>
      <c r="E56" s="10">
        <f t="shared" si="2"/>
        <v>64573.317151240073</v>
      </c>
      <c r="F56" s="3"/>
      <c r="G56" s="28"/>
      <c r="H56" s="10"/>
      <c r="I56" s="10">
        <f t="shared" si="8"/>
        <v>24722</v>
      </c>
      <c r="J56" s="10">
        <f t="shared" si="6"/>
        <v>127295715925.58716</v>
      </c>
      <c r="K56" s="11">
        <f t="shared" si="7"/>
        <v>1.2699999999999712E-2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5084513.1615150152</v>
      </c>
      <c r="D57" s="11">
        <v>1.443E-2</v>
      </c>
      <c r="E57" s="10">
        <f t="shared" si="2"/>
        <v>72325.862721588463</v>
      </c>
      <c r="F57" s="3"/>
      <c r="G57" s="28"/>
      <c r="H57" s="10"/>
      <c r="I57" s="10">
        <f t="shared" si="8"/>
        <v>24722</v>
      </c>
      <c r="J57" s="10">
        <f t="shared" si="6"/>
        <v>125699334378.97421</v>
      </c>
      <c r="K57" s="11">
        <f t="shared" si="7"/>
        <v>1.4429999999999943E-2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5012187.2987934267</v>
      </c>
      <c r="D58" s="11">
        <v>1.5800000000000002E-2</v>
      </c>
      <c r="E58" s="10">
        <f t="shared" si="2"/>
        <v>77960.779012538493</v>
      </c>
      <c r="F58" s="3"/>
      <c r="G58" s="28"/>
      <c r="H58" s="10"/>
      <c r="I58" s="10">
        <f t="shared" si="8"/>
        <v>24722</v>
      </c>
      <c r="J58" s="10">
        <f t="shared" si="6"/>
        <v>123911294400.77109</v>
      </c>
      <c r="K58" s="11">
        <f t="shared" si="7"/>
        <v>1.5800000000000036E-2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4934226.5197808882</v>
      </c>
      <c r="D59" s="11">
        <v>1.8069999999999999E-2</v>
      </c>
      <c r="E59" s="10">
        <f t="shared" si="2"/>
        <v>87578.922090269625</v>
      </c>
      <c r="F59" s="3"/>
      <c r="G59" s="28"/>
      <c r="H59" s="10"/>
      <c r="I59" s="10">
        <f t="shared" si="8"/>
        <v>24722</v>
      </c>
      <c r="J59" s="10">
        <f t="shared" si="6"/>
        <v>121983948022.02312</v>
      </c>
      <c r="K59" s="11">
        <f t="shared" si="7"/>
        <v>1.807000000000003E-2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4846647.5976906186</v>
      </c>
      <c r="D60" s="11">
        <v>2.197E-2</v>
      </c>
      <c r="E60" s="10">
        <f t="shared" si="2"/>
        <v>104191.75486683846</v>
      </c>
      <c r="F60" s="3"/>
      <c r="G60" s="28"/>
      <c r="H60" s="10"/>
      <c r="I60" s="10">
        <f t="shared" si="8"/>
        <v>24722</v>
      </c>
      <c r="J60" s="10">
        <f t="shared" si="6"/>
        <v>119818821910.10747</v>
      </c>
      <c r="K60" s="11">
        <f t="shared" si="7"/>
        <v>2.1970000000000045E-2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4742455.8428237801</v>
      </c>
      <c r="D61" s="11">
        <v>1.6889999999999999E-2</v>
      </c>
      <c r="E61" s="10">
        <f t="shared" si="2"/>
        <v>78769.659634074196</v>
      </c>
      <c r="F61" s="3"/>
      <c r="G61" s="28"/>
      <c r="H61" s="10"/>
      <c r="I61" s="10">
        <f t="shared" si="8"/>
        <v>24722</v>
      </c>
      <c r="J61" s="10">
        <f t="shared" si="6"/>
        <v>117242993346.28949</v>
      </c>
      <c r="K61" s="11">
        <f t="shared" si="7"/>
        <v>1.688999999999985E-2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4663686.1831897059</v>
      </c>
      <c r="D62" s="11">
        <v>1.7690000000000001E-2</v>
      </c>
      <c r="E62" s="10">
        <f t="shared" si="2"/>
        <v>81066.541462160647</v>
      </c>
      <c r="F62" s="3"/>
      <c r="G62" s="28"/>
      <c r="H62" s="10"/>
      <c r="I62" s="10">
        <f t="shared" si="8"/>
        <v>24722</v>
      </c>
      <c r="J62" s="10">
        <f t="shared" si="6"/>
        <v>115295649820.81592</v>
      </c>
      <c r="K62" s="11">
        <f t="shared" si="7"/>
        <v>1.7690000000000206E-2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4582619.6417275453</v>
      </c>
      <c r="D63" s="11">
        <v>1.7590000000000001E-2</v>
      </c>
      <c r="E63" s="10">
        <f t="shared" si="2"/>
        <v>79214.889590097591</v>
      </c>
      <c r="F63" s="3"/>
      <c r="G63" s="28"/>
      <c r="H63" s="10"/>
      <c r="I63" s="10">
        <f t="shared" si="8"/>
        <v>24722</v>
      </c>
      <c r="J63" s="10">
        <f t="shared" si="6"/>
        <v>113291522782.78838</v>
      </c>
      <c r="K63" s="11">
        <f t="shared" si="7"/>
        <v>1.7589999999999995E-2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4503404.7521374477</v>
      </c>
      <c r="D64" s="11">
        <v>1.762E-2</v>
      </c>
      <c r="E64" s="10">
        <f t="shared" si="2"/>
        <v>77976.053667047992</v>
      </c>
      <c r="F64" s="3"/>
      <c r="G64" s="28"/>
      <c r="H64" s="10"/>
      <c r="I64" s="10">
        <f t="shared" si="8"/>
        <v>24722</v>
      </c>
      <c r="J64" s="10">
        <f t="shared" si="6"/>
        <v>111333172282.34198</v>
      </c>
      <c r="K64" s="11">
        <f t="shared" si="7"/>
        <v>1.7619999999999969E-2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4425428.6984703997</v>
      </c>
      <c r="D65" s="11">
        <v>1.7440000000000001E-2</v>
      </c>
      <c r="E65" s="10">
        <f t="shared" si="2"/>
        <v>75856.538470399566</v>
      </c>
      <c r="F65" s="3"/>
      <c r="G65" s="28"/>
      <c r="H65" s="10"/>
      <c r="I65" s="10">
        <f t="shared" si="8"/>
        <v>24722</v>
      </c>
      <c r="J65" s="10">
        <f t="shared" si="6"/>
        <v>109405448283.58522</v>
      </c>
      <c r="K65" s="11">
        <f t="shared" si="7"/>
        <v>1.74399999999999E-2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4349572.16</v>
      </c>
      <c r="D66" s="11">
        <v>1.7919999999999998E-2</v>
      </c>
      <c r="E66" s="10">
        <f t="shared" si="2"/>
        <v>76572.160000000149</v>
      </c>
      <c r="F66" s="24">
        <f>SUM(F2)</f>
        <v>6524522</v>
      </c>
      <c r="G66" s="28"/>
      <c r="H66" s="10"/>
      <c r="I66" s="10">
        <f t="shared" si="8"/>
        <v>24722</v>
      </c>
      <c r="J66" s="10">
        <f t="shared" ref="J66:J67" si="9">IF(I66="","",I66*C66)</f>
        <v>107530122939.52</v>
      </c>
      <c r="K66" s="11">
        <f t="shared" ref="K66" si="10">IFERROR(J66/J67-1,"")</f>
        <v>1.7919999999999936E-2</v>
      </c>
    </row>
    <row r="67" spans="1:11" ht="22.5" customHeight="1">
      <c r="A67" s="3">
        <f t="shared" si="0"/>
        <v>1950</v>
      </c>
      <c r="B67" s="3">
        <v>1700</v>
      </c>
      <c r="C67" s="10">
        <v>4273000</v>
      </c>
      <c r="D67" s="11">
        <v>1.7479999999999999E-2</v>
      </c>
      <c r="E67" s="3" t="s">
        <v>72</v>
      </c>
      <c r="F67" s="10">
        <f>SUM(C2)</f>
        <v>6524314.5465817414</v>
      </c>
      <c r="G67" s="28"/>
      <c r="H67" s="10"/>
      <c r="I67" s="10">
        <f t="shared" ref="I67" si="11">IF(H67&lt;&gt;"",H67,I66/(1+IF(G66="",0,G66)/100))</f>
        <v>24722</v>
      </c>
      <c r="J67" s="10">
        <f t="shared" si="9"/>
        <v>105637106000</v>
      </c>
      <c r="K67" s="11"/>
    </row>
  </sheetData>
  <dataValidations count="1">
    <dataValidation type="custom" allowBlank="1" showDropDown="1" sqref="D2:D67" xr:uid="{00000000-0002-0000-4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2170098.1130326623</v>
      </c>
      <c r="D2" s="11">
        <v>8.7000000000000001E-4</v>
      </c>
      <c r="E2" s="10">
        <f t="shared" ref="E2:E66" si="2">SUM(C2-C3)</f>
        <v>1886.3442388502881</v>
      </c>
      <c r="F2" s="15">
        <v>2170550</v>
      </c>
      <c r="G2" s="28"/>
      <c r="H2" s="10"/>
      <c r="I2" s="10">
        <f>IF(H2&lt;&gt;"",H2,8333)</f>
        <v>8333</v>
      </c>
      <c r="J2" s="10">
        <f t="shared" ref="J2:J33" si="3">IF(I2="","",I2*C2)</f>
        <v>18083427575.901176</v>
      </c>
      <c r="K2" s="11">
        <f t="shared" ref="K2:K33" si="4">IFERROR(J2/J3-1,"")</f>
        <v>8.6999999999992639E-4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2168211.768793812</v>
      </c>
      <c r="D3" s="11">
        <v>1.2999999999999999E-3</v>
      </c>
      <c r="E3" s="10">
        <f t="shared" si="2"/>
        <v>2815.0157789196819</v>
      </c>
      <c r="F3" s="3"/>
      <c r="G3" s="28"/>
      <c r="H3" s="10"/>
      <c r="I3" s="10">
        <f t="shared" ref="I3:I34" si="5">IF(H3&lt;&gt;"",H3,I2/(1+IF(G2="",0,G2)/100))</f>
        <v>8333</v>
      </c>
      <c r="J3" s="10">
        <f t="shared" si="3"/>
        <v>18067708669.358837</v>
      </c>
      <c r="K3" s="11">
        <f t="shared" si="4"/>
        <v>1.3000000000003009E-3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2165396.7530148923</v>
      </c>
      <c r="D4" s="11">
        <v>1.39E-3</v>
      </c>
      <c r="E4" s="10">
        <f t="shared" si="2"/>
        <v>3005.723530982621</v>
      </c>
      <c r="F4" s="3"/>
      <c r="G4" s="28"/>
      <c r="H4" s="10"/>
      <c r="I4" s="10">
        <f t="shared" si="5"/>
        <v>8333</v>
      </c>
      <c r="J4" s="10">
        <f t="shared" si="3"/>
        <v>18044251142.873096</v>
      </c>
      <c r="K4" s="11">
        <f t="shared" si="4"/>
        <v>1.3900000000000023E-3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2162391.0294839097</v>
      </c>
      <c r="D5" s="11">
        <v>1.74E-3</v>
      </c>
      <c r="E5" s="10">
        <f t="shared" si="2"/>
        <v>3756.0249079624191</v>
      </c>
      <c r="F5" s="3"/>
      <c r="G5" s="28"/>
      <c r="H5" s="10"/>
      <c r="I5" s="10">
        <f t="shared" si="5"/>
        <v>8333</v>
      </c>
      <c r="J5" s="10">
        <f t="shared" si="3"/>
        <v>18019204448.689419</v>
      </c>
      <c r="K5" s="11">
        <f t="shared" si="4"/>
        <v>1.7400000000000748E-3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2158635.0045759473</v>
      </c>
      <c r="D6" s="11">
        <v>2.48E-3</v>
      </c>
      <c r="E6" s="10">
        <f t="shared" si="2"/>
        <v>5340.1711868052371</v>
      </c>
      <c r="F6" s="3"/>
      <c r="G6" s="28"/>
      <c r="H6" s="10"/>
      <c r="I6" s="10">
        <f t="shared" si="5"/>
        <v>8333</v>
      </c>
      <c r="J6" s="10">
        <f t="shared" si="3"/>
        <v>17987905493.131371</v>
      </c>
      <c r="K6" s="11">
        <f t="shared" si="4"/>
        <v>2.4800000000000377E-3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2153294.8333891421</v>
      </c>
      <c r="D7" s="11">
        <v>3.15E-3</v>
      </c>
      <c r="E7" s="10">
        <f t="shared" si="2"/>
        <v>6761.5797489667311</v>
      </c>
      <c r="F7" s="3"/>
      <c r="G7" s="28"/>
      <c r="H7" s="10"/>
      <c r="I7" s="10">
        <f t="shared" si="5"/>
        <v>8333</v>
      </c>
      <c r="J7" s="10">
        <f t="shared" si="3"/>
        <v>17943405846.631721</v>
      </c>
      <c r="K7" s="11">
        <f t="shared" si="4"/>
        <v>3.1500000000002082E-3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2146533.2536401753</v>
      </c>
      <c r="D8" s="11">
        <v>3.8400000000000001E-3</v>
      </c>
      <c r="E8" s="10">
        <f t="shared" si="2"/>
        <v>8211.1568516679108</v>
      </c>
      <c r="F8" s="3"/>
      <c r="G8" s="28"/>
      <c r="H8" s="10"/>
      <c r="I8" s="10">
        <f t="shared" si="5"/>
        <v>8333</v>
      </c>
      <c r="J8" s="10">
        <f t="shared" si="3"/>
        <v>17887061602.58358</v>
      </c>
      <c r="K8" s="11">
        <f t="shared" si="4"/>
        <v>3.8400000000000656E-3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2138322.0967885074</v>
      </c>
      <c r="D9" s="11">
        <v>4.64E-3</v>
      </c>
      <c r="E9" s="10">
        <f t="shared" si="2"/>
        <v>9875.9899357967079</v>
      </c>
      <c r="F9" s="3"/>
      <c r="G9" s="28"/>
      <c r="H9" s="10"/>
      <c r="I9" s="10">
        <f t="shared" si="5"/>
        <v>8333</v>
      </c>
      <c r="J9" s="10">
        <f t="shared" si="3"/>
        <v>17818638032.538631</v>
      </c>
      <c r="K9" s="11">
        <f t="shared" si="4"/>
        <v>4.6400000000001995E-3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2128446.1068527107</v>
      </c>
      <c r="D10" s="11">
        <v>7.7299999999999999E-3</v>
      </c>
      <c r="E10" s="10">
        <f t="shared" si="2"/>
        <v>16326.683145258576</v>
      </c>
      <c r="F10" s="3"/>
      <c r="G10" s="28"/>
      <c r="H10" s="10"/>
      <c r="I10" s="10">
        <f t="shared" si="5"/>
        <v>8333</v>
      </c>
      <c r="J10" s="10">
        <f t="shared" si="3"/>
        <v>17736341408.403637</v>
      </c>
      <c r="K10" s="11">
        <f t="shared" si="4"/>
        <v>7.7299999999997926E-3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2112119.4237074521</v>
      </c>
      <c r="D11" s="11">
        <v>8.9800000000000001E-3</v>
      </c>
      <c r="E11" s="10">
        <f t="shared" si="2"/>
        <v>18798.026150065474</v>
      </c>
      <c r="F11" s="3"/>
      <c r="G11" s="28"/>
      <c r="H11" s="10"/>
      <c r="I11" s="10">
        <f t="shared" si="5"/>
        <v>8333</v>
      </c>
      <c r="J11" s="10">
        <f t="shared" si="3"/>
        <v>17600291157.7542</v>
      </c>
      <c r="K11" s="11">
        <f t="shared" si="4"/>
        <v>8.98000000000021E-3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2093321.3975573867</v>
      </c>
      <c r="D12" s="11">
        <v>9.0500000000000008E-3</v>
      </c>
      <c r="E12" s="10">
        <f t="shared" si="2"/>
        <v>18774.648082745494</v>
      </c>
      <c r="F12" s="3"/>
      <c r="G12" s="28"/>
      <c r="H12" s="10"/>
      <c r="I12" s="10">
        <f t="shared" si="5"/>
        <v>8333</v>
      </c>
      <c r="J12" s="10">
        <f t="shared" si="3"/>
        <v>17443647205.845703</v>
      </c>
      <c r="K12" s="11">
        <f t="shared" si="4"/>
        <v>9.0500000000000025E-3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2074546.7494746412</v>
      </c>
      <c r="D13" s="11">
        <v>9.1999999999999998E-3</v>
      </c>
      <c r="E13" s="10">
        <f t="shared" si="2"/>
        <v>18911.841156526934</v>
      </c>
      <c r="F13" s="3"/>
      <c r="G13" s="28"/>
      <c r="H13" s="10"/>
      <c r="I13" s="10">
        <f t="shared" si="5"/>
        <v>8333</v>
      </c>
      <c r="J13" s="10">
        <f t="shared" si="3"/>
        <v>17287198063.372185</v>
      </c>
      <c r="K13" s="11">
        <f t="shared" si="4"/>
        <v>9.200000000000097E-3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2055634.9083181142</v>
      </c>
      <c r="D14" s="11">
        <v>9.3699999999999999E-3</v>
      </c>
      <c r="E14" s="10">
        <f t="shared" si="2"/>
        <v>19082.496102460893</v>
      </c>
      <c r="F14" s="3"/>
      <c r="G14" s="28"/>
      <c r="H14" s="10"/>
      <c r="I14" s="10">
        <f t="shared" si="5"/>
        <v>8333</v>
      </c>
      <c r="J14" s="10">
        <f t="shared" si="3"/>
        <v>17129605691.014847</v>
      </c>
      <c r="K14" s="11">
        <f t="shared" si="4"/>
        <v>9.3700000000001005E-3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2036552.4122156533</v>
      </c>
      <c r="D15" s="11">
        <v>9.7400000000000004E-3</v>
      </c>
      <c r="E15" s="10">
        <f t="shared" si="2"/>
        <v>19644.681299127173</v>
      </c>
      <c r="F15" s="3"/>
      <c r="G15" s="28"/>
      <c r="H15" s="10"/>
      <c r="I15" s="10">
        <f t="shared" si="5"/>
        <v>8333</v>
      </c>
      <c r="J15" s="10">
        <f t="shared" si="3"/>
        <v>16970591250.99304</v>
      </c>
      <c r="K15" s="11">
        <f t="shared" si="4"/>
        <v>9.7400000000000819E-3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2016907.7309165262</v>
      </c>
      <c r="D16" s="11">
        <v>1.0059999999999999E-2</v>
      </c>
      <c r="E16" s="10">
        <f t="shared" si="2"/>
        <v>20088.006428350927</v>
      </c>
      <c r="F16" s="3"/>
      <c r="G16" s="28"/>
      <c r="H16" s="10"/>
      <c r="I16" s="10">
        <f t="shared" si="5"/>
        <v>8333</v>
      </c>
      <c r="J16" s="10">
        <f t="shared" si="3"/>
        <v>16806892121.727413</v>
      </c>
      <c r="K16" s="11">
        <f t="shared" si="4"/>
        <v>1.0059999999999958E-2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1996819.7244881752</v>
      </c>
      <c r="D17" s="11">
        <v>1.0489999999999999E-2</v>
      </c>
      <c r="E17" s="10">
        <f t="shared" si="2"/>
        <v>20729.189709824743</v>
      </c>
      <c r="F17" s="3"/>
      <c r="G17" s="28"/>
      <c r="H17" s="10"/>
      <c r="I17" s="10">
        <f t="shared" si="5"/>
        <v>8333</v>
      </c>
      <c r="J17" s="10">
        <f t="shared" si="3"/>
        <v>16639498764.159964</v>
      </c>
      <c r="K17" s="11">
        <f t="shared" si="4"/>
        <v>1.0489999999999888E-2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1976090.5347783505</v>
      </c>
      <c r="D18" s="11">
        <v>1.123E-2</v>
      </c>
      <c r="E18" s="10">
        <f t="shared" si="2"/>
        <v>21945.053751926869</v>
      </c>
      <c r="F18" s="3"/>
      <c r="G18" s="28"/>
      <c r="H18" s="10"/>
      <c r="I18" s="10">
        <f t="shared" si="5"/>
        <v>8333</v>
      </c>
      <c r="J18" s="10">
        <f t="shared" si="3"/>
        <v>16466762426.307995</v>
      </c>
      <c r="K18" s="11">
        <f t="shared" si="4"/>
        <v>1.1230000000000073E-2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1954145.4810264236</v>
      </c>
      <c r="D19" s="11">
        <v>1.192E-2</v>
      </c>
      <c r="E19" s="10">
        <f t="shared" si="2"/>
        <v>23019.02732808399</v>
      </c>
      <c r="F19" s="3"/>
      <c r="G19" s="28"/>
      <c r="H19" s="10"/>
      <c r="I19" s="10">
        <f t="shared" si="5"/>
        <v>8333</v>
      </c>
      <c r="J19" s="10">
        <f t="shared" si="3"/>
        <v>16283894293.393188</v>
      </c>
      <c r="K19" s="11">
        <f t="shared" si="4"/>
        <v>1.1919999999999931E-2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1931126.4536983396</v>
      </c>
      <c r="D20" s="11">
        <v>1.285E-2</v>
      </c>
      <c r="E20" s="10">
        <f t="shared" si="2"/>
        <v>24500.148027865682</v>
      </c>
      <c r="F20" s="3"/>
      <c r="G20" s="28"/>
      <c r="H20" s="10"/>
      <c r="I20" s="10">
        <f t="shared" si="5"/>
        <v>8333</v>
      </c>
      <c r="J20" s="10">
        <f t="shared" si="3"/>
        <v>16092076738.668264</v>
      </c>
      <c r="K20" s="11">
        <f t="shared" si="4"/>
        <v>1.2850000000000028E-2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1906626.305670474</v>
      </c>
      <c r="D21" s="11">
        <v>7.79E-3</v>
      </c>
      <c r="E21" s="10">
        <f t="shared" si="2"/>
        <v>14737.811370596057</v>
      </c>
      <c r="F21" s="3"/>
      <c r="G21" s="28"/>
      <c r="H21" s="10"/>
      <c r="I21" s="10">
        <f t="shared" si="5"/>
        <v>8333</v>
      </c>
      <c r="J21" s="10">
        <f t="shared" si="3"/>
        <v>15887917005.15206</v>
      </c>
      <c r="K21" s="11">
        <f t="shared" si="4"/>
        <v>7.7899999999999636E-3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1891888.4942998779</v>
      </c>
      <c r="D22" s="11">
        <v>4.79E-3</v>
      </c>
      <c r="E22" s="10">
        <f t="shared" si="2"/>
        <v>9018.9451404737774</v>
      </c>
      <c r="F22" s="3"/>
      <c r="G22" s="28"/>
      <c r="H22" s="10"/>
      <c r="I22" s="10">
        <f t="shared" si="5"/>
        <v>8333</v>
      </c>
      <c r="J22" s="10">
        <f t="shared" si="3"/>
        <v>15765106823.000883</v>
      </c>
      <c r="K22" s="11">
        <f t="shared" si="4"/>
        <v>4.790000000000072E-3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1882869.5491594041</v>
      </c>
      <c r="D23" s="11">
        <v>5.1900000000000002E-3</v>
      </c>
      <c r="E23" s="10">
        <f t="shared" si="2"/>
        <v>9721.6376606784761</v>
      </c>
      <c r="F23" s="3"/>
      <c r="G23" s="28"/>
      <c r="H23" s="10"/>
      <c r="I23" s="10">
        <f t="shared" si="5"/>
        <v>8333</v>
      </c>
      <c r="J23" s="10">
        <f t="shared" si="3"/>
        <v>15689951953.145315</v>
      </c>
      <c r="K23" s="11">
        <f t="shared" si="4"/>
        <v>5.1900000000000279E-3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1873147.9114987256</v>
      </c>
      <c r="D24" s="11">
        <v>5.9199999999999999E-3</v>
      </c>
      <c r="E24" s="10">
        <f t="shared" si="2"/>
        <v>11023.774888731074</v>
      </c>
      <c r="F24" s="3"/>
      <c r="G24" s="28"/>
      <c r="H24" s="10"/>
      <c r="I24" s="10">
        <f t="shared" si="5"/>
        <v>8333</v>
      </c>
      <c r="J24" s="10">
        <f t="shared" si="3"/>
        <v>15608941546.518881</v>
      </c>
      <c r="K24" s="11">
        <f t="shared" si="4"/>
        <v>5.9199999999999253E-3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1862124.1366099946</v>
      </c>
      <c r="D25" s="11">
        <v>6.8399999999999997E-3</v>
      </c>
      <c r="E25" s="10">
        <f t="shared" si="2"/>
        <v>12650.400355977472</v>
      </c>
      <c r="F25" s="3"/>
      <c r="G25" s="28"/>
      <c r="H25" s="10"/>
      <c r="I25" s="10">
        <f t="shared" si="5"/>
        <v>8333</v>
      </c>
      <c r="J25" s="10">
        <f t="shared" si="3"/>
        <v>15517080430.371084</v>
      </c>
      <c r="K25" s="11">
        <f t="shared" si="4"/>
        <v>6.8399999999999572E-3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1849473.7362540171</v>
      </c>
      <c r="D26" s="11">
        <v>7.7099999999999998E-3</v>
      </c>
      <c r="E26" s="10">
        <f t="shared" si="2"/>
        <v>14150.343359219143</v>
      </c>
      <c r="F26" s="3"/>
      <c r="G26" s="28"/>
      <c r="H26" s="10"/>
      <c r="I26" s="10">
        <f t="shared" si="5"/>
        <v>8333</v>
      </c>
      <c r="J26" s="10">
        <f t="shared" si="3"/>
        <v>15411664644.204725</v>
      </c>
      <c r="K26" s="11">
        <f t="shared" si="4"/>
        <v>7.7100000000001057E-3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1835323.392894798</v>
      </c>
      <c r="D27" s="11">
        <v>8.6199999999999992E-3</v>
      </c>
      <c r="E27" s="10">
        <f t="shared" si="2"/>
        <v>15685.280528596835</v>
      </c>
      <c r="F27" s="3"/>
      <c r="G27" s="28"/>
      <c r="H27" s="10"/>
      <c r="I27" s="10">
        <f t="shared" si="5"/>
        <v>8333</v>
      </c>
      <c r="J27" s="10">
        <f t="shared" si="3"/>
        <v>15293749832.992352</v>
      </c>
      <c r="K27" s="11">
        <f t="shared" si="4"/>
        <v>8.620000000000072E-3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1819638.1123662011</v>
      </c>
      <c r="D28" s="11">
        <v>9.5499999999999995E-3</v>
      </c>
      <c r="E28" s="10">
        <f t="shared" si="2"/>
        <v>17213.158311225008</v>
      </c>
      <c r="F28" s="3"/>
      <c r="G28" s="28"/>
      <c r="H28" s="10"/>
      <c r="I28" s="10">
        <f t="shared" si="5"/>
        <v>8333</v>
      </c>
      <c r="J28" s="10">
        <f t="shared" si="3"/>
        <v>15163044390.347553</v>
      </c>
      <c r="K28" s="11">
        <f t="shared" si="4"/>
        <v>9.5499999999999474E-3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1802424.9540549761</v>
      </c>
      <c r="D29" s="11">
        <v>1.0449999999999999E-2</v>
      </c>
      <c r="E29" s="10">
        <f t="shared" si="2"/>
        <v>18640.547053168993</v>
      </c>
      <c r="F29" s="3"/>
      <c r="G29" s="28"/>
      <c r="H29" s="10"/>
      <c r="I29" s="10">
        <f t="shared" si="5"/>
        <v>8333</v>
      </c>
      <c r="J29" s="10">
        <f t="shared" si="3"/>
        <v>15019607142.140116</v>
      </c>
      <c r="K29" s="11">
        <f t="shared" si="4"/>
        <v>1.045000000000007E-2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1783784.4070018071</v>
      </c>
      <c r="D30" s="11">
        <v>1.1180000000000001E-2</v>
      </c>
      <c r="E30" s="10">
        <f t="shared" si="2"/>
        <v>19722.215303190518</v>
      </c>
      <c r="F30" s="3"/>
      <c r="G30" s="28"/>
      <c r="H30" s="10"/>
      <c r="I30" s="10">
        <f t="shared" si="5"/>
        <v>8333</v>
      </c>
      <c r="J30" s="10">
        <f t="shared" si="3"/>
        <v>14864275463.546059</v>
      </c>
      <c r="K30" s="11">
        <f t="shared" si="4"/>
        <v>1.1179999999999968E-2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1764062.1916986166</v>
      </c>
      <c r="D31" s="11">
        <v>1.9050000000000001E-2</v>
      </c>
      <c r="E31" s="10">
        <f t="shared" si="2"/>
        <v>32977.169669651892</v>
      </c>
      <c r="F31" s="3"/>
      <c r="G31" s="28"/>
      <c r="H31" s="10"/>
      <c r="I31" s="10">
        <f t="shared" si="5"/>
        <v>8333</v>
      </c>
      <c r="J31" s="10">
        <f t="shared" si="3"/>
        <v>14699930243.424572</v>
      </c>
      <c r="K31" s="11">
        <f t="shared" si="4"/>
        <v>1.9050000000000011E-2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1731085.0220289647</v>
      </c>
      <c r="D32" s="11">
        <v>2.35E-2</v>
      </c>
      <c r="E32" s="10">
        <f t="shared" si="2"/>
        <v>39746.456294754054</v>
      </c>
      <c r="F32" s="3"/>
      <c r="G32" s="28"/>
      <c r="H32" s="10"/>
      <c r="I32" s="10">
        <f t="shared" si="5"/>
        <v>8333</v>
      </c>
      <c r="J32" s="10">
        <f t="shared" si="3"/>
        <v>14425131488.567364</v>
      </c>
      <c r="K32" s="11">
        <f t="shared" si="4"/>
        <v>2.3500000000000076E-2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1691338.5657342107</v>
      </c>
      <c r="D33" s="11">
        <v>2.4170000000000001E-2</v>
      </c>
      <c r="E33" s="10">
        <f t="shared" si="2"/>
        <v>39914.909764781129</v>
      </c>
      <c r="F33" s="3"/>
      <c r="G33" s="28"/>
      <c r="H33" s="10"/>
      <c r="I33" s="10">
        <f t="shared" si="5"/>
        <v>8333</v>
      </c>
      <c r="J33" s="10">
        <f t="shared" si="3"/>
        <v>14093924268.263178</v>
      </c>
      <c r="K33" s="11">
        <f t="shared" si="4"/>
        <v>2.4170000000000025E-2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1651423.6559694295</v>
      </c>
      <c r="D34" s="11">
        <v>2.418E-2</v>
      </c>
      <c r="E34" s="10">
        <f t="shared" si="2"/>
        <v>38988.67777279485</v>
      </c>
      <c r="F34" s="3"/>
      <c r="G34" s="28"/>
      <c r="H34" s="10"/>
      <c r="I34" s="10">
        <f t="shared" si="5"/>
        <v>8333</v>
      </c>
      <c r="J34" s="10">
        <f t="shared" ref="J34:J65" si="6">IF(I34="","",I34*C34)</f>
        <v>13761313325.193256</v>
      </c>
      <c r="K34" s="11">
        <f t="shared" ref="K34:K65" si="7">IFERROR(J34/J35-1,"")</f>
        <v>2.418000000000009E-2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1612434.9781966347</v>
      </c>
      <c r="D35" s="11">
        <v>2.4E-2</v>
      </c>
      <c r="E35" s="10">
        <f t="shared" si="2"/>
        <v>37791.444801483769</v>
      </c>
      <c r="F35" s="3"/>
      <c r="G35" s="28"/>
      <c r="H35" s="10"/>
      <c r="I35" s="10">
        <f t="shared" ref="I35:I66" si="8">IF(H35&lt;&gt;"",H35,I34/(1+IF(G34="",0,G34)/100))</f>
        <v>8333</v>
      </c>
      <c r="J35" s="10">
        <f t="shared" si="6"/>
        <v>13436420673.312557</v>
      </c>
      <c r="K35" s="11">
        <f t="shared" si="7"/>
        <v>2.4000000000000243E-2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1574643.5333951509</v>
      </c>
      <c r="D36" s="11">
        <v>2.3910000000000001E-2</v>
      </c>
      <c r="E36" s="10">
        <f t="shared" si="2"/>
        <v>36770.543195669772</v>
      </c>
      <c r="F36" s="3"/>
      <c r="G36" s="28"/>
      <c r="H36" s="10"/>
      <c r="I36" s="10">
        <f t="shared" si="8"/>
        <v>8333</v>
      </c>
      <c r="J36" s="10">
        <f t="shared" si="6"/>
        <v>13121504563.781792</v>
      </c>
      <c r="K36" s="11">
        <f t="shared" si="7"/>
        <v>2.3910000000000098E-2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1537872.9901994811</v>
      </c>
      <c r="D37" s="11">
        <v>2.3789999999999999E-2</v>
      </c>
      <c r="E37" s="10">
        <f t="shared" si="2"/>
        <v>35735.842738106148</v>
      </c>
      <c r="F37" s="3"/>
      <c r="G37" s="28"/>
      <c r="H37" s="10"/>
      <c r="I37" s="10">
        <f t="shared" si="8"/>
        <v>8333</v>
      </c>
      <c r="J37" s="10">
        <f t="shared" si="6"/>
        <v>12815095627.332275</v>
      </c>
      <c r="K37" s="11">
        <f t="shared" si="7"/>
        <v>2.3789999999999978E-2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1502137.147461375</v>
      </c>
      <c r="D38" s="11">
        <v>2.385E-2</v>
      </c>
      <c r="E38" s="10">
        <f t="shared" si="2"/>
        <v>34991.425469506066</v>
      </c>
      <c r="F38" s="3"/>
      <c r="G38" s="28"/>
      <c r="H38" s="10"/>
      <c r="I38" s="10">
        <f t="shared" si="8"/>
        <v>8333</v>
      </c>
      <c r="J38" s="10">
        <f t="shared" si="6"/>
        <v>12517308849.795637</v>
      </c>
      <c r="K38" s="11">
        <f t="shared" si="7"/>
        <v>2.3849999999999927E-2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1467145.7219918689</v>
      </c>
      <c r="D39" s="11">
        <v>2.384E-2</v>
      </c>
      <c r="E39" s="10">
        <f t="shared" si="2"/>
        <v>34162.324203280034</v>
      </c>
      <c r="F39" s="3"/>
      <c r="G39" s="28"/>
      <c r="H39" s="10"/>
      <c r="I39" s="10">
        <f t="shared" si="8"/>
        <v>8333</v>
      </c>
      <c r="J39" s="10">
        <f t="shared" si="6"/>
        <v>12225725301.358244</v>
      </c>
      <c r="K39" s="11">
        <f t="shared" si="7"/>
        <v>2.3840000000000083E-2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1432983.3977885889</v>
      </c>
      <c r="D40" s="11">
        <v>2.3390000000000001E-2</v>
      </c>
      <c r="E40" s="10">
        <f t="shared" si="2"/>
        <v>32751.425824245904</v>
      </c>
      <c r="F40" s="3"/>
      <c r="G40" s="28"/>
      <c r="H40" s="10"/>
      <c r="I40" s="10">
        <f t="shared" si="8"/>
        <v>8333</v>
      </c>
      <c r="J40" s="10">
        <f t="shared" si="6"/>
        <v>11941050653.772312</v>
      </c>
      <c r="K40" s="11">
        <f t="shared" si="7"/>
        <v>2.3390000000000022E-2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1400231.971964343</v>
      </c>
      <c r="D41" s="11">
        <v>1.804E-2</v>
      </c>
      <c r="E41" s="10">
        <f t="shared" si="2"/>
        <v>24812.566082115518</v>
      </c>
      <c r="F41" s="3"/>
      <c r="G41" s="28"/>
      <c r="H41" s="10"/>
      <c r="I41" s="10">
        <f t="shared" si="8"/>
        <v>8333</v>
      </c>
      <c r="J41" s="10">
        <f t="shared" si="6"/>
        <v>11668133022.37887</v>
      </c>
      <c r="K41" s="11">
        <f t="shared" si="7"/>
        <v>1.8040000000000056E-2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1375419.4058822275</v>
      </c>
      <c r="D42" s="11">
        <v>1.5100000000000001E-2</v>
      </c>
      <c r="E42" s="10">
        <f t="shared" si="2"/>
        <v>20459.888709310908</v>
      </c>
      <c r="F42" s="3"/>
      <c r="G42" s="28"/>
      <c r="H42" s="10"/>
      <c r="I42" s="10">
        <f t="shared" si="8"/>
        <v>8333</v>
      </c>
      <c r="J42" s="10">
        <f t="shared" si="6"/>
        <v>11461369909.216602</v>
      </c>
      <c r="K42" s="11">
        <f t="shared" si="7"/>
        <v>1.5099999999999891E-2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1354959.5171729166</v>
      </c>
      <c r="D43" s="11">
        <v>1.435E-2</v>
      </c>
      <c r="E43" s="10">
        <f t="shared" si="2"/>
        <v>19168.5996662213</v>
      </c>
      <c r="F43" s="3"/>
      <c r="G43" s="28"/>
      <c r="H43" s="10"/>
      <c r="I43" s="10">
        <f t="shared" si="8"/>
        <v>8333</v>
      </c>
      <c r="J43" s="10">
        <f t="shared" si="6"/>
        <v>11290877656.601913</v>
      </c>
      <c r="K43" s="11">
        <f t="shared" si="7"/>
        <v>1.4350000000000085E-2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1335790.9175066953</v>
      </c>
      <c r="D44" s="11">
        <v>1.5010000000000001E-2</v>
      </c>
      <c r="E44" s="10">
        <f t="shared" si="2"/>
        <v>19753.718359203776</v>
      </c>
      <c r="F44" s="3"/>
      <c r="G44" s="28"/>
      <c r="H44" s="10"/>
      <c r="I44" s="10">
        <f t="shared" si="8"/>
        <v>8333</v>
      </c>
      <c r="J44" s="10">
        <f t="shared" si="6"/>
        <v>11131145715.583292</v>
      </c>
      <c r="K44" s="11">
        <f t="shared" si="7"/>
        <v>1.5009999999999968E-2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1316037.1991474915</v>
      </c>
      <c r="D45" s="11">
        <v>1.6449999999999999E-2</v>
      </c>
      <c r="E45" s="10">
        <f t="shared" si="2"/>
        <v>21298.452384255361</v>
      </c>
      <c r="F45" s="3"/>
      <c r="G45" s="28"/>
      <c r="H45" s="10"/>
      <c r="I45" s="10">
        <f t="shared" si="8"/>
        <v>8333</v>
      </c>
      <c r="J45" s="10">
        <f t="shared" si="6"/>
        <v>10966537980.496046</v>
      </c>
      <c r="K45" s="11">
        <f t="shared" si="7"/>
        <v>1.6450000000000076E-2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1294738.7467632361</v>
      </c>
      <c r="D46" s="11">
        <v>1.7930000000000001E-2</v>
      </c>
      <c r="E46" s="10">
        <f t="shared" si="2"/>
        <v>22805.75847991975</v>
      </c>
      <c r="F46" s="3"/>
      <c r="G46" s="28"/>
      <c r="H46" s="10"/>
      <c r="I46" s="10">
        <f t="shared" si="8"/>
        <v>8333</v>
      </c>
      <c r="J46" s="10">
        <f t="shared" si="6"/>
        <v>10789057976.778046</v>
      </c>
      <c r="K46" s="11">
        <f t="shared" si="7"/>
        <v>1.7929999999999779E-2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1271932.9882833164</v>
      </c>
      <c r="D47" s="11">
        <v>1.9140000000000001E-2</v>
      </c>
      <c r="E47" s="10">
        <f t="shared" si="2"/>
        <v>23887.58894336666</v>
      </c>
      <c r="F47" s="3"/>
      <c r="G47" s="28"/>
      <c r="H47" s="10"/>
      <c r="I47" s="10">
        <f t="shared" si="8"/>
        <v>8333</v>
      </c>
      <c r="J47" s="10">
        <f t="shared" si="6"/>
        <v>10599017591.364876</v>
      </c>
      <c r="K47" s="11">
        <f t="shared" si="7"/>
        <v>1.9140000000000157E-2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1248045.3993399497</v>
      </c>
      <c r="D48" s="11">
        <v>2.0379999999999999E-2</v>
      </c>
      <c r="E48" s="10">
        <f t="shared" si="2"/>
        <v>24927.14992311527</v>
      </c>
      <c r="F48" s="3"/>
      <c r="G48" s="28"/>
      <c r="H48" s="10"/>
      <c r="I48" s="10">
        <f t="shared" si="8"/>
        <v>8333</v>
      </c>
      <c r="J48" s="10">
        <f t="shared" si="6"/>
        <v>10399962312.6998</v>
      </c>
      <c r="K48" s="11">
        <f t="shared" si="7"/>
        <v>2.0380000000000065E-2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1223118.2494168344</v>
      </c>
      <c r="D49" s="11">
        <v>2.1520000000000001E-2</v>
      </c>
      <c r="E49" s="10">
        <f t="shared" si="2"/>
        <v>25766.998910887865</v>
      </c>
      <c r="F49" s="3"/>
      <c r="G49" s="28"/>
      <c r="H49" s="10"/>
      <c r="I49" s="10">
        <f t="shared" si="8"/>
        <v>8333</v>
      </c>
      <c r="J49" s="10">
        <f t="shared" si="6"/>
        <v>10192244372.390482</v>
      </c>
      <c r="K49" s="11">
        <f t="shared" si="7"/>
        <v>2.1519999999999984E-2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1197351.2505059466</v>
      </c>
      <c r="D50" s="11">
        <v>2.2620000000000001E-2</v>
      </c>
      <c r="E50" s="10">
        <f t="shared" si="2"/>
        <v>26484.994706190657</v>
      </c>
      <c r="F50" s="3"/>
      <c r="G50" s="28"/>
      <c r="H50" s="10"/>
      <c r="I50" s="10">
        <f t="shared" si="8"/>
        <v>8333</v>
      </c>
      <c r="J50" s="10">
        <f t="shared" si="6"/>
        <v>9977527970.466053</v>
      </c>
      <c r="K50" s="11">
        <f t="shared" si="7"/>
        <v>2.2620000000000084E-2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1170866.2557997559</v>
      </c>
      <c r="D51" s="11">
        <v>2.7730000000000001E-2</v>
      </c>
      <c r="E51" s="10">
        <f t="shared" si="2"/>
        <v>31592.073086634977</v>
      </c>
      <c r="F51" s="3"/>
      <c r="G51" s="28"/>
      <c r="H51" s="10"/>
      <c r="I51" s="10">
        <f t="shared" si="8"/>
        <v>8333</v>
      </c>
      <c r="J51" s="10">
        <f t="shared" si="6"/>
        <v>9756828509.5793667</v>
      </c>
      <c r="K51" s="11">
        <f t="shared" si="7"/>
        <v>2.7730000000000254E-2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1139274.1827131209</v>
      </c>
      <c r="D52" s="11">
        <v>3.0339999999999999E-2</v>
      </c>
      <c r="E52" s="10">
        <f t="shared" si="2"/>
        <v>33547.740263909101</v>
      </c>
      <c r="F52" s="3"/>
      <c r="G52" s="28"/>
      <c r="H52" s="10"/>
      <c r="I52" s="10">
        <f t="shared" si="8"/>
        <v>8333</v>
      </c>
      <c r="J52" s="10">
        <f t="shared" si="6"/>
        <v>9493571764.5484371</v>
      </c>
      <c r="K52" s="11">
        <f t="shared" si="7"/>
        <v>3.0340000000000034E-2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1105726.4424492118</v>
      </c>
      <c r="D53" s="11">
        <v>3.091E-2</v>
      </c>
      <c r="E53" s="10">
        <f t="shared" si="2"/>
        <v>33153.237757035065</v>
      </c>
      <c r="F53" s="3"/>
      <c r="G53" s="28"/>
      <c r="H53" s="10"/>
      <c r="I53" s="10">
        <f t="shared" si="8"/>
        <v>8333</v>
      </c>
      <c r="J53" s="10">
        <f t="shared" si="6"/>
        <v>9214018444.9292831</v>
      </c>
      <c r="K53" s="11">
        <f t="shared" si="7"/>
        <v>3.0909999999999993E-2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1072573.2046921768</v>
      </c>
      <c r="D54" s="11">
        <v>3.1350000000000003E-2</v>
      </c>
      <c r="E54" s="10">
        <f t="shared" si="2"/>
        <v>32603.063913414255</v>
      </c>
      <c r="F54" s="3"/>
      <c r="G54" s="28"/>
      <c r="H54" s="10"/>
      <c r="I54" s="10">
        <f t="shared" si="8"/>
        <v>8333</v>
      </c>
      <c r="J54" s="10">
        <f t="shared" si="6"/>
        <v>8937752514.6999092</v>
      </c>
      <c r="K54" s="11">
        <f t="shared" si="7"/>
        <v>3.1349999999999989E-2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1039970.1407787625</v>
      </c>
      <c r="D55" s="11">
        <v>3.1480000000000001E-2</v>
      </c>
      <c r="E55" s="10">
        <f t="shared" si="2"/>
        <v>31739.11276196863</v>
      </c>
      <c r="F55" s="3"/>
      <c r="G55" s="28"/>
      <c r="H55" s="10"/>
      <c r="I55" s="10">
        <f t="shared" si="8"/>
        <v>8333</v>
      </c>
      <c r="J55" s="10">
        <f t="shared" si="6"/>
        <v>8666071183.1094284</v>
      </c>
      <c r="K55" s="11">
        <f t="shared" si="7"/>
        <v>3.1479999999999952E-2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1008231.0280167939</v>
      </c>
      <c r="D56" s="11">
        <v>3.0450000000000001E-2</v>
      </c>
      <c r="E56" s="10">
        <f t="shared" si="2"/>
        <v>29793.425011510961</v>
      </c>
      <c r="F56" s="3"/>
      <c r="G56" s="28"/>
      <c r="H56" s="10"/>
      <c r="I56" s="10">
        <f t="shared" si="8"/>
        <v>8333</v>
      </c>
      <c r="J56" s="10">
        <f t="shared" si="6"/>
        <v>8401589156.4639435</v>
      </c>
      <c r="K56" s="11">
        <f t="shared" si="7"/>
        <v>3.0450000000000088E-2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978437.60300528293</v>
      </c>
      <c r="D57" s="11">
        <v>3.0439999999999998E-2</v>
      </c>
      <c r="E57" s="10">
        <f t="shared" si="2"/>
        <v>28903.808698692592</v>
      </c>
      <c r="F57" s="3"/>
      <c r="G57" s="28"/>
      <c r="H57" s="10"/>
      <c r="I57" s="10">
        <f t="shared" si="8"/>
        <v>8333</v>
      </c>
      <c r="J57" s="10">
        <f t="shared" si="6"/>
        <v>8153320545.8430223</v>
      </c>
      <c r="K57" s="11">
        <f t="shared" si="7"/>
        <v>3.0439999999999801E-2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949533.79430659034</v>
      </c>
      <c r="D58" s="11">
        <v>3.0380000000000001E-2</v>
      </c>
      <c r="E58" s="10">
        <f t="shared" si="2"/>
        <v>27996.308809404611</v>
      </c>
      <c r="F58" s="3"/>
      <c r="G58" s="28"/>
      <c r="H58" s="10"/>
      <c r="I58" s="10">
        <f t="shared" si="8"/>
        <v>8333</v>
      </c>
      <c r="J58" s="10">
        <f t="shared" si="6"/>
        <v>7912465107.9568176</v>
      </c>
      <c r="K58" s="11">
        <f t="shared" si="7"/>
        <v>3.0380000000000296E-2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921537.48549718573</v>
      </c>
      <c r="D59" s="11">
        <v>3.0030000000000001E-2</v>
      </c>
      <c r="E59" s="10">
        <f t="shared" si="2"/>
        <v>26866.956000777194</v>
      </c>
      <c r="F59" s="3"/>
      <c r="G59" s="28"/>
      <c r="H59" s="10"/>
      <c r="I59" s="10">
        <f t="shared" si="8"/>
        <v>8333</v>
      </c>
      <c r="J59" s="10">
        <f t="shared" si="6"/>
        <v>7679171866.6480484</v>
      </c>
      <c r="K59" s="11">
        <f t="shared" si="7"/>
        <v>3.0030000000000001E-2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894670.52949640853</v>
      </c>
      <c r="D60" s="11">
        <v>2.9399999999999999E-2</v>
      </c>
      <c r="E60" s="10">
        <f t="shared" si="2"/>
        <v>25552.082346215728</v>
      </c>
      <c r="F60" s="3"/>
      <c r="G60" s="28"/>
      <c r="H60" s="10"/>
      <c r="I60" s="10">
        <f t="shared" si="8"/>
        <v>8333</v>
      </c>
      <c r="J60" s="10">
        <f t="shared" si="6"/>
        <v>7455289522.2935724</v>
      </c>
      <c r="K60" s="11">
        <f t="shared" si="7"/>
        <v>2.9400000000000093E-2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869118.44715019281</v>
      </c>
      <c r="D61" s="11">
        <v>2.9329999999999998E-2</v>
      </c>
      <c r="E61" s="10">
        <f t="shared" si="2"/>
        <v>24764.889836024609</v>
      </c>
      <c r="F61" s="3"/>
      <c r="G61" s="28"/>
      <c r="H61" s="10"/>
      <c r="I61" s="10">
        <f t="shared" si="8"/>
        <v>8333</v>
      </c>
      <c r="J61" s="10">
        <f t="shared" si="6"/>
        <v>7242364020.1025562</v>
      </c>
      <c r="K61" s="11">
        <f t="shared" si="7"/>
        <v>2.9330000000000078E-2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844353.5573141682</v>
      </c>
      <c r="D62" s="11">
        <v>2.792E-2</v>
      </c>
      <c r="E62" s="10">
        <f t="shared" si="2"/>
        <v>22934.033115623286</v>
      </c>
      <c r="F62" s="3"/>
      <c r="G62" s="28"/>
      <c r="H62" s="10"/>
      <c r="I62" s="10">
        <f t="shared" si="8"/>
        <v>8333</v>
      </c>
      <c r="J62" s="10">
        <f t="shared" si="6"/>
        <v>7035998193.0989637</v>
      </c>
      <c r="K62" s="11">
        <f t="shared" si="7"/>
        <v>2.7919999999999945E-2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821419.52419854491</v>
      </c>
      <c r="D63" s="11">
        <v>2.6210000000000001E-2</v>
      </c>
      <c r="E63" s="10">
        <f t="shared" si="2"/>
        <v>20979.532190530095</v>
      </c>
      <c r="F63" s="3"/>
      <c r="G63" s="28"/>
      <c r="H63" s="10"/>
      <c r="I63" s="10">
        <f t="shared" si="8"/>
        <v>8333</v>
      </c>
      <c r="J63" s="10">
        <f t="shared" si="6"/>
        <v>6844888895.1464748</v>
      </c>
      <c r="K63" s="11">
        <f t="shared" si="7"/>
        <v>2.6210000000000067E-2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800439.99200801481</v>
      </c>
      <c r="D64" s="11">
        <v>2.462E-2</v>
      </c>
      <c r="E64" s="10">
        <f t="shared" si="2"/>
        <v>19233.308546814835</v>
      </c>
      <c r="F64" s="3"/>
      <c r="G64" s="28"/>
      <c r="H64" s="10"/>
      <c r="I64" s="10">
        <f t="shared" si="8"/>
        <v>8333</v>
      </c>
      <c r="J64" s="10">
        <f t="shared" si="6"/>
        <v>6670066453.4027872</v>
      </c>
      <c r="K64" s="11">
        <f t="shared" si="7"/>
        <v>2.4620000000000086E-2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781206.68346119998</v>
      </c>
      <c r="D65" s="11">
        <v>2.334E-2</v>
      </c>
      <c r="E65" s="10">
        <f t="shared" si="2"/>
        <v>17817.503461199929</v>
      </c>
      <c r="F65" s="3"/>
      <c r="G65" s="28"/>
      <c r="H65" s="10"/>
      <c r="I65" s="10">
        <f t="shared" si="8"/>
        <v>8333</v>
      </c>
      <c r="J65" s="10">
        <f t="shared" si="6"/>
        <v>6509795293.2821798</v>
      </c>
      <c r="K65" s="11">
        <f t="shared" si="7"/>
        <v>2.3339999999999916E-2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763389.18</v>
      </c>
      <c r="D66" s="11">
        <v>2.1940000000000001E-2</v>
      </c>
      <c r="E66" s="10">
        <f t="shared" si="2"/>
        <v>16389.180000000051</v>
      </c>
      <c r="F66" s="24">
        <f>SUM(F2)</f>
        <v>2170550</v>
      </c>
      <c r="G66" s="28"/>
      <c r="H66" s="10"/>
      <c r="I66" s="10">
        <f t="shared" si="8"/>
        <v>8333</v>
      </c>
      <c r="J66" s="10">
        <f t="shared" ref="J66:J67" si="9">IF(I66="","",I66*C66)</f>
        <v>6361322036.9400005</v>
      </c>
      <c r="K66" s="11">
        <f t="shared" ref="K66" si="10">IFERROR(J66/J67-1,"")</f>
        <v>2.1940000000000071E-2</v>
      </c>
    </row>
    <row r="67" spans="1:11" ht="22.5" customHeight="1">
      <c r="A67" s="3">
        <f t="shared" si="0"/>
        <v>1950</v>
      </c>
      <c r="B67" s="3">
        <v>1700</v>
      </c>
      <c r="C67" s="10">
        <v>747000</v>
      </c>
      <c r="D67" s="11">
        <v>2.0310000000000002E-2</v>
      </c>
      <c r="E67" s="3" t="s">
        <v>72</v>
      </c>
      <c r="F67" s="10">
        <f>SUM(C2)</f>
        <v>2170098.1130326623</v>
      </c>
      <c r="G67" s="28"/>
      <c r="H67" s="10"/>
      <c r="I67" s="10">
        <f t="shared" ref="I67" si="11">IF(H67&lt;&gt;"",H67,I66/(1+IF(G66="",0,G66)/100))</f>
        <v>8333</v>
      </c>
      <c r="J67" s="10">
        <f t="shared" si="9"/>
        <v>6224751000</v>
      </c>
      <c r="K67" s="11"/>
    </row>
  </sheetData>
  <dataValidations count="1">
    <dataValidation type="custom" allowBlank="1" showDropDown="1" sqref="D2:D67" xr:uid="{00000000-0002-0000-4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76062.600820163949</v>
      </c>
      <c r="D2" s="11">
        <v>-1.3799999999999999E-3</v>
      </c>
      <c r="E2" s="10">
        <f t="shared" ref="E2:E66" si="2">SUM(C2-C3)</f>
        <v>-105.11144292306562</v>
      </c>
      <c r="F2" s="15">
        <v>76045</v>
      </c>
      <c r="G2" s="28"/>
      <c r="H2" s="10"/>
      <c r="I2" s="10">
        <f>IF(H2&lt;&gt;"",H2,1623)</f>
        <v>1623</v>
      </c>
      <c r="J2" s="10">
        <f t="shared" ref="J2:J33" si="3">IF(I2="","",I2*C2)</f>
        <v>123449601.13112609</v>
      </c>
      <c r="K2" s="11">
        <f t="shared" ref="K2:K33" si="4">IFERROR(J2/J3-1,"")</f>
        <v>-1.3800000000001589E-3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76167.712263087014</v>
      </c>
      <c r="D3" s="11">
        <v>1.324E-2</v>
      </c>
      <c r="E3" s="10">
        <f t="shared" si="2"/>
        <v>995.28296392095217</v>
      </c>
      <c r="F3" s="3"/>
      <c r="G3" s="28"/>
      <c r="H3" s="10"/>
      <c r="I3" s="10">
        <f t="shared" ref="I3:I34" si="5">IF(H3&lt;&gt;"",H3,I2/(1+IF(G2="",0,G2)/100))</f>
        <v>1623</v>
      </c>
      <c r="J3" s="10">
        <f t="shared" si="3"/>
        <v>123620197.00299023</v>
      </c>
      <c r="K3" s="11">
        <f t="shared" si="4"/>
        <v>1.3239999999999919E-2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75172.429299166062</v>
      </c>
      <c r="D4" s="11">
        <v>4.1329999999999999E-2</v>
      </c>
      <c r="E4" s="10">
        <f t="shared" si="2"/>
        <v>2983.5657312615076</v>
      </c>
      <c r="F4" s="3"/>
      <c r="G4" s="28"/>
      <c r="H4" s="10"/>
      <c r="I4" s="10">
        <f t="shared" si="5"/>
        <v>1623</v>
      </c>
      <c r="J4" s="10">
        <f t="shared" si="3"/>
        <v>122004852.75254652</v>
      </c>
      <c r="K4" s="11">
        <f t="shared" si="4"/>
        <v>4.1330000000000089E-2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72188.863567904555</v>
      </c>
      <c r="D5" s="11">
        <v>4.3610000000000003E-2</v>
      </c>
      <c r="E5" s="10">
        <f t="shared" si="2"/>
        <v>3016.6023133127455</v>
      </c>
      <c r="F5" s="3"/>
      <c r="G5" s="28"/>
      <c r="H5" s="10"/>
      <c r="I5" s="10">
        <f t="shared" si="5"/>
        <v>1623</v>
      </c>
      <c r="J5" s="10">
        <f t="shared" si="3"/>
        <v>117162525.57070909</v>
      </c>
      <c r="K5" s="11">
        <f t="shared" si="4"/>
        <v>4.3609999999999927E-2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69172.261254591809</v>
      </c>
      <c r="D6" s="11">
        <v>6.4619999999999997E-2</v>
      </c>
      <c r="E6" s="10">
        <f t="shared" si="2"/>
        <v>4198.5981122576341</v>
      </c>
      <c r="F6" s="3"/>
      <c r="G6" s="28"/>
      <c r="H6" s="10"/>
      <c r="I6" s="10">
        <f t="shared" si="5"/>
        <v>1623</v>
      </c>
      <c r="J6" s="10">
        <f t="shared" si="3"/>
        <v>112266580.01620251</v>
      </c>
      <c r="K6" s="11">
        <f t="shared" si="4"/>
        <v>6.4620000000000122E-2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64973.663142334175</v>
      </c>
      <c r="D7" s="11">
        <v>3.585E-2</v>
      </c>
      <c r="E7" s="10">
        <f t="shared" si="2"/>
        <v>2248.6902772145331</v>
      </c>
      <c r="F7" s="3"/>
      <c r="G7" s="28"/>
      <c r="H7" s="10"/>
      <c r="I7" s="10">
        <f t="shared" si="5"/>
        <v>1623</v>
      </c>
      <c r="J7" s="10">
        <f t="shared" si="3"/>
        <v>105452255.28000836</v>
      </c>
      <c r="K7" s="11">
        <f t="shared" si="4"/>
        <v>3.5849999999999937E-2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62724.972865119642</v>
      </c>
      <c r="D8" s="11">
        <v>3.6979999999999999E-2</v>
      </c>
      <c r="E8" s="10">
        <f t="shared" si="2"/>
        <v>2236.8507556096811</v>
      </c>
      <c r="F8" s="3"/>
      <c r="G8" s="28"/>
      <c r="H8" s="10"/>
      <c r="I8" s="10">
        <f t="shared" si="5"/>
        <v>1623</v>
      </c>
      <c r="J8" s="10">
        <f t="shared" si="3"/>
        <v>101802630.96008918</v>
      </c>
      <c r="K8" s="11">
        <f t="shared" si="4"/>
        <v>3.6980000000000013E-2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60488.122109509961</v>
      </c>
      <c r="D9" s="11">
        <v>3.755E-2</v>
      </c>
      <c r="E9" s="10">
        <f t="shared" si="2"/>
        <v>2189.1272567221822</v>
      </c>
      <c r="F9" s="3"/>
      <c r="G9" s="28"/>
      <c r="H9" s="10"/>
      <c r="I9" s="10">
        <f t="shared" si="5"/>
        <v>1623</v>
      </c>
      <c r="J9" s="10">
        <f t="shared" si="3"/>
        <v>98172222.18373467</v>
      </c>
      <c r="K9" s="11">
        <f t="shared" si="4"/>
        <v>3.7549999999999972E-2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58298.994852787779</v>
      </c>
      <c r="D10" s="11">
        <v>3.8730000000000001E-2</v>
      </c>
      <c r="E10" s="10">
        <f t="shared" si="2"/>
        <v>2173.7314515306862</v>
      </c>
      <c r="F10" s="3"/>
      <c r="G10" s="28"/>
      <c r="H10" s="10"/>
      <c r="I10" s="10">
        <f t="shared" si="5"/>
        <v>1623</v>
      </c>
      <c r="J10" s="10">
        <f t="shared" si="3"/>
        <v>94619268.646074563</v>
      </c>
      <c r="K10" s="11">
        <f t="shared" si="4"/>
        <v>3.8729999999999931E-2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56125.263401257092</v>
      </c>
      <c r="D11" s="11">
        <v>4.0009999999999997E-2</v>
      </c>
      <c r="E11" s="10">
        <f t="shared" si="2"/>
        <v>2159.1828815918125</v>
      </c>
      <c r="F11" s="3"/>
      <c r="G11" s="28"/>
      <c r="H11" s="10"/>
      <c r="I11" s="10">
        <f t="shared" si="5"/>
        <v>1623</v>
      </c>
      <c r="J11" s="10">
        <f t="shared" si="3"/>
        <v>91091302.500240266</v>
      </c>
      <c r="K11" s="11">
        <f t="shared" si="4"/>
        <v>4.0010000000000101E-2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53966.08051966528</v>
      </c>
      <c r="D12" s="11">
        <v>4.011E-2</v>
      </c>
      <c r="E12" s="10">
        <f t="shared" si="2"/>
        <v>2081.1063153356663</v>
      </c>
      <c r="F12" s="3"/>
      <c r="G12" s="28"/>
      <c r="H12" s="10"/>
      <c r="I12" s="10">
        <f t="shared" si="5"/>
        <v>1623</v>
      </c>
      <c r="J12" s="10">
        <f t="shared" si="3"/>
        <v>87586948.683416754</v>
      </c>
      <c r="K12" s="11">
        <f t="shared" si="4"/>
        <v>4.011000000000009E-2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51884.974204329614</v>
      </c>
      <c r="D13" s="11">
        <v>4.129E-2</v>
      </c>
      <c r="E13" s="10">
        <f t="shared" si="2"/>
        <v>2057.3813105828085</v>
      </c>
      <c r="F13" s="3"/>
      <c r="G13" s="28"/>
      <c r="H13" s="10"/>
      <c r="I13" s="10">
        <f t="shared" si="5"/>
        <v>1623</v>
      </c>
      <c r="J13" s="10">
        <f t="shared" si="3"/>
        <v>84209313.133626968</v>
      </c>
      <c r="K13" s="11">
        <f t="shared" si="4"/>
        <v>4.1290000000000049E-2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49827.592893746805</v>
      </c>
      <c r="D14" s="11">
        <v>4.1430000000000002E-2</v>
      </c>
      <c r="E14" s="10">
        <f t="shared" si="2"/>
        <v>1982.233250038822</v>
      </c>
      <c r="F14" s="3"/>
      <c r="G14" s="28"/>
      <c r="H14" s="10"/>
      <c r="I14" s="10">
        <f t="shared" si="5"/>
        <v>1623</v>
      </c>
      <c r="J14" s="10">
        <f t="shared" si="3"/>
        <v>80870183.266551062</v>
      </c>
      <c r="K14" s="11">
        <f t="shared" si="4"/>
        <v>4.1429999999999856E-2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47845.359643707983</v>
      </c>
      <c r="D15" s="11">
        <v>4.1860000000000001E-2</v>
      </c>
      <c r="E15" s="10">
        <f t="shared" si="2"/>
        <v>1922.3376986213261</v>
      </c>
      <c r="F15" s="3"/>
      <c r="G15" s="28"/>
      <c r="H15" s="10"/>
      <c r="I15" s="10">
        <f t="shared" si="5"/>
        <v>1623</v>
      </c>
      <c r="J15" s="10">
        <f t="shared" si="3"/>
        <v>77653018.70173806</v>
      </c>
      <c r="K15" s="11">
        <f t="shared" si="4"/>
        <v>4.1860000000000008E-2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45923.021945086657</v>
      </c>
      <c r="D16" s="11">
        <v>2.6069999999999999E-2</v>
      </c>
      <c r="E16" s="10">
        <f t="shared" si="2"/>
        <v>1166.7948406136129</v>
      </c>
      <c r="F16" s="3"/>
      <c r="G16" s="28"/>
      <c r="H16" s="10"/>
      <c r="I16" s="10">
        <f t="shared" si="5"/>
        <v>1623</v>
      </c>
      <c r="J16" s="10">
        <f t="shared" si="3"/>
        <v>74533064.616875648</v>
      </c>
      <c r="K16" s="11">
        <f t="shared" si="4"/>
        <v>2.6070000000000038E-2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44756.227104473044</v>
      </c>
      <c r="D17" s="11">
        <v>1.124E-2</v>
      </c>
      <c r="E17" s="10">
        <f t="shared" si="2"/>
        <v>497.46844730654993</v>
      </c>
      <c r="F17" s="3"/>
      <c r="G17" s="28"/>
      <c r="H17" s="10"/>
      <c r="I17" s="10">
        <f t="shared" si="5"/>
        <v>1623</v>
      </c>
      <c r="J17" s="10">
        <f t="shared" si="3"/>
        <v>72639356.590559751</v>
      </c>
      <c r="K17" s="11">
        <f t="shared" si="4"/>
        <v>1.1239999999999917E-2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44258.758657166494</v>
      </c>
      <c r="D18" s="11">
        <v>1.023E-2</v>
      </c>
      <c r="E18" s="10">
        <f t="shared" si="2"/>
        <v>448.18219718560431</v>
      </c>
      <c r="F18" s="3"/>
      <c r="G18" s="28"/>
      <c r="H18" s="10"/>
      <c r="I18" s="10">
        <f t="shared" si="5"/>
        <v>1623</v>
      </c>
      <c r="J18" s="10">
        <f t="shared" si="3"/>
        <v>71831965.300581217</v>
      </c>
      <c r="K18" s="11">
        <f t="shared" si="4"/>
        <v>1.0229999999999961E-2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43810.57645998089</v>
      </c>
      <c r="D19" s="11">
        <v>1.0619999999999999E-2</v>
      </c>
      <c r="E19" s="10">
        <f t="shared" si="2"/>
        <v>460.3790960054248</v>
      </c>
      <c r="F19" s="3"/>
      <c r="G19" s="28"/>
      <c r="H19" s="10"/>
      <c r="I19" s="10">
        <f t="shared" si="5"/>
        <v>1623</v>
      </c>
      <c r="J19" s="10">
        <f t="shared" si="3"/>
        <v>71104565.594548985</v>
      </c>
      <c r="K19" s="11">
        <f t="shared" si="4"/>
        <v>1.0620000000000074E-2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43350.197363975465</v>
      </c>
      <c r="D20" s="11">
        <v>1.0619999999999999E-2</v>
      </c>
      <c r="E20" s="10">
        <f t="shared" si="2"/>
        <v>455.54124795216921</v>
      </c>
      <c r="F20" s="3"/>
      <c r="G20" s="28"/>
      <c r="H20" s="10"/>
      <c r="I20" s="10">
        <f t="shared" si="5"/>
        <v>1623</v>
      </c>
      <c r="J20" s="10">
        <f t="shared" si="3"/>
        <v>70357370.321732178</v>
      </c>
      <c r="K20" s="11">
        <f t="shared" si="4"/>
        <v>1.0620000000000074E-2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42894.656116023296</v>
      </c>
      <c r="D21" s="11">
        <v>1.059E-2</v>
      </c>
      <c r="E21" s="10">
        <f t="shared" si="2"/>
        <v>449.49426401279197</v>
      </c>
      <c r="F21" s="3"/>
      <c r="G21" s="28"/>
      <c r="H21" s="10"/>
      <c r="I21" s="10">
        <f t="shared" si="5"/>
        <v>1623</v>
      </c>
      <c r="J21" s="10">
        <f t="shared" si="3"/>
        <v>69618026.876305804</v>
      </c>
      <c r="K21" s="11">
        <f t="shared" si="4"/>
        <v>1.0589999999999877E-2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42445.161852010504</v>
      </c>
      <c r="D22" s="11">
        <v>1.0330000000000001E-2</v>
      </c>
      <c r="E22" s="10">
        <f t="shared" si="2"/>
        <v>433.97555445376202</v>
      </c>
      <c r="F22" s="3"/>
      <c r="G22" s="28"/>
      <c r="H22" s="10"/>
      <c r="I22" s="10">
        <f t="shared" si="5"/>
        <v>1623</v>
      </c>
      <c r="J22" s="10">
        <f t="shared" si="3"/>
        <v>68888497.685813054</v>
      </c>
      <c r="K22" s="11">
        <f t="shared" si="4"/>
        <v>1.0330000000000172E-2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42011.186297556742</v>
      </c>
      <c r="D23" s="11">
        <v>9.6200000000000001E-3</v>
      </c>
      <c r="E23" s="10">
        <f t="shared" si="2"/>
        <v>400.29675737653452</v>
      </c>
      <c r="F23" s="3"/>
      <c r="G23" s="28"/>
      <c r="H23" s="10"/>
      <c r="I23" s="10">
        <f t="shared" si="5"/>
        <v>1623</v>
      </c>
      <c r="J23" s="10">
        <f t="shared" si="3"/>
        <v>68184155.360934585</v>
      </c>
      <c r="K23" s="11">
        <f t="shared" si="4"/>
        <v>9.6199999999999619E-3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41610.889540180207</v>
      </c>
      <c r="D24" s="11">
        <v>8.8900000000000003E-3</v>
      </c>
      <c r="E24" s="10">
        <f t="shared" si="2"/>
        <v>366.66119003281347</v>
      </c>
      <c r="F24" s="3"/>
      <c r="G24" s="28"/>
      <c r="H24" s="10"/>
      <c r="I24" s="10">
        <f t="shared" si="5"/>
        <v>1623</v>
      </c>
      <c r="J24" s="10">
        <f t="shared" si="3"/>
        <v>67534473.723712474</v>
      </c>
      <c r="K24" s="11">
        <f t="shared" si="4"/>
        <v>8.8900000000000645E-3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41244.228350147394</v>
      </c>
      <c r="D25" s="11">
        <v>7.9100000000000004E-3</v>
      </c>
      <c r="E25" s="10">
        <f t="shared" si="2"/>
        <v>323.68152538387949</v>
      </c>
      <c r="F25" s="3"/>
      <c r="G25" s="28"/>
      <c r="H25" s="10"/>
      <c r="I25" s="10">
        <f t="shared" si="5"/>
        <v>1623</v>
      </c>
      <c r="J25" s="10">
        <f t="shared" si="3"/>
        <v>66939382.61228922</v>
      </c>
      <c r="K25" s="11">
        <f t="shared" si="4"/>
        <v>7.9100000000000836E-3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40920.546824763514</v>
      </c>
      <c r="D26" s="11">
        <v>8.5800000000000008E-3</v>
      </c>
      <c r="E26" s="10">
        <f t="shared" si="2"/>
        <v>348.11149512827251</v>
      </c>
      <c r="F26" s="3"/>
      <c r="G26" s="28"/>
      <c r="H26" s="10"/>
      <c r="I26" s="10">
        <f t="shared" si="5"/>
        <v>1623</v>
      </c>
      <c r="J26" s="10">
        <f t="shared" si="3"/>
        <v>66414047.496591181</v>
      </c>
      <c r="K26" s="11">
        <f t="shared" si="4"/>
        <v>8.580000000000032E-3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40572.435329635242</v>
      </c>
      <c r="D27" s="11">
        <v>8.8900000000000003E-3</v>
      </c>
      <c r="E27" s="10">
        <f t="shared" si="2"/>
        <v>357.51068013406621</v>
      </c>
      <c r="F27" s="3"/>
      <c r="G27" s="28"/>
      <c r="H27" s="10"/>
      <c r="I27" s="10">
        <f t="shared" si="5"/>
        <v>1623</v>
      </c>
      <c r="J27" s="10">
        <f t="shared" si="3"/>
        <v>65849062.539997995</v>
      </c>
      <c r="K27" s="11">
        <f t="shared" si="4"/>
        <v>8.8900000000000645E-3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40214.924649501176</v>
      </c>
      <c r="D28" s="11">
        <v>9.5099999999999994E-3</v>
      </c>
      <c r="E28" s="10">
        <f t="shared" si="2"/>
        <v>378.84115404181648</v>
      </c>
      <c r="F28" s="3"/>
      <c r="G28" s="28"/>
      <c r="H28" s="10"/>
      <c r="I28" s="10">
        <f t="shared" si="5"/>
        <v>1623</v>
      </c>
      <c r="J28" s="10">
        <f t="shared" si="3"/>
        <v>65268822.706140406</v>
      </c>
      <c r="K28" s="11">
        <f t="shared" si="4"/>
        <v>9.5099999999999074E-3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39836.083495459359</v>
      </c>
      <c r="D29" s="11">
        <v>9.3699999999999999E-3</v>
      </c>
      <c r="E29" s="10">
        <f t="shared" si="2"/>
        <v>369.79908492669347</v>
      </c>
      <c r="F29" s="3"/>
      <c r="G29" s="28"/>
      <c r="H29" s="10"/>
      <c r="I29" s="10">
        <f t="shared" si="5"/>
        <v>1623</v>
      </c>
      <c r="J29" s="10">
        <f t="shared" si="3"/>
        <v>64653963.513130538</v>
      </c>
      <c r="K29" s="11">
        <f t="shared" si="4"/>
        <v>9.3700000000001005E-3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39466.284410532666</v>
      </c>
      <c r="D30" s="11">
        <v>9.2200000000000008E-3</v>
      </c>
      <c r="E30" s="10">
        <f t="shared" si="2"/>
        <v>360.55482676235988</v>
      </c>
      <c r="F30" s="3"/>
      <c r="G30" s="28"/>
      <c r="H30" s="10"/>
      <c r="I30" s="10">
        <f t="shared" si="5"/>
        <v>1623</v>
      </c>
      <c r="J30" s="10">
        <f t="shared" si="3"/>
        <v>64053779.598294519</v>
      </c>
      <c r="K30" s="11">
        <f t="shared" si="4"/>
        <v>9.220000000000006E-3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39105.729583770306</v>
      </c>
      <c r="D31" s="11">
        <v>8.5900000000000004E-3</v>
      </c>
      <c r="E31" s="10">
        <f t="shared" si="2"/>
        <v>333.05725530155178</v>
      </c>
      <c r="F31" s="3"/>
      <c r="G31" s="28"/>
      <c r="H31" s="10"/>
      <c r="I31" s="10">
        <f t="shared" si="5"/>
        <v>1623</v>
      </c>
      <c r="J31" s="10">
        <f t="shared" si="3"/>
        <v>63468599.114459209</v>
      </c>
      <c r="K31" s="11">
        <f t="shared" si="4"/>
        <v>8.5900000000000976E-3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38772.672328468754</v>
      </c>
      <c r="D32" s="11">
        <v>8.0199999999999994E-3</v>
      </c>
      <c r="E32" s="10">
        <f t="shared" si="2"/>
        <v>308.48280001817329</v>
      </c>
      <c r="F32" s="3"/>
      <c r="G32" s="28"/>
      <c r="H32" s="10"/>
      <c r="I32" s="10">
        <f t="shared" si="5"/>
        <v>1623</v>
      </c>
      <c r="J32" s="10">
        <f t="shared" si="3"/>
        <v>62928047.189104788</v>
      </c>
      <c r="K32" s="11">
        <f t="shared" si="4"/>
        <v>8.0199999999999161E-3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38464.189528450581</v>
      </c>
      <c r="D33" s="11">
        <v>8.8100000000000001E-3</v>
      </c>
      <c r="E33" s="10">
        <f t="shared" si="2"/>
        <v>335.91014139991603</v>
      </c>
      <c r="F33" s="3"/>
      <c r="G33" s="28"/>
      <c r="H33" s="10"/>
      <c r="I33" s="10">
        <f t="shared" si="5"/>
        <v>1623</v>
      </c>
      <c r="J33" s="10">
        <f t="shared" si="3"/>
        <v>62427379.604675293</v>
      </c>
      <c r="K33" s="11">
        <f t="shared" si="4"/>
        <v>8.8099999999999845E-3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38128.279387050665</v>
      </c>
      <c r="D34" s="11">
        <v>8.8900000000000003E-3</v>
      </c>
      <c r="E34" s="10">
        <f t="shared" si="2"/>
        <v>335.97359846056497</v>
      </c>
      <c r="F34" s="3"/>
      <c r="G34" s="28"/>
      <c r="H34" s="10"/>
      <c r="I34" s="10">
        <f t="shared" si="5"/>
        <v>1623</v>
      </c>
      <c r="J34" s="10">
        <f t="shared" ref="J34:J65" si="6">IF(I34="","",I34*C34)</f>
        <v>61882197.445183232</v>
      </c>
      <c r="K34" s="11">
        <f t="shared" ref="K34:K65" si="7">IFERROR(J34/J35-1,"")</f>
        <v>8.8900000000000645E-3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37792.3057885901</v>
      </c>
      <c r="D35" s="11">
        <v>8.4700000000000001E-3</v>
      </c>
      <c r="E35" s="10">
        <f t="shared" si="2"/>
        <v>317.41234744648682</v>
      </c>
      <c r="F35" s="3"/>
      <c r="G35" s="28"/>
      <c r="H35" s="10"/>
      <c r="I35" s="10">
        <f t="shared" ref="I35:I66" si="8">IF(H35&lt;&gt;"",H35,I34/(1+IF(G34="",0,G34)/100))</f>
        <v>1623</v>
      </c>
      <c r="J35" s="10">
        <f t="shared" si="6"/>
        <v>61336912.294881731</v>
      </c>
      <c r="K35" s="11">
        <f t="shared" si="7"/>
        <v>8.4699999999999775E-3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37474.893441143613</v>
      </c>
      <c r="D36" s="11">
        <v>8.5500000000000003E-3</v>
      </c>
      <c r="E36" s="10">
        <f t="shared" si="2"/>
        <v>317.69405475363601</v>
      </c>
      <c r="F36" s="3"/>
      <c r="G36" s="28"/>
      <c r="H36" s="10"/>
      <c r="I36" s="10">
        <f t="shared" si="8"/>
        <v>1623</v>
      </c>
      <c r="J36" s="10">
        <f t="shared" si="6"/>
        <v>60821752.054976083</v>
      </c>
      <c r="K36" s="11">
        <f t="shared" si="7"/>
        <v>8.5500000000000576E-3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37157.199386389977</v>
      </c>
      <c r="D37" s="11">
        <v>1.047E-2</v>
      </c>
      <c r="E37" s="10">
        <f t="shared" si="2"/>
        <v>385.00487651835283</v>
      </c>
      <c r="F37" s="3"/>
      <c r="G37" s="28"/>
      <c r="H37" s="10"/>
      <c r="I37" s="10">
        <f t="shared" si="8"/>
        <v>1623</v>
      </c>
      <c r="J37" s="10">
        <f t="shared" si="6"/>
        <v>60306134.604110934</v>
      </c>
      <c r="K37" s="11">
        <f t="shared" si="7"/>
        <v>1.0469999999999979E-2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36772.194509871624</v>
      </c>
      <c r="D38" s="11">
        <v>1.5699999999999999E-2</v>
      </c>
      <c r="E38" s="10">
        <f t="shared" si="2"/>
        <v>568.39958039281919</v>
      </c>
      <c r="F38" s="3"/>
      <c r="G38" s="28"/>
      <c r="H38" s="10"/>
      <c r="I38" s="10">
        <f t="shared" si="8"/>
        <v>1623</v>
      </c>
      <c r="J38" s="10">
        <f t="shared" si="6"/>
        <v>59681271.689521648</v>
      </c>
      <c r="K38" s="11">
        <f t="shared" si="7"/>
        <v>1.5700000000000047E-2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36203.794929478805</v>
      </c>
      <c r="D39" s="11">
        <v>1.5869999999999999E-2</v>
      </c>
      <c r="E39" s="10">
        <f t="shared" si="2"/>
        <v>565.57849481806625</v>
      </c>
      <c r="F39" s="3"/>
      <c r="G39" s="28"/>
      <c r="H39" s="10"/>
      <c r="I39" s="10">
        <f t="shared" si="8"/>
        <v>1623</v>
      </c>
      <c r="J39" s="10">
        <f t="shared" si="6"/>
        <v>58758759.170544103</v>
      </c>
      <c r="K39" s="11">
        <f t="shared" si="7"/>
        <v>1.5870000000000051E-2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35638.216434660739</v>
      </c>
      <c r="D40" s="11">
        <v>1.6389999999999998E-2</v>
      </c>
      <c r="E40" s="10">
        <f t="shared" si="2"/>
        <v>574.69117894124065</v>
      </c>
      <c r="F40" s="3"/>
      <c r="G40" s="28"/>
      <c r="H40" s="10"/>
      <c r="I40" s="10">
        <f t="shared" si="8"/>
        <v>1623</v>
      </c>
      <c r="J40" s="10">
        <f t="shared" si="6"/>
        <v>57840825.273454376</v>
      </c>
      <c r="K40" s="11">
        <f t="shared" si="7"/>
        <v>1.6389999999999905E-2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35063.525255719498</v>
      </c>
      <c r="D41" s="11">
        <v>1.7469999999999999E-2</v>
      </c>
      <c r="E41" s="10">
        <f t="shared" si="2"/>
        <v>602.04211054617917</v>
      </c>
      <c r="F41" s="3"/>
      <c r="G41" s="28"/>
      <c r="H41" s="10"/>
      <c r="I41" s="10">
        <f t="shared" si="8"/>
        <v>1623</v>
      </c>
      <c r="J41" s="10">
        <f t="shared" si="6"/>
        <v>56908101.490032747</v>
      </c>
      <c r="K41" s="11">
        <f t="shared" si="7"/>
        <v>1.7470000000000097E-2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34461.483145173319</v>
      </c>
      <c r="D42" s="11">
        <v>1.6590000000000001E-2</v>
      </c>
      <c r="E42" s="10">
        <f t="shared" si="2"/>
        <v>562.38602128530329</v>
      </c>
      <c r="F42" s="3"/>
      <c r="G42" s="28"/>
      <c r="H42" s="10"/>
      <c r="I42" s="10">
        <f t="shared" si="8"/>
        <v>1623</v>
      </c>
      <c r="J42" s="10">
        <f t="shared" si="6"/>
        <v>55930987.144616298</v>
      </c>
      <c r="K42" s="11">
        <f t="shared" si="7"/>
        <v>1.6590000000000105E-2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33899.097123888016</v>
      </c>
      <c r="D43" s="11">
        <v>1.5480000000000001E-2</v>
      </c>
      <c r="E43" s="10">
        <f t="shared" si="2"/>
        <v>516.75860034445213</v>
      </c>
      <c r="F43" s="3"/>
      <c r="G43" s="28"/>
      <c r="H43" s="10"/>
      <c r="I43" s="10">
        <f t="shared" si="8"/>
        <v>1623</v>
      </c>
      <c r="J43" s="10">
        <f t="shared" si="6"/>
        <v>55018234.632070251</v>
      </c>
      <c r="K43" s="11">
        <f t="shared" si="7"/>
        <v>1.5479999999999938E-2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33382.338523543563</v>
      </c>
      <c r="D44" s="11">
        <v>1.487E-2</v>
      </c>
      <c r="E44" s="10">
        <f t="shared" si="2"/>
        <v>489.12212780463597</v>
      </c>
      <c r="F44" s="3"/>
      <c r="G44" s="28"/>
      <c r="H44" s="10"/>
      <c r="I44" s="10">
        <f t="shared" si="8"/>
        <v>1623</v>
      </c>
      <c r="J44" s="10">
        <f t="shared" si="6"/>
        <v>54179535.423711203</v>
      </c>
      <c r="K44" s="11">
        <f t="shared" si="7"/>
        <v>1.4869999999999939E-2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32893.216395738928</v>
      </c>
      <c r="D45" s="11">
        <v>1.414E-2</v>
      </c>
      <c r="E45" s="10">
        <f t="shared" si="2"/>
        <v>458.62512063004397</v>
      </c>
      <c r="F45" s="3"/>
      <c r="G45" s="28"/>
      <c r="H45" s="10"/>
      <c r="I45" s="10">
        <f t="shared" si="8"/>
        <v>1623</v>
      </c>
      <c r="J45" s="10">
        <f t="shared" si="6"/>
        <v>53385690.210284278</v>
      </c>
      <c r="K45" s="11">
        <f t="shared" si="7"/>
        <v>1.4140000000000041E-2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32434.591275108884</v>
      </c>
      <c r="D46" s="11">
        <v>2.0369999999999999E-2</v>
      </c>
      <c r="E46" s="10">
        <f t="shared" si="2"/>
        <v>647.50298840025425</v>
      </c>
      <c r="F46" s="3"/>
      <c r="G46" s="28"/>
      <c r="H46" s="10"/>
      <c r="I46" s="10">
        <f t="shared" si="8"/>
        <v>1623</v>
      </c>
      <c r="J46" s="10">
        <f t="shared" si="6"/>
        <v>52641341.639501721</v>
      </c>
      <c r="K46" s="11">
        <f t="shared" si="7"/>
        <v>2.0369999999999999E-2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31787.088286708629</v>
      </c>
      <c r="D47" s="11">
        <v>2.5389999999999999E-2</v>
      </c>
      <c r="E47" s="10">
        <f t="shared" si="2"/>
        <v>787.0899575766598</v>
      </c>
      <c r="F47" s="3"/>
      <c r="G47" s="28"/>
      <c r="H47" s="10"/>
      <c r="I47" s="10">
        <f t="shared" si="8"/>
        <v>1623</v>
      </c>
      <c r="J47" s="10">
        <f t="shared" si="6"/>
        <v>51590444.289328106</v>
      </c>
      <c r="K47" s="11">
        <f t="shared" si="7"/>
        <v>2.5390000000000024E-2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30999.99832913197</v>
      </c>
      <c r="D48" s="11">
        <v>2.615E-2</v>
      </c>
      <c r="E48" s="10">
        <f t="shared" si="2"/>
        <v>789.99167403089086</v>
      </c>
      <c r="F48" s="3"/>
      <c r="G48" s="28"/>
      <c r="H48" s="10"/>
      <c r="I48" s="10">
        <f t="shared" si="8"/>
        <v>1623</v>
      </c>
      <c r="J48" s="10">
        <f t="shared" si="6"/>
        <v>50312997.288181186</v>
      </c>
      <c r="K48" s="11">
        <f t="shared" si="7"/>
        <v>2.6149999999999896E-2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30210.006655101079</v>
      </c>
      <c r="D49" s="11">
        <v>2.7380000000000002E-2</v>
      </c>
      <c r="E49" s="10">
        <f t="shared" si="2"/>
        <v>805.10617514129626</v>
      </c>
      <c r="F49" s="3"/>
      <c r="G49" s="28"/>
      <c r="H49" s="10"/>
      <c r="I49" s="10">
        <f t="shared" si="8"/>
        <v>1623</v>
      </c>
      <c r="J49" s="10">
        <f t="shared" si="6"/>
        <v>49030840.801229052</v>
      </c>
      <c r="K49" s="11">
        <f t="shared" si="7"/>
        <v>2.737999999999996E-2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29404.900479959782</v>
      </c>
      <c r="D50" s="11">
        <v>2.6419999999999999E-2</v>
      </c>
      <c r="E50" s="10">
        <f t="shared" si="2"/>
        <v>756.88068303475666</v>
      </c>
      <c r="F50" s="3"/>
      <c r="G50" s="28"/>
      <c r="H50" s="10"/>
      <c r="I50" s="10">
        <f t="shared" si="8"/>
        <v>1623</v>
      </c>
      <c r="J50" s="10">
        <f t="shared" si="6"/>
        <v>47724153.47897473</v>
      </c>
      <c r="K50" s="11">
        <f t="shared" si="7"/>
        <v>2.642000000000011E-2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28648.019796925026</v>
      </c>
      <c r="D51" s="11">
        <v>2.6349999999999998E-2</v>
      </c>
      <c r="E51" s="10">
        <f t="shared" si="2"/>
        <v>735.49502766987644</v>
      </c>
      <c r="F51" s="3"/>
      <c r="G51" s="28"/>
      <c r="H51" s="10"/>
      <c r="I51" s="10">
        <f t="shared" si="8"/>
        <v>1623</v>
      </c>
      <c r="J51" s="10">
        <f t="shared" si="6"/>
        <v>46495736.130409315</v>
      </c>
      <c r="K51" s="11">
        <f t="shared" si="7"/>
        <v>2.6350000000000096E-2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27912.524769255149</v>
      </c>
      <c r="D52" s="11">
        <v>2.5700000000000001E-2</v>
      </c>
      <c r="E52" s="10">
        <f t="shared" si="2"/>
        <v>699.37787517778997</v>
      </c>
      <c r="F52" s="3"/>
      <c r="G52" s="28"/>
      <c r="H52" s="10"/>
      <c r="I52" s="10">
        <f t="shared" si="8"/>
        <v>1623</v>
      </c>
      <c r="J52" s="10">
        <f t="shared" si="6"/>
        <v>45302027.700501107</v>
      </c>
      <c r="K52" s="11">
        <f t="shared" si="7"/>
        <v>2.5700000000000056E-2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27213.146894077359</v>
      </c>
      <c r="D53" s="11">
        <v>2.392E-2</v>
      </c>
      <c r="E53" s="10">
        <f t="shared" si="2"/>
        <v>635.73176977334879</v>
      </c>
      <c r="F53" s="3"/>
      <c r="G53" s="28"/>
      <c r="H53" s="10"/>
      <c r="I53" s="10">
        <f t="shared" si="8"/>
        <v>1623</v>
      </c>
      <c r="J53" s="10">
        <f t="shared" si="6"/>
        <v>44166937.409087554</v>
      </c>
      <c r="K53" s="11">
        <f t="shared" si="7"/>
        <v>2.3919999999999941E-2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26577.415124304011</v>
      </c>
      <c r="D54" s="11">
        <v>2.3900000000000001E-2</v>
      </c>
      <c r="E54" s="10">
        <f t="shared" si="2"/>
        <v>620.37329961018258</v>
      </c>
      <c r="F54" s="3"/>
      <c r="G54" s="28"/>
      <c r="H54" s="10"/>
      <c r="I54" s="10">
        <f t="shared" si="8"/>
        <v>1623</v>
      </c>
      <c r="J54" s="10">
        <f t="shared" si="6"/>
        <v>43135144.746745408</v>
      </c>
      <c r="K54" s="11">
        <f t="shared" si="7"/>
        <v>2.389999999999981E-2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25957.041824693828</v>
      </c>
      <c r="D55" s="11">
        <v>2.094E-2</v>
      </c>
      <c r="E55" s="10">
        <f t="shared" si="2"/>
        <v>532.39216389708236</v>
      </c>
      <c r="F55" s="3"/>
      <c r="G55" s="28"/>
      <c r="H55" s="10"/>
      <c r="I55" s="10">
        <f t="shared" si="8"/>
        <v>1623</v>
      </c>
      <c r="J55" s="10">
        <f t="shared" si="6"/>
        <v>42128278.881478086</v>
      </c>
      <c r="K55" s="11">
        <f t="shared" si="7"/>
        <v>2.0940000000000181E-2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25424.649660796746</v>
      </c>
      <c r="D56" s="11">
        <v>1.839E-2</v>
      </c>
      <c r="E56" s="10">
        <f t="shared" si="2"/>
        <v>459.11616106015208</v>
      </c>
      <c r="F56" s="3"/>
      <c r="G56" s="28"/>
      <c r="H56" s="10"/>
      <c r="I56" s="10">
        <f t="shared" si="8"/>
        <v>1623</v>
      </c>
      <c r="J56" s="10">
        <f t="shared" si="6"/>
        <v>41264206.399473116</v>
      </c>
      <c r="K56" s="11">
        <f t="shared" si="7"/>
        <v>1.8389999999999684E-2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24965.533499736594</v>
      </c>
      <c r="D57" s="11">
        <v>1.6709999999999999E-2</v>
      </c>
      <c r="E57" s="10">
        <f t="shared" si="2"/>
        <v>410.3176567365299</v>
      </c>
      <c r="F57" s="3"/>
      <c r="G57" s="28"/>
      <c r="H57" s="10"/>
      <c r="I57" s="10">
        <f t="shared" si="8"/>
        <v>1623</v>
      </c>
      <c r="J57" s="10">
        <f t="shared" si="6"/>
        <v>40519060.870072491</v>
      </c>
      <c r="K57" s="11">
        <f t="shared" si="7"/>
        <v>1.6710000000000003E-2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24555.215843000064</v>
      </c>
      <c r="D58" s="11">
        <v>1.5570000000000001E-2</v>
      </c>
      <c r="E58" s="10">
        <f t="shared" si="2"/>
        <v>376.46317897881454</v>
      </c>
      <c r="F58" s="3"/>
      <c r="G58" s="28"/>
      <c r="H58" s="10"/>
      <c r="I58" s="10">
        <f t="shared" si="8"/>
        <v>1623</v>
      </c>
      <c r="J58" s="10">
        <f t="shared" si="6"/>
        <v>39853115.313189104</v>
      </c>
      <c r="K58" s="11">
        <f t="shared" si="7"/>
        <v>1.5570000000000306E-2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24178.752664021249</v>
      </c>
      <c r="D59" s="11">
        <v>8.9200000000000008E-3</v>
      </c>
      <c r="E59" s="10">
        <f t="shared" si="2"/>
        <v>213.76766618073816</v>
      </c>
      <c r="F59" s="3"/>
      <c r="G59" s="28"/>
      <c r="H59" s="10"/>
      <c r="I59" s="10">
        <f t="shared" si="8"/>
        <v>1623</v>
      </c>
      <c r="J59" s="10">
        <f t="shared" si="6"/>
        <v>39242115.573706485</v>
      </c>
      <c r="K59" s="11">
        <f t="shared" si="7"/>
        <v>8.920000000000039E-3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23964.984997840511</v>
      </c>
      <c r="D60" s="11">
        <v>7.1599999999999997E-3</v>
      </c>
      <c r="E60" s="10">
        <f t="shared" si="2"/>
        <v>170.36944734157441</v>
      </c>
      <c r="F60" s="3"/>
      <c r="G60" s="28"/>
      <c r="H60" s="10"/>
      <c r="I60" s="10">
        <f t="shared" si="8"/>
        <v>1623</v>
      </c>
      <c r="J60" s="10">
        <f t="shared" si="6"/>
        <v>38895170.651495151</v>
      </c>
      <c r="K60" s="11">
        <f t="shared" si="7"/>
        <v>7.1600000000002773E-3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23794.615550498936</v>
      </c>
      <c r="D61" s="11">
        <v>3.8E-3</v>
      </c>
      <c r="E61" s="10">
        <f t="shared" si="2"/>
        <v>90.07724555877212</v>
      </c>
      <c r="F61" s="3"/>
      <c r="G61" s="28"/>
      <c r="H61" s="10"/>
      <c r="I61" s="10">
        <f t="shared" si="8"/>
        <v>1623</v>
      </c>
      <c r="J61" s="10">
        <f t="shared" si="6"/>
        <v>38618661.03845977</v>
      </c>
      <c r="K61" s="11">
        <f t="shared" si="7"/>
        <v>3.7999999999998035E-3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23704.538304940164</v>
      </c>
      <c r="D62" s="11">
        <v>1.97E-3</v>
      </c>
      <c r="E62" s="10">
        <f t="shared" si="2"/>
        <v>46.606126391739963</v>
      </c>
      <c r="F62" s="3"/>
      <c r="G62" s="28"/>
      <c r="H62" s="10"/>
      <c r="I62" s="10">
        <f t="shared" si="8"/>
        <v>1623</v>
      </c>
      <c r="J62" s="10">
        <f t="shared" si="6"/>
        <v>38472465.668917887</v>
      </c>
      <c r="K62" s="11">
        <f t="shared" si="7"/>
        <v>1.9699999999998052E-3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23657.932178548424</v>
      </c>
      <c r="D63" s="11">
        <v>7.9000000000000001E-4</v>
      </c>
      <c r="E63" s="10">
        <f t="shared" si="2"/>
        <v>18.675013160656817</v>
      </c>
      <c r="F63" s="3"/>
      <c r="G63" s="28"/>
      <c r="H63" s="10"/>
      <c r="I63" s="10">
        <f t="shared" si="8"/>
        <v>1623</v>
      </c>
      <c r="J63" s="10">
        <f t="shared" si="6"/>
        <v>38396823.925784096</v>
      </c>
      <c r="K63" s="11">
        <f t="shared" si="7"/>
        <v>7.9000000000006843E-4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23639.257165387768</v>
      </c>
      <c r="D64" s="11">
        <v>4.2470000000000001E-2</v>
      </c>
      <c r="E64" s="10">
        <f t="shared" si="2"/>
        <v>963.05817127976843</v>
      </c>
      <c r="F64" s="3"/>
      <c r="G64" s="28"/>
      <c r="H64" s="10"/>
      <c r="I64" s="10">
        <f t="shared" si="8"/>
        <v>1623</v>
      </c>
      <c r="J64" s="10">
        <f t="shared" si="6"/>
        <v>38366514.379424348</v>
      </c>
      <c r="K64" s="11">
        <f t="shared" si="7"/>
        <v>4.247000000000023E-2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22676.198994107999</v>
      </c>
      <c r="D65" s="11">
        <v>1.5219999999999999E-2</v>
      </c>
      <c r="E65" s="10">
        <f t="shared" si="2"/>
        <v>339.95759410800019</v>
      </c>
      <c r="F65" s="3"/>
      <c r="G65" s="28"/>
      <c r="H65" s="10"/>
      <c r="I65" s="10">
        <f t="shared" si="8"/>
        <v>1623</v>
      </c>
      <c r="J65" s="10">
        <f t="shared" si="6"/>
        <v>36803470.967437282</v>
      </c>
      <c r="K65" s="11">
        <f t="shared" si="7"/>
        <v>1.5220000000000011E-2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22336.241399999999</v>
      </c>
      <c r="D66" s="11">
        <v>1.6299999999999999E-2</v>
      </c>
      <c r="E66" s="10">
        <f t="shared" si="2"/>
        <v>358.24139999999898</v>
      </c>
      <c r="F66" s="24">
        <f>SUM(F2)</f>
        <v>76045</v>
      </c>
      <c r="G66" s="28"/>
      <c r="H66" s="10"/>
      <c r="I66" s="10">
        <f t="shared" si="8"/>
        <v>1623</v>
      </c>
      <c r="J66" s="10">
        <f t="shared" ref="J66:J67" si="9">IF(I66="","",I66*C66)</f>
        <v>36251719.792199999</v>
      </c>
      <c r="K66" s="11">
        <f t="shared" ref="K66" si="10">IFERROR(J66/J67-1,"")</f>
        <v>1.6299999999999981E-2</v>
      </c>
    </row>
    <row r="67" spans="1:11" ht="22.5" customHeight="1">
      <c r="A67" s="3">
        <f t="shared" si="0"/>
        <v>1950</v>
      </c>
      <c r="B67" s="3">
        <v>1700</v>
      </c>
      <c r="C67" s="10">
        <v>21978</v>
      </c>
      <c r="D67" s="11">
        <v>7.9699999999999997E-3</v>
      </c>
      <c r="E67" s="3" t="s">
        <v>72</v>
      </c>
      <c r="F67" s="10">
        <f>SUM(C2)</f>
        <v>76062.600820163949</v>
      </c>
      <c r="G67" s="28"/>
      <c r="H67" s="10"/>
      <c r="I67" s="10">
        <f t="shared" ref="I67" si="11">IF(H67&lt;&gt;"",H67,I66/(1+IF(G66="",0,G66)/100))</f>
        <v>1623</v>
      </c>
      <c r="J67" s="10">
        <f t="shared" si="9"/>
        <v>35670294</v>
      </c>
      <c r="K67" s="11"/>
    </row>
  </sheetData>
  <dataValidations count="1">
    <dataValidation type="custom" allowBlank="1" showDropDown="1" sqref="D2:D67" xr:uid="{00000000-0002-0000-4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36478054.256474152</v>
      </c>
      <c r="D2" s="11">
        <v>3.1260000000000003E-2</v>
      </c>
      <c r="E2" s="10">
        <f t="shared" ref="E2:E66" si="2">SUM(C2-C3)</f>
        <v>1105738.5878026709</v>
      </c>
      <c r="F2" s="15">
        <v>36478307</v>
      </c>
      <c r="G2" s="28"/>
      <c r="H2" s="10"/>
      <c r="I2" s="10">
        <f>IF(H2&lt;&gt;"",H2,929)</f>
        <v>929</v>
      </c>
      <c r="J2" s="10">
        <f t="shared" ref="J2:J33" si="3">IF(I2="","",I2*C2)</f>
        <v>33888112404.264488</v>
      </c>
      <c r="K2" s="11">
        <f t="shared" ref="K2:K33" si="4">IFERROR(J2/J3-1,"")</f>
        <v>3.1260000000000066E-2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35372315.668671481</v>
      </c>
      <c r="D3" s="11">
        <v>3.1320000000000001E-2</v>
      </c>
      <c r="E3" s="10">
        <f t="shared" si="2"/>
        <v>1074216.4669964612</v>
      </c>
      <c r="F3" s="3"/>
      <c r="G3" s="28"/>
      <c r="H3" s="10"/>
      <c r="I3" s="10">
        <f t="shared" ref="I3:I34" si="5">IF(H3&lt;&gt;"",H3,I2/(1+IF(G2="",0,G2)/100))</f>
        <v>929</v>
      </c>
      <c r="J3" s="10">
        <f t="shared" si="3"/>
        <v>32860881256.195805</v>
      </c>
      <c r="K3" s="11">
        <f t="shared" si="4"/>
        <v>3.1320000000000014E-2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34298099.20167502</v>
      </c>
      <c r="D4" s="11">
        <v>3.1899999999999998E-2</v>
      </c>
      <c r="E4" s="10">
        <f t="shared" si="2"/>
        <v>1060286.2336790748</v>
      </c>
      <c r="F4" s="3"/>
      <c r="G4" s="28"/>
      <c r="H4" s="10"/>
      <c r="I4" s="10">
        <f t="shared" si="5"/>
        <v>929</v>
      </c>
      <c r="J4" s="10">
        <f t="shared" si="3"/>
        <v>31862934158.356094</v>
      </c>
      <c r="K4" s="11">
        <f t="shared" si="4"/>
        <v>3.1900000000000039E-2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33237812.967995945</v>
      </c>
      <c r="D5" s="11">
        <v>2.6440000000000002E-2</v>
      </c>
      <c r="E5" s="10">
        <f t="shared" si="2"/>
        <v>856170.62358619273</v>
      </c>
      <c r="F5" s="3"/>
      <c r="G5" s="28"/>
      <c r="H5" s="10"/>
      <c r="I5" s="10">
        <f t="shared" si="5"/>
        <v>929</v>
      </c>
      <c r="J5" s="10">
        <f t="shared" si="3"/>
        <v>30877928247.268234</v>
      </c>
      <c r="K5" s="11">
        <f t="shared" si="4"/>
        <v>2.6440000000000019E-2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32381642.344409753</v>
      </c>
      <c r="D6" s="11">
        <v>3.2050000000000002E-2</v>
      </c>
      <c r="E6" s="10">
        <f t="shared" si="2"/>
        <v>1005602.0901490524</v>
      </c>
      <c r="F6" s="3"/>
      <c r="G6" s="28"/>
      <c r="H6" s="10"/>
      <c r="I6" s="10">
        <f t="shared" si="5"/>
        <v>929</v>
      </c>
      <c r="J6" s="10">
        <f t="shared" si="3"/>
        <v>30082545737.956661</v>
      </c>
      <c r="K6" s="11">
        <f t="shared" si="4"/>
        <v>3.2049999999999912E-2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31376040.2542607</v>
      </c>
      <c r="D7" s="11">
        <v>3.261E-2</v>
      </c>
      <c r="E7" s="10">
        <f t="shared" si="2"/>
        <v>990860.70509818941</v>
      </c>
      <c r="F7" s="3"/>
      <c r="G7" s="28"/>
      <c r="H7" s="10"/>
      <c r="I7" s="10">
        <f t="shared" si="5"/>
        <v>929</v>
      </c>
      <c r="J7" s="10">
        <f t="shared" si="3"/>
        <v>29148341396.208191</v>
      </c>
      <c r="K7" s="11">
        <f t="shared" si="4"/>
        <v>3.2610000000000028E-2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30385179.549162511</v>
      </c>
      <c r="D8" s="11">
        <v>3.2349999999999997E-2</v>
      </c>
      <c r="E8" s="10">
        <f t="shared" si="2"/>
        <v>952158.2393717356</v>
      </c>
      <c r="F8" s="3"/>
      <c r="G8" s="28"/>
      <c r="H8" s="10"/>
      <c r="I8" s="10">
        <f t="shared" si="5"/>
        <v>929</v>
      </c>
      <c r="J8" s="10">
        <f t="shared" si="3"/>
        <v>28227831801.171974</v>
      </c>
      <c r="K8" s="11">
        <f t="shared" si="4"/>
        <v>3.2350000000000101E-2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29433021.309790775</v>
      </c>
      <c r="D9" s="11">
        <v>3.2809999999999999E-2</v>
      </c>
      <c r="E9" s="10">
        <f t="shared" si="2"/>
        <v>935019.44130501896</v>
      </c>
      <c r="F9" s="3"/>
      <c r="G9" s="28"/>
      <c r="H9" s="10"/>
      <c r="I9" s="10">
        <f t="shared" si="5"/>
        <v>929</v>
      </c>
      <c r="J9" s="10">
        <f t="shared" si="3"/>
        <v>27343276796.795631</v>
      </c>
      <c r="K9" s="11">
        <f t="shared" si="4"/>
        <v>3.2810000000000006E-2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28498001.868485756</v>
      </c>
      <c r="D10" s="11">
        <v>3.2919999999999998E-2</v>
      </c>
      <c r="E10" s="10">
        <f t="shared" si="2"/>
        <v>908254.48390054703</v>
      </c>
      <c r="F10" s="3"/>
      <c r="G10" s="28"/>
      <c r="H10" s="10"/>
      <c r="I10" s="10">
        <f t="shared" si="5"/>
        <v>929</v>
      </c>
      <c r="J10" s="10">
        <f t="shared" si="3"/>
        <v>26474643735.823269</v>
      </c>
      <c r="K10" s="11">
        <f t="shared" si="4"/>
        <v>3.292000000000006E-2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27589747.384585209</v>
      </c>
      <c r="D11" s="11">
        <v>3.2840000000000001E-2</v>
      </c>
      <c r="E11" s="10">
        <f t="shared" si="2"/>
        <v>877238.78249271587</v>
      </c>
      <c r="F11" s="3"/>
      <c r="G11" s="28"/>
      <c r="H11" s="10"/>
      <c r="I11" s="10">
        <f t="shared" si="5"/>
        <v>929</v>
      </c>
      <c r="J11" s="10">
        <f t="shared" si="3"/>
        <v>25630875320.279659</v>
      </c>
      <c r="K11" s="11">
        <f t="shared" si="4"/>
        <v>3.283999999999998E-2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26712508.602092493</v>
      </c>
      <c r="D12" s="11">
        <v>3.2770000000000001E-2</v>
      </c>
      <c r="E12" s="10">
        <f t="shared" si="2"/>
        <v>847593.27526029199</v>
      </c>
      <c r="F12" s="3"/>
      <c r="G12" s="28"/>
      <c r="H12" s="10"/>
      <c r="I12" s="10">
        <f t="shared" si="5"/>
        <v>929</v>
      </c>
      <c r="J12" s="10">
        <f t="shared" si="3"/>
        <v>24815920491.343925</v>
      </c>
      <c r="K12" s="11">
        <f t="shared" si="4"/>
        <v>3.2769999999999966E-2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25864915.326832201</v>
      </c>
      <c r="D13" s="11">
        <v>3.2739999999999998E-2</v>
      </c>
      <c r="E13" s="10">
        <f t="shared" si="2"/>
        <v>819971.46213033795</v>
      </c>
      <c r="F13" s="3"/>
      <c r="G13" s="28"/>
      <c r="H13" s="10"/>
      <c r="I13" s="10">
        <f t="shared" si="5"/>
        <v>929</v>
      </c>
      <c r="J13" s="10">
        <f t="shared" si="3"/>
        <v>24028506338.627113</v>
      </c>
      <c r="K13" s="11">
        <f t="shared" si="4"/>
        <v>3.2739999999999991E-2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25044943.864701863</v>
      </c>
      <c r="D14" s="11">
        <v>3.2009999999999997E-2</v>
      </c>
      <c r="E14" s="10">
        <f t="shared" si="2"/>
        <v>776822.56287159026</v>
      </c>
      <c r="F14" s="3"/>
      <c r="G14" s="28"/>
      <c r="H14" s="10"/>
      <c r="I14" s="10">
        <f t="shared" si="5"/>
        <v>929</v>
      </c>
      <c r="J14" s="10">
        <f t="shared" si="3"/>
        <v>23266752850.308029</v>
      </c>
      <c r="K14" s="11">
        <f t="shared" si="4"/>
        <v>3.2010000000000094E-2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24268121.301830273</v>
      </c>
      <c r="D15" s="11">
        <v>3.1559999999999998E-2</v>
      </c>
      <c r="E15" s="10">
        <f t="shared" si="2"/>
        <v>742469.56869766489</v>
      </c>
      <c r="F15" s="3"/>
      <c r="G15" s="28"/>
      <c r="H15" s="10"/>
      <c r="I15" s="10">
        <f t="shared" si="5"/>
        <v>929</v>
      </c>
      <c r="J15" s="10">
        <f t="shared" si="3"/>
        <v>22545084689.400322</v>
      </c>
      <c r="K15" s="11">
        <f t="shared" si="4"/>
        <v>3.1560000000000032E-2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23525651.733132608</v>
      </c>
      <c r="D16" s="11">
        <v>3.056E-2</v>
      </c>
      <c r="E16" s="10">
        <f t="shared" si="2"/>
        <v>697624.51188143343</v>
      </c>
      <c r="F16" s="3"/>
      <c r="G16" s="28"/>
      <c r="H16" s="10"/>
      <c r="I16" s="10">
        <f t="shared" si="5"/>
        <v>929</v>
      </c>
      <c r="J16" s="10">
        <f t="shared" si="3"/>
        <v>21855330460.080193</v>
      </c>
      <c r="K16" s="11">
        <f t="shared" si="4"/>
        <v>3.0559999999999699E-2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22828027.221251175</v>
      </c>
      <c r="D17" s="11">
        <v>2.9569999999999999E-2</v>
      </c>
      <c r="E17" s="10">
        <f t="shared" si="2"/>
        <v>655637.562217623</v>
      </c>
      <c r="F17" s="3"/>
      <c r="G17" s="28"/>
      <c r="H17" s="10"/>
      <c r="I17" s="10">
        <f t="shared" si="5"/>
        <v>929</v>
      </c>
      <c r="J17" s="10">
        <f t="shared" si="3"/>
        <v>21207237288.542343</v>
      </c>
      <c r="K17" s="11">
        <f t="shared" si="4"/>
        <v>2.9570000000000096E-2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22172389.659033552</v>
      </c>
      <c r="D18" s="11">
        <v>2.8680000000000001E-2</v>
      </c>
      <c r="E18" s="10">
        <f t="shared" si="2"/>
        <v>618174.87986651063</v>
      </c>
      <c r="F18" s="3"/>
      <c r="G18" s="28"/>
      <c r="H18" s="10"/>
      <c r="I18" s="10">
        <f t="shared" si="5"/>
        <v>929</v>
      </c>
      <c r="J18" s="10">
        <f t="shared" si="3"/>
        <v>20598149993.242168</v>
      </c>
      <c r="K18" s="11">
        <f t="shared" si="4"/>
        <v>2.8680000000000039E-2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21554214.779167041</v>
      </c>
      <c r="D19" s="11">
        <v>2.69E-2</v>
      </c>
      <c r="E19" s="10">
        <f t="shared" si="2"/>
        <v>564620.09695159271</v>
      </c>
      <c r="F19" s="3"/>
      <c r="G19" s="28"/>
      <c r="H19" s="10"/>
      <c r="I19" s="10">
        <f t="shared" si="5"/>
        <v>929</v>
      </c>
      <c r="J19" s="10">
        <f t="shared" si="3"/>
        <v>20023865529.84618</v>
      </c>
      <c r="K19" s="11">
        <f t="shared" si="4"/>
        <v>2.6899999999999702E-2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20989594.682215448</v>
      </c>
      <c r="D20" s="11">
        <v>2.3709999999999998E-2</v>
      </c>
      <c r="E20" s="10">
        <f t="shared" si="2"/>
        <v>486136.98207043484</v>
      </c>
      <c r="F20" s="3"/>
      <c r="G20" s="28"/>
      <c r="H20" s="10"/>
      <c r="I20" s="10">
        <f t="shared" si="5"/>
        <v>929</v>
      </c>
      <c r="J20" s="10">
        <f t="shared" si="3"/>
        <v>19499333459.778152</v>
      </c>
      <c r="K20" s="11">
        <f t="shared" si="4"/>
        <v>2.3709999999999898E-2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20503457.700145014</v>
      </c>
      <c r="D21" s="11">
        <v>2.171E-2</v>
      </c>
      <c r="E21" s="10">
        <f t="shared" si="2"/>
        <v>435671.63546421751</v>
      </c>
      <c r="F21" s="3"/>
      <c r="G21" s="28"/>
      <c r="H21" s="10"/>
      <c r="I21" s="10">
        <f t="shared" si="5"/>
        <v>929</v>
      </c>
      <c r="J21" s="10">
        <f t="shared" si="3"/>
        <v>19047712203.434719</v>
      </c>
      <c r="K21" s="11">
        <f t="shared" si="4"/>
        <v>2.1709999999999896E-2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20067786.064680796</v>
      </c>
      <c r="D22" s="11">
        <v>2.1389999999999999E-2</v>
      </c>
      <c r="E22" s="10">
        <f t="shared" si="2"/>
        <v>420260.57032428682</v>
      </c>
      <c r="F22" s="3"/>
      <c r="G22" s="28"/>
      <c r="H22" s="10"/>
      <c r="I22" s="10">
        <f t="shared" si="5"/>
        <v>929</v>
      </c>
      <c r="J22" s="10">
        <f t="shared" si="3"/>
        <v>18642973254.088459</v>
      </c>
      <c r="K22" s="11">
        <f t="shared" si="4"/>
        <v>2.139000000000002E-2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19647525.494356509</v>
      </c>
      <c r="D23" s="11">
        <v>2.196E-2</v>
      </c>
      <c r="E23" s="10">
        <f t="shared" si="2"/>
        <v>422188.40253636986</v>
      </c>
      <c r="F23" s="3"/>
      <c r="G23" s="28"/>
      <c r="H23" s="10"/>
      <c r="I23" s="10">
        <f t="shared" si="5"/>
        <v>929</v>
      </c>
      <c r="J23" s="10">
        <f t="shared" si="3"/>
        <v>18252551184.257198</v>
      </c>
      <c r="K23" s="11">
        <f t="shared" si="4"/>
        <v>2.195999999999998E-2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19225337.091820139</v>
      </c>
      <c r="D24" s="11">
        <v>2.1080000000000002E-2</v>
      </c>
      <c r="E24" s="10">
        <f t="shared" si="2"/>
        <v>396903.38259055838</v>
      </c>
      <c r="F24" s="3"/>
      <c r="G24" s="28"/>
      <c r="H24" s="10"/>
      <c r="I24" s="10">
        <f t="shared" si="5"/>
        <v>929</v>
      </c>
      <c r="J24" s="10">
        <f t="shared" si="3"/>
        <v>17860338158.300911</v>
      </c>
      <c r="K24" s="11">
        <f t="shared" si="4"/>
        <v>2.108000000000021E-2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18828433.709229581</v>
      </c>
      <c r="D25" s="11">
        <v>2.06E-2</v>
      </c>
      <c r="E25" s="10">
        <f t="shared" si="2"/>
        <v>380036.97277104482</v>
      </c>
      <c r="F25" s="3"/>
      <c r="G25" s="28"/>
      <c r="H25" s="10"/>
      <c r="I25" s="10">
        <f t="shared" si="5"/>
        <v>929</v>
      </c>
      <c r="J25" s="10">
        <f t="shared" si="3"/>
        <v>17491614915.874279</v>
      </c>
      <c r="K25" s="11">
        <f t="shared" si="4"/>
        <v>2.059999999999973E-2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18448396.736458536</v>
      </c>
      <c r="D26" s="11">
        <v>1.9699999999999999E-2</v>
      </c>
      <c r="E26" s="10">
        <f t="shared" si="2"/>
        <v>356412.09738965705</v>
      </c>
      <c r="F26" s="3"/>
      <c r="G26" s="28"/>
      <c r="H26" s="10"/>
      <c r="I26" s="10">
        <f t="shared" si="5"/>
        <v>929</v>
      </c>
      <c r="J26" s="10">
        <f t="shared" si="3"/>
        <v>17138560568.169981</v>
      </c>
      <c r="K26" s="11">
        <f t="shared" si="4"/>
        <v>1.9700000000000051E-2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18091984.639068879</v>
      </c>
      <c r="D27" s="11">
        <v>2.001E-2</v>
      </c>
      <c r="E27" s="10">
        <f t="shared" si="2"/>
        <v>354918.6896479167</v>
      </c>
      <c r="F27" s="3"/>
      <c r="G27" s="28"/>
      <c r="H27" s="10"/>
      <c r="I27" s="10">
        <f t="shared" si="5"/>
        <v>929</v>
      </c>
      <c r="J27" s="10">
        <f t="shared" si="3"/>
        <v>16807453729.694988</v>
      </c>
      <c r="K27" s="11">
        <f t="shared" si="4"/>
        <v>2.0010000000000083E-2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17737065.949420962</v>
      </c>
      <c r="D28" s="11">
        <v>1.9349999999999999E-2</v>
      </c>
      <c r="E28" s="10">
        <f t="shared" si="2"/>
        <v>336697.13652944937</v>
      </c>
      <c r="F28" s="3"/>
      <c r="G28" s="28"/>
      <c r="H28" s="10"/>
      <c r="I28" s="10">
        <f t="shared" si="5"/>
        <v>929</v>
      </c>
      <c r="J28" s="10">
        <f t="shared" si="3"/>
        <v>16477734267.012074</v>
      </c>
      <c r="K28" s="11">
        <f t="shared" si="4"/>
        <v>1.9349999999999756E-2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17400368.812891513</v>
      </c>
      <c r="D29" s="11">
        <v>1.7860000000000001E-2</v>
      </c>
      <c r="E29" s="10">
        <f t="shared" si="2"/>
        <v>305317.61440496892</v>
      </c>
      <c r="F29" s="3"/>
      <c r="G29" s="28"/>
      <c r="H29" s="10"/>
      <c r="I29" s="10">
        <f t="shared" si="5"/>
        <v>929</v>
      </c>
      <c r="J29" s="10">
        <f t="shared" si="3"/>
        <v>16164942627.176216</v>
      </c>
      <c r="K29" s="11">
        <f t="shared" si="4"/>
        <v>1.7859999999999987E-2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17095051.198486544</v>
      </c>
      <c r="D30" s="11">
        <v>1.704E-2</v>
      </c>
      <c r="E30" s="10">
        <f t="shared" si="2"/>
        <v>286419.0911097005</v>
      </c>
      <c r="F30" s="3"/>
      <c r="G30" s="28"/>
      <c r="H30" s="10"/>
      <c r="I30" s="10">
        <f t="shared" si="5"/>
        <v>929</v>
      </c>
      <c r="J30" s="10">
        <f t="shared" si="3"/>
        <v>15881302563.393999</v>
      </c>
      <c r="K30" s="11">
        <f t="shared" si="4"/>
        <v>1.7039999999999944E-2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16808632.107376844</v>
      </c>
      <c r="D31" s="11">
        <v>1.78E-2</v>
      </c>
      <c r="E31" s="10">
        <f t="shared" si="2"/>
        <v>293961.14316300675</v>
      </c>
      <c r="F31" s="3"/>
      <c r="G31" s="28"/>
      <c r="H31" s="10"/>
      <c r="I31" s="10">
        <f t="shared" si="5"/>
        <v>929</v>
      </c>
      <c r="J31" s="10">
        <f t="shared" si="3"/>
        <v>15615219227.753088</v>
      </c>
      <c r="K31" s="11">
        <f t="shared" si="4"/>
        <v>1.7800000000000038E-2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16514670.964213837</v>
      </c>
      <c r="D32" s="11">
        <v>1.9269999999999999E-2</v>
      </c>
      <c r="E32" s="10">
        <f t="shared" si="2"/>
        <v>312221.20682488382</v>
      </c>
      <c r="F32" s="3"/>
      <c r="G32" s="28"/>
      <c r="H32" s="10"/>
      <c r="I32" s="10">
        <f t="shared" si="5"/>
        <v>929</v>
      </c>
      <c r="J32" s="10">
        <f t="shared" si="3"/>
        <v>15342129325.754654</v>
      </c>
      <c r="K32" s="11">
        <f t="shared" si="4"/>
        <v>1.9269999999999898E-2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16202449.757388953</v>
      </c>
      <c r="D33" s="11">
        <v>2.0799999999999999E-2</v>
      </c>
      <c r="E33" s="10">
        <f t="shared" si="2"/>
        <v>330143.9605737552</v>
      </c>
      <c r="F33" s="3"/>
      <c r="G33" s="28"/>
      <c r="H33" s="10"/>
      <c r="I33" s="10">
        <f t="shared" si="5"/>
        <v>929</v>
      </c>
      <c r="J33" s="10">
        <f t="shared" si="3"/>
        <v>15052075824.614338</v>
      </c>
      <c r="K33" s="11">
        <f t="shared" si="4"/>
        <v>2.079999999999993E-2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15872305.796815198</v>
      </c>
      <c r="D34" s="11">
        <v>2.2110000000000001E-2</v>
      </c>
      <c r="E34" s="10">
        <f t="shared" si="2"/>
        <v>343345.31622583233</v>
      </c>
      <c r="F34" s="3"/>
      <c r="G34" s="28"/>
      <c r="H34" s="10"/>
      <c r="I34" s="10">
        <f t="shared" si="5"/>
        <v>929</v>
      </c>
      <c r="J34" s="10">
        <f t="shared" ref="J34:J65" si="6">IF(I34="","",I34*C34)</f>
        <v>14745372085.24132</v>
      </c>
      <c r="K34" s="11">
        <f t="shared" ref="K34:K65" si="7">IFERROR(J34/J35-1,"")</f>
        <v>2.2110000000000296E-2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15528960.480589366</v>
      </c>
      <c r="D35" s="11">
        <v>2.1729999999999999E-2</v>
      </c>
      <c r="E35" s="10">
        <f t="shared" si="2"/>
        <v>330267.59637399949</v>
      </c>
      <c r="F35" s="3"/>
      <c r="G35" s="28"/>
      <c r="H35" s="10"/>
      <c r="I35" s="10">
        <f t="shared" ref="I35:I66" si="8">IF(H35&lt;&gt;"",H35,I34/(1+IF(G34="",0,G34)/100))</f>
        <v>929</v>
      </c>
      <c r="J35" s="10">
        <f t="shared" si="6"/>
        <v>14426404286.46752</v>
      </c>
      <c r="K35" s="11">
        <f t="shared" si="7"/>
        <v>2.1729999999999805E-2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15198692.884215366</v>
      </c>
      <c r="D36" s="11">
        <v>2.1329999999999998E-2</v>
      </c>
      <c r="E36" s="10">
        <f t="shared" si="2"/>
        <v>317417.60177446529</v>
      </c>
      <c r="F36" s="3"/>
      <c r="G36" s="28"/>
      <c r="H36" s="10"/>
      <c r="I36" s="10">
        <f t="shared" si="8"/>
        <v>929</v>
      </c>
      <c r="J36" s="10">
        <f t="shared" si="6"/>
        <v>14119585689.436075</v>
      </c>
      <c r="K36" s="11">
        <f t="shared" si="7"/>
        <v>2.1330000000000071E-2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14881275.282440901</v>
      </c>
      <c r="D37" s="11">
        <v>2.1299999999999999E-2</v>
      </c>
      <c r="E37" s="10">
        <f t="shared" si="2"/>
        <v>310360.48518162407</v>
      </c>
      <c r="F37" s="3"/>
      <c r="G37" s="28"/>
      <c r="H37" s="10"/>
      <c r="I37" s="10">
        <f t="shared" si="8"/>
        <v>929</v>
      </c>
      <c r="J37" s="10">
        <f t="shared" si="6"/>
        <v>13824704737.387596</v>
      </c>
      <c r="K37" s="11">
        <f t="shared" si="7"/>
        <v>2.1300000000000097E-2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14570914.797259277</v>
      </c>
      <c r="D38" s="11">
        <v>2.035E-2</v>
      </c>
      <c r="E38" s="10">
        <f t="shared" si="2"/>
        <v>290604.31824788265</v>
      </c>
      <c r="F38" s="3"/>
      <c r="G38" s="28"/>
      <c r="H38" s="10"/>
      <c r="I38" s="10">
        <f t="shared" si="8"/>
        <v>929</v>
      </c>
      <c r="J38" s="10">
        <f t="shared" si="6"/>
        <v>13536379846.653868</v>
      </c>
      <c r="K38" s="11">
        <f t="shared" si="7"/>
        <v>2.035000000000009E-2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14280310.479011394</v>
      </c>
      <c r="D39" s="11">
        <v>1.9519999999999999E-2</v>
      </c>
      <c r="E39" s="10">
        <f t="shared" si="2"/>
        <v>273414.60741358809</v>
      </c>
      <c r="F39" s="3"/>
      <c r="G39" s="28"/>
      <c r="H39" s="10"/>
      <c r="I39" s="10">
        <f t="shared" si="8"/>
        <v>929</v>
      </c>
      <c r="J39" s="10">
        <f t="shared" si="6"/>
        <v>13266408435.001585</v>
      </c>
      <c r="K39" s="11">
        <f t="shared" si="7"/>
        <v>1.9519999999999982E-2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14006895.871597806</v>
      </c>
      <c r="D40" s="11">
        <v>1.9210000000000001E-2</v>
      </c>
      <c r="E40" s="10">
        <f t="shared" si="2"/>
        <v>264001.01028580219</v>
      </c>
      <c r="F40" s="3"/>
      <c r="G40" s="28"/>
      <c r="H40" s="10"/>
      <c r="I40" s="10">
        <f t="shared" si="8"/>
        <v>929</v>
      </c>
      <c r="J40" s="10">
        <f t="shared" si="6"/>
        <v>13012406264.714361</v>
      </c>
      <c r="K40" s="11">
        <f t="shared" si="7"/>
        <v>1.9209999999999949E-2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13742894.861312004</v>
      </c>
      <c r="D41" s="11">
        <v>1.7780000000000001E-2</v>
      </c>
      <c r="E41" s="10">
        <f t="shared" si="2"/>
        <v>240080.04739150591</v>
      </c>
      <c r="F41" s="3"/>
      <c r="G41" s="28"/>
      <c r="H41" s="10"/>
      <c r="I41" s="10">
        <f t="shared" si="8"/>
        <v>929</v>
      </c>
      <c r="J41" s="10">
        <f t="shared" si="6"/>
        <v>12767149326.158852</v>
      </c>
      <c r="K41" s="11">
        <f t="shared" si="7"/>
        <v>1.7779999999999907E-2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13502814.813920498</v>
      </c>
      <c r="D42" s="11">
        <v>1.8089999999999998E-2</v>
      </c>
      <c r="E42" s="10">
        <f t="shared" si="2"/>
        <v>239925.66470923088</v>
      </c>
      <c r="F42" s="3"/>
      <c r="G42" s="28"/>
      <c r="H42" s="10"/>
      <c r="I42" s="10">
        <f t="shared" si="8"/>
        <v>929</v>
      </c>
      <c r="J42" s="10">
        <f t="shared" si="6"/>
        <v>12544114962.132143</v>
      </c>
      <c r="K42" s="11">
        <f t="shared" si="7"/>
        <v>1.8089999999999939E-2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13262889.149211267</v>
      </c>
      <c r="D43" s="11">
        <v>1.787E-2</v>
      </c>
      <c r="E43" s="10">
        <f t="shared" si="2"/>
        <v>232846.85578355379</v>
      </c>
      <c r="F43" s="3"/>
      <c r="G43" s="28"/>
      <c r="H43" s="10"/>
      <c r="I43" s="10">
        <f t="shared" si="8"/>
        <v>929</v>
      </c>
      <c r="J43" s="10">
        <f t="shared" si="6"/>
        <v>12321224019.617268</v>
      </c>
      <c r="K43" s="11">
        <f t="shared" si="7"/>
        <v>1.7870000000000053E-2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13030042.293427713</v>
      </c>
      <c r="D44" s="11">
        <v>1.7680000000000001E-2</v>
      </c>
      <c r="E44" s="10">
        <f t="shared" si="2"/>
        <v>226368.94480367191</v>
      </c>
      <c r="F44" s="3"/>
      <c r="G44" s="28"/>
      <c r="H44" s="10"/>
      <c r="I44" s="10">
        <f t="shared" si="8"/>
        <v>929</v>
      </c>
      <c r="J44" s="10">
        <f t="shared" si="6"/>
        <v>12104909290.594345</v>
      </c>
      <c r="K44" s="11">
        <f t="shared" si="7"/>
        <v>1.7679999999999918E-2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12803673.348624041</v>
      </c>
      <c r="D45" s="11">
        <v>1.6979999999999999E-2</v>
      </c>
      <c r="E45" s="10">
        <f t="shared" si="2"/>
        <v>213776.44934967905</v>
      </c>
      <c r="F45" s="3"/>
      <c r="G45" s="28"/>
      <c r="H45" s="10"/>
      <c r="I45" s="10">
        <f t="shared" si="8"/>
        <v>929</v>
      </c>
      <c r="J45" s="10">
        <f t="shared" si="6"/>
        <v>11894612540.871735</v>
      </c>
      <c r="K45" s="11">
        <f t="shared" si="7"/>
        <v>1.6979999999999995E-2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12589896.899274362</v>
      </c>
      <c r="D46" s="11">
        <v>1.5910000000000001E-2</v>
      </c>
      <c r="E46" s="10">
        <f t="shared" si="2"/>
        <v>197168.31182629988</v>
      </c>
      <c r="F46" s="3"/>
      <c r="G46" s="28"/>
      <c r="H46" s="10"/>
      <c r="I46" s="10">
        <f t="shared" si="8"/>
        <v>929</v>
      </c>
      <c r="J46" s="10">
        <f t="shared" si="6"/>
        <v>11696014219.425882</v>
      </c>
      <c r="K46" s="11">
        <f t="shared" si="7"/>
        <v>1.5910000000000091E-2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12392728.587448062</v>
      </c>
      <c r="D47" s="11">
        <v>1.617E-2</v>
      </c>
      <c r="E47" s="10">
        <f t="shared" si="2"/>
        <v>197201.67025107518</v>
      </c>
      <c r="F47" s="3"/>
      <c r="G47" s="28"/>
      <c r="H47" s="10"/>
      <c r="I47" s="10">
        <f t="shared" si="8"/>
        <v>929</v>
      </c>
      <c r="J47" s="10">
        <f t="shared" si="6"/>
        <v>11512844857.73925</v>
      </c>
      <c r="K47" s="11">
        <f t="shared" si="7"/>
        <v>1.6170000000000018E-2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12195526.917196987</v>
      </c>
      <c r="D48" s="11">
        <v>1.555E-2</v>
      </c>
      <c r="E48" s="10">
        <f t="shared" si="2"/>
        <v>186736.68806303293</v>
      </c>
      <c r="F48" s="3"/>
      <c r="G48" s="28"/>
      <c r="H48" s="10"/>
      <c r="I48" s="10">
        <f t="shared" si="8"/>
        <v>929</v>
      </c>
      <c r="J48" s="10">
        <f t="shared" si="6"/>
        <v>11329644506.076</v>
      </c>
      <c r="K48" s="11">
        <f t="shared" si="7"/>
        <v>1.5549999999999953E-2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12008790.229133954</v>
      </c>
      <c r="D49" s="11">
        <v>1.5350000000000001E-2</v>
      </c>
      <c r="E49" s="10">
        <f t="shared" si="2"/>
        <v>181548.16567410901</v>
      </c>
      <c r="F49" s="3"/>
      <c r="G49" s="28"/>
      <c r="H49" s="10"/>
      <c r="I49" s="10">
        <f t="shared" si="8"/>
        <v>929</v>
      </c>
      <c r="J49" s="10">
        <f t="shared" si="6"/>
        <v>11156166122.865444</v>
      </c>
      <c r="K49" s="11">
        <f t="shared" si="7"/>
        <v>1.5349999999999975E-2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11827242.063459845</v>
      </c>
      <c r="D50" s="11">
        <v>1.515E-2</v>
      </c>
      <c r="E50" s="10">
        <f t="shared" si="2"/>
        <v>176508.61179275624</v>
      </c>
      <c r="F50" s="3"/>
      <c r="G50" s="28"/>
      <c r="H50" s="10"/>
      <c r="I50" s="10">
        <f t="shared" si="8"/>
        <v>929</v>
      </c>
      <c r="J50" s="10">
        <f t="shared" si="6"/>
        <v>10987507876.954197</v>
      </c>
      <c r="K50" s="11">
        <f t="shared" si="7"/>
        <v>1.5149999999999997E-2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11650733.451667089</v>
      </c>
      <c r="D51" s="11">
        <v>1.468E-2</v>
      </c>
      <c r="E51" s="10">
        <f t="shared" si="2"/>
        <v>168558.33077470027</v>
      </c>
      <c r="F51" s="3"/>
      <c r="G51" s="28"/>
      <c r="H51" s="10"/>
      <c r="I51" s="10">
        <f t="shared" si="8"/>
        <v>929</v>
      </c>
      <c r="J51" s="10">
        <f t="shared" si="6"/>
        <v>10823531376.598726</v>
      </c>
      <c r="K51" s="11">
        <f t="shared" si="7"/>
        <v>1.4680000000000026E-2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11482175.120892389</v>
      </c>
      <c r="D52" s="11">
        <v>1.4919999999999999E-2</v>
      </c>
      <c r="E52" s="10">
        <f t="shared" si="2"/>
        <v>168795.62212166004</v>
      </c>
      <c r="F52" s="3"/>
      <c r="G52" s="28"/>
      <c r="H52" s="10"/>
      <c r="I52" s="10">
        <f t="shared" si="8"/>
        <v>929</v>
      </c>
      <c r="J52" s="10">
        <f t="shared" si="6"/>
        <v>10666940687.309029</v>
      </c>
      <c r="K52" s="11">
        <f t="shared" si="7"/>
        <v>1.4920000000000044E-2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11313379.498770729</v>
      </c>
      <c r="D53" s="11">
        <v>1.465E-2</v>
      </c>
      <c r="E53" s="10">
        <f t="shared" si="2"/>
        <v>163347.96201349422</v>
      </c>
      <c r="F53" s="3"/>
      <c r="G53" s="28"/>
      <c r="H53" s="10"/>
      <c r="I53" s="10">
        <f t="shared" si="8"/>
        <v>929</v>
      </c>
      <c r="J53" s="10">
        <f t="shared" si="6"/>
        <v>10510129554.358007</v>
      </c>
      <c r="K53" s="11">
        <f t="shared" si="7"/>
        <v>1.4650000000000052E-2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11150031.536757234</v>
      </c>
      <c r="D54" s="11">
        <v>1.472E-2</v>
      </c>
      <c r="E54" s="10">
        <f t="shared" si="2"/>
        <v>161747.54042599723</v>
      </c>
      <c r="F54" s="3"/>
      <c r="G54" s="28"/>
      <c r="H54" s="10"/>
      <c r="I54" s="10">
        <f t="shared" si="8"/>
        <v>929</v>
      </c>
      <c r="J54" s="10">
        <f t="shared" si="6"/>
        <v>10358379297.64747</v>
      </c>
      <c r="K54" s="11">
        <f t="shared" si="7"/>
        <v>1.4720000000000066E-2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10988283.996331237</v>
      </c>
      <c r="D55" s="11">
        <v>1.4789999999999999E-2</v>
      </c>
      <c r="E55" s="10">
        <f t="shared" si="2"/>
        <v>160148.12947086617</v>
      </c>
      <c r="F55" s="3"/>
      <c r="G55" s="28"/>
      <c r="H55" s="10"/>
      <c r="I55" s="10">
        <f t="shared" si="8"/>
        <v>929</v>
      </c>
      <c r="J55" s="10">
        <f t="shared" si="6"/>
        <v>10208115832.591719</v>
      </c>
      <c r="K55" s="11">
        <f t="shared" si="7"/>
        <v>1.4790000000000081E-2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10828135.866860371</v>
      </c>
      <c r="D56" s="11">
        <v>1.477E-2</v>
      </c>
      <c r="E56" s="10">
        <f t="shared" si="2"/>
        <v>157603.75922970474</v>
      </c>
      <c r="F56" s="3"/>
      <c r="G56" s="28"/>
      <c r="H56" s="10"/>
      <c r="I56" s="10">
        <f t="shared" si="8"/>
        <v>929</v>
      </c>
      <c r="J56" s="10">
        <f t="shared" si="6"/>
        <v>10059338220.313284</v>
      </c>
      <c r="K56" s="11">
        <f t="shared" si="7"/>
        <v>1.4769999999999728E-2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10670532.107630666</v>
      </c>
      <c r="D57" s="11">
        <v>1.453E-2</v>
      </c>
      <c r="E57" s="10">
        <f t="shared" si="2"/>
        <v>152822.32316823862</v>
      </c>
      <c r="F57" s="3"/>
      <c r="G57" s="28"/>
      <c r="H57" s="10"/>
      <c r="I57" s="10">
        <f t="shared" si="8"/>
        <v>929</v>
      </c>
      <c r="J57" s="10">
        <f t="shared" si="6"/>
        <v>9912924327.9888897</v>
      </c>
      <c r="K57" s="11">
        <f t="shared" si="7"/>
        <v>1.4530000000000154E-2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10517709.784462428</v>
      </c>
      <c r="D58" s="11">
        <v>1.4149999999999999E-2</v>
      </c>
      <c r="E58" s="10">
        <f t="shared" si="2"/>
        <v>146749.09377325326</v>
      </c>
      <c r="F58" s="3"/>
      <c r="G58" s="28"/>
      <c r="H58" s="10"/>
      <c r="I58" s="10">
        <f t="shared" si="8"/>
        <v>929</v>
      </c>
      <c r="J58" s="10">
        <f t="shared" si="6"/>
        <v>9770952389.7655945</v>
      </c>
      <c r="K58" s="11">
        <f t="shared" si="7"/>
        <v>1.4149999999999885E-2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10370960.690689174</v>
      </c>
      <c r="D59" s="11">
        <v>1.3129999999999999E-2</v>
      </c>
      <c r="E59" s="10">
        <f t="shared" si="2"/>
        <v>134405.9635671135</v>
      </c>
      <c r="F59" s="3"/>
      <c r="G59" s="28"/>
      <c r="H59" s="10"/>
      <c r="I59" s="10">
        <f t="shared" si="8"/>
        <v>929</v>
      </c>
      <c r="J59" s="10">
        <f t="shared" si="6"/>
        <v>9634622481.6502438</v>
      </c>
      <c r="K59" s="11">
        <f t="shared" si="7"/>
        <v>1.3130000000000086E-2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10236554.727122061</v>
      </c>
      <c r="D60" s="11">
        <v>1.383E-2</v>
      </c>
      <c r="E60" s="10">
        <f t="shared" si="2"/>
        <v>139640.32616523281</v>
      </c>
      <c r="F60" s="3"/>
      <c r="G60" s="28"/>
      <c r="H60" s="10"/>
      <c r="I60" s="10">
        <f t="shared" si="8"/>
        <v>929</v>
      </c>
      <c r="J60" s="10">
        <f t="shared" si="6"/>
        <v>9509759341.4963951</v>
      </c>
      <c r="K60" s="11">
        <f t="shared" si="7"/>
        <v>1.3830000000000009E-2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10096914.400956828</v>
      </c>
      <c r="D61" s="11">
        <v>1.3820000000000001E-2</v>
      </c>
      <c r="E61" s="10">
        <f t="shared" si="2"/>
        <v>137637.21076840349</v>
      </c>
      <c r="F61" s="3"/>
      <c r="G61" s="28"/>
      <c r="H61" s="10"/>
      <c r="I61" s="10">
        <f t="shared" si="8"/>
        <v>929</v>
      </c>
      <c r="J61" s="10">
        <f t="shared" si="6"/>
        <v>9380033478.4888935</v>
      </c>
      <c r="K61" s="11">
        <f t="shared" si="7"/>
        <v>1.3819999999999943E-2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9959277.1901884247</v>
      </c>
      <c r="D62" s="11">
        <v>1.3780000000000001E-2</v>
      </c>
      <c r="E62" s="10">
        <f t="shared" si="2"/>
        <v>135373.39430724084</v>
      </c>
      <c r="F62" s="3"/>
      <c r="G62" s="28"/>
      <c r="H62" s="10"/>
      <c r="I62" s="10">
        <f t="shared" si="8"/>
        <v>929</v>
      </c>
      <c r="J62" s="10">
        <f t="shared" si="6"/>
        <v>9252168509.6850471</v>
      </c>
      <c r="K62" s="11">
        <f t="shared" si="7"/>
        <v>1.3779999999999903E-2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9823903.7958811838</v>
      </c>
      <c r="D63" s="11">
        <v>1.379E-2</v>
      </c>
      <c r="E63" s="10">
        <f t="shared" si="2"/>
        <v>133628.89093915001</v>
      </c>
      <c r="F63" s="3"/>
      <c r="G63" s="28"/>
      <c r="H63" s="10"/>
      <c r="I63" s="10">
        <f t="shared" si="8"/>
        <v>929</v>
      </c>
      <c r="J63" s="10">
        <f t="shared" si="6"/>
        <v>9126406626.3736191</v>
      </c>
      <c r="K63" s="11">
        <f t="shared" si="7"/>
        <v>1.3789999999999969E-2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9690274.9049420338</v>
      </c>
      <c r="D64" s="11">
        <v>1.379E-2</v>
      </c>
      <c r="E64" s="10">
        <f t="shared" si="2"/>
        <v>131811.21429403499</v>
      </c>
      <c r="F64" s="3"/>
      <c r="G64" s="28"/>
      <c r="H64" s="10"/>
      <c r="I64" s="10">
        <f t="shared" si="8"/>
        <v>929</v>
      </c>
      <c r="J64" s="10">
        <f t="shared" si="6"/>
        <v>9002265386.6911488</v>
      </c>
      <c r="K64" s="11">
        <f t="shared" si="7"/>
        <v>1.3789999999999969E-2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9558463.6906479988</v>
      </c>
      <c r="D65" s="11">
        <v>1.4319999999999999E-2</v>
      </c>
      <c r="E65" s="10">
        <f t="shared" si="2"/>
        <v>134944.79064800031</v>
      </c>
      <c r="F65" s="3"/>
      <c r="G65" s="28"/>
      <c r="H65" s="10"/>
      <c r="I65" s="10">
        <f t="shared" si="8"/>
        <v>929</v>
      </c>
      <c r="J65" s="10">
        <f t="shared" si="6"/>
        <v>8879812768.61199</v>
      </c>
      <c r="K65" s="11">
        <f t="shared" si="7"/>
        <v>1.4319999999999888E-2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9423518.8999999985</v>
      </c>
      <c r="D66" s="11">
        <v>1.47E-2</v>
      </c>
      <c r="E66" s="10">
        <f t="shared" si="2"/>
        <v>136518.89999999851</v>
      </c>
      <c r="F66" s="24">
        <f>SUM(F2)</f>
        <v>36478307</v>
      </c>
      <c r="G66" s="28"/>
      <c r="H66" s="10"/>
      <c r="I66" s="10">
        <f t="shared" si="8"/>
        <v>929</v>
      </c>
      <c r="J66" s="10">
        <f t="shared" ref="J66:J67" si="9">IF(I66="","",I66*C66)</f>
        <v>8754449058.0999985</v>
      </c>
      <c r="K66" s="11">
        <f t="shared" ref="K66" si="10">IFERROR(J66/J67-1,"")</f>
        <v>1.4699999999999713E-2</v>
      </c>
    </row>
    <row r="67" spans="1:11" ht="22.5" customHeight="1">
      <c r="A67" s="3">
        <f t="shared" si="0"/>
        <v>1950</v>
      </c>
      <c r="B67" s="3">
        <v>1700</v>
      </c>
      <c r="C67" s="10">
        <v>9287000</v>
      </c>
      <c r="D67" s="11">
        <v>1.4800000000000001E-2</v>
      </c>
      <c r="E67" s="3" t="s">
        <v>72</v>
      </c>
      <c r="F67" s="10">
        <f>SUM(C2)</f>
        <v>36478054.256474152</v>
      </c>
      <c r="G67" s="28"/>
      <c r="H67" s="10"/>
      <c r="I67" s="10">
        <f t="shared" ref="I67" si="11">IF(H67&lt;&gt;"",H67,I66/(1+IF(G66="",0,G66)/100))</f>
        <v>929</v>
      </c>
      <c r="J67" s="10">
        <f t="shared" si="9"/>
        <v>8627623000</v>
      </c>
      <c r="K67" s="11"/>
    </row>
  </sheetData>
  <dataValidations count="1">
    <dataValidation type="custom" allowBlank="1" showDropDown="1" sqref="D2:D67" xr:uid="{00000000-0002-0000-4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81317223.036466882</v>
      </c>
      <c r="D2" s="11">
        <v>3.7000000000000002E-3</v>
      </c>
      <c r="E2" s="10">
        <f t="shared" ref="E2:E66" si="2">SUM(C2-C3)</f>
        <v>299764.59622888267</v>
      </c>
      <c r="F2" s="15">
        <v>81313729</v>
      </c>
      <c r="G2" s="28"/>
      <c r="H2" s="10"/>
      <c r="I2" s="10">
        <f>IF(H2&lt;&gt;"",H2,20635)</f>
        <v>20635</v>
      </c>
      <c r="J2" s="10">
        <f t="shared" ref="J2:J33" si="3">IF(I2="","",I2*C2)</f>
        <v>1677980897357.4941</v>
      </c>
      <c r="K2" s="11">
        <f t="shared" ref="K2:K33" si="4">IFERROR(J2/J3-1,"")</f>
        <v>3.7000000000000366E-3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81017458.440237999</v>
      </c>
      <c r="D3" s="11">
        <v>4.0000000000000001E-3</v>
      </c>
      <c r="E3" s="10">
        <f t="shared" si="2"/>
        <v>322778.71888540685</v>
      </c>
      <c r="F3" s="3"/>
      <c r="G3" s="28"/>
      <c r="H3" s="10"/>
      <c r="I3" s="10">
        <f t="shared" ref="I3:I34" si="5">IF(H3&lt;&gt;"",H3,I2/(1+IF(G2="",0,G2)/100))</f>
        <v>20635</v>
      </c>
      <c r="J3" s="10">
        <f t="shared" si="3"/>
        <v>1671795254914.311</v>
      </c>
      <c r="K3" s="11">
        <f t="shared" si="4"/>
        <v>3.9999999999997815E-3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80694679.721352592</v>
      </c>
      <c r="D4" s="11">
        <v>3.9199999999999999E-3</v>
      </c>
      <c r="E4" s="10">
        <f t="shared" si="2"/>
        <v>315087.99954946339</v>
      </c>
      <c r="F4" s="3"/>
      <c r="G4" s="28"/>
      <c r="H4" s="10"/>
      <c r="I4" s="10">
        <f t="shared" si="5"/>
        <v>20635</v>
      </c>
      <c r="J4" s="10">
        <f t="shared" si="3"/>
        <v>1665134716050.1108</v>
      </c>
      <c r="K4" s="11">
        <f t="shared" si="4"/>
        <v>3.9200000000001456E-3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80379591.721803129</v>
      </c>
      <c r="D5" s="11">
        <v>4.0200000000000001E-3</v>
      </c>
      <c r="E5" s="10">
        <f t="shared" si="2"/>
        <v>321832.19330455363</v>
      </c>
      <c r="F5" s="3"/>
      <c r="G5" s="28"/>
      <c r="H5" s="10"/>
      <c r="I5" s="10">
        <f t="shared" si="5"/>
        <v>20635</v>
      </c>
      <c r="J5" s="10">
        <f t="shared" si="3"/>
        <v>1658632875179.4075</v>
      </c>
      <c r="K5" s="11">
        <f t="shared" si="4"/>
        <v>4.0199999999996905E-3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80057759.528498575</v>
      </c>
      <c r="D6" s="11">
        <v>4.3E-3</v>
      </c>
      <c r="E6" s="10">
        <f t="shared" si="2"/>
        <v>342774.43589818478</v>
      </c>
      <c r="F6" s="3"/>
      <c r="G6" s="28"/>
      <c r="H6" s="10"/>
      <c r="I6" s="10">
        <f t="shared" si="5"/>
        <v>20635</v>
      </c>
      <c r="J6" s="10">
        <f t="shared" si="3"/>
        <v>1651991867870.5681</v>
      </c>
      <c r="K6" s="11">
        <f t="shared" si="4"/>
        <v>4.2999999999999705E-3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79714985.09260039</v>
      </c>
      <c r="D7" s="11">
        <v>4.2199999999999998E-3</v>
      </c>
      <c r="E7" s="10">
        <f t="shared" si="2"/>
        <v>334983.60627229512</v>
      </c>
      <c r="F7" s="3"/>
      <c r="G7" s="28"/>
      <c r="H7" s="10"/>
      <c r="I7" s="10">
        <f t="shared" si="5"/>
        <v>20635</v>
      </c>
      <c r="J7" s="10">
        <f t="shared" si="3"/>
        <v>1644918717385.8091</v>
      </c>
      <c r="K7" s="11">
        <f t="shared" si="4"/>
        <v>4.2199999999998905E-3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79380001.486328095</v>
      </c>
      <c r="D8" s="11">
        <v>4.45E-3</v>
      </c>
      <c r="E8" s="10">
        <f t="shared" si="2"/>
        <v>351676.04819968343</v>
      </c>
      <c r="F8" s="3"/>
      <c r="G8" s="28"/>
      <c r="H8" s="10"/>
      <c r="I8" s="10">
        <f t="shared" si="5"/>
        <v>20635</v>
      </c>
      <c r="J8" s="10">
        <f t="shared" si="3"/>
        <v>1638006330670.3801</v>
      </c>
      <c r="K8" s="11">
        <f t="shared" si="4"/>
        <v>4.450000000000065E-3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79028325.438128412</v>
      </c>
      <c r="D9" s="11">
        <v>6.7200000000000003E-3</v>
      </c>
      <c r="E9" s="10">
        <f t="shared" si="2"/>
        <v>527525.37641471624</v>
      </c>
      <c r="F9" s="3"/>
      <c r="G9" s="28"/>
      <c r="H9" s="10"/>
      <c r="I9" s="10">
        <f t="shared" si="5"/>
        <v>20635</v>
      </c>
      <c r="J9" s="10">
        <f t="shared" si="3"/>
        <v>1630749495415.7798</v>
      </c>
      <c r="K9" s="11">
        <f t="shared" si="4"/>
        <v>6.7200000000000593E-3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78500800.061713696</v>
      </c>
      <c r="D10" s="11">
        <v>5.2500000000000003E-3</v>
      </c>
      <c r="E10" s="10">
        <f t="shared" si="2"/>
        <v>409976.82200844586</v>
      </c>
      <c r="F10" s="3"/>
      <c r="G10" s="28"/>
      <c r="H10" s="10"/>
      <c r="I10" s="10">
        <f t="shared" si="5"/>
        <v>20635</v>
      </c>
      <c r="J10" s="10">
        <f t="shared" si="3"/>
        <v>1619864009273.4622</v>
      </c>
      <c r="K10" s="11">
        <f t="shared" si="4"/>
        <v>5.2499999999999769E-3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78090823.23970525</v>
      </c>
      <c r="D11" s="11">
        <v>3.7599999999999999E-3</v>
      </c>
      <c r="E11" s="10">
        <f t="shared" si="2"/>
        <v>292521.61411222816</v>
      </c>
      <c r="F11" s="3"/>
      <c r="G11" s="28"/>
      <c r="H11" s="10"/>
      <c r="I11" s="10">
        <f t="shared" si="5"/>
        <v>20635</v>
      </c>
      <c r="J11" s="10">
        <f t="shared" si="3"/>
        <v>1611404137551.3179</v>
      </c>
      <c r="K11" s="11">
        <f t="shared" si="4"/>
        <v>3.7599999999999856E-3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77798301.625593022</v>
      </c>
      <c r="D12" s="11">
        <v>4.2500000000000003E-3</v>
      </c>
      <c r="E12" s="10">
        <f t="shared" si="2"/>
        <v>329243.49704633653</v>
      </c>
      <c r="F12" s="3"/>
      <c r="G12" s="28"/>
      <c r="H12" s="10"/>
      <c r="I12" s="10">
        <f t="shared" si="5"/>
        <v>20635</v>
      </c>
      <c r="J12" s="10">
        <f t="shared" si="3"/>
        <v>1605367954044.1121</v>
      </c>
      <c r="K12" s="11">
        <f t="shared" si="4"/>
        <v>4.2500000000003091E-3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77469058.128546685</v>
      </c>
      <c r="D13" s="11">
        <v>7.5199999999999998E-3</v>
      </c>
      <c r="E13" s="10">
        <f t="shared" si="2"/>
        <v>578219.1094238013</v>
      </c>
      <c r="F13" s="3"/>
      <c r="G13" s="28"/>
      <c r="H13" s="10"/>
      <c r="I13" s="10">
        <f t="shared" si="5"/>
        <v>20635</v>
      </c>
      <c r="J13" s="10">
        <f t="shared" si="3"/>
        <v>1598574014482.5608</v>
      </c>
      <c r="K13" s="11">
        <f t="shared" si="4"/>
        <v>7.5199999999999712E-3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76890839.019122884</v>
      </c>
      <c r="D14" s="11">
        <v>7.5700000000000003E-3</v>
      </c>
      <c r="E14" s="10">
        <f t="shared" si="2"/>
        <v>577690.5340321362</v>
      </c>
      <c r="F14" s="3"/>
      <c r="G14" s="28"/>
      <c r="H14" s="10"/>
      <c r="I14" s="10">
        <f t="shared" si="5"/>
        <v>20635</v>
      </c>
      <c r="J14" s="10">
        <f t="shared" si="3"/>
        <v>1586642463159.6006</v>
      </c>
      <c r="K14" s="11">
        <f t="shared" si="4"/>
        <v>7.5699999999998546E-3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76313148.485090747</v>
      </c>
      <c r="D15" s="11">
        <v>3.5100000000000001E-3</v>
      </c>
      <c r="E15" s="10">
        <f t="shared" si="2"/>
        <v>266922.25407087803</v>
      </c>
      <c r="F15" s="3"/>
      <c r="G15" s="28"/>
      <c r="H15" s="10"/>
      <c r="I15" s="10">
        <f t="shared" si="5"/>
        <v>20635</v>
      </c>
      <c r="J15" s="10">
        <f t="shared" si="3"/>
        <v>1574721818989.8477</v>
      </c>
      <c r="K15" s="11">
        <f t="shared" si="4"/>
        <v>3.5100000000001241E-3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76046226.231019869</v>
      </c>
      <c r="D16" s="11">
        <v>3.5000000000000001E-3</v>
      </c>
      <c r="E16" s="10">
        <f t="shared" si="2"/>
        <v>265233.47464731336</v>
      </c>
      <c r="F16" s="3"/>
      <c r="G16" s="28"/>
      <c r="H16" s="10"/>
      <c r="I16" s="10">
        <f t="shared" si="5"/>
        <v>20635</v>
      </c>
      <c r="J16" s="10">
        <f t="shared" si="3"/>
        <v>1569213878277.095</v>
      </c>
      <c r="K16" s="11">
        <f t="shared" si="4"/>
        <v>3.5000000000000586E-3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75780992.756372556</v>
      </c>
      <c r="D17" s="11">
        <v>6.7000000000000002E-4</v>
      </c>
      <c r="E17" s="10">
        <f t="shared" si="2"/>
        <v>50739.269835978746</v>
      </c>
      <c r="F17" s="3"/>
      <c r="G17" s="28"/>
      <c r="H17" s="10"/>
      <c r="I17" s="10">
        <f t="shared" si="5"/>
        <v>20635</v>
      </c>
      <c r="J17" s="10">
        <f t="shared" si="3"/>
        <v>1563740785527.7478</v>
      </c>
      <c r="K17" s="11">
        <f t="shared" si="4"/>
        <v>6.6999999999994841E-4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75730253.486536577</v>
      </c>
      <c r="D18" s="11">
        <v>4.2000000000000002E-4</v>
      </c>
      <c r="E18" s="10">
        <f t="shared" si="2"/>
        <v>31793.353255987167</v>
      </c>
      <c r="F18" s="3"/>
      <c r="G18" s="28"/>
      <c r="H18" s="10"/>
      <c r="I18" s="10">
        <f t="shared" si="5"/>
        <v>20635</v>
      </c>
      <c r="J18" s="10">
        <f t="shared" si="3"/>
        <v>1562693780694.6824</v>
      </c>
      <c r="K18" s="11">
        <f t="shared" si="4"/>
        <v>4.2000000000030902E-4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75698460.13328059</v>
      </c>
      <c r="D19" s="11">
        <v>4.6999999999999999E-4</v>
      </c>
      <c r="E19" s="10">
        <f t="shared" si="2"/>
        <v>35561.562328338623</v>
      </c>
      <c r="F19" s="3"/>
      <c r="G19" s="28"/>
      <c r="H19" s="10"/>
      <c r="I19" s="10">
        <f t="shared" si="5"/>
        <v>20635</v>
      </c>
      <c r="J19" s="10">
        <f t="shared" si="3"/>
        <v>1562037724850.2449</v>
      </c>
      <c r="K19" s="11">
        <f t="shared" si="4"/>
        <v>4.6999999999997044E-4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75662898.570952252</v>
      </c>
      <c r="D20" s="11">
        <v>4.2999999999999999E-4</v>
      </c>
      <c r="E20" s="10">
        <f t="shared" si="2"/>
        <v>32521.062328696251</v>
      </c>
      <c r="F20" s="3"/>
      <c r="G20" s="28"/>
      <c r="H20" s="10"/>
      <c r="I20" s="10">
        <f t="shared" si="5"/>
        <v>20635</v>
      </c>
      <c r="J20" s="10">
        <f t="shared" si="3"/>
        <v>1561303912011.5996</v>
      </c>
      <c r="K20" s="11">
        <f t="shared" si="4"/>
        <v>4.2999999999970839E-4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75630377.508623555</v>
      </c>
      <c r="D21" s="11">
        <v>5.1999999999999995E-4</v>
      </c>
      <c r="E21" s="10">
        <f t="shared" si="2"/>
        <v>39307.356479123235</v>
      </c>
      <c r="F21" s="3"/>
      <c r="G21" s="28"/>
      <c r="H21" s="10"/>
      <c r="I21" s="10">
        <f t="shared" si="5"/>
        <v>20635</v>
      </c>
      <c r="J21" s="10">
        <f t="shared" si="3"/>
        <v>1560632839890.447</v>
      </c>
      <c r="K21" s="11">
        <f t="shared" si="4"/>
        <v>5.2000000000007596E-4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75591070.152144432</v>
      </c>
      <c r="D22" s="11">
        <v>3.5E-4</v>
      </c>
      <c r="E22" s="10">
        <f t="shared" si="2"/>
        <v>26447.617886990309</v>
      </c>
      <c r="F22" s="3"/>
      <c r="G22" s="28"/>
      <c r="H22" s="10"/>
      <c r="I22" s="10">
        <f t="shared" si="5"/>
        <v>20635</v>
      </c>
      <c r="J22" s="10">
        <f t="shared" si="3"/>
        <v>1559821732589.5002</v>
      </c>
      <c r="K22" s="11">
        <f t="shared" si="4"/>
        <v>3.4999999999985043E-4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75564622.534257442</v>
      </c>
      <c r="D23" s="11">
        <v>1.3500000000000001E-3</v>
      </c>
      <c r="E23" s="10">
        <f t="shared" si="2"/>
        <v>101874.70956332982</v>
      </c>
      <c r="F23" s="3"/>
      <c r="G23" s="28"/>
      <c r="H23" s="10"/>
      <c r="I23" s="10">
        <f t="shared" si="5"/>
        <v>20635</v>
      </c>
      <c r="J23" s="10">
        <f t="shared" si="3"/>
        <v>1559275985994.4023</v>
      </c>
      <c r="K23" s="11">
        <f t="shared" si="4"/>
        <v>1.3499999999999623E-3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75462747.824694112</v>
      </c>
      <c r="D24" s="11">
        <v>1.5E-3</v>
      </c>
      <c r="E24" s="10">
        <f t="shared" si="2"/>
        <v>113024.58485975862</v>
      </c>
      <c r="F24" s="3"/>
      <c r="G24" s="28"/>
      <c r="H24" s="10"/>
      <c r="I24" s="10">
        <f t="shared" si="5"/>
        <v>20635</v>
      </c>
      <c r="J24" s="10">
        <f t="shared" si="3"/>
        <v>1557173801362.563</v>
      </c>
      <c r="K24" s="11">
        <f t="shared" si="4"/>
        <v>1.5000000000000568E-3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75349723.239834353</v>
      </c>
      <c r="D25" s="11">
        <v>1.25E-3</v>
      </c>
      <c r="E25" s="10">
        <f t="shared" si="2"/>
        <v>94069.567090928555</v>
      </c>
      <c r="F25" s="3"/>
      <c r="G25" s="28"/>
      <c r="H25" s="10"/>
      <c r="I25" s="10">
        <f t="shared" si="5"/>
        <v>20635</v>
      </c>
      <c r="J25" s="10">
        <f t="shared" si="3"/>
        <v>1554841539053.9819</v>
      </c>
      <c r="K25" s="11">
        <f t="shared" si="4"/>
        <v>1.2499999999999734E-3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75255653.672743425</v>
      </c>
      <c r="D26" s="11">
        <v>4.8999999999999998E-4</v>
      </c>
      <c r="E26" s="10">
        <f t="shared" si="2"/>
        <v>36857.210266619921</v>
      </c>
      <c r="F26" s="3"/>
      <c r="G26" s="28"/>
      <c r="H26" s="10"/>
      <c r="I26" s="10">
        <f t="shared" si="5"/>
        <v>20635</v>
      </c>
      <c r="J26" s="10">
        <f t="shared" si="3"/>
        <v>1552900413537.0605</v>
      </c>
      <c r="K26" s="11">
        <f t="shared" si="4"/>
        <v>4.9000000000010147E-4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75218796.462476805</v>
      </c>
      <c r="D27" s="11">
        <v>1.0499999999999999E-3</v>
      </c>
      <c r="E27" s="10">
        <f t="shared" si="2"/>
        <v>78896.894546329975</v>
      </c>
      <c r="F27" s="3"/>
      <c r="G27" s="28"/>
      <c r="H27" s="10"/>
      <c r="I27" s="10">
        <f t="shared" si="5"/>
        <v>20635</v>
      </c>
      <c r="J27" s="10">
        <f t="shared" si="3"/>
        <v>1552139865003.209</v>
      </c>
      <c r="K27" s="11">
        <f t="shared" si="4"/>
        <v>1.0500000000002174E-3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75139899.567930475</v>
      </c>
      <c r="D28" s="11">
        <v>8.7000000000000001E-4</v>
      </c>
      <c r="E28" s="10">
        <f t="shared" si="2"/>
        <v>65314.888670951128</v>
      </c>
      <c r="F28" s="3"/>
      <c r="G28" s="28"/>
      <c r="H28" s="10"/>
      <c r="I28" s="10">
        <f t="shared" si="5"/>
        <v>20635</v>
      </c>
      <c r="J28" s="10">
        <f t="shared" si="3"/>
        <v>1550511827584.2454</v>
      </c>
      <c r="K28" s="11">
        <f t="shared" si="4"/>
        <v>8.6999999999992639E-4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75074584.679259524</v>
      </c>
      <c r="D29" s="11">
        <v>8.1999999999999998E-4</v>
      </c>
      <c r="E29" s="10">
        <f t="shared" si="2"/>
        <v>61510.720646068454</v>
      </c>
      <c r="F29" s="3"/>
      <c r="G29" s="28"/>
      <c r="H29" s="10"/>
      <c r="I29" s="10">
        <f t="shared" si="5"/>
        <v>20635</v>
      </c>
      <c r="J29" s="10">
        <f t="shared" si="3"/>
        <v>1549164054856.5203</v>
      </c>
      <c r="K29" s="11">
        <f t="shared" si="4"/>
        <v>8.2000000000004292E-4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75013073.958613455</v>
      </c>
      <c r="D30" s="11">
        <v>4.8000000000000001E-4</v>
      </c>
      <c r="E30" s="10">
        <f t="shared" si="2"/>
        <v>35989.000779762864</v>
      </c>
      <c r="F30" s="3"/>
      <c r="G30" s="28"/>
      <c r="H30" s="10"/>
      <c r="I30" s="10">
        <f t="shared" si="5"/>
        <v>20635</v>
      </c>
      <c r="J30" s="10">
        <f t="shared" si="3"/>
        <v>1547894781135.9888</v>
      </c>
      <c r="K30" s="11">
        <f t="shared" si="4"/>
        <v>4.8000000000003595E-4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74977084.957833692</v>
      </c>
      <c r="D31" s="11">
        <v>9.0000000000000006E-5</v>
      </c>
      <c r="E31" s="10">
        <f t="shared" si="2"/>
        <v>6747.3303864598274</v>
      </c>
      <c r="F31" s="3"/>
      <c r="G31" s="28"/>
      <c r="H31" s="10"/>
      <c r="I31" s="10">
        <f t="shared" si="5"/>
        <v>20635</v>
      </c>
      <c r="J31" s="10">
        <f t="shared" si="3"/>
        <v>1547152148104.8982</v>
      </c>
      <c r="K31" s="11">
        <f t="shared" si="4"/>
        <v>8.9999999999923475E-5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74970337.627447233</v>
      </c>
      <c r="D32" s="11">
        <v>6.4000000000000005E-4</v>
      </c>
      <c r="E32" s="10">
        <f t="shared" si="2"/>
        <v>47950.327871724963</v>
      </c>
      <c r="F32" s="3"/>
      <c r="G32" s="28"/>
      <c r="H32" s="10"/>
      <c r="I32" s="10">
        <f t="shared" si="5"/>
        <v>20635</v>
      </c>
      <c r="J32" s="10">
        <f t="shared" si="3"/>
        <v>1547012916942.3735</v>
      </c>
      <c r="K32" s="11">
        <f t="shared" si="4"/>
        <v>6.3999999999997392E-4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74922387.299575508</v>
      </c>
      <c r="D33" s="11">
        <v>9.5E-4</v>
      </c>
      <c r="E33" s="10">
        <f t="shared" si="2"/>
        <v>71108.714655667543</v>
      </c>
      <c r="F33" s="3"/>
      <c r="G33" s="28"/>
      <c r="H33" s="10"/>
      <c r="I33" s="10">
        <f t="shared" si="5"/>
        <v>20635</v>
      </c>
      <c r="J33" s="10">
        <f t="shared" si="3"/>
        <v>1546023461926.7405</v>
      </c>
      <c r="K33" s="11">
        <f t="shared" si="4"/>
        <v>9.5000000000000639E-4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74851278.58491984</v>
      </c>
      <c r="D34" s="11">
        <v>5.9999999999999995E-4</v>
      </c>
      <c r="E34" s="10">
        <f t="shared" si="2"/>
        <v>44883.836848840117</v>
      </c>
      <c r="F34" s="3"/>
      <c r="G34" s="28"/>
      <c r="H34" s="10"/>
      <c r="I34" s="10">
        <f t="shared" si="5"/>
        <v>20635</v>
      </c>
      <c r="J34" s="10">
        <f t="shared" ref="J34:J65" si="6">IF(I34="","",I34*C34)</f>
        <v>1544556133599.8208</v>
      </c>
      <c r="K34" s="11">
        <f t="shared" ref="K34:K65" si="7">IFERROR(J34/J35-1,"")</f>
        <v>5.9999999999993392E-4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74806394.748071</v>
      </c>
      <c r="D35" s="11">
        <v>1.0499999999999999E-3</v>
      </c>
      <c r="E35" s="10">
        <f t="shared" si="2"/>
        <v>78464.326942190528</v>
      </c>
      <c r="F35" s="3"/>
      <c r="G35" s="28"/>
      <c r="H35" s="10"/>
      <c r="I35" s="10">
        <f t="shared" ref="I35:I66" si="8">IF(H35&lt;&gt;"",H35,I34/(1+IF(G34="",0,G34)/100))</f>
        <v>20635</v>
      </c>
      <c r="J35" s="10">
        <f t="shared" si="6"/>
        <v>1543629955626.4451</v>
      </c>
      <c r="K35" s="11">
        <f t="shared" si="7"/>
        <v>1.0499999999999954E-3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74727930.421128809</v>
      </c>
      <c r="D36" s="11">
        <v>1.5100000000000001E-3</v>
      </c>
      <c r="E36" s="10">
        <f t="shared" si="2"/>
        <v>112669.04467843473</v>
      </c>
      <c r="F36" s="3"/>
      <c r="G36" s="28"/>
      <c r="H36" s="10"/>
      <c r="I36" s="10">
        <f t="shared" si="8"/>
        <v>20635</v>
      </c>
      <c r="J36" s="10">
        <f t="shared" si="6"/>
        <v>1542010844239.9929</v>
      </c>
      <c r="K36" s="11">
        <f t="shared" si="7"/>
        <v>1.5099999999999003E-3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74615261.376450375</v>
      </c>
      <c r="D37" s="11">
        <v>6.8100000000000001E-3</v>
      </c>
      <c r="E37" s="10">
        <f t="shared" si="2"/>
        <v>504692.97084219754</v>
      </c>
      <c r="F37" s="3"/>
      <c r="G37" s="28"/>
      <c r="H37" s="10"/>
      <c r="I37" s="10">
        <f t="shared" si="8"/>
        <v>20635</v>
      </c>
      <c r="J37" s="10">
        <f t="shared" si="6"/>
        <v>1539685918503.0535</v>
      </c>
      <c r="K37" s="11">
        <f t="shared" si="7"/>
        <v>6.8099999999999827E-3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74110568.405608177</v>
      </c>
      <c r="D38" s="11">
        <v>3.1199999999999999E-3</v>
      </c>
      <c r="E38" s="10">
        <f t="shared" si="2"/>
        <v>230505.7953440249</v>
      </c>
      <c r="F38" s="3"/>
      <c r="G38" s="28"/>
      <c r="H38" s="10"/>
      <c r="I38" s="10">
        <f t="shared" si="8"/>
        <v>20635</v>
      </c>
      <c r="J38" s="10">
        <f t="shared" si="6"/>
        <v>1529271579049.7249</v>
      </c>
      <c r="K38" s="11">
        <f t="shared" si="7"/>
        <v>3.1200000000000117E-3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73880062.610264152</v>
      </c>
      <c r="D39" s="11">
        <v>3.7799999999999999E-3</v>
      </c>
      <c r="E39" s="10">
        <f t="shared" si="2"/>
        <v>278214.98402716219</v>
      </c>
      <c r="F39" s="3"/>
      <c r="G39" s="28"/>
      <c r="H39" s="10"/>
      <c r="I39" s="10">
        <f t="shared" si="8"/>
        <v>20635</v>
      </c>
      <c r="J39" s="10">
        <f t="shared" si="6"/>
        <v>1524515091962.8008</v>
      </c>
      <c r="K39" s="11">
        <f t="shared" si="7"/>
        <v>3.7799999999996725E-3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73601847.62623699</v>
      </c>
      <c r="D40" s="11">
        <v>4.2599999999999999E-3</v>
      </c>
      <c r="E40" s="10">
        <f t="shared" si="2"/>
        <v>312213.8399296701</v>
      </c>
      <c r="F40" s="3"/>
      <c r="G40" s="28"/>
      <c r="H40" s="10"/>
      <c r="I40" s="10">
        <f t="shared" si="8"/>
        <v>20635</v>
      </c>
      <c r="J40" s="10">
        <f t="shared" si="6"/>
        <v>1518774125767.4004</v>
      </c>
      <c r="K40" s="11">
        <f t="shared" si="7"/>
        <v>4.2599999999999305E-3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73289633.78630732</v>
      </c>
      <c r="D41" s="11">
        <v>4.9199999999999999E-3</v>
      </c>
      <c r="E41" s="10">
        <f t="shared" si="2"/>
        <v>358819.60576824844</v>
      </c>
      <c r="F41" s="3"/>
      <c r="G41" s="28"/>
      <c r="H41" s="10"/>
      <c r="I41" s="10">
        <f t="shared" si="8"/>
        <v>20635</v>
      </c>
      <c r="J41" s="10">
        <f t="shared" si="6"/>
        <v>1512331593180.4517</v>
      </c>
      <c r="K41" s="11">
        <f t="shared" si="7"/>
        <v>4.9200000000000355E-3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72930814.180539072</v>
      </c>
      <c r="D42" s="11">
        <v>5.6899999999999997E-3</v>
      </c>
      <c r="E42" s="10">
        <f t="shared" si="2"/>
        <v>412628.47665509582</v>
      </c>
      <c r="F42" s="3"/>
      <c r="G42" s="28"/>
      <c r="H42" s="10"/>
      <c r="I42" s="10">
        <f t="shared" si="8"/>
        <v>20635</v>
      </c>
      <c r="J42" s="10">
        <f t="shared" si="6"/>
        <v>1504927350615.4238</v>
      </c>
      <c r="K42" s="11">
        <f t="shared" si="7"/>
        <v>5.6899999999999729E-3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72518185.703883976</v>
      </c>
      <c r="D43" s="11">
        <v>6.8599999999999998E-3</v>
      </c>
      <c r="E43" s="10">
        <f t="shared" si="2"/>
        <v>494085.32857462764</v>
      </c>
      <c r="F43" s="3"/>
      <c r="G43" s="28"/>
      <c r="H43" s="10"/>
      <c r="I43" s="10">
        <f t="shared" si="8"/>
        <v>20635</v>
      </c>
      <c r="J43" s="10">
        <f t="shared" si="6"/>
        <v>1496412761999.6458</v>
      </c>
      <c r="K43" s="11">
        <f t="shared" si="7"/>
        <v>6.8600000000000882E-3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72024100.375309348</v>
      </c>
      <c r="D44" s="11">
        <v>6.7000000000000002E-3</v>
      </c>
      <c r="E44" s="10">
        <f t="shared" si="2"/>
        <v>479349.82866252959</v>
      </c>
      <c r="F44" s="3"/>
      <c r="G44" s="28"/>
      <c r="H44" s="10"/>
      <c r="I44" s="10">
        <f t="shared" si="8"/>
        <v>20635</v>
      </c>
      <c r="J44" s="10">
        <f t="shared" si="6"/>
        <v>1486217311244.5083</v>
      </c>
      <c r="K44" s="11">
        <f t="shared" si="7"/>
        <v>6.6999999999999282E-3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71544750.546646819</v>
      </c>
      <c r="D45" s="11">
        <v>7.4200000000000004E-3</v>
      </c>
      <c r="E45" s="10">
        <f t="shared" si="2"/>
        <v>526952.06473578513</v>
      </c>
      <c r="F45" s="3"/>
      <c r="G45" s="28"/>
      <c r="H45" s="10"/>
      <c r="I45" s="10">
        <f t="shared" si="8"/>
        <v>20635</v>
      </c>
      <c r="J45" s="10">
        <f t="shared" si="6"/>
        <v>1476325927530.0571</v>
      </c>
      <c r="K45" s="11">
        <f t="shared" si="7"/>
        <v>7.4200000000002042E-3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71017798.481911033</v>
      </c>
      <c r="D46" s="11">
        <v>5.9300000000000004E-3</v>
      </c>
      <c r="E46" s="10">
        <f t="shared" si="2"/>
        <v>418652.93310442567</v>
      </c>
      <c r="F46" s="3"/>
      <c r="G46" s="28"/>
      <c r="H46" s="10"/>
      <c r="I46" s="10">
        <f t="shared" si="8"/>
        <v>20635</v>
      </c>
      <c r="J46" s="10">
        <f t="shared" si="6"/>
        <v>1465452271674.2341</v>
      </c>
      <c r="K46" s="11">
        <f t="shared" si="7"/>
        <v>5.9299999999999908E-3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70599145.548806608</v>
      </c>
      <c r="D47" s="11">
        <v>5.9300000000000004E-3</v>
      </c>
      <c r="E47" s="10">
        <f t="shared" si="2"/>
        <v>416184.95631349087</v>
      </c>
      <c r="F47" s="3"/>
      <c r="G47" s="28"/>
      <c r="H47" s="10"/>
      <c r="I47" s="10">
        <f t="shared" si="8"/>
        <v>20635</v>
      </c>
      <c r="J47" s="10">
        <f t="shared" si="6"/>
        <v>1456813368399.6243</v>
      </c>
      <c r="K47" s="11">
        <f t="shared" si="7"/>
        <v>5.9299999999999908E-3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70182960.592493117</v>
      </c>
      <c r="D48" s="11">
        <v>6.4799999999999996E-3</v>
      </c>
      <c r="E48" s="10">
        <f t="shared" si="2"/>
        <v>451857.54773007333</v>
      </c>
      <c r="F48" s="3"/>
      <c r="G48" s="28"/>
      <c r="H48" s="10"/>
      <c r="I48" s="10">
        <f t="shared" si="8"/>
        <v>20635</v>
      </c>
      <c r="J48" s="10">
        <f t="shared" si="6"/>
        <v>1448225391826.0955</v>
      </c>
      <c r="K48" s="11">
        <f t="shared" si="7"/>
        <v>6.4800000000002633E-3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69731103.044763044</v>
      </c>
      <c r="D49" s="11">
        <v>6.6800000000000002E-3</v>
      </c>
      <c r="E49" s="10">
        <f t="shared" si="2"/>
        <v>462712.84652423859</v>
      </c>
      <c r="F49" s="3"/>
      <c r="G49" s="28"/>
      <c r="H49" s="10"/>
      <c r="I49" s="10">
        <f t="shared" si="8"/>
        <v>20635</v>
      </c>
      <c r="J49" s="10">
        <f t="shared" si="6"/>
        <v>1438901311328.6853</v>
      </c>
      <c r="K49" s="11">
        <f t="shared" si="7"/>
        <v>6.6800000000000193E-3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69268390.198238805</v>
      </c>
      <c r="D50" s="11">
        <v>7.5500000000000003E-3</v>
      </c>
      <c r="E50" s="10">
        <f t="shared" si="2"/>
        <v>519057.46215741336</v>
      </c>
      <c r="F50" s="3"/>
      <c r="G50" s="28"/>
      <c r="H50" s="10"/>
      <c r="I50" s="10">
        <f t="shared" si="8"/>
        <v>20635</v>
      </c>
      <c r="J50" s="10">
        <f t="shared" si="6"/>
        <v>1429353231740.6577</v>
      </c>
      <c r="K50" s="11">
        <f t="shared" si="7"/>
        <v>7.5499999999999456E-3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68749332.736081392</v>
      </c>
      <c r="D51" s="11">
        <v>8.5400000000000007E-3</v>
      </c>
      <c r="E51" s="10">
        <f t="shared" si="2"/>
        <v>582147.75969831645</v>
      </c>
      <c r="F51" s="3"/>
      <c r="G51" s="28"/>
      <c r="H51" s="10"/>
      <c r="I51" s="10">
        <f t="shared" si="8"/>
        <v>20635</v>
      </c>
      <c r="J51" s="10">
        <f t="shared" si="6"/>
        <v>1418642481009.0396</v>
      </c>
      <c r="K51" s="11">
        <f t="shared" si="7"/>
        <v>8.539999999999992E-3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68167184.976383075</v>
      </c>
      <c r="D52" s="11">
        <v>8.4200000000000004E-3</v>
      </c>
      <c r="E52" s="10">
        <f t="shared" si="2"/>
        <v>569175.24196381867</v>
      </c>
      <c r="F52" s="3"/>
      <c r="G52" s="28"/>
      <c r="H52" s="10"/>
      <c r="I52" s="10">
        <f t="shared" si="8"/>
        <v>20635</v>
      </c>
      <c r="J52" s="10">
        <f t="shared" si="6"/>
        <v>1406629861987.6648</v>
      </c>
      <c r="K52" s="11">
        <f t="shared" si="7"/>
        <v>8.4200000000000941E-3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67598009.734419256</v>
      </c>
      <c r="D53" s="11">
        <v>9.58E-3</v>
      </c>
      <c r="E53" s="10">
        <f t="shared" si="2"/>
        <v>641443.90068714321</v>
      </c>
      <c r="F53" s="3"/>
      <c r="G53" s="28"/>
      <c r="H53" s="10"/>
      <c r="I53" s="10">
        <f t="shared" si="8"/>
        <v>20635</v>
      </c>
      <c r="J53" s="10">
        <f t="shared" si="6"/>
        <v>1394884930869.7415</v>
      </c>
      <c r="K53" s="11">
        <f t="shared" si="7"/>
        <v>9.5799999999999219E-3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66956565.833732113</v>
      </c>
      <c r="D54" s="11">
        <v>8.0800000000000004E-3</v>
      </c>
      <c r="E54" s="10">
        <f t="shared" si="2"/>
        <v>536672.73622784019</v>
      </c>
      <c r="F54" s="3"/>
      <c r="G54" s="28"/>
      <c r="H54" s="10"/>
      <c r="I54" s="10">
        <f t="shared" si="8"/>
        <v>20635</v>
      </c>
      <c r="J54" s="10">
        <f t="shared" si="6"/>
        <v>1381648735979.0623</v>
      </c>
      <c r="K54" s="11">
        <f t="shared" si="7"/>
        <v>8.0800000000000871E-3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66419893.097504273</v>
      </c>
      <c r="D55" s="11">
        <v>7.8200000000000006E-3</v>
      </c>
      <c r="E55" s="10">
        <f t="shared" si="2"/>
        <v>515373.34446873516</v>
      </c>
      <c r="F55" s="3"/>
      <c r="G55" s="28"/>
      <c r="H55" s="10"/>
      <c r="I55" s="10">
        <f t="shared" si="8"/>
        <v>20635</v>
      </c>
      <c r="J55" s="10">
        <f t="shared" si="6"/>
        <v>1370574494067.0007</v>
      </c>
      <c r="K55" s="11">
        <f t="shared" si="7"/>
        <v>7.8199999999999381E-3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65904519.753035538</v>
      </c>
      <c r="D56" s="11">
        <v>6.3899999999999998E-3</v>
      </c>
      <c r="E56" s="10">
        <f t="shared" si="2"/>
        <v>418455.94771598279</v>
      </c>
      <c r="F56" s="3"/>
      <c r="G56" s="28"/>
      <c r="H56" s="10"/>
      <c r="I56" s="10">
        <f t="shared" si="8"/>
        <v>20635</v>
      </c>
      <c r="J56" s="10">
        <f t="shared" si="6"/>
        <v>1359939765103.8884</v>
      </c>
      <c r="K56" s="11">
        <f t="shared" si="7"/>
        <v>6.3899999999998958E-3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65486063.805319555</v>
      </c>
      <c r="D57" s="11">
        <v>5.7200000000000003E-3</v>
      </c>
      <c r="E57" s="10">
        <f t="shared" si="2"/>
        <v>372449.87170030177</v>
      </c>
      <c r="F57" s="3"/>
      <c r="G57" s="28"/>
      <c r="H57" s="10"/>
      <c r="I57" s="10">
        <f t="shared" si="8"/>
        <v>20635</v>
      </c>
      <c r="J57" s="10">
        <f t="shared" si="6"/>
        <v>1351304926622.769</v>
      </c>
      <c r="K57" s="11">
        <f t="shared" si="7"/>
        <v>5.7199999999999473E-3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65113613.933619253</v>
      </c>
      <c r="D58" s="11">
        <v>6.2399999999999999E-3</v>
      </c>
      <c r="E58" s="10">
        <f t="shared" si="2"/>
        <v>403789.30567835271</v>
      </c>
      <c r="F58" s="3"/>
      <c r="G58" s="28"/>
      <c r="H58" s="10"/>
      <c r="I58" s="10">
        <f t="shared" si="8"/>
        <v>20635</v>
      </c>
      <c r="J58" s="10">
        <f t="shared" si="6"/>
        <v>1343619423520.2334</v>
      </c>
      <c r="K58" s="11">
        <f t="shared" si="7"/>
        <v>6.2400000000000233E-3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64709824.627940901</v>
      </c>
      <c r="D59" s="11">
        <v>5.6699999999999997E-3</v>
      </c>
      <c r="E59" s="10">
        <f t="shared" si="2"/>
        <v>364836.08503825963</v>
      </c>
      <c r="F59" s="3"/>
      <c r="G59" s="28"/>
      <c r="H59" s="10"/>
      <c r="I59" s="10">
        <f t="shared" si="8"/>
        <v>20635</v>
      </c>
      <c r="J59" s="10">
        <f t="shared" si="6"/>
        <v>1335287231197.5605</v>
      </c>
      <c r="K59" s="11">
        <f t="shared" si="7"/>
        <v>5.6700000000000639E-3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64344988.542902641</v>
      </c>
      <c r="D60" s="11">
        <v>5.4000000000000003E-3</v>
      </c>
      <c r="E60" s="10">
        <f t="shared" si="2"/>
        <v>345596.71586599946</v>
      </c>
      <c r="F60" s="3"/>
      <c r="G60" s="28"/>
      <c r="H60" s="10"/>
      <c r="I60" s="10">
        <f t="shared" si="8"/>
        <v>20635</v>
      </c>
      <c r="J60" s="10">
        <f t="shared" si="6"/>
        <v>1327758838582.7959</v>
      </c>
      <c r="K60" s="11">
        <f t="shared" si="7"/>
        <v>5.3999999999998494E-3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63999391.827036642</v>
      </c>
      <c r="D61" s="11">
        <v>5.1200000000000004E-3</v>
      </c>
      <c r="E61" s="10">
        <f t="shared" si="2"/>
        <v>326007.72659426928</v>
      </c>
      <c r="F61" s="3"/>
      <c r="G61" s="28"/>
      <c r="H61" s="10"/>
      <c r="I61" s="10">
        <f t="shared" si="8"/>
        <v>20635</v>
      </c>
      <c r="J61" s="10">
        <f t="shared" si="6"/>
        <v>1320627450350.9011</v>
      </c>
      <c r="K61" s="11">
        <f t="shared" si="7"/>
        <v>5.1200000000000134E-3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63673384.100442372</v>
      </c>
      <c r="D62" s="11">
        <v>6.1199999999999996E-3</v>
      </c>
      <c r="E62" s="10">
        <f t="shared" si="2"/>
        <v>387310.76878970861</v>
      </c>
      <c r="F62" s="3"/>
      <c r="G62" s="28"/>
      <c r="H62" s="10"/>
      <c r="I62" s="10">
        <f t="shared" si="8"/>
        <v>20635</v>
      </c>
      <c r="J62" s="10">
        <f t="shared" si="6"/>
        <v>1313900280912.6284</v>
      </c>
      <c r="K62" s="11">
        <f t="shared" si="7"/>
        <v>6.1199999999999033E-3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63286073.331652664</v>
      </c>
      <c r="D63" s="11">
        <v>6.3200000000000001E-3</v>
      </c>
      <c r="E63" s="10">
        <f t="shared" si="2"/>
        <v>397456.06114958227</v>
      </c>
      <c r="F63" s="3"/>
      <c r="G63" s="28"/>
      <c r="H63" s="10"/>
      <c r="I63" s="10">
        <f t="shared" si="8"/>
        <v>20635</v>
      </c>
      <c r="J63" s="10">
        <f t="shared" si="6"/>
        <v>1305908123198.6528</v>
      </c>
      <c r="K63" s="11">
        <f t="shared" si="7"/>
        <v>6.3200000000001033E-3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62888617.270503081</v>
      </c>
      <c r="D64" s="11">
        <v>1.1390000000000001E-2</v>
      </c>
      <c r="E64" s="10">
        <f t="shared" si="2"/>
        <v>708234.55908307433</v>
      </c>
      <c r="F64" s="3"/>
      <c r="G64" s="28"/>
      <c r="H64" s="10"/>
      <c r="I64" s="10">
        <f t="shared" si="8"/>
        <v>20635</v>
      </c>
      <c r="J64" s="10">
        <f t="shared" si="6"/>
        <v>1297706617376.8311</v>
      </c>
      <c r="K64" s="11">
        <f t="shared" si="7"/>
        <v>1.1390000000000011E-2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62180382.711420007</v>
      </c>
      <c r="D65" s="11">
        <v>5.2100000000000002E-3</v>
      </c>
      <c r="E65" s="10">
        <f t="shared" si="2"/>
        <v>322280.7114199996</v>
      </c>
      <c r="F65" s="3"/>
      <c r="G65" s="28"/>
      <c r="H65" s="10"/>
      <c r="I65" s="10">
        <f t="shared" si="8"/>
        <v>20635</v>
      </c>
      <c r="J65" s="10">
        <f t="shared" si="6"/>
        <v>1283092197250.1519</v>
      </c>
      <c r="K65" s="11">
        <f t="shared" si="7"/>
        <v>5.2099999999999369E-3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61858102.000000007</v>
      </c>
      <c r="D66" s="11">
        <v>6.1500000000000001E-3</v>
      </c>
      <c r="E66" s="10">
        <f t="shared" si="2"/>
        <v>378102.00000000745</v>
      </c>
      <c r="F66" s="24">
        <f>SUM(F2)</f>
        <v>81313729</v>
      </c>
      <c r="G66" s="28"/>
      <c r="H66" s="10"/>
      <c r="I66" s="10">
        <f t="shared" si="8"/>
        <v>20635</v>
      </c>
      <c r="J66" s="10">
        <f t="shared" ref="J66:J67" si="9">IF(I66="","",I66*C66)</f>
        <v>1276441934770.0002</v>
      </c>
      <c r="K66" s="11">
        <f t="shared" ref="K66" si="10">IFERROR(J66/J67-1,"")</f>
        <v>6.1500000000000998E-3</v>
      </c>
    </row>
    <row r="67" spans="1:11" ht="22.5" customHeight="1">
      <c r="A67" s="3">
        <f t="shared" si="0"/>
        <v>1950</v>
      </c>
      <c r="B67" s="3">
        <v>1700</v>
      </c>
      <c r="C67" s="10">
        <v>61480000</v>
      </c>
      <c r="D67" s="11">
        <v>9.3399999999999993E-3</v>
      </c>
      <c r="E67" s="3" t="s">
        <v>72</v>
      </c>
      <c r="F67" s="10">
        <f>SUM(C2)</f>
        <v>81317223.036466882</v>
      </c>
      <c r="G67" s="28"/>
      <c r="H67" s="10"/>
      <c r="I67" s="10">
        <f t="shared" ref="I67" si="11">IF(H67&lt;&gt;"",H67,I66/(1+IF(G66="",0,G66)/100))</f>
        <v>20635</v>
      </c>
      <c r="J67" s="10">
        <f t="shared" si="9"/>
        <v>1268639800000</v>
      </c>
      <c r="K67" s="11"/>
    </row>
  </sheetData>
  <dataValidations count="1">
    <dataValidation type="custom" allowBlank="1" showDropDown="1" sqref="D2:D67" xr:uid="{00000000-0002-0000-5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18994488.841943882</v>
      </c>
      <c r="D2" s="11">
        <v>2.82E-3</v>
      </c>
      <c r="E2" s="10">
        <f t="shared" ref="E2:E66" si="2">SUM(C2-C3)</f>
        <v>53413.83152937144</v>
      </c>
      <c r="F2" s="15">
        <v>18995781</v>
      </c>
      <c r="G2" s="28"/>
      <c r="H2" s="10"/>
      <c r="I2" s="10">
        <f>IF(H2&lt;&gt;"",H2,6468)</f>
        <v>6468</v>
      </c>
      <c r="J2" s="10">
        <f t="shared" ref="J2:J33" si="3">IF(I2="","",I2*C2)</f>
        <v>122856353829.69304</v>
      </c>
      <c r="K2" s="11">
        <f t="shared" ref="K2:K33" si="4">IFERROR(J2/J3-1,"")</f>
        <v>2.8200000000002667E-3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18941075.010414511</v>
      </c>
      <c r="D3" s="11">
        <v>3.7699999999999999E-3</v>
      </c>
      <c r="E3" s="10">
        <f t="shared" si="2"/>
        <v>71139.656285069883</v>
      </c>
      <c r="F3" s="3"/>
      <c r="G3" s="28"/>
      <c r="H3" s="10"/>
      <c r="I3" s="10">
        <f t="shared" ref="I3:I34" si="5">IF(H3&lt;&gt;"",H3,I2/(1+IF(G2="",0,G2)/100))</f>
        <v>6468</v>
      </c>
      <c r="J3" s="10">
        <f t="shared" si="3"/>
        <v>122510873167.36105</v>
      </c>
      <c r="K3" s="11">
        <f t="shared" si="4"/>
        <v>3.7700000000000511E-3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18869935.354129441</v>
      </c>
      <c r="D4" s="11">
        <v>4.5300000000000002E-3</v>
      </c>
      <c r="E4" s="10">
        <f t="shared" si="2"/>
        <v>85095.325330458581</v>
      </c>
      <c r="F4" s="3"/>
      <c r="G4" s="28"/>
      <c r="H4" s="10"/>
      <c r="I4" s="10">
        <f t="shared" si="5"/>
        <v>6468</v>
      </c>
      <c r="J4" s="10">
        <f t="shared" si="3"/>
        <v>122050741870.50923</v>
      </c>
      <c r="K4" s="11">
        <f t="shared" si="4"/>
        <v>4.529999999999923E-3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18784840.028798983</v>
      </c>
      <c r="D5" s="11">
        <v>4.7099999999999998E-3</v>
      </c>
      <c r="E5" s="10">
        <f t="shared" si="2"/>
        <v>88061.825338300318</v>
      </c>
      <c r="F5" s="3"/>
      <c r="G5" s="28"/>
      <c r="H5" s="10"/>
      <c r="I5" s="10">
        <f t="shared" si="5"/>
        <v>6468</v>
      </c>
      <c r="J5" s="10">
        <f t="shared" si="3"/>
        <v>121500345306.27182</v>
      </c>
      <c r="K5" s="11">
        <f t="shared" si="4"/>
        <v>4.709999999999992E-3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18696778.203460682</v>
      </c>
      <c r="D6" s="11">
        <v>4.8199999999999996E-3</v>
      </c>
      <c r="E6" s="10">
        <f t="shared" si="2"/>
        <v>89686.183536037803</v>
      </c>
      <c r="F6" s="3"/>
      <c r="G6" s="28"/>
      <c r="H6" s="10"/>
      <c r="I6" s="10">
        <f t="shared" si="5"/>
        <v>6468</v>
      </c>
      <c r="J6" s="10">
        <f t="shared" si="3"/>
        <v>120930761419.98369</v>
      </c>
      <c r="K6" s="11">
        <f t="shared" si="4"/>
        <v>4.8200000000000465E-3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18607092.019924644</v>
      </c>
      <c r="D7" s="11">
        <v>4.4400000000000004E-3</v>
      </c>
      <c r="E7" s="10">
        <f t="shared" si="2"/>
        <v>82250.297248680145</v>
      </c>
      <c r="F7" s="3"/>
      <c r="G7" s="28"/>
      <c r="H7" s="10"/>
      <c r="I7" s="10">
        <f t="shared" si="5"/>
        <v>6468</v>
      </c>
      <c r="J7" s="10">
        <f t="shared" si="3"/>
        <v>120350671184.8726</v>
      </c>
      <c r="K7" s="11">
        <f t="shared" si="4"/>
        <v>4.4399999999999995E-3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18524841.722675964</v>
      </c>
      <c r="D8" s="11">
        <v>4.7099999999999998E-3</v>
      </c>
      <c r="E8" s="10">
        <f t="shared" si="2"/>
        <v>86842.97410576418</v>
      </c>
      <c r="F8" s="3"/>
      <c r="G8" s="28"/>
      <c r="H8" s="10"/>
      <c r="I8" s="10">
        <f t="shared" si="5"/>
        <v>6468</v>
      </c>
      <c r="J8" s="10">
        <f t="shared" si="3"/>
        <v>119818676262.26814</v>
      </c>
      <c r="K8" s="11">
        <f t="shared" si="4"/>
        <v>4.709999999999992E-3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18437998.7485702</v>
      </c>
      <c r="D9" s="11">
        <v>4.8599999999999997E-3</v>
      </c>
      <c r="E9" s="10">
        <f t="shared" si="2"/>
        <v>89175.282047301531</v>
      </c>
      <c r="F9" s="3"/>
      <c r="G9" s="28"/>
      <c r="H9" s="10"/>
      <c r="I9" s="10">
        <f t="shared" si="5"/>
        <v>6468</v>
      </c>
      <c r="J9" s="10">
        <f t="shared" si="3"/>
        <v>119256975905.75206</v>
      </c>
      <c r="K9" s="11">
        <f t="shared" si="4"/>
        <v>4.8600000000000865E-3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18348823.466522899</v>
      </c>
      <c r="D10" s="11">
        <v>4.45E-3</v>
      </c>
      <c r="E10" s="10">
        <f t="shared" si="2"/>
        <v>81290.521604888141</v>
      </c>
      <c r="F10" s="3"/>
      <c r="G10" s="28"/>
      <c r="H10" s="10"/>
      <c r="I10" s="10">
        <f t="shared" si="5"/>
        <v>6468</v>
      </c>
      <c r="J10" s="10">
        <f t="shared" si="3"/>
        <v>118680190181.47011</v>
      </c>
      <c r="K10" s="11">
        <f t="shared" si="4"/>
        <v>4.450000000000065E-3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18267532.94491801</v>
      </c>
      <c r="D11" s="11">
        <v>4.0600000000000002E-3</v>
      </c>
      <c r="E11" s="10">
        <f t="shared" si="2"/>
        <v>73866.286632638425</v>
      </c>
      <c r="F11" s="3"/>
      <c r="G11" s="28"/>
      <c r="H11" s="10"/>
      <c r="I11" s="10">
        <f t="shared" si="5"/>
        <v>6468</v>
      </c>
      <c r="J11" s="10">
        <f t="shared" si="3"/>
        <v>118154403087.72969</v>
      </c>
      <c r="K11" s="11">
        <f t="shared" si="4"/>
        <v>4.0599999999999525E-3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18193666.658285372</v>
      </c>
      <c r="D12" s="11">
        <v>3.6099999999999999E-3</v>
      </c>
      <c r="E12" s="10">
        <f t="shared" si="2"/>
        <v>65442.887811407447</v>
      </c>
      <c r="F12" s="3"/>
      <c r="G12" s="28"/>
      <c r="H12" s="10"/>
      <c r="I12" s="10">
        <f t="shared" si="5"/>
        <v>6468</v>
      </c>
      <c r="J12" s="10">
        <f t="shared" si="3"/>
        <v>117676635945.78978</v>
      </c>
      <c r="K12" s="11">
        <f t="shared" si="4"/>
        <v>3.6099999999998911E-3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18128223.770473965</v>
      </c>
      <c r="D13" s="11">
        <v>3.2399999999999998E-3</v>
      </c>
      <c r="E13" s="10">
        <f t="shared" si="2"/>
        <v>58545.756764415652</v>
      </c>
      <c r="F13" s="3"/>
      <c r="G13" s="28"/>
      <c r="H13" s="10"/>
      <c r="I13" s="10">
        <f t="shared" si="5"/>
        <v>6468</v>
      </c>
      <c r="J13" s="10">
        <f t="shared" si="3"/>
        <v>117253351347.4256</v>
      </c>
      <c r="K13" s="11">
        <f t="shared" si="4"/>
        <v>3.2399999999999096E-3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18069678.013709549</v>
      </c>
      <c r="D14" s="11">
        <v>2.5799999999999998E-3</v>
      </c>
      <c r="E14" s="10">
        <f t="shared" si="2"/>
        <v>46499.799791909754</v>
      </c>
      <c r="F14" s="3"/>
      <c r="G14" s="28"/>
      <c r="H14" s="10"/>
      <c r="I14" s="10">
        <f t="shared" si="5"/>
        <v>6468</v>
      </c>
      <c r="J14" s="10">
        <f t="shared" si="3"/>
        <v>116874677392.67336</v>
      </c>
      <c r="K14" s="11">
        <f t="shared" si="4"/>
        <v>2.5800000000000267E-3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18023178.213917639</v>
      </c>
      <c r="D15" s="11">
        <v>2.1900000000000001E-3</v>
      </c>
      <c r="E15" s="10">
        <f t="shared" si="2"/>
        <v>39384.508215487003</v>
      </c>
      <c r="F15" s="3"/>
      <c r="G15" s="28"/>
      <c r="H15" s="10"/>
      <c r="I15" s="10">
        <f t="shared" si="5"/>
        <v>6468</v>
      </c>
      <c r="J15" s="10">
        <f t="shared" si="3"/>
        <v>116573916687.61929</v>
      </c>
      <c r="K15" s="11">
        <f t="shared" si="4"/>
        <v>2.1899999999999142E-3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17983793.705702152</v>
      </c>
      <c r="D16" s="11">
        <v>2.66E-3</v>
      </c>
      <c r="E16" s="10">
        <f t="shared" si="2"/>
        <v>47709.982703179121</v>
      </c>
      <c r="F16" s="3"/>
      <c r="G16" s="28"/>
      <c r="H16" s="10"/>
      <c r="I16" s="10">
        <f t="shared" si="5"/>
        <v>6468</v>
      </c>
      <c r="J16" s="10">
        <f t="shared" si="3"/>
        <v>116319177688.48152</v>
      </c>
      <c r="K16" s="11">
        <f t="shared" si="4"/>
        <v>2.6600000000001067E-3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17936083.722998973</v>
      </c>
      <c r="D17" s="11">
        <v>1.8799999999999999E-3</v>
      </c>
      <c r="E17" s="10">
        <f t="shared" si="2"/>
        <v>33656.563060685992</v>
      </c>
      <c r="F17" s="3"/>
      <c r="G17" s="28"/>
      <c r="H17" s="10"/>
      <c r="I17" s="10">
        <f t="shared" si="5"/>
        <v>6468</v>
      </c>
      <c r="J17" s="10">
        <f t="shared" si="3"/>
        <v>116010589520.35736</v>
      </c>
      <c r="K17" s="11">
        <f t="shared" si="4"/>
        <v>1.8800000000001038E-3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17902427.159938287</v>
      </c>
      <c r="D18" s="11">
        <v>2.2499999999999998E-3</v>
      </c>
      <c r="E18" s="10">
        <f t="shared" si="2"/>
        <v>40190.033534411341</v>
      </c>
      <c r="F18" s="3"/>
      <c r="G18" s="28"/>
      <c r="H18" s="10"/>
      <c r="I18" s="10">
        <f t="shared" si="5"/>
        <v>6468</v>
      </c>
      <c r="J18" s="10">
        <f t="shared" si="3"/>
        <v>115792898870.48083</v>
      </c>
      <c r="K18" s="11">
        <f t="shared" si="4"/>
        <v>2.2500000000000853E-3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17862237.126403876</v>
      </c>
      <c r="D19" s="11">
        <v>2.3900000000000002E-3</v>
      </c>
      <c r="E19" s="10">
        <f t="shared" si="2"/>
        <v>42588.959119807929</v>
      </c>
      <c r="F19" s="3"/>
      <c r="G19" s="28"/>
      <c r="H19" s="10"/>
      <c r="I19" s="10">
        <f t="shared" si="5"/>
        <v>6468</v>
      </c>
      <c r="J19" s="10">
        <f t="shared" si="3"/>
        <v>115532949733.58026</v>
      </c>
      <c r="K19" s="11">
        <f t="shared" si="4"/>
        <v>2.3899999999998922E-3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17819648.167284068</v>
      </c>
      <c r="D20" s="11">
        <v>2.8999999999999998E-3</v>
      </c>
      <c r="E20" s="10">
        <f t="shared" si="2"/>
        <v>51527.549790728837</v>
      </c>
      <c r="F20" s="3"/>
      <c r="G20" s="28"/>
      <c r="H20" s="10"/>
      <c r="I20" s="10">
        <f t="shared" si="5"/>
        <v>6468</v>
      </c>
      <c r="J20" s="10">
        <f t="shared" si="3"/>
        <v>115257484345.99335</v>
      </c>
      <c r="K20" s="11">
        <f t="shared" si="4"/>
        <v>2.8999999999999027E-3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17768120.617493339</v>
      </c>
      <c r="D21" s="11">
        <v>3.0200000000000001E-3</v>
      </c>
      <c r="E21" s="10">
        <f t="shared" si="2"/>
        <v>53498.159822165966</v>
      </c>
      <c r="F21" s="3"/>
      <c r="G21" s="28"/>
      <c r="H21" s="10"/>
      <c r="I21" s="10">
        <f t="shared" si="5"/>
        <v>6468</v>
      </c>
      <c r="J21" s="10">
        <f t="shared" si="3"/>
        <v>114924204153.94691</v>
      </c>
      <c r="K21" s="11">
        <f t="shared" si="4"/>
        <v>3.0200000000000227E-3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17714622.457671173</v>
      </c>
      <c r="D22" s="11">
        <v>3.5400000000000002E-3</v>
      </c>
      <c r="E22" s="10">
        <f t="shared" si="2"/>
        <v>62488.554018929601</v>
      </c>
      <c r="F22" s="3"/>
      <c r="G22" s="28"/>
      <c r="H22" s="10"/>
      <c r="I22" s="10">
        <f t="shared" si="5"/>
        <v>6468</v>
      </c>
      <c r="J22" s="10">
        <f t="shared" si="3"/>
        <v>114578178056.21715</v>
      </c>
      <c r="K22" s="11">
        <f t="shared" si="4"/>
        <v>3.5400000000000986E-3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17652133.903652243</v>
      </c>
      <c r="D23" s="11">
        <v>4.0899999999999999E-3</v>
      </c>
      <c r="E23" s="10">
        <f t="shared" si="2"/>
        <v>71903.143807761371</v>
      </c>
      <c r="F23" s="3"/>
      <c r="G23" s="28"/>
      <c r="H23" s="10"/>
      <c r="I23" s="10">
        <f t="shared" si="5"/>
        <v>6468</v>
      </c>
      <c r="J23" s="10">
        <f t="shared" si="3"/>
        <v>114174002088.82271</v>
      </c>
      <c r="K23" s="11">
        <f t="shared" si="4"/>
        <v>4.089999999999927E-3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17580230.759844482</v>
      </c>
      <c r="D24" s="11">
        <v>4.5199999999999997E-3</v>
      </c>
      <c r="E24" s="10">
        <f t="shared" si="2"/>
        <v>79105.088036574423</v>
      </c>
      <c r="F24" s="3"/>
      <c r="G24" s="28"/>
      <c r="H24" s="10"/>
      <c r="I24" s="10">
        <f t="shared" si="5"/>
        <v>6468</v>
      </c>
      <c r="J24" s="10">
        <f t="shared" si="3"/>
        <v>113708932554.6741</v>
      </c>
      <c r="K24" s="11">
        <f t="shared" si="4"/>
        <v>4.5200000000000795E-3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17501125.671807908</v>
      </c>
      <c r="D25" s="11">
        <v>5.1500000000000001E-3</v>
      </c>
      <c r="E25" s="10">
        <f t="shared" si="2"/>
        <v>89669.001850280911</v>
      </c>
      <c r="F25" s="3"/>
      <c r="G25" s="28"/>
      <c r="H25" s="10"/>
      <c r="I25" s="10">
        <f t="shared" si="5"/>
        <v>6468</v>
      </c>
      <c r="J25" s="10">
        <f t="shared" si="3"/>
        <v>113197280845.25354</v>
      </c>
      <c r="K25" s="11">
        <f t="shared" si="4"/>
        <v>5.1499999999997659E-3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17411456.669957627</v>
      </c>
      <c r="D26" s="11">
        <v>6.0899999999999999E-3</v>
      </c>
      <c r="E26" s="10">
        <f t="shared" si="2"/>
        <v>105393.92213424295</v>
      </c>
      <c r="F26" s="3"/>
      <c r="G26" s="28"/>
      <c r="H26" s="10"/>
      <c r="I26" s="10">
        <f t="shared" si="5"/>
        <v>6468</v>
      </c>
      <c r="J26" s="10">
        <f t="shared" si="3"/>
        <v>112617301741.28593</v>
      </c>
      <c r="K26" s="11">
        <f t="shared" si="4"/>
        <v>6.0899999999999288E-3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17306062.747823384</v>
      </c>
      <c r="D27" s="11">
        <v>4.8199999999999996E-3</v>
      </c>
      <c r="E27" s="10">
        <f t="shared" si="2"/>
        <v>83015.089712098241</v>
      </c>
      <c r="F27" s="3"/>
      <c r="G27" s="28"/>
      <c r="H27" s="10"/>
      <c r="I27" s="10">
        <f t="shared" si="5"/>
        <v>6468</v>
      </c>
      <c r="J27" s="10">
        <f t="shared" si="3"/>
        <v>111935613852.92165</v>
      </c>
      <c r="K27" s="11">
        <f t="shared" si="4"/>
        <v>4.8200000000002685E-3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17223047.658111285</v>
      </c>
      <c r="D28" s="11">
        <v>4.0400000000000002E-3</v>
      </c>
      <c r="E28" s="10">
        <f t="shared" si="2"/>
        <v>69301.135949533433</v>
      </c>
      <c r="F28" s="3"/>
      <c r="G28" s="28"/>
      <c r="H28" s="10"/>
      <c r="I28" s="10">
        <f t="shared" si="5"/>
        <v>6468</v>
      </c>
      <c r="J28" s="10">
        <f t="shared" si="3"/>
        <v>111398672252.66379</v>
      </c>
      <c r="K28" s="11">
        <f t="shared" si="4"/>
        <v>4.0400000000000436E-3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17153746.522161752</v>
      </c>
      <c r="D29" s="11">
        <v>3.1800000000000001E-3</v>
      </c>
      <c r="E29" s="10">
        <f t="shared" si="2"/>
        <v>54375.998265989125</v>
      </c>
      <c r="F29" s="3"/>
      <c r="G29" s="28"/>
      <c r="H29" s="10"/>
      <c r="I29" s="10">
        <f t="shared" si="5"/>
        <v>6468</v>
      </c>
      <c r="J29" s="10">
        <f t="shared" si="3"/>
        <v>110950432505.34221</v>
      </c>
      <c r="K29" s="11">
        <f t="shared" si="4"/>
        <v>3.1799999999999606E-3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17099370.523895763</v>
      </c>
      <c r="D30" s="11">
        <v>2.63E-3</v>
      </c>
      <c r="E30" s="10">
        <f t="shared" si="2"/>
        <v>44853.380088213831</v>
      </c>
      <c r="F30" s="3"/>
      <c r="G30" s="28"/>
      <c r="H30" s="10"/>
      <c r="I30" s="10">
        <f t="shared" si="5"/>
        <v>6468</v>
      </c>
      <c r="J30" s="10">
        <f t="shared" si="3"/>
        <v>110598728548.5578</v>
      </c>
      <c r="K30" s="11">
        <f t="shared" si="4"/>
        <v>2.6299999999999102E-3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17054517.143807549</v>
      </c>
      <c r="D31" s="11">
        <v>3.0500000000000002E-3</v>
      </c>
      <c r="E31" s="10">
        <f t="shared" si="2"/>
        <v>51858.11005295068</v>
      </c>
      <c r="F31" s="3"/>
      <c r="G31" s="28"/>
      <c r="H31" s="10"/>
      <c r="I31" s="10">
        <f t="shared" si="5"/>
        <v>6468</v>
      </c>
      <c r="J31" s="10">
        <f t="shared" si="3"/>
        <v>110308616886.14723</v>
      </c>
      <c r="K31" s="11">
        <f t="shared" si="4"/>
        <v>3.0499999999999972E-3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17002659.033754598</v>
      </c>
      <c r="D32" s="11">
        <v>3.46E-3</v>
      </c>
      <c r="E32" s="10">
        <f t="shared" si="2"/>
        <v>58626.3530751504</v>
      </c>
      <c r="F32" s="3"/>
      <c r="G32" s="28"/>
      <c r="H32" s="10"/>
      <c r="I32" s="10">
        <f t="shared" si="5"/>
        <v>6468</v>
      </c>
      <c r="J32" s="10">
        <f t="shared" si="3"/>
        <v>109973198630.32474</v>
      </c>
      <c r="K32" s="11">
        <f t="shared" si="4"/>
        <v>3.4599999999997966E-3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16944032.680679448</v>
      </c>
      <c r="D33" s="11">
        <v>4.8900000000000002E-3</v>
      </c>
      <c r="E33" s="10">
        <f t="shared" si="2"/>
        <v>82453.124032005668</v>
      </c>
      <c r="F33" s="3"/>
      <c r="G33" s="28"/>
      <c r="H33" s="10"/>
      <c r="I33" s="10">
        <f t="shared" si="5"/>
        <v>6468</v>
      </c>
      <c r="J33" s="10">
        <f t="shared" si="3"/>
        <v>109594003378.63467</v>
      </c>
      <c r="K33" s="11">
        <f t="shared" si="4"/>
        <v>4.890000000000061E-3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16861579.556647442</v>
      </c>
      <c r="D34" s="11">
        <v>5.7999999999999996E-3</v>
      </c>
      <c r="E34" s="10">
        <f t="shared" si="2"/>
        <v>97233.208817414939</v>
      </c>
      <c r="F34" s="3"/>
      <c r="G34" s="28"/>
      <c r="H34" s="10"/>
      <c r="I34" s="10">
        <f t="shared" si="5"/>
        <v>6468</v>
      </c>
      <c r="J34" s="10">
        <f t="shared" ref="J34:J65" si="6">IF(I34="","",I34*C34)</f>
        <v>109060696572.39566</v>
      </c>
      <c r="K34" s="11">
        <f t="shared" ref="K34:K65" si="7">IFERROR(J34/J35-1,"")</f>
        <v>5.8000000000000274E-3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16764346.347830027</v>
      </c>
      <c r="D35" s="11">
        <v>6.1399999999999996E-3</v>
      </c>
      <c r="E35" s="10">
        <f t="shared" si="2"/>
        <v>102304.93427920341</v>
      </c>
      <c r="F35" s="3"/>
      <c r="G35" s="28"/>
      <c r="H35" s="10"/>
      <c r="I35" s="10">
        <f t="shared" ref="I35:I66" si="8">IF(H35&lt;&gt;"",H35,I34/(1+IF(G34="",0,G34)/100))</f>
        <v>6468</v>
      </c>
      <c r="J35" s="10">
        <f t="shared" si="6"/>
        <v>108431792177.76462</v>
      </c>
      <c r="K35" s="11">
        <f t="shared" si="7"/>
        <v>6.1400000000000343E-3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16662041.413550824</v>
      </c>
      <c r="D36" s="11">
        <v>5.0899999999999999E-3</v>
      </c>
      <c r="E36" s="10">
        <f t="shared" si="2"/>
        <v>84380.295092951506</v>
      </c>
      <c r="F36" s="3"/>
      <c r="G36" s="28"/>
      <c r="H36" s="10"/>
      <c r="I36" s="10">
        <f t="shared" si="8"/>
        <v>6468</v>
      </c>
      <c r="J36" s="10">
        <f t="shared" si="6"/>
        <v>107770083862.84673</v>
      </c>
      <c r="K36" s="11">
        <f t="shared" si="7"/>
        <v>5.0900000000000389E-3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16577661.118457872</v>
      </c>
      <c r="D37" s="11">
        <v>3.46E-3</v>
      </c>
      <c r="E37" s="10">
        <f t="shared" si="2"/>
        <v>57160.93064981699</v>
      </c>
      <c r="F37" s="3"/>
      <c r="G37" s="28"/>
      <c r="H37" s="10"/>
      <c r="I37" s="10">
        <f t="shared" si="8"/>
        <v>6468</v>
      </c>
      <c r="J37" s="10">
        <f t="shared" si="6"/>
        <v>107224312114.18552</v>
      </c>
      <c r="K37" s="11">
        <f t="shared" si="7"/>
        <v>3.4600000000000186E-3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16520500.187808055</v>
      </c>
      <c r="D38" s="11">
        <v>2.7799999999999999E-3</v>
      </c>
      <c r="E38" s="10">
        <f t="shared" si="2"/>
        <v>45799.667446603999</v>
      </c>
      <c r="F38" s="3"/>
      <c r="G38" s="28"/>
      <c r="H38" s="10"/>
      <c r="I38" s="10">
        <f t="shared" si="8"/>
        <v>6468</v>
      </c>
      <c r="J38" s="10">
        <f t="shared" si="6"/>
        <v>106854595214.74251</v>
      </c>
      <c r="K38" s="11">
        <f t="shared" si="7"/>
        <v>2.7800000000000047E-3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16474700.520361451</v>
      </c>
      <c r="D39" s="11">
        <v>2.3400000000000001E-3</v>
      </c>
      <c r="E39" s="10">
        <f t="shared" si="2"/>
        <v>38460.800943437964</v>
      </c>
      <c r="F39" s="3"/>
      <c r="G39" s="28"/>
      <c r="H39" s="10"/>
      <c r="I39" s="10">
        <f t="shared" si="8"/>
        <v>6468</v>
      </c>
      <c r="J39" s="10">
        <f t="shared" si="6"/>
        <v>106558362965.69786</v>
      </c>
      <c r="K39" s="11">
        <f t="shared" si="7"/>
        <v>2.3400000000000087E-3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16436239.719418013</v>
      </c>
      <c r="D40" s="11">
        <v>3.4199999999999999E-3</v>
      </c>
      <c r="E40" s="10">
        <f t="shared" si="2"/>
        <v>56020.350242579356</v>
      </c>
      <c r="F40" s="3"/>
      <c r="G40" s="28"/>
      <c r="H40" s="10"/>
      <c r="I40" s="10">
        <f t="shared" si="8"/>
        <v>6468</v>
      </c>
      <c r="J40" s="10">
        <f t="shared" si="6"/>
        <v>106309598505.19571</v>
      </c>
      <c r="K40" s="11">
        <f t="shared" si="7"/>
        <v>3.4199999999999786E-3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16380219.369175434</v>
      </c>
      <c r="D41" s="11">
        <v>2.1800000000000001E-3</v>
      </c>
      <c r="E41" s="10">
        <f t="shared" si="2"/>
        <v>35631.202203998342</v>
      </c>
      <c r="F41" s="3"/>
      <c r="G41" s="28"/>
      <c r="H41" s="10"/>
      <c r="I41" s="10">
        <f t="shared" si="8"/>
        <v>6468</v>
      </c>
      <c r="J41" s="10">
        <f t="shared" si="6"/>
        <v>105947258879.82671</v>
      </c>
      <c r="K41" s="11">
        <f t="shared" si="7"/>
        <v>2.1800000000000708E-3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16344588.166971436</v>
      </c>
      <c r="D42" s="11">
        <v>3.8300000000000001E-3</v>
      </c>
      <c r="E42" s="10">
        <f t="shared" si="2"/>
        <v>62360.930316388607</v>
      </c>
      <c r="F42" s="3"/>
      <c r="G42" s="28"/>
      <c r="H42" s="10"/>
      <c r="I42" s="10">
        <f t="shared" si="8"/>
        <v>6468</v>
      </c>
      <c r="J42" s="10">
        <f t="shared" si="6"/>
        <v>105716796263.97125</v>
      </c>
      <c r="K42" s="11">
        <f t="shared" si="7"/>
        <v>3.8300000000000001E-3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16282227.236655047</v>
      </c>
      <c r="D43" s="11">
        <v>5.0299999999999997E-3</v>
      </c>
      <c r="E43" s="10">
        <f t="shared" si="2"/>
        <v>81489.709760282189</v>
      </c>
      <c r="F43" s="3"/>
      <c r="G43" s="28"/>
      <c r="H43" s="10"/>
      <c r="I43" s="10">
        <f t="shared" si="8"/>
        <v>6468</v>
      </c>
      <c r="J43" s="10">
        <f t="shared" si="6"/>
        <v>105313445766.68484</v>
      </c>
      <c r="K43" s="11">
        <f t="shared" si="7"/>
        <v>5.03000000000009E-3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16200737.526894765</v>
      </c>
      <c r="D44" s="11">
        <v>5.4200000000000003E-3</v>
      </c>
      <c r="E44" s="10">
        <f t="shared" si="2"/>
        <v>87334.643627310172</v>
      </c>
      <c r="F44" s="3"/>
      <c r="G44" s="28"/>
      <c r="H44" s="10"/>
      <c r="I44" s="10">
        <f t="shared" si="8"/>
        <v>6468</v>
      </c>
      <c r="J44" s="10">
        <f t="shared" si="6"/>
        <v>104786370323.95534</v>
      </c>
      <c r="K44" s="11">
        <f t="shared" si="7"/>
        <v>5.4199999999999804E-3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16113402.883267455</v>
      </c>
      <c r="D45" s="11">
        <v>5.9100000000000003E-3</v>
      </c>
      <c r="E45" s="10">
        <f t="shared" si="2"/>
        <v>94670.707160791382</v>
      </c>
      <c r="F45" s="3"/>
      <c r="G45" s="28"/>
      <c r="H45" s="10"/>
      <c r="I45" s="10">
        <f t="shared" si="8"/>
        <v>6468</v>
      </c>
      <c r="J45" s="10">
        <f t="shared" si="6"/>
        <v>104221489848.97389</v>
      </c>
      <c r="K45" s="11">
        <f t="shared" si="7"/>
        <v>5.9100000000000819E-3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16018732.176106663</v>
      </c>
      <c r="D46" s="11">
        <v>5.94E-3</v>
      </c>
      <c r="E46" s="10">
        <f t="shared" si="2"/>
        <v>94589.408042302355</v>
      </c>
      <c r="F46" s="3"/>
      <c r="G46" s="28"/>
      <c r="H46" s="10"/>
      <c r="I46" s="10">
        <f t="shared" si="8"/>
        <v>6468</v>
      </c>
      <c r="J46" s="10">
        <f t="shared" si="6"/>
        <v>103609159715.05789</v>
      </c>
      <c r="K46" s="11">
        <f t="shared" si="7"/>
        <v>5.9399999999998343E-3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15924142.768064361</v>
      </c>
      <c r="D47" s="11">
        <v>-3.4199999999999999E-3</v>
      </c>
      <c r="E47" s="10">
        <f t="shared" si="2"/>
        <v>-54647.462588833645</v>
      </c>
      <c r="F47" s="3"/>
      <c r="G47" s="28"/>
      <c r="H47" s="10"/>
      <c r="I47" s="10">
        <f t="shared" si="8"/>
        <v>6468</v>
      </c>
      <c r="J47" s="10">
        <f t="shared" si="6"/>
        <v>102997355423.84029</v>
      </c>
      <c r="K47" s="11">
        <f t="shared" si="7"/>
        <v>-3.4200000000000896E-3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15978790.230653195</v>
      </c>
      <c r="D48" s="11">
        <v>-4.28E-3</v>
      </c>
      <c r="E48" s="10">
        <f t="shared" si="2"/>
        <v>-68683.186224235222</v>
      </c>
      <c r="F48" s="3"/>
      <c r="G48" s="28"/>
      <c r="H48" s="10"/>
      <c r="I48" s="10">
        <f t="shared" si="8"/>
        <v>6468</v>
      </c>
      <c r="J48" s="10">
        <f t="shared" si="6"/>
        <v>103350815211.86487</v>
      </c>
      <c r="K48" s="11">
        <f t="shared" si="7"/>
        <v>-4.2799999999999505E-3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16047473.41687743</v>
      </c>
      <c r="D49" s="11">
        <v>2.8700000000000002E-3</v>
      </c>
      <c r="E49" s="10">
        <f t="shared" si="2"/>
        <v>45924.445547714829</v>
      </c>
      <c r="F49" s="3"/>
      <c r="G49" s="28"/>
      <c r="H49" s="10"/>
      <c r="I49" s="10">
        <f t="shared" si="8"/>
        <v>6468</v>
      </c>
      <c r="J49" s="10">
        <f t="shared" si="6"/>
        <v>103795058060.36322</v>
      </c>
      <c r="K49" s="11">
        <f t="shared" si="7"/>
        <v>2.8699999999999282E-3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16001548.971329715</v>
      </c>
      <c r="D50" s="11">
        <v>6.1000000000000004E-3</v>
      </c>
      <c r="E50" s="10">
        <f t="shared" si="2"/>
        <v>97017.641114313155</v>
      </c>
      <c r="F50" s="3"/>
      <c r="G50" s="28"/>
      <c r="H50" s="10"/>
      <c r="I50" s="10">
        <f t="shared" si="8"/>
        <v>6468</v>
      </c>
      <c r="J50" s="10">
        <f t="shared" si="6"/>
        <v>103498018746.56059</v>
      </c>
      <c r="K50" s="11">
        <f t="shared" si="7"/>
        <v>6.0999999999999943E-3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15904531.330215402</v>
      </c>
      <c r="D51" s="11">
        <v>4.8700000000000002E-3</v>
      </c>
      <c r="E51" s="10">
        <f t="shared" si="2"/>
        <v>77079.689490329474</v>
      </c>
      <c r="F51" s="3"/>
      <c r="G51" s="28"/>
      <c r="H51" s="10"/>
      <c r="I51" s="10">
        <f t="shared" si="8"/>
        <v>6468</v>
      </c>
      <c r="J51" s="10">
        <f t="shared" si="6"/>
        <v>102870508643.83322</v>
      </c>
      <c r="K51" s="11">
        <f t="shared" si="7"/>
        <v>4.8699999999999299E-3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15827451.640725072</v>
      </c>
      <c r="D52" s="11">
        <v>2.6900000000000001E-3</v>
      </c>
      <c r="E52" s="10">
        <f t="shared" si="2"/>
        <v>42461.623147284612</v>
      </c>
      <c r="F52" s="3"/>
      <c r="G52" s="28"/>
      <c r="H52" s="10"/>
      <c r="I52" s="10">
        <f t="shared" si="8"/>
        <v>6468</v>
      </c>
      <c r="J52" s="10">
        <f t="shared" si="6"/>
        <v>102371957212.20976</v>
      </c>
      <c r="K52" s="11">
        <f t="shared" si="7"/>
        <v>2.6900000000000812E-3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15784990.017577788</v>
      </c>
      <c r="D53" s="11">
        <v>3.9199999999999999E-3</v>
      </c>
      <c r="E53" s="10">
        <f t="shared" si="2"/>
        <v>61635.549514805898</v>
      </c>
      <c r="F53" s="3"/>
      <c r="G53" s="28"/>
      <c r="H53" s="10"/>
      <c r="I53" s="10">
        <f t="shared" si="8"/>
        <v>6468</v>
      </c>
      <c r="J53" s="10">
        <f t="shared" si="6"/>
        <v>102097315433.69313</v>
      </c>
      <c r="K53" s="11">
        <f t="shared" si="7"/>
        <v>3.9199999999999235E-3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15723354.468062982</v>
      </c>
      <c r="D54" s="11">
        <v>7.0800000000000004E-3</v>
      </c>
      <c r="E54" s="10">
        <f t="shared" si="2"/>
        <v>110538.73538734391</v>
      </c>
      <c r="F54" s="3"/>
      <c r="G54" s="28"/>
      <c r="H54" s="10"/>
      <c r="I54" s="10">
        <f t="shared" si="8"/>
        <v>6468</v>
      </c>
      <c r="J54" s="10">
        <f t="shared" si="6"/>
        <v>101698656699.43137</v>
      </c>
      <c r="K54" s="11">
        <f t="shared" si="7"/>
        <v>7.0799999999999752E-3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15612815.732675638</v>
      </c>
      <c r="D55" s="11">
        <v>7.1900000000000002E-3</v>
      </c>
      <c r="E55" s="10">
        <f t="shared" si="2"/>
        <v>111454.7852122616</v>
      </c>
      <c r="F55" s="3"/>
      <c r="G55" s="28"/>
      <c r="H55" s="10"/>
      <c r="I55" s="10">
        <f t="shared" si="8"/>
        <v>6468</v>
      </c>
      <c r="J55" s="10">
        <f t="shared" si="6"/>
        <v>100983692158.94603</v>
      </c>
      <c r="K55" s="11">
        <f t="shared" si="7"/>
        <v>7.1900000000000297E-3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15501360.947463376</v>
      </c>
      <c r="D56" s="11">
        <v>6.6499999999999997E-3</v>
      </c>
      <c r="E56" s="10">
        <f t="shared" si="2"/>
        <v>102403.06988589093</v>
      </c>
      <c r="F56" s="3"/>
      <c r="G56" s="28"/>
      <c r="H56" s="10"/>
      <c r="I56" s="10">
        <f t="shared" si="8"/>
        <v>6468</v>
      </c>
      <c r="J56" s="10">
        <f t="shared" si="6"/>
        <v>100262802608.19312</v>
      </c>
      <c r="K56" s="11">
        <f t="shared" si="7"/>
        <v>6.6500000000000448E-3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15398957.877577486</v>
      </c>
      <c r="D57" s="11">
        <v>7.4700000000000001E-3</v>
      </c>
      <c r="E57" s="10">
        <f t="shared" si="2"/>
        <v>114177.31083357893</v>
      </c>
      <c r="F57" s="3"/>
      <c r="G57" s="28"/>
      <c r="H57" s="10"/>
      <c r="I57" s="10">
        <f t="shared" si="8"/>
        <v>6468</v>
      </c>
      <c r="J57" s="10">
        <f t="shared" si="6"/>
        <v>99600459552.171173</v>
      </c>
      <c r="K57" s="11">
        <f t="shared" si="7"/>
        <v>7.4700000000000877E-3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15284780.566743907</v>
      </c>
      <c r="D58" s="11">
        <v>8.3499999999999998E-3</v>
      </c>
      <c r="E58" s="10">
        <f t="shared" si="2"/>
        <v>126571.04946924374</v>
      </c>
      <c r="F58" s="3"/>
      <c r="G58" s="28"/>
      <c r="H58" s="10"/>
      <c r="I58" s="10">
        <f t="shared" si="8"/>
        <v>6468</v>
      </c>
      <c r="J58" s="10">
        <f t="shared" si="6"/>
        <v>98861960705.699585</v>
      </c>
      <c r="K58" s="11">
        <f t="shared" si="7"/>
        <v>8.3500000000000796E-3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15158209.517274663</v>
      </c>
      <c r="D59" s="11">
        <v>7.5799999999999999E-3</v>
      </c>
      <c r="E59" s="10">
        <f t="shared" si="2"/>
        <v>114034.84402324446</v>
      </c>
      <c r="F59" s="3"/>
      <c r="G59" s="28"/>
      <c r="H59" s="10"/>
      <c r="I59" s="10">
        <f t="shared" si="8"/>
        <v>6468</v>
      </c>
      <c r="J59" s="10">
        <f t="shared" si="6"/>
        <v>98043299157.732513</v>
      </c>
      <c r="K59" s="11">
        <f t="shared" si="7"/>
        <v>7.5799999999996981E-3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15044174.673251418</v>
      </c>
      <c r="D60" s="11">
        <v>8.8699999999999994E-3</v>
      </c>
      <c r="E60" s="10">
        <f t="shared" si="2"/>
        <v>132268.60680934042</v>
      </c>
      <c r="F60" s="3"/>
      <c r="G60" s="28"/>
      <c r="H60" s="10"/>
      <c r="I60" s="10">
        <f t="shared" si="8"/>
        <v>6468</v>
      </c>
      <c r="J60" s="10">
        <f t="shared" si="6"/>
        <v>97305721786.590179</v>
      </c>
      <c r="K60" s="11">
        <f t="shared" si="7"/>
        <v>8.8699999999999335E-3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14911906.066442078</v>
      </c>
      <c r="D61" s="11">
        <v>1.078E-2</v>
      </c>
      <c r="E61" s="10">
        <f t="shared" si="2"/>
        <v>159035.93996343948</v>
      </c>
      <c r="F61" s="3"/>
      <c r="G61" s="28"/>
      <c r="H61" s="10"/>
      <c r="I61" s="10">
        <f t="shared" si="8"/>
        <v>6468</v>
      </c>
      <c r="J61" s="10">
        <f t="shared" si="6"/>
        <v>96450208437.74736</v>
      </c>
      <c r="K61" s="11">
        <f t="shared" si="7"/>
        <v>1.0780000000000012E-2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14752870.126478638</v>
      </c>
      <c r="D62" s="11">
        <v>1.1169999999999999E-2</v>
      </c>
      <c r="E62" s="10">
        <f t="shared" si="2"/>
        <v>162969.19342223927</v>
      </c>
      <c r="F62" s="3"/>
      <c r="G62" s="28"/>
      <c r="H62" s="10"/>
      <c r="I62" s="10">
        <f t="shared" si="8"/>
        <v>6468</v>
      </c>
      <c r="J62" s="10">
        <f t="shared" si="6"/>
        <v>95421563978.063828</v>
      </c>
      <c r="K62" s="11">
        <f t="shared" si="7"/>
        <v>1.1169999999999902E-2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14589900.933056399</v>
      </c>
      <c r="D63" s="11">
        <v>1.1599999999999999E-2</v>
      </c>
      <c r="E63" s="10">
        <f t="shared" si="2"/>
        <v>167302.14593065903</v>
      </c>
      <c r="F63" s="3"/>
      <c r="G63" s="28"/>
      <c r="H63" s="10"/>
      <c r="I63" s="10">
        <f t="shared" si="8"/>
        <v>6468</v>
      </c>
      <c r="J63" s="10">
        <f t="shared" si="6"/>
        <v>94367479235.008789</v>
      </c>
      <c r="K63" s="11">
        <f t="shared" si="7"/>
        <v>1.1600000000000055E-2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14422598.78712574</v>
      </c>
      <c r="D64" s="11">
        <v>1.1209999999999999E-2</v>
      </c>
      <c r="E64" s="10">
        <f t="shared" si="2"/>
        <v>159885.02131474018</v>
      </c>
      <c r="F64" s="3"/>
      <c r="G64" s="28"/>
      <c r="H64" s="10"/>
      <c r="I64" s="10">
        <f t="shared" si="8"/>
        <v>6468</v>
      </c>
      <c r="J64" s="10">
        <f t="shared" si="6"/>
        <v>93285368955.129288</v>
      </c>
      <c r="K64" s="11">
        <f t="shared" si="7"/>
        <v>1.1209999999999942E-2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14262713.765811</v>
      </c>
      <c r="D65" s="11">
        <v>1.2579999999999999E-2</v>
      </c>
      <c r="E65" s="10">
        <f t="shared" si="2"/>
        <v>177195.81581100076</v>
      </c>
      <c r="F65" s="3"/>
      <c r="G65" s="28"/>
      <c r="H65" s="10"/>
      <c r="I65" s="10">
        <f t="shared" si="8"/>
        <v>6468</v>
      </c>
      <c r="J65" s="10">
        <f t="shared" si="6"/>
        <v>92251232637.265549</v>
      </c>
      <c r="K65" s="11">
        <f t="shared" si="7"/>
        <v>1.2580000000000036E-2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14085517.949999999</v>
      </c>
      <c r="D66" s="11">
        <v>8.6300000000000005E-3</v>
      </c>
      <c r="E66" s="10">
        <f t="shared" si="2"/>
        <v>120517.94999999925</v>
      </c>
      <c r="F66" s="24">
        <f>SUM(F2)</f>
        <v>18995781</v>
      </c>
      <c r="G66" s="28"/>
      <c r="H66" s="10"/>
      <c r="I66" s="10">
        <f t="shared" si="8"/>
        <v>6468</v>
      </c>
      <c r="J66" s="10">
        <f t="shared" ref="J66:J67" si="9">IF(I66="","",I66*C66)</f>
        <v>91105130100.599991</v>
      </c>
      <c r="K66" s="11">
        <f t="shared" ref="K66" si="10">IFERROR(J66/J67-1,"")</f>
        <v>8.6299999999999155E-3</v>
      </c>
    </row>
    <row r="67" spans="1:11" ht="22.5" customHeight="1">
      <c r="A67" s="3">
        <f t="shared" si="0"/>
        <v>1950</v>
      </c>
      <c r="B67" s="3">
        <v>1700</v>
      </c>
      <c r="C67" s="10">
        <v>13965000</v>
      </c>
      <c r="D67" s="11">
        <v>1.0869999999999999E-2</v>
      </c>
      <c r="E67" s="3" t="s">
        <v>72</v>
      </c>
      <c r="F67" s="10">
        <f>SUM(C2)</f>
        <v>18994488.841943882</v>
      </c>
      <c r="G67" s="28"/>
      <c r="H67" s="10"/>
      <c r="I67" s="10">
        <f t="shared" ref="I67" si="11">IF(H67&lt;&gt;"",H67,I66/(1+IF(G66="",0,G66)/100))</f>
        <v>6468</v>
      </c>
      <c r="J67" s="10">
        <f t="shared" si="9"/>
        <v>90325620000</v>
      </c>
      <c r="K67" s="11"/>
    </row>
  </sheetData>
  <dataValidations count="1">
    <dataValidation type="custom" allowBlank="1" showDropDown="1" sqref="D2:D67" xr:uid="{00000000-0002-0000-5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22501504.120199237</v>
      </c>
      <c r="D2" s="11">
        <v>8.6400000000000001E-3</v>
      </c>
      <c r="E2" s="10">
        <f t="shared" ref="E2:E66" si="2">SUM(C2-C3)</f>
        <v>192747.65585196018</v>
      </c>
      <c r="F2" s="15">
        <v>22501433</v>
      </c>
      <c r="G2" s="28"/>
      <c r="H2" s="10"/>
      <c r="I2" s="10">
        <f>IF(H2&lt;&gt;"",H2,3254)</f>
        <v>3254</v>
      </c>
      <c r="J2" s="10">
        <f t="shared" ref="J2:J33" si="3">IF(I2="","",I2*C2)</f>
        <v>73219894407.128311</v>
      </c>
      <c r="K2" s="11">
        <f t="shared" ref="K2:K33" si="4">IFERROR(J2/J3-1,"")</f>
        <v>8.639999999999981E-3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22308756.464347277</v>
      </c>
      <c r="D3" s="11">
        <v>8.6599999999999993E-3</v>
      </c>
      <c r="E3" s="10">
        <f t="shared" si="2"/>
        <v>191535.13669744506</v>
      </c>
      <c r="F3" s="3"/>
      <c r="G3" s="28"/>
      <c r="H3" s="10"/>
      <c r="I3" s="10">
        <f t="shared" ref="I3:I34" si="5">IF(H3&lt;&gt;"",H3,I2/(1+IF(G2="",0,G2)/100))</f>
        <v>3254</v>
      </c>
      <c r="J3" s="10">
        <f t="shared" si="3"/>
        <v>72592693534.986038</v>
      </c>
      <c r="K3" s="11">
        <f t="shared" si="4"/>
        <v>8.65999999999989E-3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22117221.327649832</v>
      </c>
      <c r="D4" s="11">
        <v>9.1900000000000003E-3</v>
      </c>
      <c r="E4" s="10">
        <f t="shared" si="2"/>
        <v>201406.3397389017</v>
      </c>
      <c r="F4" s="3"/>
      <c r="G4" s="28"/>
      <c r="H4" s="10"/>
      <c r="I4" s="10">
        <f t="shared" si="5"/>
        <v>3254</v>
      </c>
      <c r="J4" s="10">
        <f t="shared" si="3"/>
        <v>71969438200.172546</v>
      </c>
      <c r="K4" s="11">
        <f t="shared" si="4"/>
        <v>9.1899999999998094E-3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21915814.98791093</v>
      </c>
      <c r="D5" s="11">
        <v>9.7800000000000005E-3</v>
      </c>
      <c r="E5" s="10">
        <f t="shared" si="2"/>
        <v>212260.76034558564</v>
      </c>
      <c r="F5" s="3"/>
      <c r="G5" s="28"/>
      <c r="H5" s="10"/>
      <c r="I5" s="10">
        <f t="shared" si="5"/>
        <v>3254</v>
      </c>
      <c r="J5" s="10">
        <f t="shared" si="3"/>
        <v>71314061970.66217</v>
      </c>
      <c r="K5" s="11">
        <f t="shared" si="4"/>
        <v>9.7799999999998999E-3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21703554.227565344</v>
      </c>
      <c r="D6" s="11">
        <v>1.0279999999999999E-2</v>
      </c>
      <c r="E6" s="10">
        <f t="shared" si="2"/>
        <v>220842.27883297205</v>
      </c>
      <c r="F6" s="3"/>
      <c r="G6" s="28"/>
      <c r="H6" s="10"/>
      <c r="I6" s="10">
        <f t="shared" si="5"/>
        <v>3254</v>
      </c>
      <c r="J6" s="10">
        <f t="shared" si="3"/>
        <v>70623365456.497635</v>
      </c>
      <c r="K6" s="11">
        <f t="shared" si="4"/>
        <v>1.0280000000000289E-2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21482711.948732372</v>
      </c>
      <c r="D7" s="11">
        <v>1.115E-2</v>
      </c>
      <c r="E7" s="10">
        <f t="shared" si="2"/>
        <v>236890.90464161336</v>
      </c>
      <c r="F7" s="3"/>
      <c r="G7" s="28"/>
      <c r="H7" s="10"/>
      <c r="I7" s="10">
        <f t="shared" si="5"/>
        <v>3254</v>
      </c>
      <c r="J7" s="10">
        <f t="shared" si="3"/>
        <v>69904744681.17514</v>
      </c>
      <c r="K7" s="11">
        <f t="shared" si="4"/>
        <v>1.1149999999999993E-2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21245821.044090759</v>
      </c>
      <c r="D8" s="11">
        <v>1.157E-2</v>
      </c>
      <c r="E8" s="10">
        <f t="shared" si="2"/>
        <v>243002.6092906408</v>
      </c>
      <c r="F8" s="3"/>
      <c r="G8" s="28"/>
      <c r="H8" s="10"/>
      <c r="I8" s="10">
        <f t="shared" si="5"/>
        <v>3254</v>
      </c>
      <c r="J8" s="10">
        <f t="shared" si="3"/>
        <v>69133901677.471329</v>
      </c>
      <c r="K8" s="11">
        <f t="shared" si="4"/>
        <v>1.157000000000008E-2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21002818.434800118</v>
      </c>
      <c r="D9" s="11">
        <v>1.1730000000000001E-2</v>
      </c>
      <c r="E9" s="10">
        <f t="shared" si="2"/>
        <v>243506.72634023428</v>
      </c>
      <c r="F9" s="3"/>
      <c r="G9" s="28"/>
      <c r="H9" s="10"/>
      <c r="I9" s="10">
        <f t="shared" si="5"/>
        <v>3254</v>
      </c>
      <c r="J9" s="10">
        <f t="shared" si="3"/>
        <v>68343171186.839584</v>
      </c>
      <c r="K9" s="11">
        <f t="shared" si="4"/>
        <v>1.1730000000000018E-2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20759311.708459884</v>
      </c>
      <c r="D10" s="11">
        <v>1.234E-2</v>
      </c>
      <c r="E10" s="10">
        <f t="shared" si="2"/>
        <v>253047.30276625976</v>
      </c>
      <c r="F10" s="3"/>
      <c r="G10" s="28"/>
      <c r="H10" s="10"/>
      <c r="I10" s="10">
        <f t="shared" si="5"/>
        <v>3254</v>
      </c>
      <c r="J10" s="10">
        <f t="shared" si="3"/>
        <v>67550800299.328461</v>
      </c>
      <c r="K10" s="11">
        <f t="shared" si="4"/>
        <v>1.2340000000000018E-2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20506264.405693624</v>
      </c>
      <c r="D11" s="11">
        <v>1.2999999999999999E-2</v>
      </c>
      <c r="E11" s="10">
        <f t="shared" si="2"/>
        <v>263160.35268905759</v>
      </c>
      <c r="F11" s="3"/>
      <c r="G11" s="28"/>
      <c r="H11" s="10"/>
      <c r="I11" s="10">
        <f t="shared" si="5"/>
        <v>3254</v>
      </c>
      <c r="J11" s="10">
        <f t="shared" si="3"/>
        <v>66727384376.127052</v>
      </c>
      <c r="K11" s="11">
        <f t="shared" si="4"/>
        <v>1.2999999999999901E-2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20243104.053004567</v>
      </c>
      <c r="D12" s="11">
        <v>1.3509999999999999E-2</v>
      </c>
      <c r="E12" s="10">
        <f t="shared" si="2"/>
        <v>269838.81338723004</v>
      </c>
      <c r="F12" s="3"/>
      <c r="G12" s="28"/>
      <c r="H12" s="10"/>
      <c r="I12" s="10">
        <f t="shared" si="5"/>
        <v>3254</v>
      </c>
      <c r="J12" s="10">
        <f t="shared" si="3"/>
        <v>65871060588.47686</v>
      </c>
      <c r="K12" s="11">
        <f t="shared" si="4"/>
        <v>1.3509999999999911E-2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19973265.239617337</v>
      </c>
      <c r="D13" s="11">
        <v>1.4500000000000001E-2</v>
      </c>
      <c r="E13" s="10">
        <f t="shared" si="2"/>
        <v>285472.98765347525</v>
      </c>
      <c r="F13" s="3"/>
      <c r="G13" s="28"/>
      <c r="H13" s="10"/>
      <c r="I13" s="10">
        <f t="shared" si="5"/>
        <v>3254</v>
      </c>
      <c r="J13" s="10">
        <f t="shared" si="3"/>
        <v>64993005089.714813</v>
      </c>
      <c r="K13" s="11">
        <f t="shared" si="4"/>
        <v>1.4499999999999957E-2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19687792.251963861</v>
      </c>
      <c r="D14" s="11">
        <v>1.4880000000000001E-2</v>
      </c>
      <c r="E14" s="10">
        <f t="shared" si="2"/>
        <v>288659.10128214583</v>
      </c>
      <c r="F14" s="3"/>
      <c r="G14" s="28"/>
      <c r="H14" s="10"/>
      <c r="I14" s="10">
        <f t="shared" si="5"/>
        <v>3254</v>
      </c>
      <c r="J14" s="10">
        <f t="shared" si="3"/>
        <v>64064075987.890404</v>
      </c>
      <c r="K14" s="11">
        <f t="shared" si="4"/>
        <v>1.4880000000000226E-2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19399133.150681715</v>
      </c>
      <c r="D15" s="11">
        <v>1.529E-2</v>
      </c>
      <c r="E15" s="10">
        <f t="shared" si="2"/>
        <v>292145.83604085818</v>
      </c>
      <c r="F15" s="3"/>
      <c r="G15" s="28"/>
      <c r="H15" s="10"/>
      <c r="I15" s="10">
        <f t="shared" si="5"/>
        <v>3254</v>
      </c>
      <c r="J15" s="10">
        <f t="shared" si="3"/>
        <v>63124779272.318298</v>
      </c>
      <c r="K15" s="11">
        <f t="shared" si="4"/>
        <v>1.5290000000000026E-2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19106987.314640857</v>
      </c>
      <c r="D16" s="11">
        <v>1.5469999999999999E-2</v>
      </c>
      <c r="E16" s="10">
        <f t="shared" si="2"/>
        <v>291082.05437629297</v>
      </c>
      <c r="F16" s="3"/>
      <c r="G16" s="28"/>
      <c r="H16" s="10"/>
      <c r="I16" s="10">
        <f t="shared" si="5"/>
        <v>3254</v>
      </c>
      <c r="J16" s="10">
        <f t="shared" si="3"/>
        <v>62174136721.841347</v>
      </c>
      <c r="K16" s="11">
        <f t="shared" si="4"/>
        <v>1.5469999999999873E-2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18815905.260264564</v>
      </c>
      <c r="D17" s="11">
        <v>1.5970000000000002E-2</v>
      </c>
      <c r="E17" s="10">
        <f t="shared" si="2"/>
        <v>295766.61417800188</v>
      </c>
      <c r="F17" s="3"/>
      <c r="G17" s="28"/>
      <c r="H17" s="10"/>
      <c r="I17" s="10">
        <f t="shared" si="5"/>
        <v>3254</v>
      </c>
      <c r="J17" s="10">
        <f t="shared" si="3"/>
        <v>61226955716.900894</v>
      </c>
      <c r="K17" s="11">
        <f t="shared" si="4"/>
        <v>1.597000000000004E-2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18520138.646086562</v>
      </c>
      <c r="D18" s="11">
        <v>1.6799999999999999E-2</v>
      </c>
      <c r="E18" s="10">
        <f t="shared" si="2"/>
        <v>305997.57007696107</v>
      </c>
      <c r="F18" s="3"/>
      <c r="G18" s="28"/>
      <c r="H18" s="10"/>
      <c r="I18" s="10">
        <f t="shared" si="5"/>
        <v>3254</v>
      </c>
      <c r="J18" s="10">
        <f t="shared" si="3"/>
        <v>60264531154.365677</v>
      </c>
      <c r="K18" s="11">
        <f t="shared" si="4"/>
        <v>1.6799999999999926E-2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18214141.076009601</v>
      </c>
      <c r="D19" s="11">
        <v>1.7979999999999999E-2</v>
      </c>
      <c r="E19" s="10">
        <f t="shared" si="2"/>
        <v>321705.98297280446</v>
      </c>
      <c r="F19" s="3"/>
      <c r="G19" s="28"/>
      <c r="H19" s="10"/>
      <c r="I19" s="10">
        <f t="shared" si="5"/>
        <v>3254</v>
      </c>
      <c r="J19" s="10">
        <f t="shared" si="3"/>
        <v>59268815061.335243</v>
      </c>
      <c r="K19" s="11">
        <f t="shared" si="4"/>
        <v>1.7980000000000107E-2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17892435.093036797</v>
      </c>
      <c r="D20" s="11">
        <v>1.7850000000000001E-2</v>
      </c>
      <c r="E20" s="10">
        <f t="shared" si="2"/>
        <v>313779.01106322557</v>
      </c>
      <c r="F20" s="3"/>
      <c r="G20" s="28"/>
      <c r="H20" s="10"/>
      <c r="I20" s="10">
        <f t="shared" si="5"/>
        <v>3254</v>
      </c>
      <c r="J20" s="10">
        <f t="shared" si="3"/>
        <v>58221983792.741737</v>
      </c>
      <c r="K20" s="11">
        <f t="shared" si="4"/>
        <v>1.7849999999999699E-2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17578656.081973571</v>
      </c>
      <c r="D21" s="11">
        <v>1.7950000000000001E-2</v>
      </c>
      <c r="E21" s="10">
        <f t="shared" si="2"/>
        <v>309972.86376680806</v>
      </c>
      <c r="F21" s="3"/>
      <c r="G21" s="28"/>
      <c r="H21" s="10"/>
      <c r="I21" s="10">
        <f t="shared" si="5"/>
        <v>3254</v>
      </c>
      <c r="J21" s="10">
        <f t="shared" si="3"/>
        <v>57200946890.742004</v>
      </c>
      <c r="K21" s="11">
        <f t="shared" si="4"/>
        <v>1.794999999999991E-2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17268683.218206763</v>
      </c>
      <c r="D22" s="11">
        <v>1.8489999999999999E-2</v>
      </c>
      <c r="E22" s="10">
        <f t="shared" si="2"/>
        <v>313501.3134195134</v>
      </c>
      <c r="F22" s="3"/>
      <c r="G22" s="28"/>
      <c r="H22" s="10"/>
      <c r="I22" s="10">
        <f t="shared" si="5"/>
        <v>3254</v>
      </c>
      <c r="J22" s="10">
        <f t="shared" si="3"/>
        <v>56192295192.044807</v>
      </c>
      <c r="K22" s="11">
        <f t="shared" si="4"/>
        <v>1.8489999999999895E-2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16955181.90478725</v>
      </c>
      <c r="D23" s="11">
        <v>1.9720000000000001E-2</v>
      </c>
      <c r="E23" s="10">
        <f t="shared" si="2"/>
        <v>327890.19256502017</v>
      </c>
      <c r="F23" s="3"/>
      <c r="G23" s="28"/>
      <c r="H23" s="10"/>
      <c r="I23" s="10">
        <f t="shared" si="5"/>
        <v>3254</v>
      </c>
      <c r="J23" s="10">
        <f t="shared" si="3"/>
        <v>55172161918.177711</v>
      </c>
      <c r="K23" s="11">
        <f t="shared" si="4"/>
        <v>1.971999999999996E-2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16627291.71222223</v>
      </c>
      <c r="D24" s="11">
        <v>1.9720000000000001E-2</v>
      </c>
      <c r="E24" s="10">
        <f t="shared" si="2"/>
        <v>321549.24152220413</v>
      </c>
      <c r="F24" s="3"/>
      <c r="G24" s="28"/>
      <c r="H24" s="10"/>
      <c r="I24" s="10">
        <f t="shared" si="5"/>
        <v>3254</v>
      </c>
      <c r="J24" s="10">
        <f t="shared" si="3"/>
        <v>54105207231.571136</v>
      </c>
      <c r="K24" s="11">
        <f t="shared" si="4"/>
        <v>1.971999999999996E-2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16305742.470700026</v>
      </c>
      <c r="D25" s="11">
        <v>2.0219999999999998E-2</v>
      </c>
      <c r="E25" s="10">
        <f t="shared" si="2"/>
        <v>323167.66261938959</v>
      </c>
      <c r="F25" s="3"/>
      <c r="G25" s="28"/>
      <c r="H25" s="10"/>
      <c r="I25" s="10">
        <f t="shared" si="5"/>
        <v>3254</v>
      </c>
      <c r="J25" s="10">
        <f t="shared" si="3"/>
        <v>53058885999.657883</v>
      </c>
      <c r="K25" s="11">
        <f t="shared" si="4"/>
        <v>2.0219999999999905E-2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15982574.808080636</v>
      </c>
      <c r="D26" s="11">
        <v>1.9390000000000001E-2</v>
      </c>
      <c r="E26" s="10">
        <f t="shared" si="2"/>
        <v>304007.42162340507</v>
      </c>
      <c r="F26" s="3"/>
      <c r="G26" s="28"/>
      <c r="H26" s="10"/>
      <c r="I26" s="10">
        <f t="shared" si="5"/>
        <v>3254</v>
      </c>
      <c r="J26" s="10">
        <f t="shared" si="3"/>
        <v>52007298425.494392</v>
      </c>
      <c r="K26" s="11">
        <f t="shared" si="4"/>
        <v>1.9390000000000018E-2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15678567.386457231</v>
      </c>
      <c r="D27" s="11">
        <v>2.0799999999999999E-2</v>
      </c>
      <c r="E27" s="10">
        <f t="shared" si="2"/>
        <v>319469.24141683988</v>
      </c>
      <c r="F27" s="3"/>
      <c r="G27" s="28"/>
      <c r="H27" s="10"/>
      <c r="I27" s="10">
        <f t="shared" si="5"/>
        <v>3254</v>
      </c>
      <c r="J27" s="10">
        <f t="shared" si="3"/>
        <v>51018058275.53183</v>
      </c>
      <c r="K27" s="11">
        <f t="shared" si="4"/>
        <v>2.079999999999993E-2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15359098.145040391</v>
      </c>
      <c r="D28" s="11">
        <v>2.0539999999999999E-2</v>
      </c>
      <c r="E28" s="10">
        <f t="shared" si="2"/>
        <v>309126.41924778</v>
      </c>
      <c r="F28" s="3"/>
      <c r="G28" s="28"/>
      <c r="H28" s="10"/>
      <c r="I28" s="10">
        <f t="shared" si="5"/>
        <v>3254</v>
      </c>
      <c r="J28" s="10">
        <f t="shared" si="3"/>
        <v>49978505363.961433</v>
      </c>
      <c r="K28" s="11">
        <f t="shared" si="4"/>
        <v>2.0540000000000003E-2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15049971.725792611</v>
      </c>
      <c r="D29" s="11">
        <v>2.052E-2</v>
      </c>
      <c r="E29" s="10">
        <f t="shared" si="2"/>
        <v>302615.74473137781</v>
      </c>
      <c r="F29" s="3"/>
      <c r="G29" s="28"/>
      <c r="H29" s="10"/>
      <c r="I29" s="10">
        <f t="shared" si="5"/>
        <v>3254</v>
      </c>
      <c r="J29" s="10">
        <f t="shared" si="3"/>
        <v>48972607995.729156</v>
      </c>
      <c r="K29" s="11">
        <f t="shared" si="4"/>
        <v>2.0520000000000094E-2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14747355.981061233</v>
      </c>
      <c r="D30" s="11">
        <v>2.044E-2</v>
      </c>
      <c r="E30" s="10">
        <f t="shared" si="2"/>
        <v>295398.02070958726</v>
      </c>
      <c r="F30" s="3"/>
      <c r="G30" s="28"/>
      <c r="H30" s="10"/>
      <c r="I30" s="10">
        <f t="shared" si="5"/>
        <v>3254</v>
      </c>
      <c r="J30" s="10">
        <f t="shared" si="3"/>
        <v>47987896362.373253</v>
      </c>
      <c r="K30" s="11">
        <f t="shared" si="4"/>
        <v>2.0440000000000014E-2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14451957.960351646</v>
      </c>
      <c r="D31" s="11">
        <v>2.0660000000000001E-2</v>
      </c>
      <c r="E31" s="10">
        <f t="shared" si="2"/>
        <v>292533.70511322469</v>
      </c>
      <c r="F31" s="3"/>
      <c r="G31" s="28"/>
      <c r="H31" s="10"/>
      <c r="I31" s="10">
        <f t="shared" si="5"/>
        <v>3254</v>
      </c>
      <c r="J31" s="10">
        <f t="shared" si="3"/>
        <v>47026671202.984253</v>
      </c>
      <c r="K31" s="11">
        <f t="shared" si="4"/>
        <v>2.0659999999999901E-2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14159424.255238421</v>
      </c>
      <c r="D32" s="11">
        <v>2.0639999999999999E-2</v>
      </c>
      <c r="E32" s="10">
        <f t="shared" si="2"/>
        <v>286340.44974537566</v>
      </c>
      <c r="F32" s="3"/>
      <c r="G32" s="28"/>
      <c r="H32" s="10"/>
      <c r="I32" s="10">
        <f t="shared" si="5"/>
        <v>3254</v>
      </c>
      <c r="J32" s="10">
        <f t="shared" si="3"/>
        <v>46074766526.545822</v>
      </c>
      <c r="K32" s="11">
        <f t="shared" si="4"/>
        <v>2.0639999999999992E-2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13873083.805493046</v>
      </c>
      <c r="D33" s="11">
        <v>2.2610000000000002E-2</v>
      </c>
      <c r="E33" s="10">
        <f t="shared" si="2"/>
        <v>306735.1432532426</v>
      </c>
      <c r="F33" s="3"/>
      <c r="G33" s="28"/>
      <c r="H33" s="10"/>
      <c r="I33" s="10">
        <f t="shared" si="5"/>
        <v>3254</v>
      </c>
      <c r="J33" s="10">
        <f t="shared" si="3"/>
        <v>45143014703.074371</v>
      </c>
      <c r="K33" s="11">
        <f t="shared" si="4"/>
        <v>2.2610000000000019E-2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13566348.662239803</v>
      </c>
      <c r="D34" s="11">
        <v>2.3630000000000002E-2</v>
      </c>
      <c r="E34" s="10">
        <f t="shared" si="2"/>
        <v>313172.55149685591</v>
      </c>
      <c r="F34" s="3"/>
      <c r="G34" s="28"/>
      <c r="H34" s="10"/>
      <c r="I34" s="10">
        <f t="shared" si="5"/>
        <v>3254</v>
      </c>
      <c r="J34" s="10">
        <f t="shared" ref="J34:J65" si="6">IF(I34="","",I34*C34)</f>
        <v>44144898546.928322</v>
      </c>
      <c r="K34" s="11">
        <f t="shared" ref="K34:K65" si="7">IFERROR(J34/J35-1,"")</f>
        <v>2.363000000000004E-2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13253176.110742947</v>
      </c>
      <c r="D35" s="11">
        <v>2.3349999999999999E-2</v>
      </c>
      <c r="E35" s="10">
        <f t="shared" si="2"/>
        <v>302400.60798929818</v>
      </c>
      <c r="F35" s="3"/>
      <c r="G35" s="28"/>
      <c r="H35" s="10"/>
      <c r="I35" s="10">
        <f t="shared" ref="I35:I66" si="8">IF(H35&lt;&gt;"",H35,I34/(1+IF(G34="",0,G34)/100))</f>
        <v>3254</v>
      </c>
      <c r="J35" s="10">
        <f t="shared" si="6"/>
        <v>43125835064.357552</v>
      </c>
      <c r="K35" s="11">
        <f t="shared" si="7"/>
        <v>2.3350000000000204E-2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12950775.502753649</v>
      </c>
      <c r="D36" s="11">
        <v>2.291E-2</v>
      </c>
      <c r="E36" s="10">
        <f t="shared" si="2"/>
        <v>290057.05953415856</v>
      </c>
      <c r="F36" s="3"/>
      <c r="G36" s="28"/>
      <c r="H36" s="10"/>
      <c r="I36" s="10">
        <f t="shared" si="8"/>
        <v>3254</v>
      </c>
      <c r="J36" s="10">
        <f t="shared" si="6"/>
        <v>42141823485.960373</v>
      </c>
      <c r="K36" s="11">
        <f t="shared" si="7"/>
        <v>2.2909999999999986E-2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12660718.44321949</v>
      </c>
      <c r="D37" s="11">
        <v>2.3199999999999998E-2</v>
      </c>
      <c r="E37" s="10">
        <f t="shared" si="2"/>
        <v>287068.67463124916</v>
      </c>
      <c r="F37" s="3"/>
      <c r="G37" s="28"/>
      <c r="H37" s="10"/>
      <c r="I37" s="10">
        <f t="shared" si="8"/>
        <v>3254</v>
      </c>
      <c r="J37" s="10">
        <f t="shared" si="6"/>
        <v>41197977814.236221</v>
      </c>
      <c r="K37" s="11">
        <f t="shared" si="7"/>
        <v>2.3200000000000109E-2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12373649.768588241</v>
      </c>
      <c r="D38" s="11">
        <v>2.2419999999999999E-2</v>
      </c>
      <c r="E38" s="10">
        <f t="shared" si="2"/>
        <v>271333.92129628733</v>
      </c>
      <c r="F38" s="3"/>
      <c r="G38" s="28"/>
      <c r="H38" s="10"/>
      <c r="I38" s="10">
        <f t="shared" si="8"/>
        <v>3254</v>
      </c>
      <c r="J38" s="10">
        <f t="shared" si="6"/>
        <v>40263856346.986137</v>
      </c>
      <c r="K38" s="11">
        <f t="shared" si="7"/>
        <v>2.2420000000000107E-2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12102315.847291954</v>
      </c>
      <c r="D39" s="11">
        <v>2.239E-2</v>
      </c>
      <c r="E39" s="10">
        <f t="shared" si="2"/>
        <v>265036.6805434972</v>
      </c>
      <c r="F39" s="3"/>
      <c r="G39" s="28"/>
      <c r="H39" s="10"/>
      <c r="I39" s="10">
        <f t="shared" si="8"/>
        <v>3254</v>
      </c>
      <c r="J39" s="10">
        <f t="shared" si="6"/>
        <v>39380935767.08802</v>
      </c>
      <c r="K39" s="11">
        <f t="shared" si="7"/>
        <v>2.238999999999991E-2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11837279.166748457</v>
      </c>
      <c r="D40" s="11">
        <v>2.2759999999999999E-2</v>
      </c>
      <c r="E40" s="10">
        <f t="shared" si="2"/>
        <v>263421.01161092892</v>
      </c>
      <c r="F40" s="3"/>
      <c r="G40" s="28"/>
      <c r="H40" s="10"/>
      <c r="I40" s="10">
        <f t="shared" si="8"/>
        <v>3254</v>
      </c>
      <c r="J40" s="10">
        <f t="shared" si="6"/>
        <v>38518506408.59948</v>
      </c>
      <c r="K40" s="11">
        <f t="shared" si="7"/>
        <v>2.2760000000000113E-2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11573858.155137528</v>
      </c>
      <c r="D41" s="11">
        <v>2.155E-2</v>
      </c>
      <c r="E41" s="10">
        <f t="shared" si="2"/>
        <v>244155.10082053021</v>
      </c>
      <c r="F41" s="3"/>
      <c r="G41" s="28"/>
      <c r="H41" s="10"/>
      <c r="I41" s="10">
        <f t="shared" si="8"/>
        <v>3254</v>
      </c>
      <c r="J41" s="10">
        <f t="shared" si="6"/>
        <v>37661334436.817513</v>
      </c>
      <c r="K41" s="11">
        <f t="shared" si="7"/>
        <v>2.1549999999999736E-2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11329703.054316998</v>
      </c>
      <c r="D42" s="11">
        <v>2.2020000000000001E-2</v>
      </c>
      <c r="E42" s="10">
        <f t="shared" si="2"/>
        <v>244104.87197516672</v>
      </c>
      <c r="F42" s="3"/>
      <c r="G42" s="28"/>
      <c r="H42" s="10"/>
      <c r="I42" s="10">
        <f t="shared" si="8"/>
        <v>3254</v>
      </c>
      <c r="J42" s="10">
        <f t="shared" si="6"/>
        <v>36866853738.747513</v>
      </c>
      <c r="K42" s="11">
        <f t="shared" si="7"/>
        <v>2.2020000000000151E-2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11085598.182341831</v>
      </c>
      <c r="D43" s="11">
        <v>2.2259999999999999E-2</v>
      </c>
      <c r="E43" s="10">
        <f t="shared" si="2"/>
        <v>241392.0289739687</v>
      </c>
      <c r="F43" s="3"/>
      <c r="G43" s="28"/>
      <c r="H43" s="10"/>
      <c r="I43" s="10">
        <f t="shared" si="8"/>
        <v>3254</v>
      </c>
      <c r="J43" s="10">
        <f t="shared" si="6"/>
        <v>36072536485.340317</v>
      </c>
      <c r="K43" s="11">
        <f t="shared" si="7"/>
        <v>2.2259999999999946E-2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10844206.153367862</v>
      </c>
      <c r="D44" s="11">
        <v>2.2749999999999999E-2</v>
      </c>
      <c r="E44" s="10">
        <f t="shared" si="2"/>
        <v>241217.98092311807</v>
      </c>
      <c r="F44" s="3"/>
      <c r="G44" s="28"/>
      <c r="H44" s="10"/>
      <c r="I44" s="10">
        <f t="shared" si="8"/>
        <v>3254</v>
      </c>
      <c r="J44" s="10">
        <f t="shared" si="6"/>
        <v>35287046823.059021</v>
      </c>
      <c r="K44" s="11">
        <f t="shared" si="7"/>
        <v>2.2749999999999826E-2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10602988.172444744</v>
      </c>
      <c r="D45" s="11">
        <v>2.308E-2</v>
      </c>
      <c r="E45" s="10">
        <f t="shared" si="2"/>
        <v>239196.31604569033</v>
      </c>
      <c r="F45" s="3"/>
      <c r="G45" s="28"/>
      <c r="H45" s="10"/>
      <c r="I45" s="10">
        <f t="shared" si="8"/>
        <v>3254</v>
      </c>
      <c r="J45" s="10">
        <f t="shared" si="6"/>
        <v>34502123513.135201</v>
      </c>
      <c r="K45" s="11">
        <f t="shared" si="7"/>
        <v>2.3080000000000211E-2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10363791.856399054</v>
      </c>
      <c r="D46" s="11">
        <v>2.333E-2</v>
      </c>
      <c r="E46" s="10">
        <f t="shared" si="2"/>
        <v>236274.96898340806</v>
      </c>
      <c r="F46" s="3"/>
      <c r="G46" s="28"/>
      <c r="H46" s="10"/>
      <c r="I46" s="10">
        <f t="shared" si="8"/>
        <v>3254</v>
      </c>
      <c r="J46" s="10">
        <f t="shared" si="6"/>
        <v>33723778700.722519</v>
      </c>
      <c r="K46" s="11">
        <f t="shared" si="7"/>
        <v>2.3330000000000073E-2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10127516.887415646</v>
      </c>
      <c r="D47" s="11">
        <v>2.486E-2</v>
      </c>
      <c r="E47" s="10">
        <f t="shared" si="2"/>
        <v>245662.89036663994</v>
      </c>
      <c r="F47" s="3"/>
      <c r="G47" s="28"/>
      <c r="H47" s="10"/>
      <c r="I47" s="10">
        <f t="shared" si="8"/>
        <v>3254</v>
      </c>
      <c r="J47" s="10">
        <f t="shared" si="6"/>
        <v>32954939951.650513</v>
      </c>
      <c r="K47" s="11">
        <f t="shared" si="7"/>
        <v>2.4860000000000326E-2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9881853.9970490057</v>
      </c>
      <c r="D48" s="11">
        <v>2.5739999999999999E-2</v>
      </c>
      <c r="E48" s="10">
        <f t="shared" si="2"/>
        <v>247976.01915109344</v>
      </c>
      <c r="F48" s="3"/>
      <c r="G48" s="28"/>
      <c r="H48" s="10"/>
      <c r="I48" s="10">
        <f t="shared" si="8"/>
        <v>3254</v>
      </c>
      <c r="J48" s="10">
        <f t="shared" si="6"/>
        <v>32155552906.397465</v>
      </c>
      <c r="K48" s="11">
        <f t="shared" si="7"/>
        <v>2.5740000000000096E-2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9633877.9778979123</v>
      </c>
      <c r="D49" s="11">
        <v>2.6710000000000001E-2</v>
      </c>
      <c r="E49" s="10">
        <f t="shared" si="2"/>
        <v>250626.64315108769</v>
      </c>
      <c r="F49" s="3"/>
      <c r="G49" s="28"/>
      <c r="H49" s="10"/>
      <c r="I49" s="10">
        <f t="shared" si="8"/>
        <v>3254</v>
      </c>
      <c r="J49" s="10">
        <f t="shared" si="6"/>
        <v>31348638940.079807</v>
      </c>
      <c r="K49" s="11">
        <f t="shared" si="7"/>
        <v>2.6710000000000012E-2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9383251.3347468246</v>
      </c>
      <c r="D50" s="11">
        <v>2.7779999999999999E-2</v>
      </c>
      <c r="E50" s="10">
        <f t="shared" si="2"/>
        <v>253621.12716657855</v>
      </c>
      <c r="F50" s="3"/>
      <c r="G50" s="28"/>
      <c r="H50" s="10"/>
      <c r="I50" s="10">
        <f t="shared" si="8"/>
        <v>3254</v>
      </c>
      <c r="J50" s="10">
        <f t="shared" si="6"/>
        <v>30533099843.266167</v>
      </c>
      <c r="K50" s="11">
        <f t="shared" si="7"/>
        <v>2.7779999999999916E-2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9129630.207580246</v>
      </c>
      <c r="D51" s="11">
        <v>2.8420000000000001E-2</v>
      </c>
      <c r="E51" s="10">
        <f t="shared" si="2"/>
        <v>252293.89792053029</v>
      </c>
      <c r="F51" s="3"/>
      <c r="G51" s="28"/>
      <c r="H51" s="10"/>
      <c r="I51" s="10">
        <f t="shared" si="8"/>
        <v>3254</v>
      </c>
      <c r="J51" s="10">
        <f t="shared" si="6"/>
        <v>29707816695.466122</v>
      </c>
      <c r="K51" s="11">
        <f t="shared" si="7"/>
        <v>2.8420000000000334E-2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8877336.3096597157</v>
      </c>
      <c r="D52" s="11">
        <v>2.9489999999999999E-2</v>
      </c>
      <c r="E52" s="10">
        <f t="shared" si="2"/>
        <v>254293.53152712993</v>
      </c>
      <c r="F52" s="3"/>
      <c r="G52" s="28"/>
      <c r="H52" s="10"/>
      <c r="I52" s="10">
        <f t="shared" si="8"/>
        <v>3254</v>
      </c>
      <c r="J52" s="10">
        <f t="shared" si="6"/>
        <v>28886852351.632713</v>
      </c>
      <c r="K52" s="11">
        <f t="shared" si="7"/>
        <v>2.9490000000000016E-2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8623042.7781325858</v>
      </c>
      <c r="D53" s="11">
        <v>2.9909999999999999E-2</v>
      </c>
      <c r="E53" s="10">
        <f t="shared" si="2"/>
        <v>250424.99780946504</v>
      </c>
      <c r="F53" s="3"/>
      <c r="G53" s="28"/>
      <c r="H53" s="10"/>
      <c r="I53" s="10">
        <f t="shared" si="8"/>
        <v>3254</v>
      </c>
      <c r="J53" s="10">
        <f t="shared" si="6"/>
        <v>28059381200.043434</v>
      </c>
      <c r="K53" s="11">
        <f t="shared" si="7"/>
        <v>2.9910000000000103E-2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8372617.7803231208</v>
      </c>
      <c r="D54" s="11">
        <v>3.0370000000000001E-2</v>
      </c>
      <c r="E54" s="10">
        <f t="shared" si="2"/>
        <v>246781.64347604569</v>
      </c>
      <c r="F54" s="3"/>
      <c r="G54" s="28"/>
      <c r="H54" s="10"/>
      <c r="I54" s="10">
        <f t="shared" si="8"/>
        <v>3254</v>
      </c>
      <c r="J54" s="10">
        <f t="shared" si="6"/>
        <v>27244498257.171436</v>
      </c>
      <c r="K54" s="11">
        <f t="shared" si="7"/>
        <v>3.0370000000000008E-2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8125836.1368470751</v>
      </c>
      <c r="D55" s="11">
        <v>3.0720000000000001E-2</v>
      </c>
      <c r="E55" s="10">
        <f t="shared" si="2"/>
        <v>242185.74018544611</v>
      </c>
      <c r="F55" s="3"/>
      <c r="G55" s="28"/>
      <c r="H55" s="10"/>
      <c r="I55" s="10">
        <f t="shared" si="8"/>
        <v>3254</v>
      </c>
      <c r="J55" s="10">
        <f t="shared" si="6"/>
        <v>26441470789.300381</v>
      </c>
      <c r="K55" s="11">
        <f t="shared" si="7"/>
        <v>3.0720000000000081E-2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7883650.396661629</v>
      </c>
      <c r="D56" s="11">
        <v>3.0929999999999999E-2</v>
      </c>
      <c r="E56" s="10">
        <f t="shared" si="2"/>
        <v>236525.57086198218</v>
      </c>
      <c r="F56" s="3"/>
      <c r="G56" s="28"/>
      <c r="H56" s="10"/>
      <c r="I56" s="10">
        <f t="shared" si="8"/>
        <v>3254</v>
      </c>
      <c r="J56" s="10">
        <f t="shared" si="6"/>
        <v>25653398390.736942</v>
      </c>
      <c r="K56" s="11">
        <f t="shared" si="7"/>
        <v>3.0929999999999902E-2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7647124.8257996468</v>
      </c>
      <c r="D57" s="11">
        <v>3.0769999999999999E-2</v>
      </c>
      <c r="E57" s="10">
        <f t="shared" si="2"/>
        <v>228277.91931260563</v>
      </c>
      <c r="F57" s="3"/>
      <c r="G57" s="28"/>
      <c r="H57" s="10"/>
      <c r="I57" s="10">
        <f t="shared" si="8"/>
        <v>3254</v>
      </c>
      <c r="J57" s="10">
        <f t="shared" si="6"/>
        <v>24883744183.15205</v>
      </c>
      <c r="K57" s="11">
        <f t="shared" si="7"/>
        <v>3.0769999999999964E-2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7418846.9064870412</v>
      </c>
      <c r="D58" s="11">
        <v>3.0380000000000001E-2</v>
      </c>
      <c r="E58" s="10">
        <f t="shared" si="2"/>
        <v>218739.26999658067</v>
      </c>
      <c r="F58" s="3"/>
      <c r="G58" s="28"/>
      <c r="H58" s="10"/>
      <c r="I58" s="10">
        <f t="shared" si="8"/>
        <v>3254</v>
      </c>
      <c r="J58" s="10">
        <f t="shared" si="6"/>
        <v>24140927833.708832</v>
      </c>
      <c r="K58" s="11">
        <f t="shared" si="7"/>
        <v>3.0380000000000074E-2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7200107.6364904605</v>
      </c>
      <c r="D59" s="11">
        <v>2.9000000000000001E-2</v>
      </c>
      <c r="E59" s="10">
        <f t="shared" si="2"/>
        <v>202918.48538214061</v>
      </c>
      <c r="F59" s="3"/>
      <c r="G59" s="28"/>
      <c r="H59" s="10"/>
      <c r="I59" s="10">
        <f t="shared" si="8"/>
        <v>3254</v>
      </c>
      <c r="J59" s="10">
        <f t="shared" si="6"/>
        <v>23429150249.139957</v>
      </c>
      <c r="K59" s="11">
        <f t="shared" si="7"/>
        <v>2.8999999999999693E-2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6997189.1511083199</v>
      </c>
      <c r="D60" s="11">
        <v>2.9430000000000001E-2</v>
      </c>
      <c r="E60" s="10">
        <f t="shared" si="2"/>
        <v>200040.09667205997</v>
      </c>
      <c r="F60" s="3"/>
      <c r="G60" s="28"/>
      <c r="H60" s="10"/>
      <c r="I60" s="10">
        <f t="shared" si="8"/>
        <v>3254</v>
      </c>
      <c r="J60" s="10">
        <f t="shared" si="6"/>
        <v>22768853497.706474</v>
      </c>
      <c r="K60" s="11">
        <f t="shared" si="7"/>
        <v>2.9430000000000289E-2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6797149.0544362599</v>
      </c>
      <c r="D61" s="11">
        <v>2.8639999999999999E-2</v>
      </c>
      <c r="E61" s="10">
        <f t="shared" si="2"/>
        <v>189250.22254535556</v>
      </c>
      <c r="F61" s="3"/>
      <c r="G61" s="28"/>
      <c r="H61" s="10"/>
      <c r="I61" s="10">
        <f t="shared" si="8"/>
        <v>3254</v>
      </c>
      <c r="J61" s="10">
        <f t="shared" si="6"/>
        <v>22117923023.13559</v>
      </c>
      <c r="K61" s="11">
        <f t="shared" si="7"/>
        <v>2.8639999999999999E-2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6607898.8318909043</v>
      </c>
      <c r="D62" s="11">
        <v>2.8240000000000001E-2</v>
      </c>
      <c r="E62" s="10">
        <f t="shared" si="2"/>
        <v>181482.0110213561</v>
      </c>
      <c r="F62" s="3"/>
      <c r="G62" s="28"/>
      <c r="H62" s="10"/>
      <c r="I62" s="10">
        <f t="shared" si="8"/>
        <v>3254</v>
      </c>
      <c r="J62" s="10">
        <f t="shared" si="6"/>
        <v>21502102798.973003</v>
      </c>
      <c r="K62" s="11">
        <f t="shared" si="7"/>
        <v>2.8240000000000043E-2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6426416.8208695482</v>
      </c>
      <c r="D63" s="11">
        <v>2.7779999999999999E-2</v>
      </c>
      <c r="E63" s="10">
        <f t="shared" si="2"/>
        <v>173700.46049130708</v>
      </c>
      <c r="F63" s="3"/>
      <c r="G63" s="28"/>
      <c r="H63" s="10"/>
      <c r="I63" s="10">
        <f t="shared" si="8"/>
        <v>3254</v>
      </c>
      <c r="J63" s="10">
        <f t="shared" si="6"/>
        <v>20911560335.109509</v>
      </c>
      <c r="K63" s="11">
        <f t="shared" si="7"/>
        <v>2.7779999999999916E-2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6252716.3603782412</v>
      </c>
      <c r="D64" s="11">
        <v>2.7119999999999998E-2</v>
      </c>
      <c r="E64" s="10">
        <f t="shared" si="2"/>
        <v>165096.25719824154</v>
      </c>
      <c r="F64" s="3"/>
      <c r="G64" s="28"/>
      <c r="H64" s="10"/>
      <c r="I64" s="10">
        <f t="shared" si="8"/>
        <v>3254</v>
      </c>
      <c r="J64" s="10">
        <f t="shared" si="6"/>
        <v>20346339036.670795</v>
      </c>
      <c r="K64" s="11">
        <f t="shared" si="7"/>
        <v>2.7120000000000033E-2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6087620.1031799996</v>
      </c>
      <c r="D65" s="11">
        <v>2.6980000000000001E-2</v>
      </c>
      <c r="E65" s="10">
        <f t="shared" si="2"/>
        <v>159929.10317999963</v>
      </c>
      <c r="F65" s="3"/>
      <c r="G65" s="28"/>
      <c r="H65" s="10"/>
      <c r="I65" s="10">
        <f t="shared" si="8"/>
        <v>3254</v>
      </c>
      <c r="J65" s="10">
        <f t="shared" si="6"/>
        <v>19809115815.747719</v>
      </c>
      <c r="K65" s="11">
        <f t="shared" si="7"/>
        <v>2.6980000000000004E-2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5927691</v>
      </c>
      <c r="D66" s="11">
        <v>2.6440000000000002E-2</v>
      </c>
      <c r="E66" s="10">
        <f t="shared" si="2"/>
        <v>152691</v>
      </c>
      <c r="F66" s="24">
        <f>SUM(F2)</f>
        <v>22501433</v>
      </c>
      <c r="G66" s="28"/>
      <c r="H66" s="10"/>
      <c r="I66" s="10">
        <f t="shared" si="8"/>
        <v>3254</v>
      </c>
      <c r="J66" s="10">
        <f t="shared" ref="J66:J67" si="9">IF(I66="","",I66*C66)</f>
        <v>19288706514</v>
      </c>
      <c r="K66" s="11">
        <f t="shared" ref="K66" si="10">IFERROR(J66/J67-1,"")</f>
        <v>2.6440000000000019E-2</v>
      </c>
    </row>
    <row r="67" spans="1:11" ht="22.5" customHeight="1">
      <c r="A67" s="3">
        <f t="shared" si="0"/>
        <v>1950</v>
      </c>
      <c r="B67" s="3">
        <v>1700</v>
      </c>
      <c r="C67" s="10">
        <v>5775000</v>
      </c>
      <c r="D67" s="11">
        <v>2.5860000000000001E-2</v>
      </c>
      <c r="E67" s="3" t="s">
        <v>72</v>
      </c>
      <c r="F67" s="10">
        <f>SUM(C2)</f>
        <v>22501504.120199237</v>
      </c>
      <c r="G67" s="28"/>
      <c r="H67" s="10"/>
      <c r="I67" s="10">
        <f t="shared" ref="I67" si="11">IF(H67&lt;&gt;"",H67,I66/(1+IF(G66="",0,G66)/100))</f>
        <v>3254</v>
      </c>
      <c r="J67" s="10">
        <f t="shared" si="9"/>
        <v>18791850000</v>
      </c>
      <c r="K67" s="11"/>
    </row>
  </sheetData>
  <dataValidations count="1">
    <dataValidation type="custom" allowBlank="1" showDropDown="1" sqref="D2:D67" xr:uid="{00000000-0002-0000-5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11018613.204951858</v>
      </c>
      <c r="D2" s="11">
        <v>1.034E-2</v>
      </c>
      <c r="E2" s="10">
        <f t="shared" ref="E2:E66" si="2">SUM(C2-C3)</f>
        <v>112766.45539046451</v>
      </c>
      <c r="F2" s="15">
        <v>11019227</v>
      </c>
      <c r="G2" s="28"/>
      <c r="H2" s="10"/>
      <c r="I2" s="10">
        <f>IF(H2&lt;&gt;"",H2,6310)</f>
        <v>6310</v>
      </c>
      <c r="J2" s="10">
        <f t="shared" ref="J2:J33" si="3">IF(I2="","",I2*C2)</f>
        <v>69527449323.246231</v>
      </c>
      <c r="K2" s="11">
        <f t="shared" ref="K2:K33" si="4">IFERROR(J2/J3-1,"")</f>
        <v>1.0340000000000016E-2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10905846.749561394</v>
      </c>
      <c r="D3" s="11">
        <v>1.06E-2</v>
      </c>
      <c r="E3" s="10">
        <f t="shared" si="2"/>
        <v>114389.4474028796</v>
      </c>
      <c r="F3" s="3"/>
      <c r="G3" s="28"/>
      <c r="H3" s="10"/>
      <c r="I3" s="10">
        <f t="shared" ref="I3:I34" si="5">IF(H3&lt;&gt;"",H3,I2/(1+IF(G2="",0,G2)/100))</f>
        <v>6310</v>
      </c>
      <c r="J3" s="10">
        <f t="shared" si="3"/>
        <v>68815892989.732391</v>
      </c>
      <c r="K3" s="11">
        <f t="shared" si="4"/>
        <v>1.0599999999999943E-2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10791457.302158514</v>
      </c>
      <c r="D4" s="11">
        <v>1.0030000000000001E-2</v>
      </c>
      <c r="E4" s="10">
        <f t="shared" si="2"/>
        <v>107163.46716498584</v>
      </c>
      <c r="F4" s="3"/>
      <c r="G4" s="28"/>
      <c r="H4" s="10"/>
      <c r="I4" s="10">
        <f t="shared" si="5"/>
        <v>6310</v>
      </c>
      <c r="J4" s="10">
        <f t="shared" si="3"/>
        <v>68094095576.620224</v>
      </c>
      <c r="K4" s="11">
        <f t="shared" si="4"/>
        <v>1.0029999999999983E-2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10684293.834993528</v>
      </c>
      <c r="D5" s="11">
        <v>9.8300000000000002E-3</v>
      </c>
      <c r="E5" s="10">
        <f t="shared" si="2"/>
        <v>104004.2466533836</v>
      </c>
      <c r="F5" s="3"/>
      <c r="G5" s="28"/>
      <c r="H5" s="10"/>
      <c r="I5" s="10">
        <f t="shared" si="5"/>
        <v>6310</v>
      </c>
      <c r="J5" s="10">
        <f t="shared" si="3"/>
        <v>67417894098.809166</v>
      </c>
      <c r="K5" s="11">
        <f t="shared" si="4"/>
        <v>9.8300000000000054E-3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10580289.588340145</v>
      </c>
      <c r="D6" s="11">
        <v>1.073E-2</v>
      </c>
      <c r="E6" s="10">
        <f t="shared" si="2"/>
        <v>112321.29973671399</v>
      </c>
      <c r="F6" s="3"/>
      <c r="G6" s="28"/>
      <c r="H6" s="10"/>
      <c r="I6" s="10">
        <f t="shared" si="5"/>
        <v>6310</v>
      </c>
      <c r="J6" s="10">
        <f t="shared" si="3"/>
        <v>66761627302.426315</v>
      </c>
      <c r="K6" s="11">
        <f t="shared" si="4"/>
        <v>1.0729999999999906E-2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10467968.288603431</v>
      </c>
      <c r="D7" s="11">
        <v>1.057E-2</v>
      </c>
      <c r="E7" s="10">
        <f t="shared" si="2"/>
        <v>109489.12476180494</v>
      </c>
      <c r="F7" s="3"/>
      <c r="G7" s="28"/>
      <c r="H7" s="10"/>
      <c r="I7" s="10">
        <f t="shared" si="5"/>
        <v>6310</v>
      </c>
      <c r="J7" s="10">
        <f t="shared" si="3"/>
        <v>66052879901.087646</v>
      </c>
      <c r="K7" s="11">
        <f t="shared" si="4"/>
        <v>1.0569999999999746E-2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10358479.163841626</v>
      </c>
      <c r="D8" s="11">
        <v>1.056E-2</v>
      </c>
      <c r="E8" s="10">
        <f t="shared" si="2"/>
        <v>108242.49917883798</v>
      </c>
      <c r="F8" s="3"/>
      <c r="G8" s="28"/>
      <c r="H8" s="10"/>
      <c r="I8" s="10">
        <f t="shared" si="5"/>
        <v>6310</v>
      </c>
      <c r="J8" s="10">
        <f t="shared" si="3"/>
        <v>65362003523.84066</v>
      </c>
      <c r="K8" s="11">
        <f t="shared" si="4"/>
        <v>1.0559999999999903E-2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10250236.664662788</v>
      </c>
      <c r="D9" s="11">
        <v>1.064E-2</v>
      </c>
      <c r="E9" s="10">
        <f t="shared" si="2"/>
        <v>107914.30985515378</v>
      </c>
      <c r="F9" s="3"/>
      <c r="G9" s="28"/>
      <c r="H9" s="10"/>
      <c r="I9" s="10">
        <f t="shared" si="5"/>
        <v>6310</v>
      </c>
      <c r="J9" s="10">
        <f t="shared" si="3"/>
        <v>64678993354.022194</v>
      </c>
      <c r="K9" s="11">
        <f t="shared" si="4"/>
        <v>1.0640000000000205E-2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10142322.354807634</v>
      </c>
      <c r="D10" s="11">
        <v>9.6200000000000001E-3</v>
      </c>
      <c r="E10" s="10">
        <f t="shared" si="2"/>
        <v>96639.469358025119</v>
      </c>
      <c r="F10" s="3"/>
      <c r="G10" s="28"/>
      <c r="H10" s="10"/>
      <c r="I10" s="10">
        <f t="shared" si="5"/>
        <v>6310</v>
      </c>
      <c r="J10" s="10">
        <f t="shared" si="3"/>
        <v>63998054058.836166</v>
      </c>
      <c r="K10" s="11">
        <f t="shared" si="4"/>
        <v>9.6199999999999619E-3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10045682.885449609</v>
      </c>
      <c r="D11" s="11">
        <v>1.021E-2</v>
      </c>
      <c r="E11" s="10">
        <f t="shared" si="2"/>
        <v>101529.80297209509</v>
      </c>
      <c r="F11" s="3"/>
      <c r="G11" s="28"/>
      <c r="H11" s="10"/>
      <c r="I11" s="10">
        <f t="shared" si="5"/>
        <v>6310</v>
      </c>
      <c r="J11" s="10">
        <f t="shared" si="3"/>
        <v>63388259007.187035</v>
      </c>
      <c r="K11" s="11">
        <f t="shared" si="4"/>
        <v>1.0210000000000052E-2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9944153.0824775137</v>
      </c>
      <c r="D12" s="11">
        <v>1.0359999999999999E-2</v>
      </c>
      <c r="E12" s="10">
        <f t="shared" si="2"/>
        <v>101965.06783173047</v>
      </c>
      <c r="F12" s="3"/>
      <c r="G12" s="28"/>
      <c r="H12" s="10"/>
      <c r="I12" s="10">
        <f t="shared" si="5"/>
        <v>6310</v>
      </c>
      <c r="J12" s="10">
        <f t="shared" si="3"/>
        <v>62747605950.433113</v>
      </c>
      <c r="K12" s="11">
        <f t="shared" si="4"/>
        <v>1.0359999999999925E-2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9842188.0146457832</v>
      </c>
      <c r="D13" s="11">
        <v>1.0189999999999999E-2</v>
      </c>
      <c r="E13" s="10">
        <f t="shared" si="2"/>
        <v>99280.230322256684</v>
      </c>
      <c r="F13" s="3"/>
      <c r="G13" s="28"/>
      <c r="H13" s="10"/>
      <c r="I13" s="10">
        <f t="shared" si="5"/>
        <v>6310</v>
      </c>
      <c r="J13" s="10">
        <f t="shared" si="3"/>
        <v>62104206372.414894</v>
      </c>
      <c r="K13" s="11">
        <f t="shared" si="4"/>
        <v>1.0190000000000143E-2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9742907.7843235265</v>
      </c>
      <c r="D14" s="11">
        <v>1.009E-2</v>
      </c>
      <c r="E14" s="10">
        <f t="shared" si="2"/>
        <v>97323.940979342908</v>
      </c>
      <c r="F14" s="3"/>
      <c r="G14" s="28"/>
      <c r="H14" s="10"/>
      <c r="I14" s="10">
        <f t="shared" si="5"/>
        <v>6310</v>
      </c>
      <c r="J14" s="10">
        <f t="shared" si="3"/>
        <v>61477748119.081451</v>
      </c>
      <c r="K14" s="11">
        <f t="shared" si="4"/>
        <v>1.0089999999999932E-2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9645583.8433441836</v>
      </c>
      <c r="D15" s="11">
        <v>1.0580000000000001E-2</v>
      </c>
      <c r="E15" s="10">
        <f t="shared" si="2"/>
        <v>100981.88868034445</v>
      </c>
      <c r="F15" s="3"/>
      <c r="G15" s="28"/>
      <c r="H15" s="10"/>
      <c r="I15" s="10">
        <f t="shared" si="5"/>
        <v>6310</v>
      </c>
      <c r="J15" s="10">
        <f t="shared" si="3"/>
        <v>60863634051.501801</v>
      </c>
      <c r="K15" s="11">
        <f t="shared" si="4"/>
        <v>1.0580000000000034E-2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9544601.9546638392</v>
      </c>
      <c r="D16" s="11">
        <v>1.081E-2</v>
      </c>
      <c r="E16" s="10">
        <f t="shared" si="2"/>
        <v>102073.73010745458</v>
      </c>
      <c r="F16" s="3"/>
      <c r="G16" s="28"/>
      <c r="H16" s="10"/>
      <c r="I16" s="10">
        <f t="shared" si="5"/>
        <v>6310</v>
      </c>
      <c r="J16" s="10">
        <f t="shared" si="3"/>
        <v>60226438333.928825</v>
      </c>
      <c r="K16" s="11">
        <f t="shared" si="4"/>
        <v>1.0809999999999986E-2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9442528.2245563846</v>
      </c>
      <c r="D17" s="11">
        <v>1.115E-2</v>
      </c>
      <c r="E17" s="10">
        <f t="shared" si="2"/>
        <v>104123.21584710851</v>
      </c>
      <c r="F17" s="3"/>
      <c r="G17" s="28"/>
      <c r="H17" s="10"/>
      <c r="I17" s="10">
        <f t="shared" si="5"/>
        <v>6310</v>
      </c>
      <c r="J17" s="10">
        <f t="shared" si="3"/>
        <v>59582353096.95079</v>
      </c>
      <c r="K17" s="11">
        <f t="shared" si="4"/>
        <v>1.1149999999999993E-2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9338405.0087092761</v>
      </c>
      <c r="D18" s="11">
        <v>1.1520000000000001E-2</v>
      </c>
      <c r="E18" s="10">
        <f t="shared" si="2"/>
        <v>106353.23641680926</v>
      </c>
      <c r="F18" s="3"/>
      <c r="G18" s="28"/>
      <c r="H18" s="10"/>
      <c r="I18" s="10">
        <f t="shared" si="5"/>
        <v>6310</v>
      </c>
      <c r="J18" s="10">
        <f t="shared" si="3"/>
        <v>58925335604.955536</v>
      </c>
      <c r="K18" s="11">
        <f t="shared" si="4"/>
        <v>1.1519999999999975E-2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9232051.7722924668</v>
      </c>
      <c r="D19" s="11">
        <v>1.154E-2</v>
      </c>
      <c r="E19" s="10">
        <f t="shared" si="2"/>
        <v>105322.45630647987</v>
      </c>
      <c r="F19" s="3"/>
      <c r="G19" s="28"/>
      <c r="H19" s="10"/>
      <c r="I19" s="10">
        <f t="shared" si="5"/>
        <v>6310</v>
      </c>
      <c r="J19" s="10">
        <f t="shared" si="3"/>
        <v>58254246683.165466</v>
      </c>
      <c r="K19" s="11">
        <f t="shared" si="4"/>
        <v>1.1540000000000328E-2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9126729.315985987</v>
      </c>
      <c r="D20" s="11">
        <v>1.197E-2</v>
      </c>
      <c r="E20" s="10">
        <f t="shared" si="2"/>
        <v>107954.73177303001</v>
      </c>
      <c r="F20" s="3"/>
      <c r="G20" s="28"/>
      <c r="H20" s="10"/>
      <c r="I20" s="10">
        <f t="shared" si="5"/>
        <v>6310</v>
      </c>
      <c r="J20" s="10">
        <f t="shared" si="3"/>
        <v>57589661983.871574</v>
      </c>
      <c r="K20" s="11">
        <f t="shared" si="4"/>
        <v>1.1970000000000036E-2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9018774.584212957</v>
      </c>
      <c r="D21" s="11">
        <v>1.2330000000000001E-2</v>
      </c>
      <c r="E21" s="10">
        <f t="shared" si="2"/>
        <v>109847.07617411762</v>
      </c>
      <c r="F21" s="3"/>
      <c r="G21" s="28"/>
      <c r="H21" s="10"/>
      <c r="I21" s="10">
        <f t="shared" si="5"/>
        <v>6310</v>
      </c>
      <c r="J21" s="10">
        <f t="shared" si="3"/>
        <v>56908467626.383759</v>
      </c>
      <c r="K21" s="11">
        <f t="shared" si="4"/>
        <v>1.2329999999999952E-2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8908927.5080388393</v>
      </c>
      <c r="D22" s="11">
        <v>1.2829999999999999E-2</v>
      </c>
      <c r="E22" s="10">
        <f t="shared" si="2"/>
        <v>112853.62788240612</v>
      </c>
      <c r="F22" s="3"/>
      <c r="G22" s="28"/>
      <c r="H22" s="10"/>
      <c r="I22" s="10">
        <f t="shared" si="5"/>
        <v>6310</v>
      </c>
      <c r="J22" s="10">
        <f t="shared" si="3"/>
        <v>56215332575.725075</v>
      </c>
      <c r="K22" s="11">
        <f t="shared" si="4"/>
        <v>1.2829999999999897E-2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8796073.8801564332</v>
      </c>
      <c r="D23" s="11">
        <v>1.338E-2</v>
      </c>
      <c r="E23" s="10">
        <f t="shared" si="2"/>
        <v>116137.54812261276</v>
      </c>
      <c r="F23" s="3"/>
      <c r="G23" s="28"/>
      <c r="H23" s="10"/>
      <c r="I23" s="10">
        <f t="shared" si="5"/>
        <v>6310</v>
      </c>
      <c r="J23" s="10">
        <f t="shared" si="3"/>
        <v>55503226183.787094</v>
      </c>
      <c r="K23" s="11">
        <f t="shared" si="4"/>
        <v>1.3379999999999947E-2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8679936.3320338205</v>
      </c>
      <c r="D24" s="11">
        <v>1.342E-2</v>
      </c>
      <c r="E24" s="10">
        <f t="shared" si="2"/>
        <v>114942.22097047046</v>
      </c>
      <c r="F24" s="3"/>
      <c r="G24" s="28"/>
      <c r="H24" s="10"/>
      <c r="I24" s="10">
        <f t="shared" si="5"/>
        <v>6310</v>
      </c>
      <c r="J24" s="10">
        <f t="shared" si="3"/>
        <v>54770398255.133408</v>
      </c>
      <c r="K24" s="11">
        <f t="shared" si="4"/>
        <v>1.3419999999999987E-2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8564994.11106335</v>
      </c>
      <c r="D25" s="11">
        <v>1.3650000000000001E-2</v>
      </c>
      <c r="E25" s="10">
        <f t="shared" si="2"/>
        <v>115337.8085295856</v>
      </c>
      <c r="F25" s="3"/>
      <c r="G25" s="28"/>
      <c r="H25" s="10"/>
      <c r="I25" s="10">
        <f t="shared" si="5"/>
        <v>6310</v>
      </c>
      <c r="J25" s="10">
        <f t="shared" si="3"/>
        <v>54045112840.809738</v>
      </c>
      <c r="K25" s="11">
        <f t="shared" si="4"/>
        <v>1.364999999999994E-2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8449656.3025337644</v>
      </c>
      <c r="D26" s="11">
        <v>1.404E-2</v>
      </c>
      <c r="E26" s="10">
        <f t="shared" si="2"/>
        <v>116990.62609717064</v>
      </c>
      <c r="F26" s="3"/>
      <c r="G26" s="28"/>
      <c r="H26" s="10"/>
      <c r="I26" s="10">
        <f t="shared" si="5"/>
        <v>6310</v>
      </c>
      <c r="J26" s="10">
        <f t="shared" si="3"/>
        <v>53317331268.988052</v>
      </c>
      <c r="K26" s="11">
        <f t="shared" si="4"/>
        <v>1.4040000000000052E-2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8332665.6764365938</v>
      </c>
      <c r="D27" s="11">
        <v>1.473E-2</v>
      </c>
      <c r="E27" s="10">
        <f t="shared" si="2"/>
        <v>120958.44748249277</v>
      </c>
      <c r="F27" s="3"/>
      <c r="G27" s="28"/>
      <c r="H27" s="10"/>
      <c r="I27" s="10">
        <f t="shared" si="5"/>
        <v>6310</v>
      </c>
      <c r="J27" s="10">
        <f t="shared" si="3"/>
        <v>52579120418.314903</v>
      </c>
      <c r="K27" s="11">
        <f t="shared" si="4"/>
        <v>1.4729999999999688E-2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8211707.228954101</v>
      </c>
      <c r="D28" s="11">
        <v>1.511E-2</v>
      </c>
      <c r="E28" s="10">
        <f t="shared" si="2"/>
        <v>122231.97114548739</v>
      </c>
      <c r="F28" s="3"/>
      <c r="G28" s="28"/>
      <c r="H28" s="10"/>
      <c r="I28" s="10">
        <f t="shared" si="5"/>
        <v>6310</v>
      </c>
      <c r="J28" s="10">
        <f t="shared" si="3"/>
        <v>51815872614.700378</v>
      </c>
      <c r="K28" s="11">
        <f t="shared" si="4"/>
        <v>1.5109999999999957E-2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8089475.2578086136</v>
      </c>
      <c r="D29" s="11">
        <v>1.5520000000000001E-2</v>
      </c>
      <c r="E29" s="10">
        <f t="shared" si="2"/>
        <v>123629.9196482487</v>
      </c>
      <c r="F29" s="3"/>
      <c r="G29" s="28"/>
      <c r="H29" s="10"/>
      <c r="I29" s="10">
        <f t="shared" si="5"/>
        <v>6310</v>
      </c>
      <c r="J29" s="10">
        <f t="shared" si="3"/>
        <v>51044588876.772354</v>
      </c>
      <c r="K29" s="11">
        <f t="shared" si="4"/>
        <v>1.5519999999999978E-2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7965845.3381603649</v>
      </c>
      <c r="D30" s="11">
        <v>1.5480000000000001E-2</v>
      </c>
      <c r="E30" s="10">
        <f t="shared" si="2"/>
        <v>121431.52581510413</v>
      </c>
      <c r="F30" s="3"/>
      <c r="G30" s="28"/>
      <c r="H30" s="10"/>
      <c r="I30" s="10">
        <f t="shared" si="5"/>
        <v>6310</v>
      </c>
      <c r="J30" s="10">
        <f t="shared" si="3"/>
        <v>50264484083.791901</v>
      </c>
      <c r="K30" s="11">
        <f t="shared" si="4"/>
        <v>1.5479999999999938E-2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7844413.8123452608</v>
      </c>
      <c r="D31" s="11">
        <v>1.5429999999999999E-2</v>
      </c>
      <c r="E31" s="10">
        <f t="shared" si="2"/>
        <v>119200.04837801494</v>
      </c>
      <c r="F31" s="3"/>
      <c r="G31" s="28"/>
      <c r="H31" s="10"/>
      <c r="I31" s="10">
        <f t="shared" si="5"/>
        <v>6310</v>
      </c>
      <c r="J31" s="10">
        <f t="shared" si="3"/>
        <v>49498251155.898598</v>
      </c>
      <c r="K31" s="11">
        <f t="shared" si="4"/>
        <v>1.5430000000000055E-2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7725213.7639672458</v>
      </c>
      <c r="D32" s="11">
        <v>1.5679999999999999E-2</v>
      </c>
      <c r="E32" s="10">
        <f t="shared" si="2"/>
        <v>119261.33410031255</v>
      </c>
      <c r="F32" s="3"/>
      <c r="G32" s="28"/>
      <c r="H32" s="10"/>
      <c r="I32" s="10">
        <f t="shared" si="5"/>
        <v>6310</v>
      </c>
      <c r="J32" s="10">
        <f t="shared" si="3"/>
        <v>48746098850.633324</v>
      </c>
      <c r="K32" s="11">
        <f t="shared" si="4"/>
        <v>1.5679999999999916E-2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7605952.4298669333</v>
      </c>
      <c r="D33" s="11">
        <v>1.5769999999999999E-2</v>
      </c>
      <c r="E33" s="10">
        <f t="shared" si="2"/>
        <v>118083.69002727233</v>
      </c>
      <c r="F33" s="3"/>
      <c r="G33" s="28"/>
      <c r="H33" s="10"/>
      <c r="I33" s="10">
        <f t="shared" si="5"/>
        <v>6310</v>
      </c>
      <c r="J33" s="10">
        <f t="shared" si="3"/>
        <v>47993559832.46035</v>
      </c>
      <c r="K33" s="11">
        <f t="shared" si="4"/>
        <v>1.5770000000000062E-2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7487868.7398396609</v>
      </c>
      <c r="D34" s="11">
        <v>1.6080000000000001E-2</v>
      </c>
      <c r="E34" s="10">
        <f t="shared" si="2"/>
        <v>118499.45805115998</v>
      </c>
      <c r="F34" s="3"/>
      <c r="G34" s="28"/>
      <c r="H34" s="10"/>
      <c r="I34" s="10">
        <f t="shared" si="5"/>
        <v>6310</v>
      </c>
      <c r="J34" s="10">
        <f t="shared" ref="J34:J65" si="6">IF(I34="","",I34*C34)</f>
        <v>47248451748.38826</v>
      </c>
      <c r="K34" s="11">
        <f t="shared" ref="K34:K65" si="7">IFERROR(J34/J35-1,"")</f>
        <v>1.6080000000000094E-2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7369369.281788501</v>
      </c>
      <c r="D35" s="11">
        <v>1.5959999999999998E-2</v>
      </c>
      <c r="E35" s="10">
        <f t="shared" si="2"/>
        <v>115767.48468182236</v>
      </c>
      <c r="F35" s="3"/>
      <c r="G35" s="28"/>
      <c r="H35" s="10"/>
      <c r="I35" s="10">
        <f t="shared" ref="I35:I66" si="8">IF(H35&lt;&gt;"",H35,I34/(1+IF(G34="",0,G34)/100))</f>
        <v>6310</v>
      </c>
      <c r="J35" s="10">
        <f t="shared" si="6"/>
        <v>46500720168.085442</v>
      </c>
      <c r="K35" s="11">
        <f t="shared" si="7"/>
        <v>1.5959999999999974E-2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7253601.7971066786</v>
      </c>
      <c r="D36" s="11">
        <v>1.6129999999999999E-2</v>
      </c>
      <c r="E36" s="10">
        <f t="shared" si="2"/>
        <v>115143.33499387931</v>
      </c>
      <c r="F36" s="3"/>
      <c r="G36" s="28"/>
      <c r="H36" s="10"/>
      <c r="I36" s="10">
        <f t="shared" si="8"/>
        <v>6310</v>
      </c>
      <c r="J36" s="10">
        <f t="shared" si="6"/>
        <v>45770227339.743141</v>
      </c>
      <c r="K36" s="11">
        <f t="shared" si="7"/>
        <v>1.6129999999999978E-2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7138458.4621127993</v>
      </c>
      <c r="D37" s="11">
        <v>1.5910000000000001E-2</v>
      </c>
      <c r="E37" s="10">
        <f t="shared" si="2"/>
        <v>111794.22796528786</v>
      </c>
      <c r="F37" s="3"/>
      <c r="G37" s="28"/>
      <c r="H37" s="10"/>
      <c r="I37" s="10">
        <f t="shared" si="8"/>
        <v>6310</v>
      </c>
      <c r="J37" s="10">
        <f t="shared" si="6"/>
        <v>45043672895.931763</v>
      </c>
      <c r="K37" s="11">
        <f t="shared" si="7"/>
        <v>1.5910000000000091E-2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7026664.2341475114</v>
      </c>
      <c r="D38" s="11">
        <v>1.5949999999999999E-2</v>
      </c>
      <c r="E38" s="10">
        <f t="shared" si="2"/>
        <v>110315.758191498</v>
      </c>
      <c r="F38" s="3"/>
      <c r="G38" s="28"/>
      <c r="H38" s="10"/>
      <c r="I38" s="10">
        <f t="shared" si="8"/>
        <v>6310</v>
      </c>
      <c r="J38" s="10">
        <f t="shared" si="6"/>
        <v>44338251317.470795</v>
      </c>
      <c r="K38" s="11">
        <f t="shared" si="7"/>
        <v>1.5949999999999909E-2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6916348.4759560134</v>
      </c>
      <c r="D39" s="11">
        <v>1.5990000000000001E-2</v>
      </c>
      <c r="E39" s="10">
        <f t="shared" si="2"/>
        <v>108851.87071775924</v>
      </c>
      <c r="F39" s="3"/>
      <c r="G39" s="28"/>
      <c r="H39" s="10"/>
      <c r="I39" s="10">
        <f t="shared" si="8"/>
        <v>6310</v>
      </c>
      <c r="J39" s="10">
        <f t="shared" si="6"/>
        <v>43642158883.282448</v>
      </c>
      <c r="K39" s="11">
        <f t="shared" si="7"/>
        <v>1.5989999999999949E-2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6807496.6052382542</v>
      </c>
      <c r="D40" s="11">
        <v>1.5990000000000001E-2</v>
      </c>
      <c r="E40" s="10">
        <f t="shared" si="2"/>
        <v>107138.72254427616</v>
      </c>
      <c r="F40" s="3"/>
      <c r="G40" s="28"/>
      <c r="H40" s="10"/>
      <c r="I40" s="10">
        <f t="shared" si="8"/>
        <v>6310</v>
      </c>
      <c r="J40" s="10">
        <f t="shared" si="6"/>
        <v>42955303579.053383</v>
      </c>
      <c r="K40" s="11">
        <f t="shared" si="7"/>
        <v>1.5989999999999949E-2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6700357.882693978</v>
      </c>
      <c r="D41" s="11">
        <v>1.5679999999999999E-2</v>
      </c>
      <c r="E41" s="10">
        <f t="shared" si="2"/>
        <v>103439.67745809816</v>
      </c>
      <c r="F41" s="3"/>
      <c r="G41" s="28"/>
      <c r="H41" s="10"/>
      <c r="I41" s="10">
        <f t="shared" si="8"/>
        <v>6310</v>
      </c>
      <c r="J41" s="10">
        <f t="shared" si="6"/>
        <v>42279258239.799004</v>
      </c>
      <c r="K41" s="11">
        <f t="shared" si="7"/>
        <v>1.5680000000000138E-2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6596918.2052358799</v>
      </c>
      <c r="D42" s="11">
        <v>1.562E-2</v>
      </c>
      <c r="E42" s="10">
        <f t="shared" si="2"/>
        <v>101459.07166635618</v>
      </c>
      <c r="F42" s="3"/>
      <c r="G42" s="28"/>
      <c r="H42" s="10"/>
      <c r="I42" s="10">
        <f t="shared" si="8"/>
        <v>6310</v>
      </c>
      <c r="J42" s="10">
        <f t="shared" si="6"/>
        <v>41626553875.038399</v>
      </c>
      <c r="K42" s="11">
        <f t="shared" si="7"/>
        <v>1.5619999999999967E-2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6495459.1335695237</v>
      </c>
      <c r="D43" s="11">
        <v>1.6539999999999999E-2</v>
      </c>
      <c r="E43" s="10">
        <f t="shared" si="2"/>
        <v>105686.8338375669</v>
      </c>
      <c r="F43" s="3"/>
      <c r="G43" s="28"/>
      <c r="H43" s="10"/>
      <c r="I43" s="10">
        <f t="shared" si="8"/>
        <v>6310</v>
      </c>
      <c r="J43" s="10">
        <f t="shared" si="6"/>
        <v>40986347132.823692</v>
      </c>
      <c r="K43" s="11">
        <f t="shared" si="7"/>
        <v>1.6539999999999999E-2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6389772.2997319568</v>
      </c>
      <c r="D44" s="11">
        <v>1.635E-2</v>
      </c>
      <c r="E44" s="10">
        <f t="shared" si="2"/>
        <v>102792.12584308349</v>
      </c>
      <c r="F44" s="3"/>
      <c r="G44" s="28"/>
      <c r="H44" s="10"/>
      <c r="I44" s="10">
        <f t="shared" si="8"/>
        <v>6310</v>
      </c>
      <c r="J44" s="10">
        <f t="shared" si="6"/>
        <v>40319463211.308647</v>
      </c>
      <c r="K44" s="11">
        <f t="shared" si="7"/>
        <v>1.6350000000000087E-2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6286980.1738888733</v>
      </c>
      <c r="D45" s="11">
        <v>1.5980000000000001E-2</v>
      </c>
      <c r="E45" s="10">
        <f t="shared" si="2"/>
        <v>98885.748911145143</v>
      </c>
      <c r="F45" s="3"/>
      <c r="G45" s="28"/>
      <c r="H45" s="10"/>
      <c r="I45" s="10">
        <f t="shared" si="8"/>
        <v>6310</v>
      </c>
      <c r="J45" s="10">
        <f t="shared" si="6"/>
        <v>39670844897.238792</v>
      </c>
      <c r="K45" s="11">
        <f t="shared" si="7"/>
        <v>1.5980000000000105E-2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6188094.4249777282</v>
      </c>
      <c r="D46" s="11">
        <v>1.5679999999999999E-2</v>
      </c>
      <c r="E46" s="10">
        <f t="shared" si="2"/>
        <v>95531.388413329609</v>
      </c>
      <c r="F46" s="3"/>
      <c r="G46" s="28"/>
      <c r="H46" s="10"/>
      <c r="I46" s="10">
        <f t="shared" si="8"/>
        <v>6310</v>
      </c>
      <c r="J46" s="10">
        <f t="shared" si="6"/>
        <v>39046875821.609467</v>
      </c>
      <c r="K46" s="11">
        <f t="shared" si="7"/>
        <v>1.5680000000000138E-2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6092563.0365643986</v>
      </c>
      <c r="D47" s="11">
        <v>1.5810000000000001E-2</v>
      </c>
      <c r="E47" s="10">
        <f t="shared" si="2"/>
        <v>94824.250212228857</v>
      </c>
      <c r="F47" s="3"/>
      <c r="G47" s="28"/>
      <c r="H47" s="10"/>
      <c r="I47" s="10">
        <f t="shared" si="8"/>
        <v>6310</v>
      </c>
      <c r="J47" s="10">
        <f t="shared" si="6"/>
        <v>38444072760.721352</v>
      </c>
      <c r="K47" s="11">
        <f t="shared" si="7"/>
        <v>1.580999999999988E-2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5997738.7863521697</v>
      </c>
      <c r="D48" s="11">
        <v>1.5389999999999999E-2</v>
      </c>
      <c r="E48" s="10">
        <f t="shared" si="2"/>
        <v>90906.154208688065</v>
      </c>
      <c r="F48" s="3"/>
      <c r="G48" s="28"/>
      <c r="H48" s="10"/>
      <c r="I48" s="10">
        <f t="shared" si="8"/>
        <v>6310</v>
      </c>
      <c r="J48" s="10">
        <f t="shared" si="6"/>
        <v>37845731741.882195</v>
      </c>
      <c r="K48" s="11">
        <f t="shared" si="7"/>
        <v>1.5390000000000015E-2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5906832.6321434816</v>
      </c>
      <c r="D49" s="11">
        <v>1.5310000000000001E-2</v>
      </c>
      <c r="E49" s="10">
        <f t="shared" si="2"/>
        <v>89069.946713926271</v>
      </c>
      <c r="F49" s="3"/>
      <c r="G49" s="28"/>
      <c r="H49" s="10"/>
      <c r="I49" s="10">
        <f t="shared" si="8"/>
        <v>6310</v>
      </c>
      <c r="J49" s="10">
        <f t="shared" si="6"/>
        <v>37272113908.825371</v>
      </c>
      <c r="K49" s="11">
        <f t="shared" si="7"/>
        <v>1.5309999999999935E-2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5817762.6854295554</v>
      </c>
      <c r="D50" s="11">
        <v>1.529E-2</v>
      </c>
      <c r="E50" s="10">
        <f t="shared" si="2"/>
        <v>87613.973800803535</v>
      </c>
      <c r="F50" s="3"/>
      <c r="G50" s="28"/>
      <c r="H50" s="10"/>
      <c r="I50" s="10">
        <f t="shared" si="8"/>
        <v>6310</v>
      </c>
      <c r="J50" s="10">
        <f t="shared" si="6"/>
        <v>36710082545.060493</v>
      </c>
      <c r="K50" s="11">
        <f t="shared" si="7"/>
        <v>1.5289999999999804E-2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5730148.7116287518</v>
      </c>
      <c r="D51" s="11">
        <v>1.5219999999999999E-2</v>
      </c>
      <c r="E51" s="10">
        <f t="shared" si="2"/>
        <v>85905.383454807103</v>
      </c>
      <c r="F51" s="3"/>
      <c r="G51" s="28"/>
      <c r="H51" s="10"/>
      <c r="I51" s="10">
        <f t="shared" si="8"/>
        <v>6310</v>
      </c>
      <c r="J51" s="10">
        <f t="shared" si="6"/>
        <v>36157238370.377426</v>
      </c>
      <c r="K51" s="11">
        <f t="shared" si="7"/>
        <v>1.5220000000000011E-2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5644243.3281739447</v>
      </c>
      <c r="D52" s="11">
        <v>1.541E-2</v>
      </c>
      <c r="E52" s="10">
        <f t="shared" si="2"/>
        <v>85657.802943795919</v>
      </c>
      <c r="F52" s="3"/>
      <c r="G52" s="28"/>
      <c r="H52" s="10"/>
      <c r="I52" s="10">
        <f t="shared" si="8"/>
        <v>6310</v>
      </c>
      <c r="J52" s="10">
        <f t="shared" si="6"/>
        <v>35615175400.777588</v>
      </c>
      <c r="K52" s="11">
        <f t="shared" si="7"/>
        <v>1.5409999999999702E-2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5558585.5252301488</v>
      </c>
      <c r="D53" s="11">
        <v>1.5869999999999999E-2</v>
      </c>
      <c r="E53" s="10">
        <f t="shared" si="2"/>
        <v>86836.654577261768</v>
      </c>
      <c r="F53" s="3"/>
      <c r="G53" s="28"/>
      <c r="H53" s="10"/>
      <c r="I53" s="10">
        <f t="shared" si="8"/>
        <v>6310</v>
      </c>
      <c r="J53" s="10">
        <f t="shared" si="6"/>
        <v>35074674664.20224</v>
      </c>
      <c r="K53" s="11">
        <f t="shared" si="7"/>
        <v>1.5870000000000051E-2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5471748.870652887</v>
      </c>
      <c r="D54" s="11">
        <v>1.634E-2</v>
      </c>
      <c r="E54" s="10">
        <f t="shared" si="2"/>
        <v>87970.931525344029</v>
      </c>
      <c r="F54" s="3"/>
      <c r="G54" s="28"/>
      <c r="H54" s="10"/>
      <c r="I54" s="10">
        <f t="shared" si="8"/>
        <v>6310</v>
      </c>
      <c r="J54" s="10">
        <f t="shared" si="6"/>
        <v>34526735373.819717</v>
      </c>
      <c r="K54" s="11">
        <f t="shared" si="7"/>
        <v>1.6340000000000021E-2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5383777.939127543</v>
      </c>
      <c r="D55" s="11">
        <v>1.653E-2</v>
      </c>
      <c r="E55" s="10">
        <f t="shared" si="2"/>
        <v>87546.702344031073</v>
      </c>
      <c r="F55" s="3"/>
      <c r="G55" s="28"/>
      <c r="H55" s="10"/>
      <c r="I55" s="10">
        <f t="shared" si="8"/>
        <v>6310</v>
      </c>
      <c r="J55" s="10">
        <f t="shared" si="6"/>
        <v>33971638795.894798</v>
      </c>
      <c r="K55" s="11">
        <f t="shared" si="7"/>
        <v>1.6529999999999934E-2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5296231.2367835119</v>
      </c>
      <c r="D56" s="11">
        <v>1.66E-2</v>
      </c>
      <c r="E56" s="10">
        <f t="shared" si="2"/>
        <v>86481.839986824431</v>
      </c>
      <c r="F56" s="3"/>
      <c r="G56" s="28"/>
      <c r="H56" s="10"/>
      <c r="I56" s="10">
        <f t="shared" si="8"/>
        <v>6310</v>
      </c>
      <c r="J56" s="10">
        <f t="shared" si="6"/>
        <v>33419219104.103962</v>
      </c>
      <c r="K56" s="11">
        <f t="shared" si="7"/>
        <v>1.6599999999999948E-2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5209749.3967966875</v>
      </c>
      <c r="D57" s="11">
        <v>1.6500000000000001E-2</v>
      </c>
      <c r="E57" s="10">
        <f t="shared" si="2"/>
        <v>84565.533740428276</v>
      </c>
      <c r="F57" s="3"/>
      <c r="G57" s="28"/>
      <c r="H57" s="10"/>
      <c r="I57" s="10">
        <f t="shared" si="8"/>
        <v>6310</v>
      </c>
      <c r="J57" s="10">
        <f t="shared" si="6"/>
        <v>32873518693.787098</v>
      </c>
      <c r="K57" s="11">
        <f t="shared" si="7"/>
        <v>1.6499999999999959E-2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5125183.8630562592</v>
      </c>
      <c r="D58" s="11">
        <v>1.6789999999999999E-2</v>
      </c>
      <c r="E58" s="10">
        <f t="shared" si="2"/>
        <v>84630.884509795345</v>
      </c>
      <c r="F58" s="3"/>
      <c r="G58" s="28"/>
      <c r="H58" s="10"/>
      <c r="I58" s="10">
        <f t="shared" si="8"/>
        <v>6310</v>
      </c>
      <c r="J58" s="10">
        <f t="shared" si="6"/>
        <v>32339910175.884995</v>
      </c>
      <c r="K58" s="11">
        <f t="shared" si="7"/>
        <v>1.6790000000000083E-2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5040552.9785464639</v>
      </c>
      <c r="D59" s="11">
        <v>1.695E-2</v>
      </c>
      <c r="E59" s="10">
        <f t="shared" si="2"/>
        <v>84013.346758800559</v>
      </c>
      <c r="F59" s="3"/>
      <c r="G59" s="28"/>
      <c r="H59" s="10"/>
      <c r="I59" s="10">
        <f t="shared" si="8"/>
        <v>6310</v>
      </c>
      <c r="J59" s="10">
        <f t="shared" si="6"/>
        <v>31805889294.628185</v>
      </c>
      <c r="K59" s="11">
        <f t="shared" si="7"/>
        <v>1.6950000000000021E-2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4956539.6317876633</v>
      </c>
      <c r="D60" s="11">
        <v>1.694E-2</v>
      </c>
      <c r="E60" s="10">
        <f t="shared" si="2"/>
        <v>82565.128092594445</v>
      </c>
      <c r="F60" s="3"/>
      <c r="G60" s="28"/>
      <c r="H60" s="10"/>
      <c r="I60" s="10">
        <f t="shared" si="8"/>
        <v>6310</v>
      </c>
      <c r="J60" s="10">
        <f t="shared" si="6"/>
        <v>31275765076.580154</v>
      </c>
      <c r="K60" s="11">
        <f t="shared" si="7"/>
        <v>1.6939999999999955E-2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4873974.5036950689</v>
      </c>
      <c r="D61" s="11">
        <v>1.7739999999999999E-2</v>
      </c>
      <c r="E61" s="10">
        <f t="shared" si="2"/>
        <v>84957.167543332092</v>
      </c>
      <c r="F61" s="3"/>
      <c r="G61" s="28"/>
      <c r="H61" s="10"/>
      <c r="I61" s="10">
        <f t="shared" si="8"/>
        <v>6310</v>
      </c>
      <c r="J61" s="10">
        <f t="shared" si="6"/>
        <v>30754779118.315884</v>
      </c>
      <c r="K61" s="11">
        <f t="shared" si="7"/>
        <v>1.7740000000000089E-2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4789017.3361517368</v>
      </c>
      <c r="D62" s="11">
        <v>1.763E-2</v>
      </c>
      <c r="E62" s="10">
        <f t="shared" si="2"/>
        <v>82967.655863482505</v>
      </c>
      <c r="F62" s="3"/>
      <c r="G62" s="28"/>
      <c r="H62" s="10"/>
      <c r="I62" s="10">
        <f t="shared" si="8"/>
        <v>6310</v>
      </c>
      <c r="J62" s="10">
        <f t="shared" si="6"/>
        <v>30218699391.117458</v>
      </c>
      <c r="K62" s="11">
        <f t="shared" si="7"/>
        <v>1.7630000000000035E-2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4706049.6802882543</v>
      </c>
      <c r="D63" s="11">
        <v>1.848E-2</v>
      </c>
      <c r="E63" s="10">
        <f t="shared" si="2"/>
        <v>85389.794685930945</v>
      </c>
      <c r="F63" s="3"/>
      <c r="G63" s="28"/>
      <c r="H63" s="10"/>
      <c r="I63" s="10">
        <f t="shared" si="8"/>
        <v>6310</v>
      </c>
      <c r="J63" s="10">
        <f t="shared" si="6"/>
        <v>29695173482.618885</v>
      </c>
      <c r="K63" s="11">
        <f t="shared" si="7"/>
        <v>1.8480000000000052E-2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4620659.8856023233</v>
      </c>
      <c r="D64" s="11">
        <v>1.8859999999999998E-2</v>
      </c>
      <c r="E64" s="10">
        <f t="shared" si="2"/>
        <v>85532.502446322702</v>
      </c>
      <c r="F64" s="3"/>
      <c r="G64" s="28"/>
      <c r="H64" s="10"/>
      <c r="I64" s="10">
        <f t="shared" si="8"/>
        <v>6310</v>
      </c>
      <c r="J64" s="10">
        <f t="shared" si="6"/>
        <v>29156363878.150661</v>
      </c>
      <c r="K64" s="11">
        <f t="shared" si="7"/>
        <v>1.8860000000000099E-2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4535127.3831560006</v>
      </c>
      <c r="D65" s="11">
        <v>1.9470000000000001E-2</v>
      </c>
      <c r="E65" s="10">
        <f t="shared" si="2"/>
        <v>86612.583156000823</v>
      </c>
      <c r="F65" s="3"/>
      <c r="G65" s="28"/>
      <c r="H65" s="10"/>
      <c r="I65" s="10">
        <f t="shared" si="8"/>
        <v>6310</v>
      </c>
      <c r="J65" s="10">
        <f t="shared" si="6"/>
        <v>28616653787.714363</v>
      </c>
      <c r="K65" s="11">
        <f t="shared" si="7"/>
        <v>1.9470000000000098E-2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4448514.8</v>
      </c>
      <c r="D66" s="11">
        <v>1.9599999999999999E-2</v>
      </c>
      <c r="E66" s="10">
        <f t="shared" si="2"/>
        <v>85514.799999999814</v>
      </c>
      <c r="F66" s="24">
        <f>SUM(F2)</f>
        <v>11019227</v>
      </c>
      <c r="G66" s="28"/>
      <c r="H66" s="10"/>
      <c r="I66" s="10">
        <f t="shared" si="8"/>
        <v>6310</v>
      </c>
      <c r="J66" s="10">
        <f t="shared" ref="J66:J67" si="9">IF(I66="","",I66*C66)</f>
        <v>28070128388</v>
      </c>
      <c r="K66" s="11">
        <f t="shared" ref="K66" si="10">IFERROR(J66/J67-1,"")</f>
        <v>1.9600000000000062E-2</v>
      </c>
    </row>
    <row r="67" spans="1:11" ht="22.5" customHeight="1">
      <c r="A67" s="3">
        <f t="shared" si="0"/>
        <v>1950</v>
      </c>
      <c r="B67" s="3">
        <v>1700</v>
      </c>
      <c r="C67" s="10">
        <v>4363000</v>
      </c>
      <c r="D67" s="11">
        <v>1.9789999999999999E-2</v>
      </c>
      <c r="E67" s="3" t="s">
        <v>72</v>
      </c>
      <c r="F67" s="10">
        <f>SUM(C2)</f>
        <v>11018613.204951858</v>
      </c>
      <c r="G67" s="28"/>
      <c r="H67" s="10"/>
      <c r="I67" s="10">
        <f t="shared" ref="I67" si="11">IF(H67&lt;&gt;"",H67,I66/(1+IF(G66="",0,G66)/100))</f>
        <v>6310</v>
      </c>
      <c r="J67" s="10">
        <f t="shared" si="9"/>
        <v>27530530000</v>
      </c>
      <c r="K67" s="11"/>
    </row>
  </sheetData>
  <dataValidations count="1">
    <dataValidation type="custom" allowBlank="1" showDropDown="1" sqref="D2:D67" xr:uid="{00000000-0002-0000-5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23361072.93305508</v>
      </c>
      <c r="D2" s="11">
        <v>1.057E-2</v>
      </c>
      <c r="E2" s="10">
        <f t="shared" ref="E2:E66" si="2">SUM(C2-C3)</f>
        <v>244343.82665465027</v>
      </c>
      <c r="F2" s="15">
        <v>23361657</v>
      </c>
      <c r="G2" s="28"/>
      <c r="H2" s="10"/>
      <c r="I2" s="10">
        <f>IF(H2&lt;&gt;"",H2,14206)</f>
        <v>14206</v>
      </c>
      <c r="J2" s="10">
        <f t="shared" ref="J2:J33" si="3">IF(I2="","",I2*C2)</f>
        <v>331867402086.98047</v>
      </c>
      <c r="K2" s="11">
        <f t="shared" ref="K2:K33" si="4">IFERROR(J2/J3-1,"")</f>
        <v>1.0569999999999746E-2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23116729.10640043</v>
      </c>
      <c r="D3" s="11">
        <v>1.057E-2</v>
      </c>
      <c r="E3" s="10">
        <f t="shared" si="2"/>
        <v>241788.12616112828</v>
      </c>
      <c r="F3" s="3"/>
      <c r="G3" s="28"/>
      <c r="H3" s="10"/>
      <c r="I3" s="10">
        <f t="shared" ref="I3:I34" si="5">IF(H3&lt;&gt;"",H3,I2/(1+IF(G2="",0,G2)/100))</f>
        <v>14206</v>
      </c>
      <c r="J3" s="10">
        <f t="shared" si="3"/>
        <v>328396253685.52454</v>
      </c>
      <c r="K3" s="11">
        <f t="shared" si="4"/>
        <v>1.0569999999999968E-2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22874940.980239302</v>
      </c>
      <c r="D4" s="11">
        <v>9.2800000000000001E-3</v>
      </c>
      <c r="E4" s="10">
        <f t="shared" si="2"/>
        <v>210327.61205673218</v>
      </c>
      <c r="F4" s="3"/>
      <c r="G4" s="28"/>
      <c r="H4" s="10"/>
      <c r="I4" s="10">
        <f t="shared" si="5"/>
        <v>14206</v>
      </c>
      <c r="J4" s="10">
        <f t="shared" si="3"/>
        <v>324961411565.27954</v>
      </c>
      <c r="K4" s="11">
        <f t="shared" si="4"/>
        <v>9.279999999999955E-3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22664613.36818257</v>
      </c>
      <c r="D5" s="11">
        <v>7.6800000000000002E-3</v>
      </c>
      <c r="E5" s="10">
        <f t="shared" si="2"/>
        <v>172737.60585467517</v>
      </c>
      <c r="F5" s="3"/>
      <c r="G5" s="28"/>
      <c r="H5" s="10"/>
      <c r="I5" s="10">
        <f t="shared" si="5"/>
        <v>14206</v>
      </c>
      <c r="J5" s="10">
        <f t="shared" si="3"/>
        <v>321973497508.40161</v>
      </c>
      <c r="K5" s="11">
        <f t="shared" si="4"/>
        <v>7.6799999999999091E-3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22491875.762327895</v>
      </c>
      <c r="D6" s="11">
        <v>7.1199999999999996E-3</v>
      </c>
      <c r="E6" s="10">
        <f t="shared" si="2"/>
        <v>159010.00419788435</v>
      </c>
      <c r="F6" s="3"/>
      <c r="G6" s="28"/>
      <c r="H6" s="10"/>
      <c r="I6" s="10">
        <f t="shared" si="5"/>
        <v>14206</v>
      </c>
      <c r="J6" s="10">
        <f t="shared" si="3"/>
        <v>319519587079.63007</v>
      </c>
      <c r="K6" s="11">
        <f t="shared" si="4"/>
        <v>7.1199999999997932E-3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22332865.75813001</v>
      </c>
      <c r="D7" s="11">
        <v>7.9699999999999997E-3</v>
      </c>
      <c r="E7" s="10">
        <f t="shared" si="2"/>
        <v>176585.55323303118</v>
      </c>
      <c r="F7" s="3"/>
      <c r="G7" s="28"/>
      <c r="H7" s="10"/>
      <c r="I7" s="10">
        <f t="shared" si="5"/>
        <v>14206</v>
      </c>
      <c r="J7" s="10">
        <f t="shared" si="3"/>
        <v>317260690959.99493</v>
      </c>
      <c r="K7" s="11">
        <f t="shared" si="4"/>
        <v>7.9700000000002547E-3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22156280.204896979</v>
      </c>
      <c r="D8" s="11">
        <v>9.0600000000000003E-3</v>
      </c>
      <c r="E8" s="10">
        <f t="shared" si="2"/>
        <v>198933.56059735641</v>
      </c>
      <c r="F8" s="3"/>
      <c r="G8" s="28"/>
      <c r="H8" s="10"/>
      <c r="I8" s="10">
        <f t="shared" si="5"/>
        <v>14206</v>
      </c>
      <c r="J8" s="10">
        <f t="shared" si="3"/>
        <v>314752116590.76648</v>
      </c>
      <c r="K8" s="11">
        <f t="shared" si="4"/>
        <v>9.060000000000068E-3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21957346.644299623</v>
      </c>
      <c r="D9" s="11">
        <v>7.9699999999999997E-3</v>
      </c>
      <c r="E9" s="10">
        <f t="shared" si="2"/>
        <v>173616.33060018346</v>
      </c>
      <c r="F9" s="3"/>
      <c r="G9" s="28"/>
      <c r="H9" s="10"/>
      <c r="I9" s="10">
        <f t="shared" si="5"/>
        <v>14206</v>
      </c>
      <c r="J9" s="10">
        <f t="shared" si="3"/>
        <v>311926066428.92041</v>
      </c>
      <c r="K9" s="11">
        <f t="shared" si="4"/>
        <v>7.9699999999998106E-3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21783730.313699439</v>
      </c>
      <c r="D10" s="11">
        <v>7.6299999999999996E-3</v>
      </c>
      <c r="E10" s="10">
        <f t="shared" si="2"/>
        <v>164951.28399663419</v>
      </c>
      <c r="F10" s="3"/>
      <c r="G10" s="28"/>
      <c r="H10" s="10"/>
      <c r="I10" s="10">
        <f t="shared" si="5"/>
        <v>14206</v>
      </c>
      <c r="J10" s="10">
        <f t="shared" si="3"/>
        <v>309459672836.41425</v>
      </c>
      <c r="K10" s="11">
        <f t="shared" si="4"/>
        <v>7.6300000000000257E-3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21618779.029702805</v>
      </c>
      <c r="D11" s="11">
        <v>7.2100000000000003E-3</v>
      </c>
      <c r="E11" s="10">
        <f t="shared" si="2"/>
        <v>154755.60886424407</v>
      </c>
      <c r="F11" s="3"/>
      <c r="G11" s="28"/>
      <c r="H11" s="10"/>
      <c r="I11" s="10">
        <f t="shared" si="5"/>
        <v>14206</v>
      </c>
      <c r="J11" s="10">
        <f t="shared" si="3"/>
        <v>307116374895.95807</v>
      </c>
      <c r="K11" s="11">
        <f t="shared" si="4"/>
        <v>7.2099999999999387E-3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21464023.420838561</v>
      </c>
      <c r="D12" s="11">
        <v>4.0099999999999997E-3</v>
      </c>
      <c r="E12" s="10">
        <f t="shared" si="2"/>
        <v>85726.968772783875</v>
      </c>
      <c r="F12" s="3"/>
      <c r="G12" s="28"/>
      <c r="H12" s="10"/>
      <c r="I12" s="10">
        <f t="shared" si="5"/>
        <v>14206</v>
      </c>
      <c r="J12" s="10">
        <f t="shared" si="3"/>
        <v>304917916716.43262</v>
      </c>
      <c r="K12" s="11">
        <f t="shared" si="4"/>
        <v>4.0100000000000691E-3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21378296.452065777</v>
      </c>
      <c r="D13" s="11">
        <v>3.9699999999999996E-3</v>
      </c>
      <c r="E13" s="10">
        <f t="shared" si="2"/>
        <v>84536.228089187294</v>
      </c>
      <c r="F13" s="3"/>
      <c r="G13" s="28"/>
      <c r="H13" s="10"/>
      <c r="I13" s="10">
        <f t="shared" si="5"/>
        <v>14206</v>
      </c>
      <c r="J13" s="10">
        <f t="shared" si="3"/>
        <v>303700079398.04645</v>
      </c>
      <c r="K13" s="11">
        <f t="shared" si="4"/>
        <v>3.9700000000000291E-3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21293760.22397659</v>
      </c>
      <c r="D14" s="11">
        <v>3.9100000000000003E-3</v>
      </c>
      <c r="E14" s="10">
        <f t="shared" si="2"/>
        <v>82934.329248387367</v>
      </c>
      <c r="F14" s="3"/>
      <c r="G14" s="28"/>
      <c r="H14" s="10"/>
      <c r="I14" s="10">
        <f t="shared" si="5"/>
        <v>14206</v>
      </c>
      <c r="J14" s="10">
        <f t="shared" si="3"/>
        <v>302499157741.81146</v>
      </c>
      <c r="K14" s="11">
        <f t="shared" si="4"/>
        <v>3.9100000000000801E-3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21210825.894728202</v>
      </c>
      <c r="D15" s="11">
        <v>3.5599999999999998E-3</v>
      </c>
      <c r="E15" s="10">
        <f t="shared" si="2"/>
        <v>75242.676257755607</v>
      </c>
      <c r="F15" s="3"/>
      <c r="G15" s="28"/>
      <c r="H15" s="10"/>
      <c r="I15" s="10">
        <f t="shared" si="5"/>
        <v>14206</v>
      </c>
      <c r="J15" s="10">
        <f t="shared" si="3"/>
        <v>301320992660.50885</v>
      </c>
      <c r="K15" s="11">
        <f t="shared" si="4"/>
        <v>3.5600000000000076E-3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21135583.218470447</v>
      </c>
      <c r="D16" s="11">
        <v>2.96E-3</v>
      </c>
      <c r="E16" s="10">
        <f t="shared" si="2"/>
        <v>62376.691320367157</v>
      </c>
      <c r="F16" s="3"/>
      <c r="G16" s="28"/>
      <c r="H16" s="10"/>
      <c r="I16" s="10">
        <f t="shared" si="5"/>
        <v>14206</v>
      </c>
      <c r="J16" s="10">
        <f t="shared" si="3"/>
        <v>300252095201.59119</v>
      </c>
      <c r="K16" s="11">
        <f t="shared" si="4"/>
        <v>2.9600000000002957E-3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21073206.52715008</v>
      </c>
      <c r="D17" s="11">
        <v>2.4299999999999999E-3</v>
      </c>
      <c r="E17" s="10">
        <f t="shared" si="2"/>
        <v>51083.758328236639</v>
      </c>
      <c r="F17" s="3"/>
      <c r="G17" s="28"/>
      <c r="H17" s="10"/>
      <c r="I17" s="10">
        <f t="shared" si="5"/>
        <v>14206</v>
      </c>
      <c r="J17" s="10">
        <f t="shared" si="3"/>
        <v>299365971924.69403</v>
      </c>
      <c r="K17" s="11">
        <f t="shared" si="4"/>
        <v>2.4299999999999322E-3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21022122.768821843</v>
      </c>
      <c r="D18" s="11">
        <v>8.1999999999999998E-4</v>
      </c>
      <c r="E18" s="10">
        <f t="shared" si="2"/>
        <v>17224.016976512969</v>
      </c>
      <c r="F18" s="3"/>
      <c r="G18" s="28"/>
      <c r="H18" s="10"/>
      <c r="I18" s="10">
        <f t="shared" si="5"/>
        <v>14206</v>
      </c>
      <c r="J18" s="10">
        <f t="shared" si="3"/>
        <v>298640276053.88312</v>
      </c>
      <c r="K18" s="11">
        <f t="shared" si="4"/>
        <v>8.2000000000004292E-4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21004898.75184533</v>
      </c>
      <c r="D19" s="11">
        <v>7.6999999999999996E-4</v>
      </c>
      <c r="E19" s="10">
        <f t="shared" si="2"/>
        <v>16161.32781650126</v>
      </c>
      <c r="F19" s="3"/>
      <c r="G19" s="28"/>
      <c r="H19" s="10"/>
      <c r="I19" s="10">
        <f t="shared" si="5"/>
        <v>14206</v>
      </c>
      <c r="J19" s="10">
        <f t="shared" si="3"/>
        <v>298395591668.71478</v>
      </c>
      <c r="K19" s="11">
        <f t="shared" si="4"/>
        <v>7.699999999999374E-4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20988737.424028829</v>
      </c>
      <c r="D20" s="11">
        <v>3.6999999999999999E-4</v>
      </c>
      <c r="E20" s="10">
        <f t="shared" si="2"/>
        <v>7762.9605514854193</v>
      </c>
      <c r="F20" s="3"/>
      <c r="G20" s="28"/>
      <c r="H20" s="10"/>
      <c r="I20" s="10">
        <f t="shared" si="5"/>
        <v>14206</v>
      </c>
      <c r="J20" s="10">
        <f t="shared" si="3"/>
        <v>298166003845.75354</v>
      </c>
      <c r="K20" s="11">
        <f t="shared" si="4"/>
        <v>3.6999999999998145E-4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20980974.463477343</v>
      </c>
      <c r="D21" s="11">
        <v>8.0000000000000004E-4</v>
      </c>
      <c r="E21" s="10">
        <f t="shared" si="2"/>
        <v>16771.362480796874</v>
      </c>
      <c r="F21" s="3"/>
      <c r="G21" s="28"/>
      <c r="H21" s="10"/>
      <c r="I21" s="10">
        <f t="shared" si="5"/>
        <v>14206</v>
      </c>
      <c r="J21" s="10">
        <f t="shared" si="3"/>
        <v>298055723228.15912</v>
      </c>
      <c r="K21" s="11">
        <f t="shared" si="4"/>
        <v>7.9999999999991189E-4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20964203.100996546</v>
      </c>
      <c r="D22" s="11">
        <v>2.3800000000000002E-3</v>
      </c>
      <c r="E22" s="10">
        <f t="shared" si="2"/>
        <v>49776.335701402277</v>
      </c>
      <c r="F22" s="3"/>
      <c r="G22" s="28"/>
      <c r="H22" s="10"/>
      <c r="I22" s="10">
        <f t="shared" si="5"/>
        <v>14206</v>
      </c>
      <c r="J22" s="10">
        <f t="shared" si="3"/>
        <v>297817469252.75696</v>
      </c>
      <c r="K22" s="11">
        <f t="shared" si="4"/>
        <v>2.3800000000000487E-3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20914426.765295144</v>
      </c>
      <c r="D23" s="11">
        <v>8.1099999999999992E-3</v>
      </c>
      <c r="E23" s="10">
        <f t="shared" si="2"/>
        <v>168251.48155116662</v>
      </c>
      <c r="F23" s="3"/>
      <c r="G23" s="28"/>
      <c r="H23" s="10"/>
      <c r="I23" s="10">
        <f t="shared" si="5"/>
        <v>14206</v>
      </c>
      <c r="J23" s="10">
        <f t="shared" si="3"/>
        <v>297110346627.78284</v>
      </c>
      <c r="K23" s="11">
        <f t="shared" si="4"/>
        <v>8.1100000000002836E-3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20746175.283743978</v>
      </c>
      <c r="D24" s="11">
        <v>6.0899999999999999E-3</v>
      </c>
      <c r="E24" s="10">
        <f t="shared" si="2"/>
        <v>125579.42875687033</v>
      </c>
      <c r="F24" s="3"/>
      <c r="G24" s="28"/>
      <c r="H24" s="10"/>
      <c r="I24" s="10">
        <f t="shared" si="5"/>
        <v>14206</v>
      </c>
      <c r="J24" s="10">
        <f t="shared" si="3"/>
        <v>294720166080.86694</v>
      </c>
      <c r="K24" s="11">
        <f t="shared" si="4"/>
        <v>6.0899999999999288E-3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20620595.854987107</v>
      </c>
      <c r="D25" s="11">
        <v>5.5199999999999997E-3</v>
      </c>
      <c r="E25" s="10">
        <f t="shared" si="2"/>
        <v>113200.82058987394</v>
      </c>
      <c r="F25" s="3"/>
      <c r="G25" s="28"/>
      <c r="H25" s="10"/>
      <c r="I25" s="10">
        <f t="shared" si="5"/>
        <v>14206</v>
      </c>
      <c r="J25" s="10">
        <f t="shared" si="3"/>
        <v>292936184715.94684</v>
      </c>
      <c r="K25" s="11">
        <f t="shared" si="4"/>
        <v>5.5199999999999694E-3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20507395.034397233</v>
      </c>
      <c r="D26" s="11">
        <v>6.1900000000000002E-3</v>
      </c>
      <c r="E26" s="10">
        <f t="shared" si="2"/>
        <v>126159.84581730887</v>
      </c>
      <c r="F26" s="3"/>
      <c r="G26" s="28"/>
      <c r="H26" s="10"/>
      <c r="I26" s="10">
        <f t="shared" si="5"/>
        <v>14206</v>
      </c>
      <c r="J26" s="10">
        <f t="shared" si="3"/>
        <v>291328053858.64709</v>
      </c>
      <c r="K26" s="11">
        <f t="shared" si="4"/>
        <v>6.1899999999999178E-3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20381235.188579924</v>
      </c>
      <c r="D27" s="11">
        <v>7.4099999999999999E-3</v>
      </c>
      <c r="E27" s="10">
        <f t="shared" si="2"/>
        <v>149914.08934532851</v>
      </c>
      <c r="F27" s="3"/>
      <c r="G27" s="28"/>
      <c r="H27" s="10"/>
      <c r="I27" s="10">
        <f t="shared" si="5"/>
        <v>14206</v>
      </c>
      <c r="J27" s="10">
        <f t="shared" si="3"/>
        <v>289535827088.96643</v>
      </c>
      <c r="K27" s="11">
        <f t="shared" si="4"/>
        <v>7.4100000000001387E-3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20231321.099234596</v>
      </c>
      <c r="D28" s="11">
        <v>8.0199999999999994E-3</v>
      </c>
      <c r="E28" s="10">
        <f t="shared" si="2"/>
        <v>160964.26183593646</v>
      </c>
      <c r="F28" s="3"/>
      <c r="G28" s="28"/>
      <c r="H28" s="10"/>
      <c r="I28" s="10">
        <f t="shared" si="5"/>
        <v>14206</v>
      </c>
      <c r="J28" s="10">
        <f t="shared" si="3"/>
        <v>287406147535.72668</v>
      </c>
      <c r="K28" s="11">
        <f t="shared" si="4"/>
        <v>8.0200000000001381E-3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20070356.837398659</v>
      </c>
      <c r="D29" s="11">
        <v>5.3200000000000001E-3</v>
      </c>
      <c r="E29" s="10">
        <f t="shared" si="2"/>
        <v>106209.26508470997</v>
      </c>
      <c r="F29" s="3"/>
      <c r="G29" s="28"/>
      <c r="H29" s="10"/>
      <c r="I29" s="10">
        <f t="shared" si="5"/>
        <v>14206</v>
      </c>
      <c r="J29" s="10">
        <f t="shared" si="3"/>
        <v>285119489232.08533</v>
      </c>
      <c r="K29" s="11">
        <f t="shared" si="4"/>
        <v>5.3199999999997694E-3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19964147.572313949</v>
      </c>
      <c r="D30" s="11">
        <v>3.8800000000000002E-3</v>
      </c>
      <c r="E30" s="10">
        <f t="shared" si="2"/>
        <v>77161.505937542766</v>
      </c>
      <c r="F30" s="3"/>
      <c r="G30" s="28"/>
      <c r="H30" s="10"/>
      <c r="I30" s="10">
        <f t="shared" si="5"/>
        <v>14206</v>
      </c>
      <c r="J30" s="10">
        <f t="shared" si="3"/>
        <v>283610680412.29199</v>
      </c>
      <c r="K30" s="11">
        <f t="shared" si="4"/>
        <v>3.8800000000001056E-3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19886986.066376407</v>
      </c>
      <c r="D31" s="11">
        <v>2.7899999999999999E-3</v>
      </c>
      <c r="E31" s="10">
        <f t="shared" si="2"/>
        <v>55330.31953369081</v>
      </c>
      <c r="F31" s="3"/>
      <c r="G31" s="28"/>
      <c r="H31" s="10"/>
      <c r="I31" s="10">
        <f t="shared" si="5"/>
        <v>14206</v>
      </c>
      <c r="J31" s="10">
        <f t="shared" si="3"/>
        <v>282514524058.94324</v>
      </c>
      <c r="K31" s="11">
        <f t="shared" si="4"/>
        <v>2.7899999999998482E-3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19831655.746842716</v>
      </c>
      <c r="D32" s="11">
        <v>1.8600000000000001E-3</v>
      </c>
      <c r="E32" s="10">
        <f t="shared" si="2"/>
        <v>36818.397469833493</v>
      </c>
      <c r="F32" s="3"/>
      <c r="G32" s="28"/>
      <c r="H32" s="10"/>
      <c r="I32" s="10">
        <f t="shared" si="5"/>
        <v>14206</v>
      </c>
      <c r="J32" s="10">
        <f t="shared" si="3"/>
        <v>281728501539.64764</v>
      </c>
      <c r="K32" s="11">
        <f t="shared" si="4"/>
        <v>1.8600000000001948E-3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19794837.349372882</v>
      </c>
      <c r="D33" s="11">
        <v>1.4400000000000001E-3</v>
      </c>
      <c r="E33" s="10">
        <f t="shared" si="2"/>
        <v>28463.578230448067</v>
      </c>
      <c r="F33" s="3"/>
      <c r="G33" s="28"/>
      <c r="H33" s="10"/>
      <c r="I33" s="10">
        <f t="shared" si="5"/>
        <v>14206</v>
      </c>
      <c r="J33" s="10">
        <f t="shared" si="3"/>
        <v>281205459385.19116</v>
      </c>
      <c r="K33" s="11">
        <f t="shared" si="4"/>
        <v>1.4400000000001079E-3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19766373.771142434</v>
      </c>
      <c r="D34" s="11">
        <v>3.6999999999999999E-4</v>
      </c>
      <c r="E34" s="10">
        <f t="shared" si="2"/>
        <v>7310.8532796092331</v>
      </c>
      <c r="F34" s="3"/>
      <c r="G34" s="28"/>
      <c r="H34" s="10"/>
      <c r="I34" s="10">
        <f t="shared" si="5"/>
        <v>14206</v>
      </c>
      <c r="J34" s="10">
        <f t="shared" ref="J34:J65" si="6">IF(I34="","",I34*C34)</f>
        <v>280801105792.84943</v>
      </c>
      <c r="K34" s="11">
        <f t="shared" ref="K34:K65" si="7">IFERROR(J34/J35-1,"")</f>
        <v>3.6999999999998145E-4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19759062.917862825</v>
      </c>
      <c r="D35" s="11">
        <v>5.1999999999999995E-4</v>
      </c>
      <c r="E35" s="10">
        <f t="shared" si="2"/>
        <v>10269.372643515468</v>
      </c>
      <c r="F35" s="3"/>
      <c r="G35" s="28"/>
      <c r="H35" s="10"/>
      <c r="I35" s="10">
        <f t="shared" ref="I35:I66" si="8">IF(H35&lt;&gt;"",H35,I34/(1+IF(G34="",0,G34)/100))</f>
        <v>14206</v>
      </c>
      <c r="J35" s="10">
        <f t="shared" si="6"/>
        <v>280697247811.1593</v>
      </c>
      <c r="K35" s="11">
        <f t="shared" si="7"/>
        <v>5.2000000000007596E-4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19748793.54521931</v>
      </c>
      <c r="D36" s="11">
        <v>6.0999999999999997E-4</v>
      </c>
      <c r="E36" s="10">
        <f t="shared" si="2"/>
        <v>12039.420016374439</v>
      </c>
      <c r="F36" s="3"/>
      <c r="G36" s="28"/>
      <c r="H36" s="10"/>
      <c r="I36" s="10">
        <f t="shared" si="8"/>
        <v>14206</v>
      </c>
      <c r="J36" s="10">
        <f t="shared" si="6"/>
        <v>280551361103.3855</v>
      </c>
      <c r="K36" s="11">
        <f t="shared" si="7"/>
        <v>6.0999999999999943E-4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19736754.125202935</v>
      </c>
      <c r="D37" s="11">
        <v>1.7899999999999999E-3</v>
      </c>
      <c r="E37" s="10">
        <f t="shared" si="2"/>
        <v>35265.664344936609</v>
      </c>
      <c r="F37" s="3"/>
      <c r="G37" s="28"/>
      <c r="H37" s="10"/>
      <c r="I37" s="10">
        <f t="shared" si="8"/>
        <v>14206</v>
      </c>
      <c r="J37" s="10">
        <f t="shared" si="6"/>
        <v>280380329102.63287</v>
      </c>
      <c r="K37" s="11">
        <f t="shared" si="7"/>
        <v>1.7899999999999583E-3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19701488.460857999</v>
      </c>
      <c r="D38" s="11">
        <v>2.2399999999999998E-3</v>
      </c>
      <c r="E38" s="10">
        <f t="shared" si="2"/>
        <v>44032.700902301818</v>
      </c>
      <c r="F38" s="3"/>
      <c r="G38" s="28"/>
      <c r="H38" s="10"/>
      <c r="I38" s="10">
        <f t="shared" si="8"/>
        <v>14206</v>
      </c>
      <c r="J38" s="10">
        <f t="shared" si="6"/>
        <v>279879345074.94873</v>
      </c>
      <c r="K38" s="11">
        <f t="shared" si="7"/>
        <v>2.2400000000002418E-3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19657455.759955697</v>
      </c>
      <c r="D39" s="11">
        <v>2.0999999999999999E-3</v>
      </c>
      <c r="E39" s="10">
        <f t="shared" si="2"/>
        <v>41194.149382203817</v>
      </c>
      <c r="F39" s="3"/>
      <c r="G39" s="28"/>
      <c r="H39" s="10"/>
      <c r="I39" s="10">
        <f t="shared" si="8"/>
        <v>14206</v>
      </c>
      <c r="J39" s="10">
        <f t="shared" si="6"/>
        <v>279253816525.9306</v>
      </c>
      <c r="K39" s="11">
        <f t="shared" si="7"/>
        <v>2.0999999999997687E-3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19616261.610573493</v>
      </c>
      <c r="D40" s="11">
        <v>3.7399999999999998E-3</v>
      </c>
      <c r="E40" s="10">
        <f t="shared" si="2"/>
        <v>73091.456376697868</v>
      </c>
      <c r="F40" s="3"/>
      <c r="G40" s="28"/>
      <c r="H40" s="10"/>
      <c r="I40" s="10">
        <f t="shared" si="8"/>
        <v>14206</v>
      </c>
      <c r="J40" s="10">
        <f t="shared" si="6"/>
        <v>278668612439.80707</v>
      </c>
      <c r="K40" s="11">
        <f t="shared" si="7"/>
        <v>3.7400000000002986E-3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19543170.154196795</v>
      </c>
      <c r="D41" s="11">
        <v>3.3800000000000002E-3</v>
      </c>
      <c r="E41" s="10">
        <f t="shared" si="2"/>
        <v>65833.398235149682</v>
      </c>
      <c r="F41" s="3"/>
      <c r="G41" s="28"/>
      <c r="H41" s="10"/>
      <c r="I41" s="10">
        <f t="shared" si="8"/>
        <v>14206</v>
      </c>
      <c r="J41" s="10">
        <f t="shared" si="6"/>
        <v>277630275210.51965</v>
      </c>
      <c r="K41" s="11">
        <f t="shared" si="7"/>
        <v>3.3799999999997166E-3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19477336.755961645</v>
      </c>
      <c r="D42" s="11">
        <v>3.8700000000000002E-3</v>
      </c>
      <c r="E42" s="10">
        <f t="shared" si="2"/>
        <v>75086.707686822861</v>
      </c>
      <c r="F42" s="3"/>
      <c r="G42" s="28"/>
      <c r="H42" s="10"/>
      <c r="I42" s="10">
        <f t="shared" si="8"/>
        <v>14206</v>
      </c>
      <c r="J42" s="10">
        <f t="shared" si="6"/>
        <v>276695045955.19116</v>
      </c>
      <c r="K42" s="11">
        <f t="shared" si="7"/>
        <v>3.8700000000000401E-3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19402250.048274823</v>
      </c>
      <c r="D43" s="11">
        <v>3.9500000000000004E-3</v>
      </c>
      <c r="E43" s="10">
        <f t="shared" si="2"/>
        <v>76337.355137888342</v>
      </c>
      <c r="F43" s="3"/>
      <c r="G43" s="28"/>
      <c r="H43" s="10"/>
      <c r="I43" s="10">
        <f t="shared" si="8"/>
        <v>14206</v>
      </c>
      <c r="J43" s="10">
        <f t="shared" si="6"/>
        <v>275628364185.79211</v>
      </c>
      <c r="K43" s="11">
        <f t="shared" si="7"/>
        <v>3.949999999999898E-3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19325912.693136934</v>
      </c>
      <c r="D44" s="11">
        <v>1.8E-3</v>
      </c>
      <c r="E44" s="10">
        <f t="shared" si="2"/>
        <v>34724.139396734536</v>
      </c>
      <c r="F44" s="3"/>
      <c r="G44" s="28"/>
      <c r="H44" s="10"/>
      <c r="I44" s="10">
        <f t="shared" si="8"/>
        <v>14206</v>
      </c>
      <c r="J44" s="10">
        <f t="shared" si="6"/>
        <v>274543915718.70328</v>
      </c>
      <c r="K44" s="11">
        <f t="shared" si="7"/>
        <v>1.8000000000000238E-3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19291188.5537402</v>
      </c>
      <c r="D45" s="11">
        <v>1.82E-3</v>
      </c>
      <c r="E45" s="10">
        <f t="shared" si="2"/>
        <v>35046.179121803492</v>
      </c>
      <c r="F45" s="3"/>
      <c r="G45" s="28"/>
      <c r="H45" s="10"/>
      <c r="I45" s="10">
        <f t="shared" si="8"/>
        <v>14206</v>
      </c>
      <c r="J45" s="10">
        <f t="shared" si="6"/>
        <v>274050624594.43329</v>
      </c>
      <c r="K45" s="11">
        <f t="shared" si="7"/>
        <v>1.8199999999999328E-3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19256142.374618396</v>
      </c>
      <c r="D46" s="11">
        <v>4.1799999999999997E-3</v>
      </c>
      <c r="E46" s="10">
        <f t="shared" si="2"/>
        <v>80155.624615017325</v>
      </c>
      <c r="F46" s="3"/>
      <c r="G46" s="28"/>
      <c r="H46" s="10"/>
      <c r="I46" s="10">
        <f t="shared" si="8"/>
        <v>14206</v>
      </c>
      <c r="J46" s="10">
        <f t="shared" si="6"/>
        <v>273552758573.82895</v>
      </c>
      <c r="K46" s="11">
        <f t="shared" si="7"/>
        <v>4.1800000000002946E-3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19175986.750003379</v>
      </c>
      <c r="D47" s="11">
        <v>9.5499999999999995E-3</v>
      </c>
      <c r="E47" s="10">
        <f t="shared" si="2"/>
        <v>181398.31951119751</v>
      </c>
      <c r="F47" s="3"/>
      <c r="G47" s="28"/>
      <c r="H47" s="10"/>
      <c r="I47" s="10">
        <f t="shared" si="8"/>
        <v>14206</v>
      </c>
      <c r="J47" s="10">
        <f t="shared" si="6"/>
        <v>272414067770.548</v>
      </c>
      <c r="K47" s="11">
        <f t="shared" si="7"/>
        <v>9.5499999999999474E-3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18994588.430492181</v>
      </c>
      <c r="D48" s="11">
        <v>9.1299999999999992E-3</v>
      </c>
      <c r="E48" s="10">
        <f t="shared" si="2"/>
        <v>171851.58737763762</v>
      </c>
      <c r="F48" s="3"/>
      <c r="G48" s="28"/>
      <c r="H48" s="10"/>
      <c r="I48" s="10">
        <f t="shared" si="8"/>
        <v>14206</v>
      </c>
      <c r="J48" s="10">
        <f t="shared" si="6"/>
        <v>269837123243.57193</v>
      </c>
      <c r="K48" s="11">
        <f t="shared" si="7"/>
        <v>9.1300000000000825E-3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18822736.843114544</v>
      </c>
      <c r="D49" s="11">
        <v>4.9300000000000004E-3</v>
      </c>
      <c r="E49" s="10">
        <f t="shared" si="2"/>
        <v>92340.852235037833</v>
      </c>
      <c r="F49" s="3"/>
      <c r="G49" s="28"/>
      <c r="H49" s="10"/>
      <c r="I49" s="10">
        <f t="shared" si="8"/>
        <v>14206</v>
      </c>
      <c r="J49" s="10">
        <f t="shared" si="6"/>
        <v>267395799593.28522</v>
      </c>
      <c r="K49" s="11">
        <f t="shared" si="7"/>
        <v>4.930000000000101E-3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18730395.990879506</v>
      </c>
      <c r="D50" s="11">
        <v>6.6600000000000001E-3</v>
      </c>
      <c r="E50" s="10">
        <f t="shared" si="2"/>
        <v>123919.13585446775</v>
      </c>
      <c r="F50" s="3"/>
      <c r="G50" s="28"/>
      <c r="H50" s="10"/>
      <c r="I50" s="10">
        <f t="shared" si="8"/>
        <v>14206</v>
      </c>
      <c r="J50" s="10">
        <f t="shared" si="6"/>
        <v>266084005446.43427</v>
      </c>
      <c r="K50" s="11">
        <f t="shared" si="7"/>
        <v>6.6600000000001103E-3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18606476.855025038</v>
      </c>
      <c r="D51" s="11">
        <v>8.8699999999999994E-3</v>
      </c>
      <c r="E51" s="10">
        <f t="shared" si="2"/>
        <v>163588.42041499168</v>
      </c>
      <c r="F51" s="3"/>
      <c r="G51" s="28"/>
      <c r="H51" s="10"/>
      <c r="I51" s="10">
        <f t="shared" si="8"/>
        <v>14206</v>
      </c>
      <c r="J51" s="10">
        <f t="shared" si="6"/>
        <v>264323610202.48569</v>
      </c>
      <c r="K51" s="11">
        <f t="shared" si="7"/>
        <v>8.8699999999999335E-3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18442888.434610046</v>
      </c>
      <c r="D52" s="11">
        <v>9.8200000000000006E-3</v>
      </c>
      <c r="E52" s="10">
        <f t="shared" si="2"/>
        <v>179347.96738811955</v>
      </c>
      <c r="F52" s="3"/>
      <c r="G52" s="28"/>
      <c r="H52" s="10"/>
      <c r="I52" s="10">
        <f t="shared" si="8"/>
        <v>14206</v>
      </c>
      <c r="J52" s="10">
        <f t="shared" si="6"/>
        <v>261999673102.07031</v>
      </c>
      <c r="K52" s="11">
        <f t="shared" si="7"/>
        <v>9.8199999999999399E-3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18263540.467221927</v>
      </c>
      <c r="D53" s="11">
        <v>8.8299999999999993E-3</v>
      </c>
      <c r="E53" s="10">
        <f t="shared" si="2"/>
        <v>159855.53792568296</v>
      </c>
      <c r="F53" s="3"/>
      <c r="G53" s="28"/>
      <c r="H53" s="10"/>
      <c r="I53" s="10">
        <f t="shared" si="8"/>
        <v>14206</v>
      </c>
      <c r="J53" s="10">
        <f t="shared" si="6"/>
        <v>259451855877.35471</v>
      </c>
      <c r="K53" s="11">
        <f t="shared" si="7"/>
        <v>8.8299999999998935E-3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18103684.929296244</v>
      </c>
      <c r="D54" s="11">
        <v>6.0899999999999999E-3</v>
      </c>
      <c r="E54" s="10">
        <f t="shared" si="2"/>
        <v>109584.07420748845</v>
      </c>
      <c r="F54" s="3"/>
      <c r="G54" s="28"/>
      <c r="H54" s="10"/>
      <c r="I54" s="10">
        <f t="shared" si="8"/>
        <v>14206</v>
      </c>
      <c r="J54" s="10">
        <f t="shared" si="6"/>
        <v>257180948105.58243</v>
      </c>
      <c r="K54" s="11">
        <f t="shared" si="7"/>
        <v>6.0899999999997068E-3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17994100.855088755</v>
      </c>
      <c r="D55" s="11">
        <v>5.1700000000000001E-3</v>
      </c>
      <c r="E55" s="10">
        <f t="shared" si="2"/>
        <v>92551.012685224414</v>
      </c>
      <c r="F55" s="3"/>
      <c r="G55" s="28"/>
      <c r="H55" s="10"/>
      <c r="I55" s="10">
        <f t="shared" si="8"/>
        <v>14206</v>
      </c>
      <c r="J55" s="10">
        <f t="shared" si="6"/>
        <v>255624196747.39087</v>
      </c>
      <c r="K55" s="11">
        <f t="shared" si="7"/>
        <v>5.1699999999998969E-3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17901549.842403531</v>
      </c>
      <c r="D56" s="11">
        <v>5.8500000000000002E-3</v>
      </c>
      <c r="E56" s="10">
        <f t="shared" si="2"/>
        <v>104114.99386395514</v>
      </c>
      <c r="F56" s="3"/>
      <c r="G56" s="28"/>
      <c r="H56" s="10"/>
      <c r="I56" s="10">
        <f t="shared" si="8"/>
        <v>14206</v>
      </c>
      <c r="J56" s="10">
        <f t="shared" si="6"/>
        <v>254309417061.18457</v>
      </c>
      <c r="K56" s="11">
        <f t="shared" si="7"/>
        <v>5.8499999999999108E-3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17797434.848539576</v>
      </c>
      <c r="D57" s="11">
        <v>3.5899999999999999E-3</v>
      </c>
      <c r="E57" s="10">
        <f t="shared" si="2"/>
        <v>63664.236497230828</v>
      </c>
      <c r="F57" s="3"/>
      <c r="G57" s="28"/>
      <c r="H57" s="10"/>
      <c r="I57" s="10">
        <f t="shared" si="8"/>
        <v>14206</v>
      </c>
      <c r="J57" s="10">
        <f t="shared" si="6"/>
        <v>252830359458.35321</v>
      </c>
      <c r="K57" s="11">
        <f t="shared" si="7"/>
        <v>3.5899999999999821E-3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17733770.612042345</v>
      </c>
      <c r="D58" s="11">
        <v>4.7299999999999998E-3</v>
      </c>
      <c r="E58" s="10">
        <f t="shared" si="2"/>
        <v>83485.846938937902</v>
      </c>
      <c r="F58" s="3"/>
      <c r="G58" s="28"/>
      <c r="H58" s="10"/>
      <c r="I58" s="10">
        <f t="shared" si="8"/>
        <v>14206</v>
      </c>
      <c r="J58" s="10">
        <f t="shared" si="6"/>
        <v>251925945314.67355</v>
      </c>
      <c r="K58" s="11">
        <f t="shared" si="7"/>
        <v>4.729999999999901E-3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17650284.765103407</v>
      </c>
      <c r="D59" s="11">
        <v>5.8199999999999997E-3</v>
      </c>
      <c r="E59" s="10">
        <f t="shared" si="2"/>
        <v>102130.25922421739</v>
      </c>
      <c r="F59" s="3"/>
      <c r="G59" s="28"/>
      <c r="H59" s="10"/>
      <c r="I59" s="10">
        <f t="shared" si="8"/>
        <v>14206</v>
      </c>
      <c r="J59" s="10">
        <f t="shared" si="6"/>
        <v>250739945373.05899</v>
      </c>
      <c r="K59" s="11">
        <f t="shared" si="7"/>
        <v>5.8199999999999363E-3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17548154.50587919</v>
      </c>
      <c r="D60" s="11">
        <v>7.0299999999999998E-3</v>
      </c>
      <c r="E60" s="10">
        <f t="shared" si="2"/>
        <v>122502.3347629495</v>
      </c>
      <c r="F60" s="3"/>
      <c r="G60" s="28"/>
      <c r="H60" s="10"/>
      <c r="I60" s="10">
        <f t="shared" si="8"/>
        <v>14206</v>
      </c>
      <c r="J60" s="10">
        <f t="shared" si="6"/>
        <v>249289082910.51978</v>
      </c>
      <c r="K60" s="11">
        <f t="shared" si="7"/>
        <v>7.0300000000000917E-3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17425652.17111624</v>
      </c>
      <c r="D61" s="11">
        <v>6.9699999999999996E-3</v>
      </c>
      <c r="E61" s="10">
        <f t="shared" si="2"/>
        <v>120616.10140588135</v>
      </c>
      <c r="F61" s="3"/>
      <c r="G61" s="28"/>
      <c r="H61" s="10"/>
      <c r="I61" s="10">
        <f t="shared" si="8"/>
        <v>14206</v>
      </c>
      <c r="J61" s="10">
        <f t="shared" si="6"/>
        <v>247548814742.87732</v>
      </c>
      <c r="K61" s="11">
        <f t="shared" si="7"/>
        <v>6.9700000000001427E-3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17305036.069710359</v>
      </c>
      <c r="D62" s="11">
        <v>7.6299999999999996E-3</v>
      </c>
      <c r="E62" s="10">
        <f t="shared" si="2"/>
        <v>131037.6082608588</v>
      </c>
      <c r="F62" s="3"/>
      <c r="G62" s="28"/>
      <c r="H62" s="10"/>
      <c r="I62" s="10">
        <f t="shared" si="8"/>
        <v>14206</v>
      </c>
      <c r="J62" s="10">
        <f t="shared" si="6"/>
        <v>245835342406.30536</v>
      </c>
      <c r="K62" s="11">
        <f t="shared" si="7"/>
        <v>7.6300000000000257E-3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17173998.4614495</v>
      </c>
      <c r="D63" s="11">
        <v>5.8700000000000002E-3</v>
      </c>
      <c r="E63" s="10">
        <f t="shared" si="2"/>
        <v>100223.06159713492</v>
      </c>
      <c r="F63" s="3"/>
      <c r="G63" s="28"/>
      <c r="H63" s="10"/>
      <c r="I63" s="10">
        <f t="shared" si="8"/>
        <v>14206</v>
      </c>
      <c r="J63" s="10">
        <f t="shared" si="6"/>
        <v>243973822143.35159</v>
      </c>
      <c r="K63" s="11">
        <f t="shared" si="7"/>
        <v>5.8700000000000419E-3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17073775.399852365</v>
      </c>
      <c r="D64" s="11">
        <v>5.8199999999999997E-3</v>
      </c>
      <c r="E64" s="10">
        <f t="shared" si="2"/>
        <v>98794.389480363578</v>
      </c>
      <c r="F64" s="3"/>
      <c r="G64" s="28"/>
      <c r="H64" s="10"/>
      <c r="I64" s="10">
        <f t="shared" si="8"/>
        <v>14206</v>
      </c>
      <c r="J64" s="10">
        <f t="shared" si="6"/>
        <v>242550053330.3027</v>
      </c>
      <c r="K64" s="11">
        <f t="shared" si="7"/>
        <v>5.8199999999999363E-3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16974981.010372002</v>
      </c>
      <c r="D65" s="11">
        <v>7.2700000000000004E-3</v>
      </c>
      <c r="E65" s="10">
        <f t="shared" si="2"/>
        <v>122517.41037200019</v>
      </c>
      <c r="F65" s="3"/>
      <c r="G65" s="28"/>
      <c r="H65" s="10"/>
      <c r="I65" s="10">
        <f t="shared" si="8"/>
        <v>14206</v>
      </c>
      <c r="J65" s="10">
        <f t="shared" si="6"/>
        <v>241146580233.34467</v>
      </c>
      <c r="K65" s="11">
        <f t="shared" si="7"/>
        <v>7.2700000000001097E-3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16852463.600000001</v>
      </c>
      <c r="D66" s="11">
        <v>7.3200000000000001E-3</v>
      </c>
      <c r="E66" s="10">
        <f t="shared" si="2"/>
        <v>122463.60000000149</v>
      </c>
      <c r="F66" s="24">
        <f>SUM(F2)</f>
        <v>23361657</v>
      </c>
      <c r="G66" s="28"/>
      <c r="H66" s="10"/>
      <c r="I66" s="10">
        <f t="shared" si="8"/>
        <v>14206</v>
      </c>
      <c r="J66" s="10">
        <f t="shared" ref="J66:J67" si="9">IF(I66="","",I66*C66)</f>
        <v>239406097901.60001</v>
      </c>
      <c r="K66" s="11">
        <f t="shared" ref="K66" si="10">IFERROR(J66/J67-1,"")</f>
        <v>7.3199999999999932E-3</v>
      </c>
    </row>
    <row r="67" spans="1:11" ht="22.5" customHeight="1">
      <c r="A67" s="3">
        <f t="shared" si="0"/>
        <v>1950</v>
      </c>
      <c r="B67" s="3">
        <v>1700</v>
      </c>
      <c r="C67" s="10">
        <v>16730000</v>
      </c>
      <c r="D67" s="11">
        <v>8.6700000000000006E-3</v>
      </c>
      <c r="E67" s="3" t="s">
        <v>72</v>
      </c>
      <c r="F67" s="10">
        <f>SUM(C2)</f>
        <v>23361072.93305508</v>
      </c>
      <c r="G67" s="28"/>
      <c r="H67" s="10"/>
      <c r="I67" s="10">
        <f t="shared" ref="I67" si="11">IF(H67&lt;&gt;"",H67,I66/(1+IF(G66="",0,G66)/100))</f>
        <v>14206</v>
      </c>
      <c r="J67" s="10">
        <f t="shared" si="9"/>
        <v>237666380000</v>
      </c>
      <c r="K67" s="11"/>
    </row>
  </sheetData>
  <dataValidations count="1">
    <dataValidation type="custom" allowBlank="1" showDropDown="1" sqref="D2:D67" xr:uid="{00000000-0002-0000-5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2048848.2903013632</v>
      </c>
      <c r="D2" s="11">
        <v>1.1800000000000001E-3</v>
      </c>
      <c r="E2" s="10">
        <f t="shared" ref="E2:E66" si="2">SUM(C2-C3)</f>
        <v>2414.7915285518393</v>
      </c>
      <c r="F2" s="15">
        <v>2048851</v>
      </c>
      <c r="G2" s="28"/>
      <c r="H2" s="10"/>
      <c r="I2" s="10">
        <f>IF(H2&lt;&gt;"",H2,23452)</f>
        <v>23452</v>
      </c>
      <c r="J2" s="10">
        <f t="shared" ref="J2:J33" si="3">IF(I2="","",I2*C2)</f>
        <v>48049590104.147568</v>
      </c>
      <c r="K2" s="11">
        <f t="shared" ref="K2:K33" si="4">IFERROR(J2/J3-1,"")</f>
        <v>1.1799999999999589E-3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2046433.4987728114</v>
      </c>
      <c r="D3" s="11">
        <v>-6.5900000000000004E-3</v>
      </c>
      <c r="E3" s="10">
        <f t="shared" si="2"/>
        <v>-13575.45903193322</v>
      </c>
      <c r="F3" s="3"/>
      <c r="G3" s="28"/>
      <c r="H3" s="10"/>
      <c r="I3" s="10">
        <f t="shared" ref="I3:I34" si="5">IF(H3&lt;&gt;"",H3,I2/(1+IF(G2="",0,G2)/100))</f>
        <v>23452</v>
      </c>
      <c r="J3" s="10">
        <f t="shared" si="3"/>
        <v>47992958413.219971</v>
      </c>
      <c r="K3" s="11">
        <f t="shared" si="4"/>
        <v>-6.5899999999999848E-3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2060008.9578047446</v>
      </c>
      <c r="D4" s="11">
        <v>-5.4900000000000001E-3</v>
      </c>
      <c r="E4" s="10">
        <f t="shared" si="2"/>
        <v>-11371.880803961772</v>
      </c>
      <c r="F4" s="3"/>
      <c r="G4" s="28"/>
      <c r="H4" s="10"/>
      <c r="I4" s="10">
        <f t="shared" si="5"/>
        <v>23452</v>
      </c>
      <c r="J4" s="10">
        <f t="shared" si="3"/>
        <v>48311330078.436867</v>
      </c>
      <c r="K4" s="11">
        <f t="shared" si="4"/>
        <v>-5.4900000000001059E-3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2071380.8386087064</v>
      </c>
      <c r="D5" s="11">
        <v>-3.8700000000000002E-3</v>
      </c>
      <c r="E5" s="10">
        <f t="shared" si="2"/>
        <v>-8047.3872340114322</v>
      </c>
      <c r="F5" s="3"/>
      <c r="G5" s="28"/>
      <c r="H5" s="10"/>
      <c r="I5" s="10">
        <f t="shared" si="5"/>
        <v>23452</v>
      </c>
      <c r="J5" s="10">
        <f t="shared" si="3"/>
        <v>48578023427.051384</v>
      </c>
      <c r="K5" s="11">
        <f t="shared" si="4"/>
        <v>-3.8700000000000401E-3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2079428.2258427178</v>
      </c>
      <c r="D6" s="11">
        <v>1.8799999999999999E-3</v>
      </c>
      <c r="E6" s="10">
        <f t="shared" si="2"/>
        <v>3901.9893246542197</v>
      </c>
      <c r="F6" s="3"/>
      <c r="G6" s="28"/>
      <c r="H6" s="10"/>
      <c r="I6" s="10">
        <f t="shared" si="5"/>
        <v>23452</v>
      </c>
      <c r="J6" s="10">
        <f t="shared" si="3"/>
        <v>48766750752.463417</v>
      </c>
      <c r="K6" s="11">
        <f t="shared" si="4"/>
        <v>1.8800000000001038E-3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2075526.2365180636</v>
      </c>
      <c r="D7" s="11">
        <v>5.8799999999999998E-3</v>
      </c>
      <c r="E7" s="10">
        <f t="shared" si="2"/>
        <v>12132.753679093439</v>
      </c>
      <c r="F7" s="3"/>
      <c r="G7" s="28"/>
      <c r="H7" s="10"/>
      <c r="I7" s="10">
        <f t="shared" si="5"/>
        <v>23452</v>
      </c>
      <c r="J7" s="10">
        <f t="shared" si="3"/>
        <v>48675241298.821625</v>
      </c>
      <c r="K7" s="11">
        <f t="shared" si="4"/>
        <v>5.8800000000001074E-3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2063393.4828389701</v>
      </c>
      <c r="D8" s="11">
        <v>-2.5999999999999999E-3</v>
      </c>
      <c r="E8" s="10">
        <f t="shared" si="2"/>
        <v>-5378.8079560671467</v>
      </c>
      <c r="F8" s="3"/>
      <c r="G8" s="28"/>
      <c r="H8" s="10"/>
      <c r="I8" s="10">
        <f t="shared" si="5"/>
        <v>23452</v>
      </c>
      <c r="J8" s="10">
        <f t="shared" si="3"/>
        <v>48390703959.539528</v>
      </c>
      <c r="K8" s="11">
        <f t="shared" si="4"/>
        <v>-2.5999999999999357E-3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2068772.2907950373</v>
      </c>
      <c r="D9" s="11">
        <v>-2.33E-3</v>
      </c>
      <c r="E9" s="10">
        <f t="shared" si="2"/>
        <v>-4831.4968251551036</v>
      </c>
      <c r="F9" s="3"/>
      <c r="G9" s="28"/>
      <c r="H9" s="10"/>
      <c r="I9" s="10">
        <f t="shared" si="5"/>
        <v>23452</v>
      </c>
      <c r="J9" s="10">
        <f t="shared" si="3"/>
        <v>48516847763.725212</v>
      </c>
      <c r="K9" s="11">
        <f t="shared" si="4"/>
        <v>-2.3300000000000542E-3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2073603.7876201924</v>
      </c>
      <c r="D10" s="11">
        <v>-1.9400000000000001E-3</v>
      </c>
      <c r="E10" s="10">
        <f t="shared" si="2"/>
        <v>-4030.6107328049839</v>
      </c>
      <c r="F10" s="3"/>
      <c r="G10" s="28"/>
      <c r="H10" s="10"/>
      <c r="I10" s="10">
        <f t="shared" si="5"/>
        <v>23452</v>
      </c>
      <c r="J10" s="10">
        <f t="shared" si="3"/>
        <v>48630156027.268753</v>
      </c>
      <c r="K10" s="11">
        <f t="shared" si="4"/>
        <v>-1.9400000000000528E-3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2077634.3983529974</v>
      </c>
      <c r="D11" s="11">
        <v>-1.6000000000000001E-3</v>
      </c>
      <c r="E11" s="10">
        <f t="shared" si="2"/>
        <v>-3329.5423050529789</v>
      </c>
      <c r="F11" s="3"/>
      <c r="G11" s="28"/>
      <c r="H11" s="10"/>
      <c r="I11" s="10">
        <f t="shared" si="5"/>
        <v>23452</v>
      </c>
      <c r="J11" s="10">
        <f t="shared" si="3"/>
        <v>48724681910.174492</v>
      </c>
      <c r="K11" s="11">
        <f t="shared" si="4"/>
        <v>-1.6000000000001569E-3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2080963.9406580504</v>
      </c>
      <c r="D12" s="11">
        <v>-7.6000000000000004E-4</v>
      </c>
      <c r="E12" s="10">
        <f t="shared" si="2"/>
        <v>-1582.735473860288</v>
      </c>
      <c r="F12" s="3"/>
      <c r="G12" s="28"/>
      <c r="H12" s="10"/>
      <c r="I12" s="10">
        <f t="shared" si="5"/>
        <v>23452</v>
      </c>
      <c r="J12" s="10">
        <f t="shared" si="3"/>
        <v>48802766336.312599</v>
      </c>
      <c r="K12" s="11">
        <f t="shared" si="4"/>
        <v>-7.5999999999998291E-4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2082546.6761319106</v>
      </c>
      <c r="D13" s="11">
        <v>2.2699999999999999E-3</v>
      </c>
      <c r="E13" s="10">
        <f t="shared" si="2"/>
        <v>4716.6741046020761</v>
      </c>
      <c r="F13" s="3"/>
      <c r="G13" s="28"/>
      <c r="H13" s="10"/>
      <c r="I13" s="10">
        <f t="shared" si="5"/>
        <v>23452</v>
      </c>
      <c r="J13" s="10">
        <f t="shared" si="3"/>
        <v>48839884648.645569</v>
      </c>
      <c r="K13" s="11">
        <f t="shared" si="4"/>
        <v>2.2699999999999942E-3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2077830.0020273086</v>
      </c>
      <c r="D14" s="11">
        <v>2.8400000000000001E-3</v>
      </c>
      <c r="E14" s="10">
        <f t="shared" si="2"/>
        <v>5884.3257207106799</v>
      </c>
      <c r="F14" s="3"/>
      <c r="G14" s="28"/>
      <c r="H14" s="10"/>
      <c r="I14" s="10">
        <f t="shared" si="5"/>
        <v>23452</v>
      </c>
      <c r="J14" s="10">
        <f t="shared" si="3"/>
        <v>48729269207.544441</v>
      </c>
      <c r="K14" s="11">
        <f t="shared" si="4"/>
        <v>2.8399999999999537E-3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2071945.6763065979</v>
      </c>
      <c r="D15" s="11">
        <v>3.15E-3</v>
      </c>
      <c r="E15" s="10">
        <f t="shared" si="2"/>
        <v>6506.134556512814</v>
      </c>
      <c r="F15" s="3"/>
      <c r="G15" s="28"/>
      <c r="H15" s="10"/>
      <c r="I15" s="10">
        <f t="shared" si="5"/>
        <v>23452</v>
      </c>
      <c r="J15" s="10">
        <f t="shared" si="3"/>
        <v>48591270000.742332</v>
      </c>
      <c r="K15" s="11">
        <f t="shared" si="4"/>
        <v>3.1499999999999861E-3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2065439.5417500851</v>
      </c>
      <c r="D16" s="11">
        <v>3.2599999999999999E-3</v>
      </c>
      <c r="E16" s="10">
        <f t="shared" si="2"/>
        <v>6711.4535674753133</v>
      </c>
      <c r="F16" s="3"/>
      <c r="G16" s="28"/>
      <c r="H16" s="10"/>
      <c r="I16" s="10">
        <f t="shared" si="5"/>
        <v>23452</v>
      </c>
      <c r="J16" s="10">
        <f t="shared" si="3"/>
        <v>48438688133.122993</v>
      </c>
      <c r="K16" s="11">
        <f t="shared" si="4"/>
        <v>3.2600000000000406E-3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2058728.0881826098</v>
      </c>
      <c r="D17" s="11">
        <v>3.9300000000000003E-3</v>
      </c>
      <c r="E17" s="10">
        <f t="shared" si="2"/>
        <v>8059.1290095502045</v>
      </c>
      <c r="F17" s="3"/>
      <c r="G17" s="28"/>
      <c r="H17" s="10"/>
      <c r="I17" s="10">
        <f t="shared" si="5"/>
        <v>23452</v>
      </c>
      <c r="J17" s="10">
        <f t="shared" si="3"/>
        <v>48281291124.058563</v>
      </c>
      <c r="K17" s="11">
        <f t="shared" si="4"/>
        <v>3.9299999999999891E-3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2050668.9591730596</v>
      </c>
      <c r="D18" s="11">
        <v>-1.1199999999999999E-3</v>
      </c>
      <c r="E18" s="10">
        <f t="shared" si="2"/>
        <v>-2299.324477688875</v>
      </c>
      <c r="F18" s="3"/>
      <c r="G18" s="28"/>
      <c r="H18" s="10"/>
      <c r="I18" s="10">
        <f t="shared" si="5"/>
        <v>23452</v>
      </c>
      <c r="J18" s="10">
        <f t="shared" si="3"/>
        <v>48092288430.526596</v>
      </c>
      <c r="K18" s="11">
        <f t="shared" si="4"/>
        <v>-1.1200000000000099E-3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2052968.2836507484</v>
      </c>
      <c r="D19" s="11">
        <v>4.0999999999999999E-4</v>
      </c>
      <c r="E19" s="10">
        <f t="shared" si="2"/>
        <v>841.37203376297839</v>
      </c>
      <c r="F19" s="3"/>
      <c r="G19" s="28"/>
      <c r="H19" s="10"/>
      <c r="I19" s="10">
        <f t="shared" si="5"/>
        <v>23452</v>
      </c>
      <c r="J19" s="10">
        <f t="shared" si="3"/>
        <v>48146212188.177353</v>
      </c>
      <c r="K19" s="11">
        <f t="shared" si="4"/>
        <v>4.1000000000002146E-4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2052126.9116169855</v>
      </c>
      <c r="D20" s="11">
        <v>1.3699999999999999E-3</v>
      </c>
      <c r="E20" s="10">
        <f t="shared" si="2"/>
        <v>2807.5675014385488</v>
      </c>
      <c r="F20" s="3"/>
      <c r="G20" s="28"/>
      <c r="H20" s="10"/>
      <c r="I20" s="10">
        <f t="shared" si="5"/>
        <v>23452</v>
      </c>
      <c r="J20" s="10">
        <f t="shared" si="3"/>
        <v>48126480331.241547</v>
      </c>
      <c r="K20" s="11">
        <f t="shared" si="4"/>
        <v>1.3700000000000934E-3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2049319.3441155469</v>
      </c>
      <c r="D21" s="11">
        <v>2.2100000000000002E-3</v>
      </c>
      <c r="E21" s="10">
        <f t="shared" si="2"/>
        <v>4519.0087411773857</v>
      </c>
      <c r="F21" s="3"/>
      <c r="G21" s="28"/>
      <c r="H21" s="10"/>
      <c r="I21" s="10">
        <f t="shared" si="5"/>
        <v>23452</v>
      </c>
      <c r="J21" s="10">
        <f t="shared" si="3"/>
        <v>48060637258.197807</v>
      </c>
      <c r="K21" s="11">
        <f t="shared" si="4"/>
        <v>2.2100000000000453E-3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2044800.3353743695</v>
      </c>
      <c r="D22" s="11">
        <v>3.49E-3</v>
      </c>
      <c r="E22" s="10">
        <f t="shared" si="2"/>
        <v>7111.5339170859661</v>
      </c>
      <c r="F22" s="3"/>
      <c r="G22" s="28"/>
      <c r="H22" s="10"/>
      <c r="I22" s="10">
        <f t="shared" si="5"/>
        <v>23452</v>
      </c>
      <c r="J22" s="10">
        <f t="shared" si="3"/>
        <v>47954657465.199715</v>
      </c>
      <c r="K22" s="11">
        <f t="shared" si="4"/>
        <v>3.4899999999999931E-3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2037688.8014572836</v>
      </c>
      <c r="D23" s="11">
        <v>-2.9E-4</v>
      </c>
      <c r="E23" s="10">
        <f t="shared" si="2"/>
        <v>-591.10117176244967</v>
      </c>
      <c r="F23" s="3"/>
      <c r="G23" s="28"/>
      <c r="H23" s="10"/>
      <c r="I23" s="10">
        <f t="shared" si="5"/>
        <v>23452</v>
      </c>
      <c r="J23" s="10">
        <f t="shared" si="3"/>
        <v>47787877771.776215</v>
      </c>
      <c r="K23" s="11">
        <f t="shared" si="4"/>
        <v>-2.9000000000012349E-4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2038279.902629046</v>
      </c>
      <c r="D24" s="11">
        <v>-2.0000000000000002E-5</v>
      </c>
      <c r="E24" s="10">
        <f t="shared" si="2"/>
        <v>-40.766413380857557</v>
      </c>
      <c r="F24" s="3"/>
      <c r="G24" s="28"/>
      <c r="H24" s="10"/>
      <c r="I24" s="10">
        <f t="shared" si="5"/>
        <v>23452</v>
      </c>
      <c r="J24" s="10">
        <f t="shared" si="3"/>
        <v>47801740276.45639</v>
      </c>
      <c r="K24" s="11">
        <f t="shared" si="4"/>
        <v>-1.9999999999908979E-5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2038320.6690424269</v>
      </c>
      <c r="D25" s="11">
        <v>2.2000000000000001E-4</v>
      </c>
      <c r="E25" s="10">
        <f t="shared" si="2"/>
        <v>448.3319141685497</v>
      </c>
      <c r="F25" s="3"/>
      <c r="G25" s="28"/>
      <c r="H25" s="10"/>
      <c r="I25" s="10">
        <f t="shared" si="5"/>
        <v>23452</v>
      </c>
      <c r="J25" s="10">
        <f t="shared" si="3"/>
        <v>47802696330.382996</v>
      </c>
      <c r="K25" s="11">
        <f t="shared" si="4"/>
        <v>2.20000000000109E-4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2037872.3371282583</v>
      </c>
      <c r="D26" s="11">
        <v>9.5E-4</v>
      </c>
      <c r="E26" s="10">
        <f t="shared" si="2"/>
        <v>1934.1412860502023</v>
      </c>
      <c r="F26" s="3"/>
      <c r="G26" s="28"/>
      <c r="H26" s="10"/>
      <c r="I26" s="10">
        <f t="shared" si="5"/>
        <v>23452</v>
      </c>
      <c r="J26" s="10">
        <f t="shared" si="3"/>
        <v>47792182050.331917</v>
      </c>
      <c r="K26" s="11">
        <f t="shared" si="4"/>
        <v>9.5000000000022844E-4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2035938.1958422081</v>
      </c>
      <c r="D27" s="11">
        <v>2.2799999999999999E-3</v>
      </c>
      <c r="E27" s="10">
        <f t="shared" si="2"/>
        <v>4631.3795411665924</v>
      </c>
      <c r="F27" s="3"/>
      <c r="G27" s="28"/>
      <c r="H27" s="10"/>
      <c r="I27" s="10">
        <f t="shared" si="5"/>
        <v>23452</v>
      </c>
      <c r="J27" s="10">
        <f t="shared" si="3"/>
        <v>47746822568.891464</v>
      </c>
      <c r="K27" s="11">
        <f t="shared" si="4"/>
        <v>2.2800000000000598E-3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2031306.8163010415</v>
      </c>
      <c r="D28" s="11">
        <v>9.0200000000000002E-3</v>
      </c>
      <c r="E28" s="10">
        <f t="shared" si="2"/>
        <v>18158.596938648727</v>
      </c>
      <c r="F28" s="3"/>
      <c r="G28" s="28"/>
      <c r="H28" s="10"/>
      <c r="I28" s="10">
        <f t="shared" si="5"/>
        <v>23452</v>
      </c>
      <c r="J28" s="10">
        <f t="shared" si="3"/>
        <v>47638207455.892029</v>
      </c>
      <c r="K28" s="11">
        <f t="shared" si="4"/>
        <v>9.020000000000028E-3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2013148.2193623928</v>
      </c>
      <c r="D29" s="11">
        <v>9.7999999999999997E-3</v>
      </c>
      <c r="E29" s="10">
        <f t="shared" si="2"/>
        <v>19537.386165331351</v>
      </c>
      <c r="F29" s="3"/>
      <c r="G29" s="28"/>
      <c r="H29" s="10"/>
      <c r="I29" s="10">
        <f t="shared" si="5"/>
        <v>23452</v>
      </c>
      <c r="J29" s="10">
        <f t="shared" si="3"/>
        <v>47212352040.486839</v>
      </c>
      <c r="K29" s="11">
        <f t="shared" si="4"/>
        <v>9.800000000000253E-3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1993610.8331970614</v>
      </c>
      <c r="D30" s="11">
        <v>9.7900000000000001E-3</v>
      </c>
      <c r="E30" s="10">
        <f t="shared" si="2"/>
        <v>19328.226717435522</v>
      </c>
      <c r="F30" s="3"/>
      <c r="G30" s="28"/>
      <c r="H30" s="10"/>
      <c r="I30" s="10">
        <f t="shared" si="5"/>
        <v>23452</v>
      </c>
      <c r="J30" s="10">
        <f t="shared" si="3"/>
        <v>46754161260.137482</v>
      </c>
      <c r="K30" s="11">
        <f t="shared" si="4"/>
        <v>9.7899999999999654E-3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1974282.6064796259</v>
      </c>
      <c r="D31" s="11">
        <v>9.6900000000000007E-3</v>
      </c>
      <c r="E31" s="10">
        <f t="shared" si="2"/>
        <v>18947.200087935431</v>
      </c>
      <c r="F31" s="3"/>
      <c r="G31" s="28"/>
      <c r="H31" s="10"/>
      <c r="I31" s="10">
        <f t="shared" si="5"/>
        <v>23452</v>
      </c>
      <c r="J31" s="10">
        <f t="shared" si="3"/>
        <v>46300875687.160187</v>
      </c>
      <c r="K31" s="11">
        <f t="shared" si="4"/>
        <v>9.6899999999999764E-3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1955335.4063916905</v>
      </c>
      <c r="D32" s="11">
        <v>1.0070000000000001E-2</v>
      </c>
      <c r="E32" s="10">
        <f t="shared" si="2"/>
        <v>19493.923730399227</v>
      </c>
      <c r="F32" s="3"/>
      <c r="G32" s="28"/>
      <c r="H32" s="10"/>
      <c r="I32" s="10">
        <f t="shared" si="5"/>
        <v>23452</v>
      </c>
      <c r="J32" s="10">
        <f t="shared" si="3"/>
        <v>45856525950.697922</v>
      </c>
      <c r="K32" s="11">
        <f t="shared" si="4"/>
        <v>1.0069999999999801E-2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1935841.4826612913</v>
      </c>
      <c r="D33" s="11">
        <v>1.26E-2</v>
      </c>
      <c r="E33" s="10">
        <f t="shared" si="2"/>
        <v>24088.092713344144</v>
      </c>
      <c r="F33" s="3"/>
      <c r="G33" s="28"/>
      <c r="H33" s="10"/>
      <c r="I33" s="10">
        <f t="shared" si="5"/>
        <v>23452</v>
      </c>
      <c r="J33" s="10">
        <f t="shared" si="3"/>
        <v>45399354451.372604</v>
      </c>
      <c r="K33" s="11">
        <f t="shared" si="4"/>
        <v>1.2599999999999945E-2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1911753.3899479471</v>
      </c>
      <c r="D34" s="11">
        <v>1.205E-2</v>
      </c>
      <c r="E34" s="10">
        <f t="shared" si="2"/>
        <v>22762.342126251198</v>
      </c>
      <c r="F34" s="3"/>
      <c r="G34" s="28"/>
      <c r="H34" s="10"/>
      <c r="I34" s="10">
        <f t="shared" si="5"/>
        <v>23452</v>
      </c>
      <c r="J34" s="10">
        <f t="shared" ref="J34:J65" si="6">IF(I34="","",I34*C34)</f>
        <v>44834440501.059258</v>
      </c>
      <c r="K34" s="11">
        <f t="shared" ref="K34:K65" si="7">IFERROR(J34/J35-1,"")</f>
        <v>1.2049999999999894E-2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1888991.0478216959</v>
      </c>
      <c r="D35" s="11">
        <v>1.227E-2</v>
      </c>
      <c r="E35" s="10">
        <f t="shared" si="2"/>
        <v>22896.974282328039</v>
      </c>
      <c r="F35" s="3"/>
      <c r="G35" s="28"/>
      <c r="H35" s="10"/>
      <c r="I35" s="10">
        <f t="shared" ref="I35:I66" si="8">IF(H35&lt;&gt;"",H35,I34/(1+IF(G34="",0,G34)/100))</f>
        <v>23452</v>
      </c>
      <c r="J35" s="10">
        <f t="shared" si="6"/>
        <v>44300618053.514412</v>
      </c>
      <c r="K35" s="11">
        <f t="shared" si="7"/>
        <v>1.2270000000000003E-2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1866094.0735393679</v>
      </c>
      <c r="D36" s="11">
        <v>1.205E-2</v>
      </c>
      <c r="E36" s="10">
        <f t="shared" si="2"/>
        <v>22218.698271971894</v>
      </c>
      <c r="F36" s="3"/>
      <c r="G36" s="28"/>
      <c r="H36" s="10"/>
      <c r="I36" s="10">
        <f t="shared" si="8"/>
        <v>23452</v>
      </c>
      <c r="J36" s="10">
        <f t="shared" si="6"/>
        <v>43763638212.645256</v>
      </c>
      <c r="K36" s="11">
        <f t="shared" si="7"/>
        <v>1.2049999999999894E-2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1843875.375267396</v>
      </c>
      <c r="D37" s="11">
        <v>1.2070000000000001E-2</v>
      </c>
      <c r="E37" s="10">
        <f t="shared" si="2"/>
        <v>21990.154613295104</v>
      </c>
      <c r="F37" s="3"/>
      <c r="G37" s="28"/>
      <c r="H37" s="10"/>
      <c r="I37" s="10">
        <f t="shared" si="8"/>
        <v>23452</v>
      </c>
      <c r="J37" s="10">
        <f t="shared" si="6"/>
        <v>43242565300.770973</v>
      </c>
      <c r="K37" s="11">
        <f t="shared" si="7"/>
        <v>1.2070000000000025E-2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1821885.2206541009</v>
      </c>
      <c r="D38" s="11">
        <v>1.06E-3</v>
      </c>
      <c r="E38" s="10">
        <f t="shared" si="2"/>
        <v>1929.1534312563017</v>
      </c>
      <c r="F38" s="3"/>
      <c r="G38" s="28"/>
      <c r="H38" s="10"/>
      <c r="I38" s="10">
        <f t="shared" si="8"/>
        <v>23452</v>
      </c>
      <c r="J38" s="10">
        <f t="shared" si="6"/>
        <v>42726852194.779976</v>
      </c>
      <c r="K38" s="11">
        <f t="shared" si="7"/>
        <v>1.0600000000000609E-3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1819956.0672228446</v>
      </c>
      <c r="D39" s="11">
        <v>1.8000000000000001E-4</v>
      </c>
      <c r="E39" s="10">
        <f t="shared" si="2"/>
        <v>327.5331361356657</v>
      </c>
      <c r="F39" s="3"/>
      <c r="G39" s="28"/>
      <c r="H39" s="10"/>
      <c r="I39" s="10">
        <f t="shared" si="8"/>
        <v>23452</v>
      </c>
      <c r="J39" s="10">
        <f t="shared" si="6"/>
        <v>42681609688.510155</v>
      </c>
      <c r="K39" s="11">
        <f t="shared" si="7"/>
        <v>1.8000000000006899E-4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1819628.5340867089</v>
      </c>
      <c r="D40" s="11">
        <v>-3.6000000000000002E-4</v>
      </c>
      <c r="E40" s="10">
        <f t="shared" si="2"/>
        <v>-655.30218105646782</v>
      </c>
      <c r="F40" s="3"/>
      <c r="G40" s="28"/>
      <c r="H40" s="10"/>
      <c r="I40" s="10">
        <f t="shared" si="8"/>
        <v>23452</v>
      </c>
      <c r="J40" s="10">
        <f t="shared" si="6"/>
        <v>42673928381.401497</v>
      </c>
      <c r="K40" s="11">
        <f t="shared" si="7"/>
        <v>-3.6000000000002697E-4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1820283.8362677654</v>
      </c>
      <c r="D41" s="11">
        <v>6.9800000000000001E-3</v>
      </c>
      <c r="E41" s="10">
        <f t="shared" si="2"/>
        <v>12617.510950712953</v>
      </c>
      <c r="F41" s="3"/>
      <c r="G41" s="28"/>
      <c r="H41" s="10"/>
      <c r="I41" s="10">
        <f t="shared" si="8"/>
        <v>23452</v>
      </c>
      <c r="J41" s="10">
        <f t="shared" si="6"/>
        <v>42689296528.151634</v>
      </c>
      <c r="K41" s="11">
        <f t="shared" si="7"/>
        <v>6.9799999999999862E-3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1807666.3253170524</v>
      </c>
      <c r="D42" s="11">
        <v>1.0030000000000001E-2</v>
      </c>
      <c r="E42" s="10">
        <f t="shared" si="2"/>
        <v>17950.846254992532</v>
      </c>
      <c r="F42" s="3"/>
      <c r="G42" s="28"/>
      <c r="H42" s="10"/>
      <c r="I42" s="10">
        <f t="shared" si="8"/>
        <v>23452</v>
      </c>
      <c r="J42" s="10">
        <f t="shared" si="6"/>
        <v>42393390661.33551</v>
      </c>
      <c r="K42" s="11">
        <f t="shared" si="7"/>
        <v>1.0029999999999983E-2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1789715.4790620599</v>
      </c>
      <c r="D43" s="11">
        <v>1.2460000000000001E-2</v>
      </c>
      <c r="E43" s="10">
        <f t="shared" si="2"/>
        <v>22025.418158853892</v>
      </c>
      <c r="F43" s="3"/>
      <c r="G43" s="28"/>
      <c r="H43" s="10"/>
      <c r="I43" s="10">
        <f t="shared" si="8"/>
        <v>23452</v>
      </c>
      <c r="J43" s="10">
        <f t="shared" si="6"/>
        <v>41972407414.963432</v>
      </c>
      <c r="K43" s="11">
        <f t="shared" si="7"/>
        <v>1.2460000000000138E-2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1767690.060903206</v>
      </c>
      <c r="D44" s="11">
        <v>1.426E-2</v>
      </c>
      <c r="E44" s="10">
        <f t="shared" si="2"/>
        <v>24852.85850618151</v>
      </c>
      <c r="F44" s="3"/>
      <c r="G44" s="28"/>
      <c r="H44" s="10"/>
      <c r="I44" s="10">
        <f t="shared" si="8"/>
        <v>23452</v>
      </c>
      <c r="J44" s="10">
        <f t="shared" si="6"/>
        <v>41455867308.301987</v>
      </c>
      <c r="K44" s="11">
        <f t="shared" si="7"/>
        <v>1.4259999999999939E-2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1742837.2023970245</v>
      </c>
      <c r="D45" s="11">
        <v>1.5959999999999998E-2</v>
      </c>
      <c r="E45" s="10">
        <f t="shared" si="2"/>
        <v>27378.717420229688</v>
      </c>
      <c r="F45" s="3"/>
      <c r="G45" s="28"/>
      <c r="H45" s="10"/>
      <c r="I45" s="10">
        <f t="shared" si="8"/>
        <v>23452</v>
      </c>
      <c r="J45" s="10">
        <f t="shared" si="6"/>
        <v>40873018070.615021</v>
      </c>
      <c r="K45" s="11">
        <f t="shared" si="7"/>
        <v>1.5960000000000196E-2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1715458.4849767948</v>
      </c>
      <c r="D46" s="11">
        <v>1.6389999999999998E-2</v>
      </c>
      <c r="E46" s="10">
        <f t="shared" si="2"/>
        <v>27662.968514811713</v>
      </c>
      <c r="F46" s="3"/>
      <c r="G46" s="28"/>
      <c r="H46" s="10"/>
      <c r="I46" s="10">
        <f t="shared" si="8"/>
        <v>23452</v>
      </c>
      <c r="J46" s="10">
        <f t="shared" si="6"/>
        <v>40230932389.675789</v>
      </c>
      <c r="K46" s="11">
        <f t="shared" si="7"/>
        <v>1.6389999999999683E-2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1687795.5164619831</v>
      </c>
      <c r="D47" s="11">
        <v>2.877E-2</v>
      </c>
      <c r="E47" s="10">
        <f t="shared" si="2"/>
        <v>47199.934882054571</v>
      </c>
      <c r="F47" s="3"/>
      <c r="G47" s="28"/>
      <c r="H47" s="10"/>
      <c r="I47" s="10">
        <f t="shared" si="8"/>
        <v>23452</v>
      </c>
      <c r="J47" s="10">
        <f t="shared" si="6"/>
        <v>39582180452.066429</v>
      </c>
      <c r="K47" s="11">
        <f t="shared" si="7"/>
        <v>2.8769999999999962E-2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1640595.5815799285</v>
      </c>
      <c r="D48" s="11">
        <v>3.0540000000000001E-2</v>
      </c>
      <c r="E48" s="10">
        <f t="shared" si="2"/>
        <v>48618.965844558319</v>
      </c>
      <c r="F48" s="3"/>
      <c r="G48" s="28"/>
      <c r="H48" s="10"/>
      <c r="I48" s="10">
        <f t="shared" si="8"/>
        <v>23452</v>
      </c>
      <c r="J48" s="10">
        <f t="shared" si="6"/>
        <v>38475247579.212486</v>
      </c>
      <c r="K48" s="11">
        <f t="shared" si="7"/>
        <v>3.0540000000000234E-2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1591976.6157353702</v>
      </c>
      <c r="D49" s="11">
        <v>3.1910000000000001E-2</v>
      </c>
      <c r="E49" s="10">
        <f t="shared" si="2"/>
        <v>49229.074055020232</v>
      </c>
      <c r="F49" s="3"/>
      <c r="G49" s="28"/>
      <c r="H49" s="10"/>
      <c r="I49" s="10">
        <f t="shared" si="8"/>
        <v>23452</v>
      </c>
      <c r="J49" s="10">
        <f t="shared" si="6"/>
        <v>37335035592.225899</v>
      </c>
      <c r="K49" s="11">
        <f t="shared" si="7"/>
        <v>3.1910000000000105E-2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1542747.54168035</v>
      </c>
      <c r="D50" s="11">
        <v>3.3849999999999998E-2</v>
      </c>
      <c r="E50" s="10">
        <f t="shared" si="2"/>
        <v>50512.167418754892</v>
      </c>
      <c r="F50" s="3"/>
      <c r="G50" s="28"/>
      <c r="H50" s="10"/>
      <c r="I50" s="10">
        <f t="shared" si="8"/>
        <v>23452</v>
      </c>
      <c r="J50" s="10">
        <f t="shared" si="6"/>
        <v>36180515347.487564</v>
      </c>
      <c r="K50" s="11">
        <f t="shared" si="7"/>
        <v>3.3849999999999714E-2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1492235.3742615951</v>
      </c>
      <c r="D51" s="11">
        <v>3.653E-2</v>
      </c>
      <c r="E51" s="10">
        <f t="shared" si="2"/>
        <v>52590.236868953099</v>
      </c>
      <c r="F51" s="3"/>
      <c r="G51" s="28"/>
      <c r="H51" s="10"/>
      <c r="I51" s="10">
        <f t="shared" si="8"/>
        <v>23452</v>
      </c>
      <c r="J51" s="10">
        <f t="shared" si="6"/>
        <v>34995903997.18293</v>
      </c>
      <c r="K51" s="11">
        <f t="shared" si="7"/>
        <v>3.6529999999999951E-2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1439645.137392642</v>
      </c>
      <c r="D52" s="11">
        <v>3.5299999999999998E-2</v>
      </c>
      <c r="E52" s="10">
        <f t="shared" si="2"/>
        <v>49086.712402163772</v>
      </c>
      <c r="F52" s="3"/>
      <c r="G52" s="28"/>
      <c r="H52" s="10"/>
      <c r="I52" s="10">
        <f t="shared" si="8"/>
        <v>23452</v>
      </c>
      <c r="J52" s="10">
        <f t="shared" si="6"/>
        <v>33762557762.13224</v>
      </c>
      <c r="K52" s="11">
        <f t="shared" si="7"/>
        <v>3.5299999999999887E-2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1390558.4249904782</v>
      </c>
      <c r="D53" s="11">
        <v>3.5830000000000001E-2</v>
      </c>
      <c r="E53" s="10">
        <f t="shared" si="2"/>
        <v>48100.275496373884</v>
      </c>
      <c r="F53" s="3"/>
      <c r="G53" s="28"/>
      <c r="H53" s="10"/>
      <c r="I53" s="10">
        <f t="shared" si="8"/>
        <v>23452</v>
      </c>
      <c r="J53" s="10">
        <f t="shared" si="6"/>
        <v>32611376182.876694</v>
      </c>
      <c r="K53" s="11">
        <f t="shared" si="7"/>
        <v>3.5830000000000028E-2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1342458.1494941043</v>
      </c>
      <c r="D54" s="11">
        <v>3.56E-2</v>
      </c>
      <c r="E54" s="10">
        <f t="shared" si="2"/>
        <v>46148.619275772711</v>
      </c>
      <c r="F54" s="3"/>
      <c r="G54" s="28"/>
      <c r="H54" s="10"/>
      <c r="I54" s="10">
        <f t="shared" si="8"/>
        <v>23452</v>
      </c>
      <c r="J54" s="10">
        <f t="shared" si="6"/>
        <v>31483328521.935734</v>
      </c>
      <c r="K54" s="11">
        <f t="shared" si="7"/>
        <v>3.5600000000000076E-2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1296309.5302183316</v>
      </c>
      <c r="D55" s="11">
        <v>3.5799999999999998E-2</v>
      </c>
      <c r="E55" s="10">
        <f t="shared" si="2"/>
        <v>44803.901507835835</v>
      </c>
      <c r="F55" s="3"/>
      <c r="G55" s="28"/>
      <c r="H55" s="10"/>
      <c r="I55" s="10">
        <f t="shared" si="8"/>
        <v>23452</v>
      </c>
      <c r="J55" s="10">
        <f t="shared" si="6"/>
        <v>30401051102.680313</v>
      </c>
      <c r="K55" s="11">
        <f t="shared" si="7"/>
        <v>3.5800000000000054E-2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1251505.6287104958</v>
      </c>
      <c r="D56" s="11">
        <v>3.6389999999999999E-2</v>
      </c>
      <c r="E56" s="10">
        <f t="shared" si="2"/>
        <v>43943.19689380913</v>
      </c>
      <c r="F56" s="3"/>
      <c r="G56" s="28"/>
      <c r="H56" s="10"/>
      <c r="I56" s="10">
        <f t="shared" si="8"/>
        <v>23452</v>
      </c>
      <c r="J56" s="10">
        <f t="shared" si="6"/>
        <v>29350310004.518547</v>
      </c>
      <c r="K56" s="11">
        <f t="shared" si="7"/>
        <v>3.6389999999999922E-2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1207562.4318166866</v>
      </c>
      <c r="D57" s="11">
        <v>4.3889999999999998E-2</v>
      </c>
      <c r="E57" s="10">
        <f t="shared" si="2"/>
        <v>50771.551727130543</v>
      </c>
      <c r="F57" s="3"/>
      <c r="G57" s="28"/>
      <c r="H57" s="10"/>
      <c r="I57" s="10">
        <f t="shared" si="8"/>
        <v>23452</v>
      </c>
      <c r="J57" s="10">
        <f t="shared" si="6"/>
        <v>28319754150.964935</v>
      </c>
      <c r="K57" s="11">
        <f t="shared" si="7"/>
        <v>4.3889999999999763E-2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1156790.8800895561</v>
      </c>
      <c r="D58" s="11">
        <v>4.3779999999999999E-2</v>
      </c>
      <c r="E58" s="10">
        <f t="shared" si="2"/>
        <v>48520.094972427702</v>
      </c>
      <c r="F58" s="3"/>
      <c r="G58" s="28"/>
      <c r="H58" s="10"/>
      <c r="I58" s="10">
        <f t="shared" si="8"/>
        <v>23452</v>
      </c>
      <c r="J58" s="10">
        <f t="shared" si="6"/>
        <v>27129059719.860271</v>
      </c>
      <c r="K58" s="11">
        <f t="shared" si="7"/>
        <v>4.377999999999993E-2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1108270.7851171284</v>
      </c>
      <c r="D59" s="11">
        <v>4.1750000000000002E-2</v>
      </c>
      <c r="E59" s="10">
        <f t="shared" si="2"/>
        <v>44415.939792311052</v>
      </c>
      <c r="F59" s="3"/>
      <c r="G59" s="28"/>
      <c r="H59" s="10"/>
      <c r="I59" s="10">
        <f t="shared" si="8"/>
        <v>23452</v>
      </c>
      <c r="J59" s="10">
        <f t="shared" si="6"/>
        <v>25991166452.566895</v>
      </c>
      <c r="K59" s="11">
        <f t="shared" si="7"/>
        <v>4.1749999999999954E-2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1063854.8453248173</v>
      </c>
      <c r="D60" s="11">
        <v>3.9919999999999997E-2</v>
      </c>
      <c r="E60" s="10">
        <f t="shared" si="2"/>
        <v>40838.800509045599</v>
      </c>
      <c r="F60" s="3"/>
      <c r="G60" s="28"/>
      <c r="H60" s="10"/>
      <c r="I60" s="10">
        <f t="shared" si="8"/>
        <v>23452</v>
      </c>
      <c r="J60" s="10">
        <f t="shared" si="6"/>
        <v>24949523832.557617</v>
      </c>
      <c r="K60" s="11">
        <f t="shared" si="7"/>
        <v>3.9920000000000178E-2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1023016.0448157717</v>
      </c>
      <c r="D61" s="11">
        <v>3.805E-2</v>
      </c>
      <c r="E61" s="10">
        <f t="shared" si="2"/>
        <v>37498.926357343094</v>
      </c>
      <c r="F61" s="3"/>
      <c r="G61" s="28"/>
      <c r="H61" s="10"/>
      <c r="I61" s="10">
        <f t="shared" si="8"/>
        <v>23452</v>
      </c>
      <c r="J61" s="10">
        <f t="shared" si="6"/>
        <v>23991772283.019478</v>
      </c>
      <c r="K61" s="11">
        <f t="shared" si="7"/>
        <v>3.8049999999999695E-2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985517.11845842865</v>
      </c>
      <c r="D62" s="11">
        <v>3.073E-2</v>
      </c>
      <c r="E62" s="10">
        <f t="shared" si="2"/>
        <v>29382.031230513705</v>
      </c>
      <c r="F62" s="3"/>
      <c r="G62" s="28"/>
      <c r="H62" s="10"/>
      <c r="I62" s="10">
        <f t="shared" si="8"/>
        <v>23452</v>
      </c>
      <c r="J62" s="10">
        <f t="shared" si="6"/>
        <v>23112347462.08707</v>
      </c>
      <c r="K62" s="11">
        <f t="shared" si="7"/>
        <v>3.0729999999999924E-2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956135.08722791495</v>
      </c>
      <c r="D63" s="11">
        <v>2.8199999999999999E-2</v>
      </c>
      <c r="E63" s="10">
        <f t="shared" si="2"/>
        <v>26223.506574428291</v>
      </c>
      <c r="F63" s="3"/>
      <c r="G63" s="28"/>
      <c r="H63" s="10"/>
      <c r="I63" s="10">
        <f t="shared" si="8"/>
        <v>23452</v>
      </c>
      <c r="J63" s="10">
        <f t="shared" si="6"/>
        <v>22423280065.66906</v>
      </c>
      <c r="K63" s="11">
        <f t="shared" si="7"/>
        <v>2.8200000000000003E-2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929911.58065348666</v>
      </c>
      <c r="D64" s="11">
        <v>2.6610000000000002E-2</v>
      </c>
      <c r="E64" s="10">
        <f t="shared" si="2"/>
        <v>24103.551651736605</v>
      </c>
      <c r="F64" s="3"/>
      <c r="G64" s="28"/>
      <c r="H64" s="10"/>
      <c r="I64" s="10">
        <f t="shared" si="8"/>
        <v>23452</v>
      </c>
      <c r="J64" s="10">
        <f t="shared" si="6"/>
        <v>21808286389.485569</v>
      </c>
      <c r="K64" s="11">
        <f t="shared" si="7"/>
        <v>2.6610000000000023E-2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905808.02900175005</v>
      </c>
      <c r="D65" s="11">
        <v>2.5149999999999999E-2</v>
      </c>
      <c r="E65" s="10">
        <f t="shared" si="2"/>
        <v>22222.184001749963</v>
      </c>
      <c r="F65" s="3"/>
      <c r="G65" s="28"/>
      <c r="H65" s="10"/>
      <c r="I65" s="10">
        <f t="shared" si="8"/>
        <v>23452</v>
      </c>
      <c r="J65" s="10">
        <f t="shared" si="6"/>
        <v>21243009896.149044</v>
      </c>
      <c r="K65" s="11">
        <f t="shared" si="7"/>
        <v>2.5150000000000006E-2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883585.84500000009</v>
      </c>
      <c r="D66" s="11">
        <v>1.737E-2</v>
      </c>
      <c r="E66" s="10">
        <f t="shared" si="2"/>
        <v>15085.845000000088</v>
      </c>
      <c r="F66" s="24">
        <f>SUM(F2)</f>
        <v>2048851</v>
      </c>
      <c r="G66" s="28"/>
      <c r="H66" s="10"/>
      <c r="I66" s="10">
        <f t="shared" si="8"/>
        <v>23452</v>
      </c>
      <c r="J66" s="10">
        <f t="shared" ref="J66:J67" si="9">IF(I66="","",I66*C66)</f>
        <v>20721855236.940002</v>
      </c>
      <c r="K66" s="11">
        <f t="shared" ref="K66" si="10">IFERROR(J66/J67-1,"")</f>
        <v>1.7370000000000108E-2</v>
      </c>
    </row>
    <row r="67" spans="1:11" ht="22.5" customHeight="1">
      <c r="A67" s="3">
        <f t="shared" si="0"/>
        <v>1950</v>
      </c>
      <c r="B67" s="3">
        <v>1700</v>
      </c>
      <c r="C67" s="10">
        <v>868500</v>
      </c>
      <c r="D67" s="11">
        <v>2.1590000000000002E-2</v>
      </c>
      <c r="E67" s="3" t="s">
        <v>72</v>
      </c>
      <c r="F67" s="10">
        <f>SUM(C2)</f>
        <v>2048848.2903013632</v>
      </c>
      <c r="G67" s="28"/>
      <c r="H67" s="10"/>
      <c r="I67" s="10">
        <f t="shared" ref="I67" si="11">IF(H67&lt;&gt;"",H67,I66/(1+IF(G66="",0,G66)/100))</f>
        <v>23452</v>
      </c>
      <c r="J67" s="10">
        <f t="shared" si="9"/>
        <v>20368062000</v>
      </c>
      <c r="K67" s="11"/>
    </row>
  </sheetData>
  <dataValidations count="1">
    <dataValidation type="custom" allowBlank="1" showDropDown="1" sqref="D2:D67" xr:uid="{00000000-0002-0000-5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635530.82083405391</v>
      </c>
      <c r="D2" s="11">
        <v>2.3800000000000002E-3</v>
      </c>
      <c r="E2" s="10">
        <f t="shared" ref="E2:E66" si="2">SUM(C2-C3)</f>
        <v>1508.9720002245158</v>
      </c>
      <c r="F2" s="15">
        <v>635532</v>
      </c>
      <c r="G2" s="28"/>
      <c r="H2" s="10"/>
      <c r="I2" s="10">
        <f>IF(H2&lt;&gt;"",H2,4444)</f>
        <v>4444</v>
      </c>
      <c r="J2" s="10">
        <f t="shared" ref="J2:J33" si="3">IF(I2="","",I2*C2)</f>
        <v>2824298967.7865357</v>
      </c>
      <c r="K2" s="11">
        <f t="shared" ref="K2:K33" si="4">IFERROR(J2/J3-1,"")</f>
        <v>2.3800000000000487E-3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634021.8488338294</v>
      </c>
      <c r="D3" s="11">
        <v>2.4299999999999999E-3</v>
      </c>
      <c r="E3" s="10">
        <f t="shared" si="2"/>
        <v>1536.938332518097</v>
      </c>
      <c r="F3" s="3"/>
      <c r="G3" s="28"/>
      <c r="H3" s="10"/>
      <c r="I3" s="10">
        <f t="shared" ref="I3:I34" si="5">IF(H3&lt;&gt;"",H3,I2/(1+IF(G2="",0,G2)/100))</f>
        <v>4444</v>
      </c>
      <c r="J3" s="10">
        <f t="shared" si="3"/>
        <v>2817593096.2175379</v>
      </c>
      <c r="K3" s="11">
        <f t="shared" si="4"/>
        <v>2.4299999999999322E-3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632484.9105013113</v>
      </c>
      <c r="D4" s="11">
        <v>2.3400000000000001E-3</v>
      </c>
      <c r="E4" s="10">
        <f t="shared" si="2"/>
        <v>1476.5595412465045</v>
      </c>
      <c r="F4" s="3"/>
      <c r="G4" s="28"/>
      <c r="H4" s="10"/>
      <c r="I4" s="10">
        <f t="shared" si="5"/>
        <v>4444</v>
      </c>
      <c r="J4" s="10">
        <f t="shared" si="3"/>
        <v>2810762942.2678275</v>
      </c>
      <c r="K4" s="11">
        <f t="shared" si="4"/>
        <v>2.3400000000000087E-3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631008.3509600648</v>
      </c>
      <c r="D5" s="11">
        <v>3.7200000000000002E-3</v>
      </c>
      <c r="E5" s="10">
        <f t="shared" si="2"/>
        <v>2338.6512827994302</v>
      </c>
      <c r="F5" s="3"/>
      <c r="G5" s="28"/>
      <c r="H5" s="10"/>
      <c r="I5" s="10">
        <f t="shared" si="5"/>
        <v>4444</v>
      </c>
      <c r="J5" s="10">
        <f t="shared" si="3"/>
        <v>2804201111.6665277</v>
      </c>
      <c r="K5" s="11">
        <f t="shared" si="4"/>
        <v>3.7199999999999456E-3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628669.69967726537</v>
      </c>
      <c r="D6" s="11">
        <v>2.5300000000000001E-3</v>
      </c>
      <c r="E6" s="10">
        <f t="shared" si="2"/>
        <v>1586.5204434614861</v>
      </c>
      <c r="F6" s="3"/>
      <c r="G6" s="28"/>
      <c r="H6" s="10"/>
      <c r="I6" s="10">
        <f t="shared" si="5"/>
        <v>4444</v>
      </c>
      <c r="J6" s="10">
        <f t="shared" si="3"/>
        <v>2793808145.3657675</v>
      </c>
      <c r="K6" s="11">
        <f t="shared" si="4"/>
        <v>2.5299999999999212E-3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627083.17923380388</v>
      </c>
      <c r="D7" s="11">
        <v>1.6900000000000001E-3</v>
      </c>
      <c r="E7" s="10">
        <f t="shared" si="2"/>
        <v>1057.9825823409483</v>
      </c>
      <c r="F7" s="3"/>
      <c r="G7" s="28"/>
      <c r="H7" s="10"/>
      <c r="I7" s="10">
        <f t="shared" si="5"/>
        <v>4444</v>
      </c>
      <c r="J7" s="10">
        <f t="shared" si="3"/>
        <v>2786757648.5150247</v>
      </c>
      <c r="K7" s="11">
        <f t="shared" si="4"/>
        <v>1.6899999999999693E-3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626025.19665146293</v>
      </c>
      <c r="D8" s="11">
        <v>3.46E-3</v>
      </c>
      <c r="E8" s="10">
        <f t="shared" si="2"/>
        <v>2158.5784988082014</v>
      </c>
      <c r="F8" s="3"/>
      <c r="G8" s="28"/>
      <c r="H8" s="10"/>
      <c r="I8" s="10">
        <f t="shared" si="5"/>
        <v>4444</v>
      </c>
      <c r="J8" s="10">
        <f t="shared" si="3"/>
        <v>2782055973.9191012</v>
      </c>
      <c r="K8" s="11">
        <f t="shared" si="4"/>
        <v>3.4600000000000186E-3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623866.61815265473</v>
      </c>
      <c r="D9" s="11">
        <v>3.3E-3</v>
      </c>
      <c r="E9" s="10">
        <f t="shared" si="2"/>
        <v>2051.9882785844384</v>
      </c>
      <c r="F9" s="3"/>
      <c r="G9" s="28"/>
      <c r="H9" s="10"/>
      <c r="I9" s="10">
        <f t="shared" si="5"/>
        <v>4444</v>
      </c>
      <c r="J9" s="10">
        <f t="shared" si="3"/>
        <v>2772463251.0703979</v>
      </c>
      <c r="K9" s="11">
        <f t="shared" si="4"/>
        <v>3.3000000000000806E-3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621814.62987407029</v>
      </c>
      <c r="D10" s="11">
        <v>3.5899999999999999E-3</v>
      </c>
      <c r="E10" s="10">
        <f t="shared" si="2"/>
        <v>2224.3291794934776</v>
      </c>
      <c r="F10" s="3"/>
      <c r="G10" s="28"/>
      <c r="H10" s="10"/>
      <c r="I10" s="10">
        <f t="shared" si="5"/>
        <v>4444</v>
      </c>
      <c r="J10" s="10">
        <f t="shared" si="3"/>
        <v>2763344215.1603684</v>
      </c>
      <c r="K10" s="11">
        <f t="shared" si="4"/>
        <v>3.5899999999999821E-3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619590.30069457681</v>
      </c>
      <c r="D11" s="11">
        <v>4.45E-3</v>
      </c>
      <c r="E11" s="10">
        <f t="shared" si="2"/>
        <v>2744.9617582666688</v>
      </c>
      <c r="F11" s="3"/>
      <c r="G11" s="28"/>
      <c r="H11" s="10"/>
      <c r="I11" s="10">
        <f t="shared" si="5"/>
        <v>4444</v>
      </c>
      <c r="J11" s="10">
        <f t="shared" si="3"/>
        <v>2753459296.2866993</v>
      </c>
      <c r="K11" s="11">
        <f t="shared" si="4"/>
        <v>4.450000000000065E-3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616845.33893631015</v>
      </c>
      <c r="D12" s="11">
        <v>3.3899999999999998E-3</v>
      </c>
      <c r="E12" s="10">
        <f t="shared" si="2"/>
        <v>2084.0408006798243</v>
      </c>
      <c r="F12" s="3"/>
      <c r="G12" s="28"/>
      <c r="H12" s="10"/>
      <c r="I12" s="10">
        <f t="shared" si="5"/>
        <v>4444</v>
      </c>
      <c r="J12" s="10">
        <f t="shared" si="3"/>
        <v>2741260686.2329621</v>
      </c>
      <c r="K12" s="11">
        <f t="shared" si="4"/>
        <v>3.3900000000000041E-3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614761.29813563032</v>
      </c>
      <c r="D13" s="11">
        <v>3.5899999999999999E-3</v>
      </c>
      <c r="E13" s="10">
        <f t="shared" si="2"/>
        <v>2199.0982974191429</v>
      </c>
      <c r="F13" s="3"/>
      <c r="G13" s="28"/>
      <c r="H13" s="10"/>
      <c r="I13" s="10">
        <f t="shared" si="5"/>
        <v>4444</v>
      </c>
      <c r="J13" s="10">
        <f t="shared" si="3"/>
        <v>2731999208.914741</v>
      </c>
      <c r="K13" s="11">
        <f t="shared" si="4"/>
        <v>3.5899999999999821E-3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612562.19983821118</v>
      </c>
      <c r="D14" s="11">
        <v>3.5699999999999998E-3</v>
      </c>
      <c r="E14" s="10">
        <f t="shared" si="2"/>
        <v>2179.0677814426599</v>
      </c>
      <c r="F14" s="3"/>
      <c r="G14" s="28"/>
      <c r="H14" s="10"/>
      <c r="I14" s="10">
        <f t="shared" si="5"/>
        <v>4444</v>
      </c>
      <c r="J14" s="10">
        <f t="shared" si="3"/>
        <v>2722226416.0810103</v>
      </c>
      <c r="K14" s="11">
        <f t="shared" si="4"/>
        <v>3.5700000000000731E-3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610383.13205676852</v>
      </c>
      <c r="D15" s="11">
        <v>5.0299999999999997E-3</v>
      </c>
      <c r="E15" s="10">
        <f t="shared" si="2"/>
        <v>3054.8612023975002</v>
      </c>
      <c r="F15" s="3"/>
      <c r="G15" s="28"/>
      <c r="H15" s="10"/>
      <c r="I15" s="10">
        <f t="shared" si="5"/>
        <v>4444</v>
      </c>
      <c r="J15" s="10">
        <f t="shared" si="3"/>
        <v>2712542638.8602791</v>
      </c>
      <c r="K15" s="11">
        <f t="shared" si="4"/>
        <v>5.03000000000009E-3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607328.27085437102</v>
      </c>
      <c r="D16" s="11">
        <v>5.6899999999999997E-3</v>
      </c>
      <c r="E16" s="10">
        <f t="shared" si="2"/>
        <v>3436.1461893439991</v>
      </c>
      <c r="F16" s="3"/>
      <c r="G16" s="28"/>
      <c r="H16" s="10"/>
      <c r="I16" s="10">
        <f t="shared" si="5"/>
        <v>4444</v>
      </c>
      <c r="J16" s="10">
        <f t="shared" si="3"/>
        <v>2698966835.6768246</v>
      </c>
      <c r="K16" s="11">
        <f t="shared" si="4"/>
        <v>5.6899999999997508E-3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603892.12466502702</v>
      </c>
      <c r="D17" s="11">
        <v>4.4299999999999999E-3</v>
      </c>
      <c r="E17" s="10">
        <f t="shared" si="2"/>
        <v>2663.443059512414</v>
      </c>
      <c r="F17" s="3"/>
      <c r="G17" s="28"/>
      <c r="H17" s="10"/>
      <c r="I17" s="10">
        <f t="shared" si="5"/>
        <v>4444</v>
      </c>
      <c r="J17" s="10">
        <f t="shared" si="3"/>
        <v>2683696602.0113802</v>
      </c>
      <c r="K17" s="11">
        <f t="shared" si="4"/>
        <v>4.429999999999934E-3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601228.6816055146</v>
      </c>
      <c r="D18" s="11">
        <v>7.1700000000000002E-3</v>
      </c>
      <c r="E18" s="10">
        <f t="shared" si="2"/>
        <v>4280.1211782633327</v>
      </c>
      <c r="F18" s="3"/>
      <c r="G18" s="28"/>
      <c r="H18" s="10"/>
      <c r="I18" s="10">
        <f t="shared" si="5"/>
        <v>4444</v>
      </c>
      <c r="J18" s="10">
        <f t="shared" si="3"/>
        <v>2671860261.0549068</v>
      </c>
      <c r="K18" s="11">
        <f t="shared" si="4"/>
        <v>7.1699999999998987E-3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596948.56042725127</v>
      </c>
      <c r="D19" s="11">
        <v>6.7999999999999996E-3</v>
      </c>
      <c r="E19" s="10">
        <f t="shared" si="2"/>
        <v>4031.8337414632551</v>
      </c>
      <c r="F19" s="3"/>
      <c r="G19" s="28"/>
      <c r="H19" s="10"/>
      <c r="I19" s="10">
        <f t="shared" si="5"/>
        <v>4444</v>
      </c>
      <c r="J19" s="10">
        <f t="shared" si="3"/>
        <v>2652839402.5387049</v>
      </c>
      <c r="K19" s="11">
        <f t="shared" si="4"/>
        <v>6.7999999999999172E-3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592916.72668578802</v>
      </c>
      <c r="D20" s="11">
        <v>8.1300000000000001E-3</v>
      </c>
      <c r="E20" s="10">
        <f t="shared" si="2"/>
        <v>4781.5390752734384</v>
      </c>
      <c r="F20" s="3"/>
      <c r="G20" s="28"/>
      <c r="H20" s="10"/>
      <c r="I20" s="10">
        <f t="shared" si="5"/>
        <v>4444</v>
      </c>
      <c r="J20" s="10">
        <f t="shared" si="3"/>
        <v>2634921933.3916421</v>
      </c>
      <c r="K20" s="11">
        <f t="shared" si="4"/>
        <v>8.1299999999999706E-3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588135.18761051458</v>
      </c>
      <c r="D21" s="11">
        <v>8.0199999999999994E-3</v>
      </c>
      <c r="E21" s="10">
        <f t="shared" si="2"/>
        <v>4679.3160895976471</v>
      </c>
      <c r="F21" s="3"/>
      <c r="G21" s="28"/>
      <c r="H21" s="10"/>
      <c r="I21" s="10">
        <f t="shared" si="5"/>
        <v>4444</v>
      </c>
      <c r="J21" s="10">
        <f t="shared" si="3"/>
        <v>2613672773.741127</v>
      </c>
      <c r="K21" s="11">
        <f t="shared" si="4"/>
        <v>8.0199999999999161E-3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583455.87152091693</v>
      </c>
      <c r="D22" s="11">
        <v>8.1399999999999997E-3</v>
      </c>
      <c r="E22" s="10">
        <f t="shared" si="2"/>
        <v>4710.9833893906325</v>
      </c>
      <c r="F22" s="3"/>
      <c r="G22" s="28"/>
      <c r="H22" s="10"/>
      <c r="I22" s="10">
        <f t="shared" si="5"/>
        <v>4444</v>
      </c>
      <c r="J22" s="10">
        <f t="shared" si="3"/>
        <v>2592877893.0389547</v>
      </c>
      <c r="K22" s="11">
        <f t="shared" si="4"/>
        <v>8.1399999999998141E-3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578744.8881315263</v>
      </c>
      <c r="D23" s="11">
        <v>8.3999999999999995E-3</v>
      </c>
      <c r="E23" s="10">
        <f t="shared" si="2"/>
        <v>4820.9609880055068</v>
      </c>
      <c r="F23" s="3"/>
      <c r="G23" s="28"/>
      <c r="H23" s="10"/>
      <c r="I23" s="10">
        <f t="shared" si="5"/>
        <v>4444</v>
      </c>
      <c r="J23" s="10">
        <f t="shared" si="3"/>
        <v>2571942282.856503</v>
      </c>
      <c r="K23" s="11">
        <f t="shared" si="4"/>
        <v>8.3999999999999631E-3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573923.92714352079</v>
      </c>
      <c r="D24" s="11">
        <v>8.7600000000000004E-3</v>
      </c>
      <c r="E24" s="10">
        <f t="shared" si="2"/>
        <v>4983.9145106638316</v>
      </c>
      <c r="F24" s="3"/>
      <c r="G24" s="28"/>
      <c r="H24" s="10"/>
      <c r="I24" s="10">
        <f t="shared" si="5"/>
        <v>4444</v>
      </c>
      <c r="J24" s="10">
        <f t="shared" si="3"/>
        <v>2550517932.2258062</v>
      </c>
      <c r="K24" s="11">
        <f t="shared" si="4"/>
        <v>8.760000000000101E-3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568940.01263285696</v>
      </c>
      <c r="D25" s="11">
        <v>9.5099999999999994E-3</v>
      </c>
      <c r="E25" s="10">
        <f t="shared" si="2"/>
        <v>5359.6492557165911</v>
      </c>
      <c r="F25" s="3"/>
      <c r="G25" s="28"/>
      <c r="H25" s="10"/>
      <c r="I25" s="10">
        <f t="shared" si="5"/>
        <v>4444</v>
      </c>
      <c r="J25" s="10">
        <f t="shared" si="3"/>
        <v>2528369416.1404161</v>
      </c>
      <c r="K25" s="11">
        <f t="shared" si="4"/>
        <v>9.5099999999999074E-3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563580.36337714037</v>
      </c>
      <c r="D26" s="11">
        <v>9.6699999999999998E-3</v>
      </c>
      <c r="E26" s="10">
        <f t="shared" si="2"/>
        <v>5397.6270601849537</v>
      </c>
      <c r="F26" s="3"/>
      <c r="G26" s="28"/>
      <c r="H26" s="10"/>
      <c r="I26" s="10">
        <f t="shared" si="5"/>
        <v>4444</v>
      </c>
      <c r="J26" s="10">
        <f t="shared" si="3"/>
        <v>2504551134.848012</v>
      </c>
      <c r="K26" s="11">
        <f t="shared" si="4"/>
        <v>9.6700000000000674E-3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558182.73631695542</v>
      </c>
      <c r="D27" s="11">
        <v>8.3800000000000003E-3</v>
      </c>
      <c r="E27" s="10">
        <f t="shared" si="2"/>
        <v>4638.6990324442741</v>
      </c>
      <c r="F27" s="3"/>
      <c r="G27" s="28"/>
      <c r="H27" s="10"/>
      <c r="I27" s="10">
        <f t="shared" si="5"/>
        <v>4444</v>
      </c>
      <c r="J27" s="10">
        <f t="shared" si="3"/>
        <v>2480564080.1925497</v>
      </c>
      <c r="K27" s="11">
        <f t="shared" si="4"/>
        <v>8.3800000000000541E-3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553544.03728451114</v>
      </c>
      <c r="D28" s="11">
        <v>8.7799999999999996E-3</v>
      </c>
      <c r="E28" s="10">
        <f t="shared" si="2"/>
        <v>4817.8162209382281</v>
      </c>
      <c r="F28" s="3"/>
      <c r="G28" s="28"/>
      <c r="H28" s="10"/>
      <c r="I28" s="10">
        <f t="shared" si="5"/>
        <v>4444</v>
      </c>
      <c r="J28" s="10">
        <f t="shared" si="3"/>
        <v>2459949701.6923676</v>
      </c>
      <c r="K28" s="11">
        <f t="shared" si="4"/>
        <v>8.7800000000002321E-3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548726.22106357291</v>
      </c>
      <c r="D29" s="11">
        <v>1.044E-2</v>
      </c>
      <c r="E29" s="10">
        <f t="shared" si="2"/>
        <v>5669.5120421833126</v>
      </c>
      <c r="F29" s="3"/>
      <c r="G29" s="28"/>
      <c r="H29" s="10"/>
      <c r="I29" s="10">
        <f t="shared" si="5"/>
        <v>4444</v>
      </c>
      <c r="J29" s="10">
        <f t="shared" si="3"/>
        <v>2438539326.406518</v>
      </c>
      <c r="K29" s="11">
        <f t="shared" si="4"/>
        <v>1.0440000000000005E-2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543056.7090213896</v>
      </c>
      <c r="D30" s="11">
        <v>1.022E-2</v>
      </c>
      <c r="E30" s="10">
        <f t="shared" si="2"/>
        <v>5493.8919900601031</v>
      </c>
      <c r="F30" s="3"/>
      <c r="G30" s="28"/>
      <c r="H30" s="10"/>
      <c r="I30" s="10">
        <f t="shared" si="5"/>
        <v>4444</v>
      </c>
      <c r="J30" s="10">
        <f t="shared" si="3"/>
        <v>2413344014.8910556</v>
      </c>
      <c r="K30" s="11">
        <f t="shared" si="4"/>
        <v>1.0219999999999896E-2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537562.8170313295</v>
      </c>
      <c r="D31" s="11">
        <v>1.086E-2</v>
      </c>
      <c r="E31" s="10">
        <f t="shared" si="2"/>
        <v>5775.213375700172</v>
      </c>
      <c r="F31" s="3"/>
      <c r="G31" s="28"/>
      <c r="H31" s="10"/>
      <c r="I31" s="10">
        <f t="shared" si="5"/>
        <v>4444</v>
      </c>
      <c r="J31" s="10">
        <f t="shared" si="3"/>
        <v>2388929158.8872285</v>
      </c>
      <c r="K31" s="11">
        <f t="shared" si="4"/>
        <v>1.0860000000000314E-2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531787.60365562933</v>
      </c>
      <c r="D32" s="11">
        <v>1.295E-2</v>
      </c>
      <c r="E32" s="10">
        <f t="shared" si="2"/>
        <v>6798.6075002126163</v>
      </c>
      <c r="F32" s="3"/>
      <c r="G32" s="28"/>
      <c r="H32" s="10"/>
      <c r="I32" s="10">
        <f t="shared" si="5"/>
        <v>4444</v>
      </c>
      <c r="J32" s="10">
        <f t="shared" si="3"/>
        <v>2363264110.6456165</v>
      </c>
      <c r="K32" s="11">
        <f t="shared" si="4"/>
        <v>1.2949999999999795E-2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524988.99615541671</v>
      </c>
      <c r="D33" s="11">
        <v>1.4319999999999999E-2</v>
      </c>
      <c r="E33" s="10">
        <f t="shared" si="2"/>
        <v>7411.70678380155</v>
      </c>
      <c r="F33" s="3"/>
      <c r="G33" s="28"/>
      <c r="H33" s="10"/>
      <c r="I33" s="10">
        <f t="shared" si="5"/>
        <v>4444</v>
      </c>
      <c r="J33" s="10">
        <f t="shared" si="3"/>
        <v>2333051098.9146719</v>
      </c>
      <c r="K33" s="11">
        <f t="shared" si="4"/>
        <v>1.432000000000011E-2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517577.28937161516</v>
      </c>
      <c r="D34" s="11">
        <v>1.5339999999999999E-2</v>
      </c>
      <c r="E34" s="10">
        <f t="shared" si="2"/>
        <v>7819.6817016571295</v>
      </c>
      <c r="F34" s="3"/>
      <c r="G34" s="28"/>
      <c r="H34" s="10"/>
      <c r="I34" s="10">
        <f t="shared" si="5"/>
        <v>4444</v>
      </c>
      <c r="J34" s="10">
        <f t="shared" ref="J34:J65" si="6">IF(I34="","",I34*C34)</f>
        <v>2300113473.9674578</v>
      </c>
      <c r="K34" s="11">
        <f t="shared" ref="K34:K65" si="7">IFERROR(J34/J35-1,"")</f>
        <v>1.5339999999999909E-2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509757.60766995803</v>
      </c>
      <c r="D35" s="11">
        <v>1.6310000000000002E-2</v>
      </c>
      <c r="E35" s="10">
        <f t="shared" si="2"/>
        <v>8180.7190533371177</v>
      </c>
      <c r="F35" s="3"/>
      <c r="G35" s="28"/>
      <c r="H35" s="10"/>
      <c r="I35" s="10">
        <f t="shared" ref="I35:I66" si="8">IF(H35&lt;&gt;"",H35,I34/(1+IF(G34="",0,G34)/100))</f>
        <v>4444</v>
      </c>
      <c r="J35" s="10">
        <f t="shared" si="6"/>
        <v>2265362808.4852934</v>
      </c>
      <c r="K35" s="11">
        <f t="shared" si="7"/>
        <v>1.6310000000000047E-2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501576.88861662091</v>
      </c>
      <c r="D36" s="11">
        <v>1.721E-2</v>
      </c>
      <c r="E36" s="10">
        <f t="shared" si="2"/>
        <v>8486.0925994553836</v>
      </c>
      <c r="F36" s="3"/>
      <c r="G36" s="28"/>
      <c r="H36" s="10"/>
      <c r="I36" s="10">
        <f t="shared" si="8"/>
        <v>4444</v>
      </c>
      <c r="J36" s="10">
        <f t="shared" si="6"/>
        <v>2229007693.0122633</v>
      </c>
      <c r="K36" s="11">
        <f t="shared" si="7"/>
        <v>1.7209999999999948E-2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493090.79601716553</v>
      </c>
      <c r="D37" s="11">
        <v>1.856E-2</v>
      </c>
      <c r="E37" s="10">
        <f t="shared" si="2"/>
        <v>8985.0035089523881</v>
      </c>
      <c r="F37" s="3"/>
      <c r="G37" s="28"/>
      <c r="H37" s="10"/>
      <c r="I37" s="10">
        <f t="shared" si="8"/>
        <v>4444</v>
      </c>
      <c r="J37" s="10">
        <f t="shared" si="6"/>
        <v>2191295497.5002837</v>
      </c>
      <c r="K37" s="11">
        <f t="shared" si="7"/>
        <v>1.855999999999991E-2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484105.79250821314</v>
      </c>
      <c r="D38" s="11">
        <v>2.0619999999999999E-2</v>
      </c>
      <c r="E38" s="10">
        <f t="shared" si="2"/>
        <v>9780.5857630845858</v>
      </c>
      <c r="F38" s="3"/>
      <c r="G38" s="28"/>
      <c r="H38" s="10"/>
      <c r="I38" s="10">
        <f t="shared" si="8"/>
        <v>4444</v>
      </c>
      <c r="J38" s="10">
        <f t="shared" si="6"/>
        <v>2151366141.9064994</v>
      </c>
      <c r="K38" s="11">
        <f t="shared" si="7"/>
        <v>2.0620000000000083E-2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474325.20674512855</v>
      </c>
      <c r="D39" s="11">
        <v>2.0629999999999999E-2</v>
      </c>
      <c r="E39" s="10">
        <f t="shared" si="2"/>
        <v>9587.5381040651118</v>
      </c>
      <c r="F39" s="3"/>
      <c r="G39" s="28"/>
      <c r="H39" s="10"/>
      <c r="I39" s="10">
        <f t="shared" si="8"/>
        <v>4444</v>
      </c>
      <c r="J39" s="10">
        <f t="shared" si="6"/>
        <v>2107901218.7753513</v>
      </c>
      <c r="K39" s="11">
        <f t="shared" si="7"/>
        <v>2.0629999999999926E-2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464737.66864106344</v>
      </c>
      <c r="D40" s="11">
        <v>2.0500000000000001E-2</v>
      </c>
      <c r="E40" s="10">
        <f t="shared" si="2"/>
        <v>9335.739546439785</v>
      </c>
      <c r="F40" s="3"/>
      <c r="G40" s="28"/>
      <c r="H40" s="10"/>
      <c r="I40" s="10">
        <f t="shared" si="8"/>
        <v>4444</v>
      </c>
      <c r="J40" s="10">
        <f t="shared" si="6"/>
        <v>2065294199.440886</v>
      </c>
      <c r="K40" s="11">
        <f t="shared" si="7"/>
        <v>2.0499999999999963E-2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455401.92909462366</v>
      </c>
      <c r="D41" s="11">
        <v>2.0889999999999999E-2</v>
      </c>
      <c r="E41" s="10">
        <f t="shared" si="2"/>
        <v>9318.6790925434907</v>
      </c>
      <c r="F41" s="3"/>
      <c r="G41" s="28"/>
      <c r="H41" s="10"/>
      <c r="I41" s="10">
        <f t="shared" si="8"/>
        <v>4444</v>
      </c>
      <c r="J41" s="10">
        <f t="shared" si="6"/>
        <v>2023806172.8965075</v>
      </c>
      <c r="K41" s="11">
        <f t="shared" si="7"/>
        <v>2.0890000000000075E-2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446083.25000208017</v>
      </c>
      <c r="D42" s="11">
        <v>1.6140000000000002E-2</v>
      </c>
      <c r="E42" s="10">
        <f t="shared" si="2"/>
        <v>7085.4248971929192</v>
      </c>
      <c r="F42" s="3"/>
      <c r="G42" s="28"/>
      <c r="H42" s="10"/>
      <c r="I42" s="10">
        <f t="shared" si="8"/>
        <v>4444</v>
      </c>
      <c r="J42" s="10">
        <f t="shared" si="6"/>
        <v>1982393963.0092442</v>
      </c>
      <c r="K42" s="11">
        <f t="shared" si="7"/>
        <v>1.6140000000000043E-2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438997.82510488725</v>
      </c>
      <c r="D43" s="11">
        <v>1.8759999999999999E-2</v>
      </c>
      <c r="E43" s="10">
        <f t="shared" si="2"/>
        <v>8083.9444019863731</v>
      </c>
      <c r="F43" s="3"/>
      <c r="G43" s="28"/>
      <c r="H43" s="10"/>
      <c r="I43" s="10">
        <f t="shared" si="8"/>
        <v>4444</v>
      </c>
      <c r="J43" s="10">
        <f t="shared" si="6"/>
        <v>1950906334.766119</v>
      </c>
      <c r="K43" s="11">
        <f t="shared" si="7"/>
        <v>1.8759999999999888E-2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430913.88070290087</v>
      </c>
      <c r="D44" s="11">
        <v>2.0129999999999999E-2</v>
      </c>
      <c r="E44" s="10">
        <f t="shared" si="2"/>
        <v>8503.1284429919324</v>
      </c>
      <c r="F44" s="3"/>
      <c r="G44" s="28"/>
      <c r="H44" s="10"/>
      <c r="I44" s="10">
        <f t="shared" si="8"/>
        <v>4444</v>
      </c>
      <c r="J44" s="10">
        <f t="shared" si="6"/>
        <v>1914981285.8436916</v>
      </c>
      <c r="K44" s="11">
        <f t="shared" si="7"/>
        <v>2.0129999999999981E-2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422410.75225990894</v>
      </c>
      <c r="D45" s="11">
        <v>2.1139999999999999E-2</v>
      </c>
      <c r="E45" s="10">
        <f t="shared" si="2"/>
        <v>8744.8961971663521</v>
      </c>
      <c r="F45" s="3"/>
      <c r="G45" s="28"/>
      <c r="H45" s="10"/>
      <c r="I45" s="10">
        <f t="shared" si="8"/>
        <v>4444</v>
      </c>
      <c r="J45" s="10">
        <f t="shared" si="6"/>
        <v>1877193383.0430353</v>
      </c>
      <c r="K45" s="11">
        <f t="shared" si="7"/>
        <v>2.1139999999999937E-2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413665.85606274259</v>
      </c>
      <c r="D46" s="11">
        <v>2.198E-2</v>
      </c>
      <c r="E46" s="10">
        <f t="shared" si="2"/>
        <v>8896.8233392621623</v>
      </c>
      <c r="F46" s="3"/>
      <c r="G46" s="28"/>
      <c r="H46" s="10"/>
      <c r="I46" s="10">
        <f t="shared" si="8"/>
        <v>4444</v>
      </c>
      <c r="J46" s="10">
        <f t="shared" si="6"/>
        <v>1838331064.342828</v>
      </c>
      <c r="K46" s="11">
        <f t="shared" si="7"/>
        <v>2.1980000000000111E-2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404769.03272348043</v>
      </c>
      <c r="D47" s="11">
        <v>1.8800000000000001E-2</v>
      </c>
      <c r="E47" s="10">
        <f t="shared" si="2"/>
        <v>7469.2361751093413</v>
      </c>
      <c r="F47" s="3"/>
      <c r="G47" s="28"/>
      <c r="H47" s="10"/>
      <c r="I47" s="10">
        <f t="shared" si="8"/>
        <v>4444</v>
      </c>
      <c r="J47" s="10">
        <f t="shared" si="6"/>
        <v>1798793581.423147</v>
      </c>
      <c r="K47" s="11">
        <f t="shared" si="7"/>
        <v>1.8799999999999928E-2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397299.79654837109</v>
      </c>
      <c r="D48" s="11">
        <v>2.1059999999999999E-2</v>
      </c>
      <c r="E48" s="10">
        <f t="shared" si="2"/>
        <v>8194.5563584007905</v>
      </c>
      <c r="F48" s="3"/>
      <c r="G48" s="28"/>
      <c r="H48" s="10"/>
      <c r="I48" s="10">
        <f t="shared" si="8"/>
        <v>4444</v>
      </c>
      <c r="J48" s="10">
        <f t="shared" si="6"/>
        <v>1765600295.8609612</v>
      </c>
      <c r="K48" s="11">
        <f t="shared" si="7"/>
        <v>2.1060000000000079E-2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389105.2401899703</v>
      </c>
      <c r="D49" s="11">
        <v>2.1819999999999999E-2</v>
      </c>
      <c r="E49" s="10">
        <f t="shared" si="2"/>
        <v>8308.974516984541</v>
      </c>
      <c r="F49" s="3"/>
      <c r="G49" s="28"/>
      <c r="H49" s="10"/>
      <c r="I49" s="10">
        <f t="shared" si="8"/>
        <v>4444</v>
      </c>
      <c r="J49" s="10">
        <f t="shared" si="6"/>
        <v>1729183687.404228</v>
      </c>
      <c r="K49" s="11">
        <f t="shared" si="7"/>
        <v>2.1819999999999951E-2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380796.26567298576</v>
      </c>
      <c r="D50" s="11">
        <v>2.2880000000000001E-2</v>
      </c>
      <c r="E50" s="10">
        <f t="shared" si="2"/>
        <v>8517.7328314151382</v>
      </c>
      <c r="F50" s="3"/>
      <c r="G50" s="28"/>
      <c r="H50" s="10"/>
      <c r="I50" s="10">
        <f t="shared" si="8"/>
        <v>4444</v>
      </c>
      <c r="J50" s="10">
        <f t="shared" si="6"/>
        <v>1692258604.6507487</v>
      </c>
      <c r="K50" s="11">
        <f t="shared" si="7"/>
        <v>2.2880000000000011E-2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372278.53284157062</v>
      </c>
      <c r="D51" s="11">
        <v>3.0249999999999999E-2</v>
      </c>
      <c r="E51" s="10">
        <f t="shared" si="2"/>
        <v>10930.769831067766</v>
      </c>
      <c r="F51" s="3"/>
      <c r="G51" s="28"/>
      <c r="H51" s="10"/>
      <c r="I51" s="10">
        <f t="shared" si="8"/>
        <v>4444</v>
      </c>
      <c r="J51" s="10">
        <f t="shared" si="6"/>
        <v>1654405799.9479399</v>
      </c>
      <c r="K51" s="11">
        <f t="shared" si="7"/>
        <v>3.0250000000000332E-2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361347.76301050285</v>
      </c>
      <c r="D52" s="11">
        <v>3.1719999999999998E-2</v>
      </c>
      <c r="E52" s="10">
        <f t="shared" si="2"/>
        <v>11109.555928636808</v>
      </c>
      <c r="F52" s="3"/>
      <c r="G52" s="28"/>
      <c r="H52" s="10"/>
      <c r="I52" s="10">
        <f t="shared" si="8"/>
        <v>4444</v>
      </c>
      <c r="J52" s="10">
        <f t="shared" si="6"/>
        <v>1605829458.8186746</v>
      </c>
      <c r="K52" s="11">
        <f t="shared" si="7"/>
        <v>3.171999999999997E-2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350238.20708186604</v>
      </c>
      <c r="D53" s="11">
        <v>3.3050000000000003E-2</v>
      </c>
      <c r="E53" s="10">
        <f t="shared" si="2"/>
        <v>11205.045974595298</v>
      </c>
      <c r="F53" s="3"/>
      <c r="G53" s="28"/>
      <c r="H53" s="10"/>
      <c r="I53" s="10">
        <f t="shared" si="8"/>
        <v>4444</v>
      </c>
      <c r="J53" s="10">
        <f t="shared" si="6"/>
        <v>1556458592.2718127</v>
      </c>
      <c r="K53" s="11">
        <f t="shared" si="7"/>
        <v>3.3050000000000024E-2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339033.16110727075</v>
      </c>
      <c r="D54" s="11">
        <v>3.4349999999999999E-2</v>
      </c>
      <c r="E54" s="10">
        <f t="shared" si="2"/>
        <v>11259.041024831822</v>
      </c>
      <c r="F54" s="3"/>
      <c r="G54" s="28"/>
      <c r="H54" s="10"/>
      <c r="I54" s="10">
        <f t="shared" si="8"/>
        <v>4444</v>
      </c>
      <c r="J54" s="10">
        <f t="shared" si="6"/>
        <v>1506663367.9607112</v>
      </c>
      <c r="K54" s="11">
        <f t="shared" si="7"/>
        <v>3.4350000000000325E-2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327774.12008243892</v>
      </c>
      <c r="D55" s="11">
        <v>3.5069999999999997E-2</v>
      </c>
      <c r="E55" s="10">
        <f t="shared" si="2"/>
        <v>11105.566185176955</v>
      </c>
      <c r="F55" s="3"/>
      <c r="G55" s="28"/>
      <c r="H55" s="10"/>
      <c r="I55" s="10">
        <f t="shared" si="8"/>
        <v>4444</v>
      </c>
      <c r="J55" s="10">
        <f t="shared" si="6"/>
        <v>1456628189.6463585</v>
      </c>
      <c r="K55" s="11">
        <f t="shared" si="7"/>
        <v>3.5069999999999713E-2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316668.55389726197</v>
      </c>
      <c r="D56" s="11">
        <v>3.5819999999999998E-2</v>
      </c>
      <c r="E56" s="10">
        <f t="shared" si="2"/>
        <v>10950.80960070272</v>
      </c>
      <c r="F56" s="3"/>
      <c r="G56" s="28"/>
      <c r="H56" s="10"/>
      <c r="I56" s="10">
        <f t="shared" si="8"/>
        <v>4444</v>
      </c>
      <c r="J56" s="10">
        <f t="shared" si="6"/>
        <v>1407275053.5194323</v>
      </c>
      <c r="K56" s="11">
        <f t="shared" si="7"/>
        <v>3.5819999999999963E-2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305717.74429655925</v>
      </c>
      <c r="D57" s="11">
        <v>3.6600000000000001E-2</v>
      </c>
      <c r="E57" s="10">
        <f t="shared" si="2"/>
        <v>10794.201660480467</v>
      </c>
      <c r="F57" s="3"/>
      <c r="G57" s="28"/>
      <c r="H57" s="10"/>
      <c r="I57" s="10">
        <f t="shared" si="8"/>
        <v>4444</v>
      </c>
      <c r="J57" s="10">
        <f t="shared" si="6"/>
        <v>1358609655.6539092</v>
      </c>
      <c r="K57" s="11">
        <f t="shared" si="7"/>
        <v>3.6599999999999966E-2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294923.54263607878</v>
      </c>
      <c r="D58" s="11">
        <v>3.7569999999999999E-2</v>
      </c>
      <c r="E58" s="10">
        <f t="shared" si="2"/>
        <v>10679.06502388994</v>
      </c>
      <c r="F58" s="3"/>
      <c r="G58" s="28"/>
      <c r="H58" s="10"/>
      <c r="I58" s="10">
        <f t="shared" si="8"/>
        <v>4444</v>
      </c>
      <c r="J58" s="10">
        <f t="shared" si="6"/>
        <v>1310640223.4747341</v>
      </c>
      <c r="K58" s="11">
        <f t="shared" si="7"/>
        <v>3.7569999999999881E-2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284244.47761218884</v>
      </c>
      <c r="D59" s="11">
        <v>3.8670000000000003E-2</v>
      </c>
      <c r="E59" s="10">
        <f t="shared" si="2"/>
        <v>10582.508351317898</v>
      </c>
      <c r="F59" s="3"/>
      <c r="G59" s="28"/>
      <c r="H59" s="10"/>
      <c r="I59" s="10">
        <f t="shared" si="8"/>
        <v>4444</v>
      </c>
      <c r="J59" s="10">
        <f t="shared" si="6"/>
        <v>1263182458.5085673</v>
      </c>
      <c r="K59" s="11">
        <f t="shared" si="7"/>
        <v>3.8670000000000204E-2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273661.96926087094</v>
      </c>
      <c r="D60" s="11">
        <v>4.0120000000000003E-2</v>
      </c>
      <c r="E60" s="10">
        <f t="shared" si="2"/>
        <v>10555.818758168432</v>
      </c>
      <c r="F60" s="3"/>
      <c r="G60" s="28"/>
      <c r="H60" s="10"/>
      <c r="I60" s="10">
        <f t="shared" si="8"/>
        <v>4444</v>
      </c>
      <c r="J60" s="10">
        <f t="shared" si="6"/>
        <v>1216153791.3953104</v>
      </c>
      <c r="K60" s="11">
        <f t="shared" si="7"/>
        <v>4.0119999999999933E-2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263106.15050270251</v>
      </c>
      <c r="D61" s="11">
        <v>3.9570000000000001E-2</v>
      </c>
      <c r="E61" s="10">
        <f t="shared" si="2"/>
        <v>10014.823797716323</v>
      </c>
      <c r="F61" s="3"/>
      <c r="G61" s="28"/>
      <c r="H61" s="10"/>
      <c r="I61" s="10">
        <f t="shared" si="8"/>
        <v>4444</v>
      </c>
      <c r="J61" s="10">
        <f t="shared" si="6"/>
        <v>1169243732.8340099</v>
      </c>
      <c r="K61" s="11">
        <f t="shared" si="7"/>
        <v>3.9570000000000105E-2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253091.32670498619</v>
      </c>
      <c r="D62" s="11">
        <v>3.8300000000000001E-2</v>
      </c>
      <c r="E62" s="10">
        <f t="shared" si="2"/>
        <v>9335.8353200433194</v>
      </c>
      <c r="F62" s="3"/>
      <c r="G62" s="28"/>
      <c r="H62" s="10"/>
      <c r="I62" s="10">
        <f t="shared" si="8"/>
        <v>4444</v>
      </c>
      <c r="J62" s="10">
        <f t="shared" si="6"/>
        <v>1124737855.8769586</v>
      </c>
      <c r="K62" s="11">
        <f t="shared" si="7"/>
        <v>3.8300000000000001E-2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243755.49138494287</v>
      </c>
      <c r="D63" s="11">
        <v>3.6970000000000003E-2</v>
      </c>
      <c r="E63" s="10">
        <f t="shared" si="2"/>
        <v>8690.3579819101142</v>
      </c>
      <c r="F63" s="3"/>
      <c r="G63" s="28"/>
      <c r="H63" s="10"/>
      <c r="I63" s="10">
        <f t="shared" si="8"/>
        <v>4444</v>
      </c>
      <c r="J63" s="10">
        <f t="shared" si="6"/>
        <v>1083249403.7146862</v>
      </c>
      <c r="K63" s="11">
        <f t="shared" si="7"/>
        <v>3.6969999999999947E-2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235065.13340303276</v>
      </c>
      <c r="D64" s="11">
        <v>3.653E-2</v>
      </c>
      <c r="E64" s="10">
        <f t="shared" si="2"/>
        <v>8284.3037087327684</v>
      </c>
      <c r="F64" s="3"/>
      <c r="G64" s="28"/>
      <c r="H64" s="10"/>
      <c r="I64" s="10">
        <f t="shared" si="8"/>
        <v>4444</v>
      </c>
      <c r="J64" s="10">
        <f t="shared" si="6"/>
        <v>1044629452.8430775</v>
      </c>
      <c r="K64" s="11">
        <f t="shared" si="7"/>
        <v>3.6529999999999951E-2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226780.82969429999</v>
      </c>
      <c r="D65" s="11">
        <v>3.6330000000000001E-2</v>
      </c>
      <c r="E65" s="10">
        <f t="shared" si="2"/>
        <v>7950.1196942999959</v>
      </c>
      <c r="F65" s="3"/>
      <c r="G65" s="28"/>
      <c r="H65" s="10"/>
      <c r="I65" s="10">
        <f t="shared" si="8"/>
        <v>4444</v>
      </c>
      <c r="J65" s="10">
        <f t="shared" si="6"/>
        <v>1007814007.1614691</v>
      </c>
      <c r="K65" s="11">
        <f t="shared" si="7"/>
        <v>3.6329999999999973E-2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218830.71</v>
      </c>
      <c r="D66" s="11">
        <v>3.5150000000000001E-2</v>
      </c>
      <c r="E66" s="10">
        <f t="shared" si="2"/>
        <v>7430.7099999999919</v>
      </c>
      <c r="F66" s="24">
        <f>SUM(F2)</f>
        <v>635532</v>
      </c>
      <c r="G66" s="28"/>
      <c r="H66" s="10"/>
      <c r="I66" s="10">
        <f t="shared" si="8"/>
        <v>4444</v>
      </c>
      <c r="J66" s="10">
        <f t="shared" ref="J66:J67" si="9">IF(I66="","",I66*C66)</f>
        <v>972483675.24000001</v>
      </c>
      <c r="K66" s="11">
        <f t="shared" ref="K66" si="10">IFERROR(J66/J67-1,"")</f>
        <v>3.5150000000000015E-2</v>
      </c>
    </row>
    <row r="67" spans="1:11" ht="22.5" customHeight="1">
      <c r="A67" s="3">
        <f t="shared" si="0"/>
        <v>1950</v>
      </c>
      <c r="B67" s="3">
        <v>1700</v>
      </c>
      <c r="C67" s="10">
        <v>211400</v>
      </c>
      <c r="D67" s="11">
        <v>3.3730000000000003E-2</v>
      </c>
      <c r="E67" s="3" t="s">
        <v>72</v>
      </c>
      <c r="F67" s="10">
        <f>SUM(C2)</f>
        <v>635530.82083405391</v>
      </c>
      <c r="G67" s="28"/>
      <c r="H67" s="10"/>
      <c r="I67" s="10">
        <f t="shared" ref="I67" si="11">IF(H67&lt;&gt;"",H67,I66/(1+IF(G66="",0,G66)/100))</f>
        <v>4444</v>
      </c>
      <c r="J67" s="10">
        <f t="shared" si="9"/>
        <v>939461600</v>
      </c>
      <c r="K67" s="11"/>
    </row>
  </sheetData>
  <dataValidations count="1">
    <dataValidation type="custom" allowBlank="1" showDropDown="1" sqref="D2:D67" xr:uid="{00000000-0002-0000-5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6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6231300.9585402627</v>
      </c>
      <c r="D2" s="11">
        <v>-1.9990000000000001E-2</v>
      </c>
      <c r="E2" s="10">
        <f t="shared" ref="E2:E66" si="2">SUM(C2-C3)</f>
        <v>-127104.52562853415</v>
      </c>
      <c r="F2" s="15">
        <v>6231859</v>
      </c>
      <c r="G2" s="28"/>
      <c r="H2" s="10"/>
      <c r="I2" s="10">
        <f>IF(H2&lt;&gt;"",H2,310)</f>
        <v>310</v>
      </c>
      <c r="J2" s="10">
        <f t="shared" ref="J2:J33" si="3">IF(I2="","",I2*C2)</f>
        <v>1931703297.1474814</v>
      </c>
      <c r="K2" s="11">
        <f t="shared" ref="K2:K33" si="4">IFERROR(J2/J3-1,"")</f>
        <v>-1.9990000000000063E-2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6358405.4841687968</v>
      </c>
      <c r="D3" s="11">
        <v>-2.069E-2</v>
      </c>
      <c r="E3" s="10">
        <f t="shared" si="2"/>
        <v>-134334.79640507326</v>
      </c>
      <c r="F3" s="3"/>
      <c r="G3" s="28"/>
      <c r="H3" s="10"/>
      <c r="I3" s="10">
        <f t="shared" ref="I3:I34" si="5">IF(H3&lt;&gt;"",H3,I2/(1+IF(G2="",0,G2)/100))</f>
        <v>310</v>
      </c>
      <c r="J3" s="10">
        <f t="shared" si="3"/>
        <v>1971105700.0923271</v>
      </c>
      <c r="K3" s="11">
        <f t="shared" si="4"/>
        <v>-2.0689999999999986E-2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6492740.2805738701</v>
      </c>
      <c r="D4" s="11">
        <v>-5.8619999999999998E-2</v>
      </c>
      <c r="E4" s="10">
        <f t="shared" si="2"/>
        <v>-404304.78154118452</v>
      </c>
      <c r="F4" s="3"/>
      <c r="G4" s="28"/>
      <c r="H4" s="10"/>
      <c r="I4" s="10">
        <f t="shared" si="5"/>
        <v>310</v>
      </c>
      <c r="J4" s="10">
        <f t="shared" si="3"/>
        <v>2012749486.9778998</v>
      </c>
      <c r="K4" s="11">
        <f t="shared" si="4"/>
        <v>-5.8620000000000005E-2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6897045.0621150546</v>
      </c>
      <c r="D5" s="11">
        <v>2.281E-2</v>
      </c>
      <c r="E5" s="10">
        <f t="shared" si="2"/>
        <v>153813.1205862714</v>
      </c>
      <c r="F5" s="3"/>
      <c r="G5" s="28"/>
      <c r="H5" s="10"/>
      <c r="I5" s="10">
        <f t="shared" si="5"/>
        <v>310</v>
      </c>
      <c r="J5" s="10">
        <f t="shared" si="3"/>
        <v>2138083969.255667</v>
      </c>
      <c r="K5" s="11">
        <f t="shared" si="4"/>
        <v>2.2809999999999997E-2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6743231.9415287832</v>
      </c>
      <c r="D6" s="11">
        <v>5.4599999999999996E-3</v>
      </c>
      <c r="E6" s="10">
        <f t="shared" si="2"/>
        <v>36618.111511892639</v>
      </c>
      <c r="F6" s="3"/>
      <c r="G6" s="28"/>
      <c r="H6" s="10"/>
      <c r="I6" s="10">
        <f t="shared" si="5"/>
        <v>310</v>
      </c>
      <c r="J6" s="10">
        <f t="shared" si="3"/>
        <v>2090401901.8739228</v>
      </c>
      <c r="K6" s="11">
        <f t="shared" si="4"/>
        <v>5.4600000000000204E-3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6706613.8300168905</v>
      </c>
      <c r="D7" s="11">
        <v>2.4764999999999999E-2</v>
      </c>
      <c r="E7" s="10">
        <f t="shared" si="2"/>
        <v>162075.49194241408</v>
      </c>
      <c r="F7" s="3"/>
      <c r="G7" s="28"/>
      <c r="H7" s="10"/>
      <c r="I7" s="10">
        <f t="shared" si="5"/>
        <v>310</v>
      </c>
      <c r="J7" s="10">
        <f t="shared" si="3"/>
        <v>2079050287.3052361</v>
      </c>
      <c r="K7" s="11">
        <f t="shared" si="4"/>
        <v>2.4764999999999926E-2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6544538.3380744765</v>
      </c>
      <c r="D8" s="11">
        <v>2.3279999999999999E-2</v>
      </c>
      <c r="E8" s="10">
        <f t="shared" si="2"/>
        <v>148890.67753730528</v>
      </c>
      <c r="F8" s="3"/>
      <c r="G8" s="28"/>
      <c r="H8" s="10"/>
      <c r="I8" s="10">
        <f t="shared" si="5"/>
        <v>310</v>
      </c>
      <c r="J8" s="10">
        <f t="shared" si="3"/>
        <v>2028806884.8030877</v>
      </c>
      <c r="K8" s="11">
        <f t="shared" si="4"/>
        <v>2.3279999999999967E-2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6395647.6605371712</v>
      </c>
      <c r="D9" s="11">
        <v>2.9794999999999999E-2</v>
      </c>
      <c r="E9" s="10">
        <f t="shared" si="2"/>
        <v>185044.90898256935</v>
      </c>
      <c r="F9" s="3"/>
      <c r="G9" s="28"/>
      <c r="H9" s="10"/>
      <c r="I9" s="10">
        <f t="shared" si="5"/>
        <v>310</v>
      </c>
      <c r="J9" s="10">
        <f t="shared" si="3"/>
        <v>1982650774.7665231</v>
      </c>
      <c r="K9" s="11">
        <f t="shared" si="4"/>
        <v>2.9795000000000016E-2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6210602.7515546018</v>
      </c>
      <c r="D10" s="11">
        <v>3.2309999999999998E-2</v>
      </c>
      <c r="E10" s="10">
        <f t="shared" si="2"/>
        <v>194384.0269906614</v>
      </c>
      <c r="F10" s="3"/>
      <c r="G10" s="28"/>
      <c r="H10" s="10"/>
      <c r="I10" s="10">
        <f t="shared" si="5"/>
        <v>310</v>
      </c>
      <c r="J10" s="10">
        <f t="shared" si="3"/>
        <v>1925286852.9819267</v>
      </c>
      <c r="K10" s="11">
        <f t="shared" si="4"/>
        <v>3.2310000000000283E-2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6016218.7245639404</v>
      </c>
      <c r="D11" s="11">
        <v>3.4825000000000002E-2</v>
      </c>
      <c r="E11" s="10">
        <f t="shared" si="2"/>
        <v>202464.00800419413</v>
      </c>
      <c r="F11" s="3"/>
      <c r="G11" s="28"/>
      <c r="H11" s="10"/>
      <c r="I11" s="10">
        <f t="shared" si="5"/>
        <v>310</v>
      </c>
      <c r="J11" s="10">
        <f t="shared" si="3"/>
        <v>1865027804.6148214</v>
      </c>
      <c r="K11" s="11">
        <f t="shared" si="4"/>
        <v>3.4825000000000106E-2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5813754.7165597463</v>
      </c>
      <c r="D12" s="11">
        <v>3.7339999999999998E-2</v>
      </c>
      <c r="E12" s="10">
        <f t="shared" si="2"/>
        <v>209271.40678691678</v>
      </c>
      <c r="F12" s="3"/>
      <c r="G12" s="28"/>
      <c r="H12" s="10"/>
      <c r="I12" s="10">
        <f t="shared" si="5"/>
        <v>310</v>
      </c>
      <c r="J12" s="10">
        <f t="shared" si="3"/>
        <v>1802263962.1335213</v>
      </c>
      <c r="K12" s="11">
        <f t="shared" si="4"/>
        <v>3.7339999999999707E-2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5604483.3097728295</v>
      </c>
      <c r="D13" s="11">
        <v>3.9855000000000002E-2</v>
      </c>
      <c r="E13" s="10">
        <f t="shared" si="2"/>
        <v>214805.60492664482</v>
      </c>
      <c r="F13" s="3"/>
      <c r="G13" s="28"/>
      <c r="H13" s="10"/>
      <c r="I13" s="10">
        <f t="shared" si="5"/>
        <v>310</v>
      </c>
      <c r="J13" s="10">
        <f t="shared" si="3"/>
        <v>1737389826.0295773</v>
      </c>
      <c r="K13" s="11">
        <f t="shared" si="4"/>
        <v>3.9855000000000196E-2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5389677.7048461847</v>
      </c>
      <c r="D14" s="11">
        <v>4.2369999999999998E-2</v>
      </c>
      <c r="E14" s="10">
        <f t="shared" si="2"/>
        <v>219078.29691408295</v>
      </c>
      <c r="F14" s="3"/>
      <c r="G14" s="28"/>
      <c r="H14" s="10"/>
      <c r="I14" s="10">
        <f t="shared" si="5"/>
        <v>310</v>
      </c>
      <c r="J14" s="10">
        <f t="shared" si="3"/>
        <v>1670800088.5023172</v>
      </c>
      <c r="K14" s="11">
        <f t="shared" si="4"/>
        <v>4.2370000000000019E-2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5170599.4079321017</v>
      </c>
      <c r="D15" s="11">
        <v>4.0800000000000003E-2</v>
      </c>
      <c r="E15" s="10">
        <f t="shared" si="2"/>
        <v>202690.67625252623</v>
      </c>
      <c r="F15" s="3"/>
      <c r="G15" s="28"/>
      <c r="H15" s="10"/>
      <c r="I15" s="10">
        <f t="shared" si="5"/>
        <v>310</v>
      </c>
      <c r="J15" s="10">
        <f t="shared" si="3"/>
        <v>1602885816.4589515</v>
      </c>
      <c r="K15" s="11">
        <f t="shared" si="4"/>
        <v>4.0799999999999725E-2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4967908.7316795755</v>
      </c>
      <c r="D16" s="11">
        <v>4.8370000000000003E-2</v>
      </c>
      <c r="E16" s="10">
        <f t="shared" si="2"/>
        <v>229210.81808077451</v>
      </c>
      <c r="F16" s="3"/>
      <c r="G16" s="28"/>
      <c r="H16" s="10"/>
      <c r="I16" s="10">
        <f t="shared" si="5"/>
        <v>310</v>
      </c>
      <c r="J16" s="10">
        <f t="shared" si="3"/>
        <v>1540051706.8206685</v>
      </c>
      <c r="K16" s="11">
        <f t="shared" si="4"/>
        <v>4.8370000000000024E-2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4738697.913598801</v>
      </c>
      <c r="D17" s="11">
        <v>6.0229999999999999E-2</v>
      </c>
      <c r="E17" s="10">
        <f t="shared" si="2"/>
        <v>269197.98094381019</v>
      </c>
      <c r="F17" s="3"/>
      <c r="G17" s="28"/>
      <c r="H17" s="10"/>
      <c r="I17" s="10">
        <f t="shared" si="5"/>
        <v>310</v>
      </c>
      <c r="J17" s="10">
        <f t="shared" si="3"/>
        <v>1468996353.2156284</v>
      </c>
      <c r="K17" s="11">
        <f t="shared" si="4"/>
        <v>6.0230000000000006E-2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4469499.9326549908</v>
      </c>
      <c r="D18" s="11">
        <v>4.5229999999999999E-2</v>
      </c>
      <c r="E18" s="10">
        <f t="shared" si="2"/>
        <v>193407.65377379674</v>
      </c>
      <c r="F18" s="3"/>
      <c r="G18" s="28"/>
      <c r="H18" s="10"/>
      <c r="I18" s="10">
        <f t="shared" si="5"/>
        <v>310</v>
      </c>
      <c r="J18" s="10">
        <f t="shared" si="3"/>
        <v>1385544979.1230471</v>
      </c>
      <c r="K18" s="11">
        <f t="shared" si="4"/>
        <v>4.5230000000000103E-2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4276092.2788811941</v>
      </c>
      <c r="D19" s="11">
        <v>4.9209999999999997E-2</v>
      </c>
      <c r="E19" s="10">
        <f t="shared" si="2"/>
        <v>200557.08680220647</v>
      </c>
      <c r="F19" s="3"/>
      <c r="G19" s="28"/>
      <c r="H19" s="10"/>
      <c r="I19" s="10">
        <f t="shared" si="5"/>
        <v>310</v>
      </c>
      <c r="J19" s="10">
        <f t="shared" si="3"/>
        <v>1325588606.4531701</v>
      </c>
      <c r="K19" s="11">
        <f t="shared" si="4"/>
        <v>4.9209999999999976E-2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4075535.1920789876</v>
      </c>
      <c r="D20" s="11">
        <v>6.0539999999999997E-2</v>
      </c>
      <c r="E20" s="10">
        <f t="shared" si="2"/>
        <v>232648.36831091903</v>
      </c>
      <c r="F20" s="3"/>
      <c r="G20" s="28"/>
      <c r="H20" s="10"/>
      <c r="I20" s="10">
        <f t="shared" si="5"/>
        <v>310</v>
      </c>
      <c r="J20" s="10">
        <f t="shared" si="3"/>
        <v>1263415909.544486</v>
      </c>
      <c r="K20" s="11">
        <f t="shared" si="4"/>
        <v>6.0539999999999816E-2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3842886.8237680686</v>
      </c>
      <c r="D21" s="11">
        <v>8.0240000000000006E-2</v>
      </c>
      <c r="E21" s="10">
        <f t="shared" si="2"/>
        <v>285448.82501957892</v>
      </c>
      <c r="F21" s="3"/>
      <c r="G21" s="28"/>
      <c r="H21" s="10"/>
      <c r="I21" s="10">
        <f t="shared" si="5"/>
        <v>310</v>
      </c>
      <c r="J21" s="10">
        <f t="shared" si="3"/>
        <v>1191294915.3681014</v>
      </c>
      <c r="K21" s="11">
        <f t="shared" si="4"/>
        <v>8.0240000000000311E-2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3557437.9987484897</v>
      </c>
      <c r="D22" s="11">
        <v>0.14904000000000001</v>
      </c>
      <c r="E22" s="10">
        <f t="shared" si="2"/>
        <v>461429.15767377568</v>
      </c>
      <c r="F22" s="3"/>
      <c r="G22" s="28"/>
      <c r="H22" s="10"/>
      <c r="I22" s="10">
        <f t="shared" si="5"/>
        <v>310</v>
      </c>
      <c r="J22" s="10">
        <f t="shared" si="3"/>
        <v>1102805779.6120317</v>
      </c>
      <c r="K22" s="11">
        <f t="shared" si="4"/>
        <v>0.14904000000000006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3096008.841074714</v>
      </c>
      <c r="D23" s="11">
        <v>8.7300000000000003E-2</v>
      </c>
      <c r="E23" s="10">
        <f t="shared" si="2"/>
        <v>248580.49464344932</v>
      </c>
      <c r="F23" s="3"/>
      <c r="G23" s="28"/>
      <c r="H23" s="10"/>
      <c r="I23" s="10">
        <f t="shared" si="5"/>
        <v>310</v>
      </c>
      <c r="J23" s="10">
        <f t="shared" si="3"/>
        <v>959762740.73316133</v>
      </c>
      <c r="K23" s="11">
        <f t="shared" si="4"/>
        <v>8.7299999999999933E-2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2847428.3464312647</v>
      </c>
      <c r="D24" s="11">
        <v>2.6040000000000001E-2</v>
      </c>
      <c r="E24" s="10">
        <f t="shared" si="2"/>
        <v>72265.247106418945</v>
      </c>
      <c r="F24" s="3"/>
      <c r="G24" s="28"/>
      <c r="H24" s="10"/>
      <c r="I24" s="10">
        <f t="shared" si="5"/>
        <v>310</v>
      </c>
      <c r="J24" s="10">
        <f t="shared" si="3"/>
        <v>882702787.39369202</v>
      </c>
      <c r="K24" s="11">
        <f t="shared" si="4"/>
        <v>2.6039999999999841E-2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2775163.0993248457</v>
      </c>
      <c r="D25" s="11">
        <v>-4.471E-2</v>
      </c>
      <c r="E25" s="10">
        <f t="shared" si="2"/>
        <v>-129884.68650442688</v>
      </c>
      <c r="F25" s="3"/>
      <c r="G25" s="28"/>
      <c r="H25" s="10"/>
      <c r="I25" s="10">
        <f t="shared" si="5"/>
        <v>310</v>
      </c>
      <c r="J25" s="10">
        <f t="shared" si="3"/>
        <v>860300560.79070222</v>
      </c>
      <c r="K25" s="11">
        <f t="shared" si="4"/>
        <v>-4.4709999999999916E-2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2905047.7858292726</v>
      </c>
      <c r="D26" s="11">
        <v>-3.4700000000000002E-2</v>
      </c>
      <c r="E26" s="10">
        <f t="shared" si="2"/>
        <v>-104428.83887731843</v>
      </c>
      <c r="F26" s="3"/>
      <c r="G26" s="28"/>
      <c r="H26" s="10"/>
      <c r="I26" s="10">
        <f t="shared" si="5"/>
        <v>310</v>
      </c>
      <c r="J26" s="10">
        <f t="shared" si="3"/>
        <v>900564813.6070745</v>
      </c>
      <c r="K26" s="11">
        <f t="shared" si="4"/>
        <v>-3.4699999999999842E-2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3009476.624706591</v>
      </c>
      <c r="D27" s="11">
        <v>4.4810000000000003E-2</v>
      </c>
      <c r="E27" s="10">
        <f t="shared" si="2"/>
        <v>129070.97707056999</v>
      </c>
      <c r="F27" s="3"/>
      <c r="G27" s="28"/>
      <c r="H27" s="10"/>
      <c r="I27" s="10">
        <f t="shared" si="5"/>
        <v>310</v>
      </c>
      <c r="J27" s="10">
        <f t="shared" si="3"/>
        <v>932937753.65904319</v>
      </c>
      <c r="K27" s="11">
        <f t="shared" si="4"/>
        <v>4.4810000000000016E-2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2880405.647636021</v>
      </c>
      <c r="D28" s="11">
        <v>4.3490000000000001E-2</v>
      </c>
      <c r="E28" s="10">
        <f t="shared" si="2"/>
        <v>120047.95600886503</v>
      </c>
      <c r="F28" s="3"/>
      <c r="G28" s="28"/>
      <c r="H28" s="10"/>
      <c r="I28" s="10">
        <f t="shared" si="5"/>
        <v>310</v>
      </c>
      <c r="J28" s="10">
        <f t="shared" si="3"/>
        <v>892925750.7671665</v>
      </c>
      <c r="K28" s="11">
        <f t="shared" si="4"/>
        <v>4.3490000000000029E-2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2760357.691627156</v>
      </c>
      <c r="D29" s="11">
        <v>3.9280000000000002E-2</v>
      </c>
      <c r="E29" s="10">
        <f t="shared" si="2"/>
        <v>104328.81430135714</v>
      </c>
      <c r="F29" s="3"/>
      <c r="G29" s="28"/>
      <c r="H29" s="10"/>
      <c r="I29" s="10">
        <f t="shared" si="5"/>
        <v>310</v>
      </c>
      <c r="J29" s="10">
        <f t="shared" si="3"/>
        <v>855710884.40441835</v>
      </c>
      <c r="K29" s="11">
        <f t="shared" si="4"/>
        <v>3.927999999999976E-2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2656028.8773257989</v>
      </c>
      <c r="D30" s="11">
        <v>3.0810000000000001E-2</v>
      </c>
      <c r="E30" s="10">
        <f t="shared" si="2"/>
        <v>79386.356079595629</v>
      </c>
      <c r="F30" s="3"/>
      <c r="G30" s="28"/>
      <c r="H30" s="10"/>
      <c r="I30" s="10">
        <f t="shared" si="5"/>
        <v>310</v>
      </c>
      <c r="J30" s="10">
        <f t="shared" si="3"/>
        <v>823368951.97099769</v>
      </c>
      <c r="K30" s="11">
        <f t="shared" si="4"/>
        <v>3.0810000000000004E-2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2576642.5212462032</v>
      </c>
      <c r="D31" s="11">
        <v>3.5139999999999998E-2</v>
      </c>
      <c r="E31" s="10">
        <f t="shared" si="2"/>
        <v>87469.538609841838</v>
      </c>
      <c r="F31" s="3"/>
      <c r="G31" s="28"/>
      <c r="H31" s="10"/>
      <c r="I31" s="10">
        <f t="shared" si="5"/>
        <v>310</v>
      </c>
      <c r="J31" s="10">
        <f t="shared" si="3"/>
        <v>798759181.58632302</v>
      </c>
      <c r="K31" s="11">
        <f t="shared" si="4"/>
        <v>3.5140000000000171E-2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2489172.9826363614</v>
      </c>
      <c r="D32" s="11">
        <v>3.44E-2</v>
      </c>
      <c r="E32" s="10">
        <f t="shared" si="2"/>
        <v>82779.921309639234</v>
      </c>
      <c r="F32" s="3"/>
      <c r="G32" s="28"/>
      <c r="H32" s="10"/>
      <c r="I32" s="10">
        <f t="shared" si="5"/>
        <v>310</v>
      </c>
      <c r="J32" s="10">
        <f t="shared" si="3"/>
        <v>771643624.61727202</v>
      </c>
      <c r="K32" s="11">
        <f t="shared" si="4"/>
        <v>3.4399999999999986E-2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2406393.0613267221</v>
      </c>
      <c r="D33" s="11">
        <v>3.5860000000000003E-2</v>
      </c>
      <c r="E33" s="10">
        <f t="shared" si="2"/>
        <v>83305.905411133077</v>
      </c>
      <c r="F33" s="3"/>
      <c r="G33" s="28"/>
      <c r="H33" s="10"/>
      <c r="I33" s="10">
        <f t="shared" si="5"/>
        <v>310</v>
      </c>
      <c r="J33" s="10">
        <f t="shared" si="3"/>
        <v>745981849.01128387</v>
      </c>
      <c r="K33" s="11">
        <f t="shared" si="4"/>
        <v>3.5860000000000003E-2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2323087.1559155891</v>
      </c>
      <c r="D34" s="11">
        <v>3.9122999999999998E-2</v>
      </c>
      <c r="E34" s="10">
        <f t="shared" si="2"/>
        <v>87464.274008837994</v>
      </c>
      <c r="F34" s="3"/>
      <c r="G34" s="28"/>
      <c r="H34" s="10"/>
      <c r="I34" s="10">
        <f t="shared" si="5"/>
        <v>310</v>
      </c>
      <c r="J34" s="10">
        <f t="shared" ref="J34:J65" si="6">IF(I34="","",I34*C34)</f>
        <v>720157018.33383262</v>
      </c>
      <c r="K34" s="11">
        <f t="shared" ref="K34:K65" si="7">IFERROR(J34/J35-1,"")</f>
        <v>3.9123000000000241E-2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2235622.8819067511</v>
      </c>
      <c r="D35" s="11">
        <v>4.3797999999999997E-2</v>
      </c>
      <c r="E35" s="10">
        <f t="shared" si="2"/>
        <v>93807.241421953309</v>
      </c>
      <c r="F35" s="3"/>
      <c r="G35" s="28"/>
      <c r="H35" s="10"/>
      <c r="I35" s="10">
        <f t="shared" ref="I35:I66" si="8">IF(H35&lt;&gt;"",H35,I34/(1+IF(G34="",0,G34)/100))</f>
        <v>310</v>
      </c>
      <c r="J35" s="10">
        <f t="shared" si="6"/>
        <v>693043093.39109278</v>
      </c>
      <c r="K35" s="11">
        <f t="shared" si="7"/>
        <v>4.3797999999999782E-2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2141815.6404847978</v>
      </c>
      <c r="D36" s="11">
        <v>2.8472999999999998E-2</v>
      </c>
      <c r="E36" s="10">
        <f t="shared" si="2"/>
        <v>59295.593303395901</v>
      </c>
      <c r="F36" s="3"/>
      <c r="G36" s="28"/>
      <c r="H36" s="10"/>
      <c r="I36" s="10">
        <f t="shared" si="8"/>
        <v>310</v>
      </c>
      <c r="J36" s="10">
        <f t="shared" si="6"/>
        <v>663962848.55028737</v>
      </c>
      <c r="K36" s="11">
        <f t="shared" si="7"/>
        <v>2.8473000000000193E-2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2082520.0471814019</v>
      </c>
      <c r="D37" s="11">
        <v>9.7999999999999997E-3</v>
      </c>
      <c r="E37" s="10">
        <f t="shared" si="2"/>
        <v>20210.632266169414</v>
      </c>
      <c r="F37" s="3"/>
      <c r="G37" s="28"/>
      <c r="H37" s="10"/>
      <c r="I37" s="10">
        <f t="shared" si="8"/>
        <v>310</v>
      </c>
      <c r="J37" s="10">
        <f t="shared" si="6"/>
        <v>645581214.62623453</v>
      </c>
      <c r="K37" s="11">
        <f t="shared" si="7"/>
        <v>9.8000000000000309E-3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2062309.4149152325</v>
      </c>
      <c r="D38" s="11">
        <v>8.9499999999999996E-3</v>
      </c>
      <c r="E38" s="10">
        <f t="shared" si="2"/>
        <v>18293.938513792818</v>
      </c>
      <c r="F38" s="3"/>
      <c r="G38" s="28"/>
      <c r="H38" s="10"/>
      <c r="I38" s="10">
        <f t="shared" si="8"/>
        <v>310</v>
      </c>
      <c r="J38" s="10">
        <f t="shared" si="6"/>
        <v>639315918.62372208</v>
      </c>
      <c r="K38" s="11">
        <f t="shared" si="7"/>
        <v>8.9500000000000135E-3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2044015.4764014396</v>
      </c>
      <c r="D39" s="11">
        <v>-4.5909999999999999E-2</v>
      </c>
      <c r="E39" s="10">
        <f t="shared" si="2"/>
        <v>-98356.287689410849</v>
      </c>
      <c r="F39" s="3"/>
      <c r="G39" s="28"/>
      <c r="H39" s="10"/>
      <c r="I39" s="10">
        <f t="shared" si="8"/>
        <v>310</v>
      </c>
      <c r="J39" s="10">
        <f t="shared" si="6"/>
        <v>633644797.68444633</v>
      </c>
      <c r="K39" s="11">
        <f t="shared" si="7"/>
        <v>-4.5910000000000006E-2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2142371.7640908505</v>
      </c>
      <c r="D40" s="11">
        <v>-9.9900000000000006E-3</v>
      </c>
      <c r="E40" s="10">
        <f t="shared" si="2"/>
        <v>-21618.260344105307</v>
      </c>
      <c r="F40" s="3"/>
      <c r="G40" s="28"/>
      <c r="H40" s="10"/>
      <c r="I40" s="10">
        <f t="shared" si="8"/>
        <v>310</v>
      </c>
      <c r="J40" s="10">
        <f t="shared" si="6"/>
        <v>664135246.8681637</v>
      </c>
      <c r="K40" s="11">
        <f t="shared" si="7"/>
        <v>-9.9899999999999434E-3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2163990.0244349558</v>
      </c>
      <c r="D41" s="11">
        <v>-4.5909999999999999E-2</v>
      </c>
      <c r="E41" s="10">
        <f t="shared" si="2"/>
        <v>-104129.36098461226</v>
      </c>
      <c r="F41" s="3"/>
      <c r="G41" s="28"/>
      <c r="H41" s="10"/>
      <c r="I41" s="10">
        <f t="shared" si="8"/>
        <v>310</v>
      </c>
      <c r="J41" s="10">
        <f t="shared" si="6"/>
        <v>670836907.57483625</v>
      </c>
      <c r="K41" s="11">
        <f t="shared" si="7"/>
        <v>-4.5910000000000006E-2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2268119.385419568</v>
      </c>
      <c r="D42" s="11">
        <v>-1.25E-3</v>
      </c>
      <c r="E42" s="10">
        <f t="shared" si="2"/>
        <v>-2838.6976037789136</v>
      </c>
      <c r="F42" s="3"/>
      <c r="G42" s="28"/>
      <c r="H42" s="10"/>
      <c r="I42" s="10">
        <f t="shared" si="8"/>
        <v>310</v>
      </c>
      <c r="J42" s="10">
        <f t="shared" si="6"/>
        <v>703117009.48006606</v>
      </c>
      <c r="K42" s="11">
        <f t="shared" si="7"/>
        <v>-1.2499999999999734E-3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2270958.083023347</v>
      </c>
      <c r="D43" s="11">
        <v>1.7260000000000001E-2</v>
      </c>
      <c r="E43" s="10">
        <f t="shared" si="2"/>
        <v>38531.679720998742</v>
      </c>
      <c r="F43" s="3"/>
      <c r="G43" s="28"/>
      <c r="H43" s="10"/>
      <c r="I43" s="10">
        <f t="shared" si="8"/>
        <v>310</v>
      </c>
      <c r="J43" s="10">
        <f t="shared" si="6"/>
        <v>703997005.73723757</v>
      </c>
      <c r="K43" s="11">
        <f t="shared" si="7"/>
        <v>1.7260000000000275E-2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2232426.4033023482</v>
      </c>
      <c r="D44" s="11">
        <v>2.0619999999999999E-2</v>
      </c>
      <c r="E44" s="10">
        <f t="shared" si="2"/>
        <v>45102.616484190803</v>
      </c>
      <c r="F44" s="3"/>
      <c r="G44" s="28"/>
      <c r="H44" s="10"/>
      <c r="I44" s="10">
        <f t="shared" si="8"/>
        <v>310</v>
      </c>
      <c r="J44" s="10">
        <f t="shared" si="6"/>
        <v>692052185.02372789</v>
      </c>
      <c r="K44" s="11">
        <f t="shared" si="7"/>
        <v>2.0620000000000083E-2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2187323.7868181574</v>
      </c>
      <c r="D45" s="11">
        <v>2.4500000000000001E-2</v>
      </c>
      <c r="E45" s="10">
        <f t="shared" si="2"/>
        <v>52307.889484670479</v>
      </c>
      <c r="F45" s="3"/>
      <c r="G45" s="28"/>
      <c r="H45" s="10"/>
      <c r="I45" s="10">
        <f t="shared" si="8"/>
        <v>310</v>
      </c>
      <c r="J45" s="10">
        <f t="shared" si="6"/>
        <v>678070373.91362882</v>
      </c>
      <c r="K45" s="11">
        <f t="shared" si="7"/>
        <v>2.4499999999999966E-2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2135015.8973334869</v>
      </c>
      <c r="D46" s="11">
        <v>2.4549999999999999E-2</v>
      </c>
      <c r="E46" s="10">
        <f t="shared" si="2"/>
        <v>51158.694333646446</v>
      </c>
      <c r="F46" s="3"/>
      <c r="G46" s="28"/>
      <c r="H46" s="10"/>
      <c r="I46" s="10">
        <f t="shared" si="8"/>
        <v>310</v>
      </c>
      <c r="J46" s="10">
        <f t="shared" si="6"/>
        <v>661854928.17338097</v>
      </c>
      <c r="K46" s="11">
        <f t="shared" si="7"/>
        <v>2.4550000000000072E-2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2083857.2029998405</v>
      </c>
      <c r="D47" s="11">
        <v>2.4729999999999999E-2</v>
      </c>
      <c r="E47" s="10">
        <f t="shared" si="2"/>
        <v>50290.114108287962</v>
      </c>
      <c r="F47" s="3"/>
      <c r="G47" s="28"/>
      <c r="H47" s="10"/>
      <c r="I47" s="10">
        <f t="shared" si="8"/>
        <v>310</v>
      </c>
      <c r="J47" s="10">
        <f t="shared" si="6"/>
        <v>645995732.92995059</v>
      </c>
      <c r="K47" s="11">
        <f t="shared" si="7"/>
        <v>2.4730000000000141E-2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2033567.0888915525</v>
      </c>
      <c r="D48" s="11">
        <v>2.494E-2</v>
      </c>
      <c r="E48" s="10">
        <f t="shared" si="2"/>
        <v>49483.055785660865</v>
      </c>
      <c r="F48" s="3"/>
      <c r="G48" s="28"/>
      <c r="H48" s="10"/>
      <c r="I48" s="10">
        <f t="shared" si="8"/>
        <v>310</v>
      </c>
      <c r="J48" s="10">
        <f t="shared" si="6"/>
        <v>630405797.55638123</v>
      </c>
      <c r="K48" s="11">
        <f t="shared" si="7"/>
        <v>2.493999999999974E-2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1984084.0331058917</v>
      </c>
      <c r="D49" s="11">
        <v>2.528E-2</v>
      </c>
      <c r="E49" s="10">
        <f t="shared" si="2"/>
        <v>48920.92341303546</v>
      </c>
      <c r="F49" s="3"/>
      <c r="G49" s="28"/>
      <c r="H49" s="10"/>
      <c r="I49" s="10">
        <f t="shared" si="8"/>
        <v>310</v>
      </c>
      <c r="J49" s="10">
        <f t="shared" si="6"/>
        <v>615066050.26282644</v>
      </c>
      <c r="K49" s="11">
        <f t="shared" si="7"/>
        <v>2.5280000000000191E-2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1935163.1096928562</v>
      </c>
      <c r="D50" s="11">
        <v>2.5569999999999999E-2</v>
      </c>
      <c r="E50" s="10">
        <f t="shared" si="2"/>
        <v>48248.408899291651</v>
      </c>
      <c r="F50" s="3"/>
      <c r="G50" s="28"/>
      <c r="H50" s="10"/>
      <c r="I50" s="10">
        <f t="shared" si="8"/>
        <v>310</v>
      </c>
      <c r="J50" s="10">
        <f t="shared" si="6"/>
        <v>599900564.00478542</v>
      </c>
      <c r="K50" s="11">
        <f t="shared" si="7"/>
        <v>2.5570000000000093E-2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1886914.7007935646</v>
      </c>
      <c r="D51" s="11">
        <v>2.5839999999999998E-2</v>
      </c>
      <c r="E51" s="10">
        <f t="shared" si="2"/>
        <v>47529.708208400756</v>
      </c>
      <c r="F51" s="3"/>
      <c r="G51" s="28"/>
      <c r="H51" s="10"/>
      <c r="I51" s="10">
        <f t="shared" si="8"/>
        <v>310</v>
      </c>
      <c r="J51" s="10">
        <f t="shared" si="6"/>
        <v>584943557.24600506</v>
      </c>
      <c r="K51" s="11">
        <f t="shared" si="7"/>
        <v>2.5840000000000085E-2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1839384.9925851638</v>
      </c>
      <c r="D52" s="11">
        <v>2.6030000000000001E-2</v>
      </c>
      <c r="E52" s="10">
        <f t="shared" si="2"/>
        <v>46664.51405611122</v>
      </c>
      <c r="F52" s="3"/>
      <c r="G52" s="28"/>
      <c r="H52" s="10"/>
      <c r="I52" s="10">
        <f t="shared" si="8"/>
        <v>310</v>
      </c>
      <c r="J52" s="10">
        <f t="shared" si="6"/>
        <v>570209347.70140076</v>
      </c>
      <c r="K52" s="11">
        <f t="shared" si="7"/>
        <v>2.6029999999999998E-2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1792720.4785290526</v>
      </c>
      <c r="D53" s="11">
        <v>2.605E-2</v>
      </c>
      <c r="E53" s="10">
        <f t="shared" si="2"/>
        <v>45514.710263322107</v>
      </c>
      <c r="F53" s="3"/>
      <c r="G53" s="28"/>
      <c r="H53" s="10"/>
      <c r="I53" s="10">
        <f t="shared" si="8"/>
        <v>310</v>
      </c>
      <c r="J53" s="10">
        <f t="shared" si="6"/>
        <v>555743348.3440063</v>
      </c>
      <c r="K53" s="11">
        <f t="shared" si="7"/>
        <v>2.6049999999999907E-2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1747205.7682657305</v>
      </c>
      <c r="D54" s="11">
        <v>2.613E-2</v>
      </c>
      <c r="E54" s="10">
        <f t="shared" si="2"/>
        <v>44491.913037123391</v>
      </c>
      <c r="F54" s="3"/>
      <c r="G54" s="28"/>
      <c r="H54" s="10"/>
      <c r="I54" s="10">
        <f t="shared" si="8"/>
        <v>310</v>
      </c>
      <c r="J54" s="10">
        <f t="shared" si="6"/>
        <v>541633788.1623764</v>
      </c>
      <c r="K54" s="11">
        <f t="shared" si="7"/>
        <v>2.6129999999999765E-2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1702713.8552286071</v>
      </c>
      <c r="D55" s="11">
        <v>2.1170000000000001E-2</v>
      </c>
      <c r="E55" s="10">
        <f t="shared" si="2"/>
        <v>35299.168909377884</v>
      </c>
      <c r="F55" s="3"/>
      <c r="G55" s="28"/>
      <c r="H55" s="10"/>
      <c r="I55" s="10">
        <f t="shared" si="8"/>
        <v>310</v>
      </c>
      <c r="J55" s="10">
        <f t="shared" si="6"/>
        <v>527841295.12086821</v>
      </c>
      <c r="K55" s="11">
        <f t="shared" si="7"/>
        <v>2.1169999999999911E-2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1667414.6863192292</v>
      </c>
      <c r="D56" s="11">
        <v>2.0959999999999999E-2</v>
      </c>
      <c r="E56" s="10">
        <f t="shared" si="2"/>
        <v>34231.519183171913</v>
      </c>
      <c r="F56" s="3"/>
      <c r="G56" s="28"/>
      <c r="H56" s="10"/>
      <c r="I56" s="10">
        <f t="shared" si="8"/>
        <v>310</v>
      </c>
      <c r="J56" s="10">
        <f t="shared" si="6"/>
        <v>516898552.75896102</v>
      </c>
      <c r="K56" s="11">
        <f t="shared" si="7"/>
        <v>2.096000000000009E-2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1633183.1671360573</v>
      </c>
      <c r="D57" s="11">
        <v>1.3299999999999999E-2</v>
      </c>
      <c r="E57" s="10">
        <f t="shared" si="2"/>
        <v>21436.234207944013</v>
      </c>
      <c r="F57" s="3"/>
      <c r="G57" s="28"/>
      <c r="H57" s="10"/>
      <c r="I57" s="10">
        <f t="shared" si="8"/>
        <v>310</v>
      </c>
      <c r="J57" s="10">
        <f t="shared" si="6"/>
        <v>506286781.81217778</v>
      </c>
      <c r="K57" s="11">
        <f t="shared" si="7"/>
        <v>1.330000000000009E-2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1611746.9329281133</v>
      </c>
      <c r="D58" s="11">
        <v>1.272E-2</v>
      </c>
      <c r="E58" s="10">
        <f t="shared" si="2"/>
        <v>20243.918345491169</v>
      </c>
      <c r="F58" s="3"/>
      <c r="G58" s="28"/>
      <c r="H58" s="10"/>
      <c r="I58" s="10">
        <f t="shared" si="8"/>
        <v>310</v>
      </c>
      <c r="J58" s="10">
        <f t="shared" si="6"/>
        <v>499641549.20771509</v>
      </c>
      <c r="K58" s="11">
        <f t="shared" si="7"/>
        <v>1.2720000000000065E-2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1591503.0145826221</v>
      </c>
      <c r="D59" s="11">
        <v>1.3610000000000001E-2</v>
      </c>
      <c r="E59" s="10">
        <f t="shared" si="2"/>
        <v>21369.516903413925</v>
      </c>
      <c r="F59" s="3"/>
      <c r="G59" s="28"/>
      <c r="H59" s="10"/>
      <c r="I59" s="10">
        <f t="shared" si="8"/>
        <v>310</v>
      </c>
      <c r="J59" s="10">
        <f t="shared" si="6"/>
        <v>493365934.52061284</v>
      </c>
      <c r="K59" s="11">
        <f t="shared" si="7"/>
        <v>1.36099999999999E-2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1570133.4976792082</v>
      </c>
      <c r="D60" s="11">
        <v>1.298E-2</v>
      </c>
      <c r="E60" s="10">
        <f t="shared" si="2"/>
        <v>20119.185768599622</v>
      </c>
      <c r="F60" s="3"/>
      <c r="G60" s="28"/>
      <c r="H60" s="10"/>
      <c r="I60" s="10">
        <f t="shared" si="8"/>
        <v>310</v>
      </c>
      <c r="J60" s="10">
        <f t="shared" si="6"/>
        <v>486741384.28055453</v>
      </c>
      <c r="K60" s="11">
        <f t="shared" si="7"/>
        <v>1.2979999999999992E-2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1550014.3119106086</v>
      </c>
      <c r="D61" s="11">
        <v>1.2330000000000001E-2</v>
      </c>
      <c r="E61" s="10">
        <f t="shared" si="2"/>
        <v>18878.899633378256</v>
      </c>
      <c r="F61" s="3"/>
      <c r="G61" s="28"/>
      <c r="H61" s="10"/>
      <c r="I61" s="10">
        <f t="shared" si="8"/>
        <v>310</v>
      </c>
      <c r="J61" s="10">
        <f t="shared" si="6"/>
        <v>480504436.69228864</v>
      </c>
      <c r="K61" s="11">
        <f t="shared" si="7"/>
        <v>1.2329999999999952E-2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1531135.4122772303</v>
      </c>
      <c r="D62" s="11">
        <v>1.67E-2</v>
      </c>
      <c r="E62" s="10">
        <f t="shared" si="2"/>
        <v>25149.957101435633</v>
      </c>
      <c r="F62" s="3"/>
      <c r="G62" s="28"/>
      <c r="H62" s="10"/>
      <c r="I62" s="10">
        <f t="shared" si="8"/>
        <v>310</v>
      </c>
      <c r="J62" s="10">
        <f t="shared" si="6"/>
        <v>474651977.8059414</v>
      </c>
      <c r="K62" s="11">
        <f t="shared" si="7"/>
        <v>1.6699999999999937E-2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1505985.4551757947</v>
      </c>
      <c r="D63" s="11">
        <v>2.1270000000000001E-2</v>
      </c>
      <c r="E63" s="10">
        <f t="shared" si="2"/>
        <v>31365.173393509118</v>
      </c>
      <c r="F63" s="3"/>
      <c r="G63" s="28"/>
      <c r="H63" s="10"/>
      <c r="I63" s="10">
        <f t="shared" si="8"/>
        <v>310</v>
      </c>
      <c r="J63" s="10">
        <f t="shared" si="6"/>
        <v>466855491.10449636</v>
      </c>
      <c r="K63" s="11">
        <f t="shared" si="7"/>
        <v>2.12699999999999E-2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1474620.2817822855</v>
      </c>
      <c r="D64" s="11">
        <v>1.5599999999999999E-2</v>
      </c>
      <c r="E64" s="10">
        <f t="shared" si="2"/>
        <v>22650.725084485719</v>
      </c>
      <c r="F64" s="3"/>
      <c r="G64" s="28"/>
      <c r="H64" s="10"/>
      <c r="I64" s="10">
        <f t="shared" si="8"/>
        <v>310</v>
      </c>
      <c r="J64" s="10">
        <f t="shared" si="6"/>
        <v>457132287.35250854</v>
      </c>
      <c r="K64" s="11">
        <f t="shared" si="7"/>
        <v>1.5600000000000058E-2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1451969.5566977998</v>
      </c>
      <c r="D65" s="11">
        <v>1.6129999999999999E-2</v>
      </c>
      <c r="E65" s="10">
        <f t="shared" si="2"/>
        <v>23048.496697800001</v>
      </c>
      <c r="F65" s="3"/>
      <c r="G65" s="28"/>
      <c r="H65" s="10"/>
      <c r="I65" s="10">
        <f t="shared" si="8"/>
        <v>310</v>
      </c>
      <c r="J65" s="10">
        <f t="shared" si="6"/>
        <v>450110562.57631797</v>
      </c>
      <c r="K65" s="11">
        <f t="shared" si="7"/>
        <v>1.6129999999999978E-2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1428921.0599999998</v>
      </c>
      <c r="D66" s="11">
        <v>1.558E-2</v>
      </c>
      <c r="E66" s="10">
        <f t="shared" si="2"/>
        <v>21921.059999999823</v>
      </c>
      <c r="F66" s="24">
        <f>SUM(F2)</f>
        <v>6231859</v>
      </c>
      <c r="G66" s="28"/>
      <c r="H66" s="10"/>
      <c r="I66" s="10">
        <f t="shared" si="8"/>
        <v>310</v>
      </c>
      <c r="J66" s="10">
        <f t="shared" ref="J66:J67" si="9">IF(I66="","",I66*C66)</f>
        <v>442965528.59999996</v>
      </c>
      <c r="K66" s="11">
        <f t="shared" ref="K66" si="10">IFERROR(J66/J67-1,"")</f>
        <v>1.5579999999999927E-2</v>
      </c>
    </row>
    <row r="67" spans="1:11" ht="22.5" customHeight="1">
      <c r="A67" s="3">
        <f t="shared" si="0"/>
        <v>1950</v>
      </c>
      <c r="B67" s="3">
        <v>1700</v>
      </c>
      <c r="C67" s="10">
        <v>1407000</v>
      </c>
      <c r="D67" s="11">
        <v>1.499E-2</v>
      </c>
      <c r="E67" s="3" t="s">
        <v>72</v>
      </c>
      <c r="F67" s="10">
        <f>SUM(C2)</f>
        <v>6231300.9585402627</v>
      </c>
      <c r="G67" s="28"/>
      <c r="H67" s="10"/>
      <c r="I67" s="10">
        <f t="shared" ref="I67" si="11">IF(H67&lt;&gt;"",H67,I66/(1+IF(G66="",0,G66)/100))</f>
        <v>310</v>
      </c>
      <c r="J67" s="10">
        <f t="shared" si="9"/>
        <v>436170000</v>
      </c>
      <c r="K67" s="11"/>
    </row>
  </sheetData>
  <dataValidations count="1">
    <dataValidation type="custom" allowBlank="1" showDropDown="1" sqref="D2:D67" xr:uid="{00000000-0002-0000-5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42673535.88442307</v>
      </c>
      <c r="D2" s="11">
        <v>5.7800000000000004E-3</v>
      </c>
      <c r="E2" s="10">
        <f t="shared" ref="E2:E66" si="2">SUM(C2-C3)</f>
        <v>245235.57578393072</v>
      </c>
      <c r="F2" s="15">
        <v>42672208</v>
      </c>
      <c r="G2" s="28"/>
      <c r="H2" s="10"/>
      <c r="I2" s="10">
        <f>IF(H2&lt;&gt;"",H2,7341)</f>
        <v>7341</v>
      </c>
      <c r="J2" s="10">
        <f t="shared" ref="J2:J33" si="3">IF(I2="","",I2*C2)</f>
        <v>313266426927.54974</v>
      </c>
      <c r="K2" s="11">
        <f t="shared" ref="K2:K33" si="4">IFERROR(J2/J3-1,"")</f>
        <v>5.7799999999998963E-3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42428300.308639139</v>
      </c>
      <c r="D3" s="11">
        <v>7.0000000000000001E-3</v>
      </c>
      <c r="E3" s="10">
        <f t="shared" si="2"/>
        <v>294933.56719014049</v>
      </c>
      <c r="F3" s="3"/>
      <c r="G3" s="28"/>
      <c r="H3" s="10"/>
      <c r="I3" s="10">
        <f t="shared" ref="I3:I34" si="5">IF(H3&lt;&gt;"",H3,I2/(1+IF(G2="",0,G2)/100))</f>
        <v>7341</v>
      </c>
      <c r="J3" s="10">
        <f t="shared" si="3"/>
        <v>311466152565.71991</v>
      </c>
      <c r="K3" s="11">
        <f t="shared" si="4"/>
        <v>6.9999999999998952E-3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42133366.741448998</v>
      </c>
      <c r="D4" s="11">
        <v>8.1399999999999997E-3</v>
      </c>
      <c r="E4" s="10">
        <f t="shared" si="2"/>
        <v>340196.40652627498</v>
      </c>
      <c r="F4" s="3"/>
      <c r="G4" s="28"/>
      <c r="H4" s="10"/>
      <c r="I4" s="10">
        <f t="shared" si="5"/>
        <v>7341</v>
      </c>
      <c r="J4" s="10">
        <f t="shared" si="3"/>
        <v>309301045248.97711</v>
      </c>
      <c r="K4" s="11">
        <f t="shared" si="4"/>
        <v>8.1400000000000361E-3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41793170.334922723</v>
      </c>
      <c r="D5" s="11">
        <v>9.3699999999999999E-3</v>
      </c>
      <c r="E5" s="10">
        <f t="shared" si="2"/>
        <v>387966.75752026588</v>
      </c>
      <c r="F5" s="3"/>
      <c r="G5" s="28"/>
      <c r="H5" s="10"/>
      <c r="I5" s="10">
        <f t="shared" si="5"/>
        <v>7341</v>
      </c>
      <c r="J5" s="10">
        <f t="shared" si="3"/>
        <v>306803663428.66772</v>
      </c>
      <c r="K5" s="11">
        <f t="shared" si="4"/>
        <v>9.3700000000001005E-3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41405203.577402458</v>
      </c>
      <c r="D6" s="11">
        <v>6.8199999999999997E-3</v>
      </c>
      <c r="E6" s="10">
        <f t="shared" si="2"/>
        <v>280470.67837139219</v>
      </c>
      <c r="F6" s="3"/>
      <c r="G6" s="28"/>
      <c r="H6" s="10"/>
      <c r="I6" s="10">
        <f t="shared" si="5"/>
        <v>7341</v>
      </c>
      <c r="J6" s="10">
        <f t="shared" si="3"/>
        <v>303955599461.71143</v>
      </c>
      <c r="K6" s="11">
        <f t="shared" si="4"/>
        <v>6.8200000000000482E-3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41124732.899031065</v>
      </c>
      <c r="D7" s="11">
        <v>4.7800000000000004E-3</v>
      </c>
      <c r="E7" s="10">
        <f t="shared" si="2"/>
        <v>195641.05899537355</v>
      </c>
      <c r="F7" s="3"/>
      <c r="G7" s="28"/>
      <c r="H7" s="10"/>
      <c r="I7" s="10">
        <f t="shared" si="5"/>
        <v>7341</v>
      </c>
      <c r="J7" s="10">
        <f t="shared" si="3"/>
        <v>301896664211.78705</v>
      </c>
      <c r="K7" s="11">
        <f t="shared" si="4"/>
        <v>4.7800000000000065E-3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40929091.840035692</v>
      </c>
      <c r="D8" s="11">
        <v>5.7099999999999998E-3</v>
      </c>
      <c r="E8" s="10">
        <f t="shared" si="2"/>
        <v>232378.23468654603</v>
      </c>
      <c r="F8" s="3"/>
      <c r="G8" s="28"/>
      <c r="H8" s="10"/>
      <c r="I8" s="10">
        <f t="shared" si="5"/>
        <v>7341</v>
      </c>
      <c r="J8" s="10">
        <f t="shared" si="3"/>
        <v>300460463197.70203</v>
      </c>
      <c r="K8" s="11">
        <f t="shared" si="4"/>
        <v>5.7100000000001039E-3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40696713.605349146</v>
      </c>
      <c r="D9" s="11">
        <v>6.7299999999999999E-3</v>
      </c>
      <c r="E9" s="10">
        <f t="shared" si="2"/>
        <v>272057.93267708272</v>
      </c>
      <c r="F9" s="3"/>
      <c r="G9" s="28"/>
      <c r="H9" s="10"/>
      <c r="I9" s="10">
        <f t="shared" si="5"/>
        <v>7341</v>
      </c>
      <c r="J9" s="10">
        <f t="shared" si="3"/>
        <v>298754574576.8681</v>
      </c>
      <c r="K9" s="11">
        <f t="shared" si="4"/>
        <v>6.7300000000001248E-3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40424655.672672063</v>
      </c>
      <c r="D10" s="11">
        <v>7.3800000000000003E-3</v>
      </c>
      <c r="E10" s="10">
        <f t="shared" si="2"/>
        <v>296148.38379193097</v>
      </c>
      <c r="F10" s="3"/>
      <c r="G10" s="28"/>
      <c r="H10" s="10"/>
      <c r="I10" s="10">
        <f t="shared" si="5"/>
        <v>7341</v>
      </c>
      <c r="J10" s="10">
        <f t="shared" si="3"/>
        <v>296757397293.08563</v>
      </c>
      <c r="K10" s="11">
        <f t="shared" si="4"/>
        <v>7.3799999999999422E-3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40128507.288880132</v>
      </c>
      <c r="D11" s="11">
        <v>4.1900000000000001E-3</v>
      </c>
      <c r="E11" s="10">
        <f t="shared" si="2"/>
        <v>167436.88499228656</v>
      </c>
      <c r="F11" s="3"/>
      <c r="G11" s="28"/>
      <c r="H11" s="10"/>
      <c r="I11" s="10">
        <f t="shared" si="5"/>
        <v>7341</v>
      </c>
      <c r="J11" s="10">
        <f t="shared" si="3"/>
        <v>294583372007.66907</v>
      </c>
      <c r="K11" s="11">
        <f t="shared" si="4"/>
        <v>4.189999999999916E-3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39961070.403887846</v>
      </c>
      <c r="D12" s="11">
        <v>2.3400000000000001E-3</v>
      </c>
      <c r="E12" s="10">
        <f t="shared" si="2"/>
        <v>93290.604730032384</v>
      </c>
      <c r="F12" s="3"/>
      <c r="G12" s="28"/>
      <c r="H12" s="10"/>
      <c r="I12" s="10">
        <f t="shared" si="5"/>
        <v>7341</v>
      </c>
      <c r="J12" s="10">
        <f t="shared" si="3"/>
        <v>293354217834.94067</v>
      </c>
      <c r="K12" s="11">
        <f t="shared" si="4"/>
        <v>2.3400000000002308E-3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39867779.799157813</v>
      </c>
      <c r="D13" s="11">
        <v>3.5500000000000002E-3</v>
      </c>
      <c r="E13" s="10">
        <f t="shared" si="2"/>
        <v>141029.96192218363</v>
      </c>
      <c r="F13" s="3"/>
      <c r="G13" s="28"/>
      <c r="H13" s="10"/>
      <c r="I13" s="10">
        <f t="shared" si="5"/>
        <v>7341</v>
      </c>
      <c r="J13" s="10">
        <f t="shared" si="3"/>
        <v>292669371505.61749</v>
      </c>
      <c r="K13" s="11">
        <f t="shared" si="4"/>
        <v>3.5499999999999421E-3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39726749.83723563</v>
      </c>
      <c r="D14" s="11">
        <v>4.96E-3</v>
      </c>
      <c r="E14" s="10">
        <f t="shared" si="2"/>
        <v>196072.16127277911</v>
      </c>
      <c r="F14" s="3"/>
      <c r="G14" s="28"/>
      <c r="H14" s="10"/>
      <c r="I14" s="10">
        <f t="shared" si="5"/>
        <v>7341</v>
      </c>
      <c r="J14" s="10">
        <f t="shared" si="3"/>
        <v>291634070555.14673</v>
      </c>
      <c r="K14" s="11">
        <f t="shared" si="4"/>
        <v>4.9600000000000755E-3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39530677.67596285</v>
      </c>
      <c r="D15" s="11">
        <v>6.0099999999999997E-3</v>
      </c>
      <c r="E15" s="10">
        <f t="shared" si="2"/>
        <v>236160.05092646927</v>
      </c>
      <c r="F15" s="3"/>
      <c r="G15" s="28"/>
      <c r="H15" s="10"/>
      <c r="I15" s="10">
        <f t="shared" si="5"/>
        <v>7341</v>
      </c>
      <c r="J15" s="10">
        <f t="shared" si="3"/>
        <v>290194704819.24329</v>
      </c>
      <c r="K15" s="11">
        <f t="shared" si="4"/>
        <v>6.0100000000000708E-3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39294517.625036381</v>
      </c>
      <c r="D16" s="11">
        <v>7.8799999999999999E-3</v>
      </c>
      <c r="E16" s="10">
        <f t="shared" si="2"/>
        <v>307219.90602580458</v>
      </c>
      <c r="F16" s="3"/>
      <c r="G16" s="28"/>
      <c r="H16" s="10"/>
      <c r="I16" s="10">
        <f t="shared" si="5"/>
        <v>7341</v>
      </c>
      <c r="J16" s="10">
        <f t="shared" si="3"/>
        <v>288461053885.39209</v>
      </c>
      <c r="K16" s="11">
        <f t="shared" si="4"/>
        <v>7.8800000000001091E-3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38987297.719010577</v>
      </c>
      <c r="D17" s="11">
        <v>1.2789999999999999E-2</v>
      </c>
      <c r="E17" s="10">
        <f t="shared" si="2"/>
        <v>492350.37651057541</v>
      </c>
      <c r="F17" s="3"/>
      <c r="G17" s="28"/>
      <c r="H17" s="10"/>
      <c r="I17" s="10">
        <f t="shared" si="5"/>
        <v>7341</v>
      </c>
      <c r="J17" s="10">
        <f t="shared" si="3"/>
        <v>286205752555.25665</v>
      </c>
      <c r="K17" s="11">
        <f t="shared" si="4"/>
        <v>1.2790000000000079E-2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38494947.342500001</v>
      </c>
      <c r="D18" s="11">
        <v>1.3679999999999999E-2</v>
      </c>
      <c r="E18" s="10">
        <f t="shared" si="2"/>
        <v>519504.06404920667</v>
      </c>
      <c r="F18" s="3"/>
      <c r="G18" s="28"/>
      <c r="H18" s="10"/>
      <c r="I18" s="10">
        <f t="shared" si="5"/>
        <v>7341</v>
      </c>
      <c r="J18" s="10">
        <f t="shared" si="3"/>
        <v>282591408441.29248</v>
      </c>
      <c r="K18" s="11">
        <f t="shared" si="4"/>
        <v>1.3679999999999914E-2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37975443.278450795</v>
      </c>
      <c r="D19" s="11">
        <v>1.532E-2</v>
      </c>
      <c r="E19" s="10">
        <f t="shared" si="2"/>
        <v>573005.34907799214</v>
      </c>
      <c r="F19" s="3"/>
      <c r="G19" s="28"/>
      <c r="H19" s="10"/>
      <c r="I19" s="10">
        <f t="shared" si="5"/>
        <v>7341</v>
      </c>
      <c r="J19" s="10">
        <f t="shared" si="3"/>
        <v>278777729107.1073</v>
      </c>
      <c r="K19" s="11">
        <f t="shared" si="4"/>
        <v>1.532E-2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37402437.929372802</v>
      </c>
      <c r="D20" s="11">
        <v>1.7059999999999999E-2</v>
      </c>
      <c r="E20" s="10">
        <f t="shared" si="2"/>
        <v>627382.44653718174</v>
      </c>
      <c r="F20" s="3"/>
      <c r="G20" s="28"/>
      <c r="H20" s="10"/>
      <c r="I20" s="10">
        <f t="shared" si="5"/>
        <v>7341</v>
      </c>
      <c r="J20" s="10">
        <f t="shared" si="3"/>
        <v>274571296839.52576</v>
      </c>
      <c r="K20" s="11">
        <f t="shared" si="4"/>
        <v>1.7060000000000297E-2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36775055.482835621</v>
      </c>
      <c r="D21" s="11">
        <v>1.8880000000000001E-2</v>
      </c>
      <c r="E21" s="10">
        <f t="shared" si="2"/>
        <v>681447.32207515836</v>
      </c>
      <c r="F21" s="3"/>
      <c r="G21" s="28"/>
      <c r="H21" s="10"/>
      <c r="I21" s="10">
        <f t="shared" si="5"/>
        <v>7341</v>
      </c>
      <c r="J21" s="10">
        <f t="shared" si="3"/>
        <v>269965682299.49628</v>
      </c>
      <c r="K21" s="11">
        <f t="shared" si="4"/>
        <v>1.8880000000000008E-2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36093608.160760462</v>
      </c>
      <c r="D22" s="11">
        <v>2.1329999999999998E-2</v>
      </c>
      <c r="E22" s="10">
        <f t="shared" si="2"/>
        <v>753798.14758111537</v>
      </c>
      <c r="F22" s="3"/>
      <c r="G22" s="28"/>
      <c r="H22" s="10"/>
      <c r="I22" s="10">
        <f t="shared" si="5"/>
        <v>7341</v>
      </c>
      <c r="J22" s="10">
        <f t="shared" si="3"/>
        <v>264963177508.14255</v>
      </c>
      <c r="K22" s="11">
        <f t="shared" si="4"/>
        <v>2.1330000000000071E-2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35339810.013179347</v>
      </c>
      <c r="D23" s="11">
        <v>2.283E-2</v>
      </c>
      <c r="E23" s="10">
        <f t="shared" si="2"/>
        <v>788799.56845309585</v>
      </c>
      <c r="F23" s="3"/>
      <c r="G23" s="28"/>
      <c r="H23" s="10"/>
      <c r="I23" s="10">
        <f t="shared" si="5"/>
        <v>7341</v>
      </c>
      <c r="J23" s="10">
        <f t="shared" si="3"/>
        <v>259429545306.74957</v>
      </c>
      <c r="K23" s="11">
        <f t="shared" si="4"/>
        <v>2.2829999999999906E-2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34551010.444726251</v>
      </c>
      <c r="D24" s="11">
        <v>2.3980000000000001E-2</v>
      </c>
      <c r="E24" s="10">
        <f t="shared" si="2"/>
        <v>809130.2862014249</v>
      </c>
      <c r="F24" s="3"/>
      <c r="G24" s="28"/>
      <c r="H24" s="10"/>
      <c r="I24" s="10">
        <f t="shared" si="5"/>
        <v>7341</v>
      </c>
      <c r="J24" s="10">
        <f t="shared" si="3"/>
        <v>253638967674.73541</v>
      </c>
      <c r="K24" s="11">
        <f t="shared" si="4"/>
        <v>2.3980000000000112E-2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33741880.158524826</v>
      </c>
      <c r="D25" s="11">
        <v>2.5059999999999999E-2</v>
      </c>
      <c r="E25" s="10">
        <f t="shared" si="2"/>
        <v>824899.53443957865</v>
      </c>
      <c r="F25" s="3"/>
      <c r="G25" s="28"/>
      <c r="H25" s="10"/>
      <c r="I25" s="10">
        <f t="shared" si="5"/>
        <v>7341</v>
      </c>
      <c r="J25" s="10">
        <f t="shared" si="3"/>
        <v>247699142243.73074</v>
      </c>
      <c r="K25" s="11">
        <f t="shared" si="4"/>
        <v>2.5060000000000082E-2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32916980.624085248</v>
      </c>
      <c r="D26" s="11">
        <v>2.1069999999999998E-2</v>
      </c>
      <c r="E26" s="10">
        <f t="shared" si="2"/>
        <v>679249.00520970672</v>
      </c>
      <c r="F26" s="3"/>
      <c r="G26" s="28"/>
      <c r="H26" s="10"/>
      <c r="I26" s="10">
        <f t="shared" si="5"/>
        <v>7341</v>
      </c>
      <c r="J26" s="10">
        <f t="shared" si="3"/>
        <v>241643554761.40979</v>
      </c>
      <c r="K26" s="11">
        <f t="shared" si="4"/>
        <v>2.1069999999999922E-2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32237731.618875541</v>
      </c>
      <c r="D27" s="11">
        <v>2.9499999999999999E-3</v>
      </c>
      <c r="E27" s="10">
        <f t="shared" si="2"/>
        <v>94821.584601107985</v>
      </c>
      <c r="F27" s="3"/>
      <c r="G27" s="28"/>
      <c r="H27" s="10"/>
      <c r="I27" s="10">
        <f t="shared" si="5"/>
        <v>7341</v>
      </c>
      <c r="J27" s="10">
        <f t="shared" si="3"/>
        <v>236657187814.16534</v>
      </c>
      <c r="K27" s="11">
        <f t="shared" si="4"/>
        <v>2.9500000000000082E-3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32142910.034274433</v>
      </c>
      <c r="D28" s="11">
        <v>4.2599999999999999E-3</v>
      </c>
      <c r="E28" s="10">
        <f t="shared" si="2"/>
        <v>136347.95446000621</v>
      </c>
      <c r="F28" s="3"/>
      <c r="G28" s="28"/>
      <c r="H28" s="10"/>
      <c r="I28" s="10">
        <f t="shared" si="5"/>
        <v>7341</v>
      </c>
      <c r="J28" s="10">
        <f t="shared" si="3"/>
        <v>235961102561.60861</v>
      </c>
      <c r="K28" s="11">
        <f t="shared" si="4"/>
        <v>4.2599999999999305E-3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32006562.079814427</v>
      </c>
      <c r="D29" s="11">
        <v>5.0299999999999997E-3</v>
      </c>
      <c r="E29" s="10">
        <f t="shared" si="2"/>
        <v>160187.26531692594</v>
      </c>
      <c r="F29" s="3"/>
      <c r="G29" s="28"/>
      <c r="H29" s="10"/>
      <c r="I29" s="10">
        <f t="shared" si="5"/>
        <v>7341</v>
      </c>
      <c r="J29" s="10">
        <f t="shared" si="3"/>
        <v>234960172227.91769</v>
      </c>
      <c r="K29" s="11">
        <f t="shared" si="4"/>
        <v>5.03000000000009E-3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31846374.814497501</v>
      </c>
      <c r="D30" s="11">
        <v>5.3499999999999997E-3</v>
      </c>
      <c r="E30" s="10">
        <f t="shared" si="2"/>
        <v>169471.43309052661</v>
      </c>
      <c r="F30" s="3"/>
      <c r="G30" s="28"/>
      <c r="H30" s="10"/>
      <c r="I30" s="10">
        <f t="shared" si="5"/>
        <v>7341</v>
      </c>
      <c r="J30" s="10">
        <f t="shared" si="3"/>
        <v>233784237513.22617</v>
      </c>
      <c r="K30" s="11">
        <f t="shared" si="4"/>
        <v>5.3499999999999659E-3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31676903.381406974</v>
      </c>
      <c r="D31" s="11">
        <v>7.4400000000000004E-3</v>
      </c>
      <c r="E31" s="10">
        <f t="shared" si="2"/>
        <v>233935.67970069125</v>
      </c>
      <c r="F31" s="3"/>
      <c r="G31" s="28"/>
      <c r="H31" s="10"/>
      <c r="I31" s="10">
        <f t="shared" si="5"/>
        <v>7341</v>
      </c>
      <c r="J31" s="10">
        <f t="shared" si="3"/>
        <v>232540147722.9086</v>
      </c>
      <c r="K31" s="11">
        <f t="shared" si="4"/>
        <v>7.4399999999998911E-3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31442967.701706283</v>
      </c>
      <c r="D32" s="11">
        <v>1.4109999999999999E-2</v>
      </c>
      <c r="E32" s="10">
        <f t="shared" si="2"/>
        <v>437487.32807198167</v>
      </c>
      <c r="F32" s="3"/>
      <c r="G32" s="28"/>
      <c r="H32" s="10"/>
      <c r="I32" s="10">
        <f t="shared" si="5"/>
        <v>7341</v>
      </c>
      <c r="J32" s="10">
        <f t="shared" si="3"/>
        <v>230822825898.22583</v>
      </c>
      <c r="K32" s="11">
        <f t="shared" si="4"/>
        <v>1.4110000000000067E-2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31005480.373634301</v>
      </c>
      <c r="D33" s="11">
        <v>1.4710000000000001E-2</v>
      </c>
      <c r="E33" s="10">
        <f t="shared" si="2"/>
        <v>449478.78339245915</v>
      </c>
      <c r="F33" s="3"/>
      <c r="G33" s="28"/>
      <c r="H33" s="10"/>
      <c r="I33" s="10">
        <f t="shared" si="5"/>
        <v>7341</v>
      </c>
      <c r="J33" s="10">
        <f t="shared" si="3"/>
        <v>227611231422.8494</v>
      </c>
      <c r="K33" s="11">
        <f t="shared" si="4"/>
        <v>1.4710000000000001E-2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30556001.590241842</v>
      </c>
      <c r="D34" s="11">
        <v>1.5959999999999998E-2</v>
      </c>
      <c r="E34" s="10">
        <f t="shared" si="2"/>
        <v>480012.78138928488</v>
      </c>
      <c r="F34" s="3"/>
      <c r="G34" s="28"/>
      <c r="H34" s="10"/>
      <c r="I34" s="10">
        <f t="shared" si="5"/>
        <v>7341</v>
      </c>
      <c r="J34" s="10">
        <f t="shared" ref="J34:J65" si="6">IF(I34="","",I34*C34)</f>
        <v>224311607673.96536</v>
      </c>
      <c r="K34" s="11">
        <f t="shared" ref="K34:K65" si="7">IFERROR(J34/J35-1,"")</f>
        <v>1.5959999999999974E-2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30075988.808852557</v>
      </c>
      <c r="D35" s="11">
        <v>1.6789999999999999E-2</v>
      </c>
      <c r="E35" s="10">
        <f t="shared" si="2"/>
        <v>496637.31163823232</v>
      </c>
      <c r="F35" s="3"/>
      <c r="G35" s="28"/>
      <c r="H35" s="10"/>
      <c r="I35" s="10">
        <f t="shared" ref="I35:I66" si="8">IF(H35&lt;&gt;"",H35,I34/(1+IF(G34="",0,G34)/100))</f>
        <v>7341</v>
      </c>
      <c r="J35" s="10">
        <f t="shared" si="6"/>
        <v>220787833845.78662</v>
      </c>
      <c r="K35" s="11">
        <f t="shared" si="7"/>
        <v>1.6790000000000083E-2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29579351.497214325</v>
      </c>
      <c r="D36" s="11">
        <v>1.814E-2</v>
      </c>
      <c r="E36" s="10">
        <f t="shared" si="2"/>
        <v>527009.48411757499</v>
      </c>
      <c r="F36" s="3"/>
      <c r="G36" s="28"/>
      <c r="H36" s="10"/>
      <c r="I36" s="10">
        <f t="shared" si="8"/>
        <v>7341</v>
      </c>
      <c r="J36" s="10">
        <f t="shared" si="6"/>
        <v>217142019341.05035</v>
      </c>
      <c r="K36" s="11">
        <f t="shared" si="7"/>
        <v>1.8140000000000045E-2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29052342.01309675</v>
      </c>
      <c r="D37" s="11">
        <v>2.1190000000000001E-2</v>
      </c>
      <c r="E37" s="10">
        <f t="shared" si="2"/>
        <v>602844.84499213845</v>
      </c>
      <c r="F37" s="3"/>
      <c r="G37" s="28"/>
      <c r="H37" s="10"/>
      <c r="I37" s="10">
        <f t="shared" si="8"/>
        <v>7341</v>
      </c>
      <c r="J37" s="10">
        <f t="shared" si="6"/>
        <v>213273242718.14325</v>
      </c>
      <c r="K37" s="11">
        <f t="shared" si="7"/>
        <v>2.1190000000000264E-2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28449497.168104611</v>
      </c>
      <c r="D38" s="11">
        <v>2.1510000000000001E-2</v>
      </c>
      <c r="E38" s="10">
        <f t="shared" si="2"/>
        <v>599062.8423470445</v>
      </c>
      <c r="F38" s="3"/>
      <c r="G38" s="28"/>
      <c r="H38" s="10"/>
      <c r="I38" s="10">
        <f t="shared" si="8"/>
        <v>7341</v>
      </c>
      <c r="J38" s="10">
        <f t="shared" si="6"/>
        <v>208847758711.05594</v>
      </c>
      <c r="K38" s="11">
        <f t="shared" si="7"/>
        <v>2.1509999999999918E-2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27850434.325757567</v>
      </c>
      <c r="D39" s="11">
        <v>2.1610000000000001E-2</v>
      </c>
      <c r="E39" s="10">
        <f t="shared" si="2"/>
        <v>589117.06598370895</v>
      </c>
      <c r="F39" s="3"/>
      <c r="G39" s="28"/>
      <c r="H39" s="10"/>
      <c r="I39" s="10">
        <f t="shared" si="8"/>
        <v>7341</v>
      </c>
      <c r="J39" s="10">
        <f t="shared" si="6"/>
        <v>204450038385.38629</v>
      </c>
      <c r="K39" s="11">
        <f t="shared" si="7"/>
        <v>2.1609999999999907E-2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27261317.259773858</v>
      </c>
      <c r="D40" s="11">
        <v>2.2460000000000001E-2</v>
      </c>
      <c r="E40" s="10">
        <f t="shared" si="2"/>
        <v>598839.2559655346</v>
      </c>
      <c r="F40" s="3"/>
      <c r="G40" s="28"/>
      <c r="H40" s="10"/>
      <c r="I40" s="10">
        <f t="shared" si="8"/>
        <v>7341</v>
      </c>
      <c r="J40" s="10">
        <f t="shared" si="6"/>
        <v>200125330003.99988</v>
      </c>
      <c r="K40" s="11">
        <f t="shared" si="7"/>
        <v>2.2459999999999924E-2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26662478.003808323</v>
      </c>
      <c r="D41" s="11">
        <v>2.3390000000000001E-2</v>
      </c>
      <c r="E41" s="10">
        <f t="shared" si="2"/>
        <v>609381.91745969653</v>
      </c>
      <c r="F41" s="3"/>
      <c r="G41" s="28"/>
      <c r="H41" s="10"/>
      <c r="I41" s="10">
        <f t="shared" si="8"/>
        <v>7341</v>
      </c>
      <c r="J41" s="10">
        <f t="shared" si="6"/>
        <v>195729251025.95691</v>
      </c>
      <c r="K41" s="11">
        <f t="shared" si="7"/>
        <v>2.3390000000000244E-2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26053096.086348627</v>
      </c>
      <c r="D42" s="11">
        <v>2.4160000000000001E-2</v>
      </c>
      <c r="E42" s="10">
        <f t="shared" si="2"/>
        <v>614594.20544268563</v>
      </c>
      <c r="F42" s="3"/>
      <c r="G42" s="28"/>
      <c r="H42" s="10"/>
      <c r="I42" s="10">
        <f t="shared" si="8"/>
        <v>7341</v>
      </c>
      <c r="J42" s="10">
        <f t="shared" si="6"/>
        <v>191255778369.88525</v>
      </c>
      <c r="K42" s="11">
        <f t="shared" si="7"/>
        <v>2.4159999999999959E-2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25438501.880905941</v>
      </c>
      <c r="D43" s="11">
        <v>2.496E-2</v>
      </c>
      <c r="E43" s="10">
        <f t="shared" si="2"/>
        <v>619482.71829868108</v>
      </c>
      <c r="F43" s="3"/>
      <c r="G43" s="28"/>
      <c r="H43" s="10"/>
      <c r="I43" s="10">
        <f t="shared" si="8"/>
        <v>7341</v>
      </c>
      <c r="J43" s="10">
        <f t="shared" si="6"/>
        <v>186744042307.7305</v>
      </c>
      <c r="K43" s="11">
        <f t="shared" si="7"/>
        <v>2.4960000000000093E-2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24819019.16260726</v>
      </c>
      <c r="D44" s="11">
        <v>2.53E-2</v>
      </c>
      <c r="E44" s="10">
        <f t="shared" si="2"/>
        <v>612426.78710032627</v>
      </c>
      <c r="F44" s="3"/>
      <c r="G44" s="28"/>
      <c r="H44" s="10"/>
      <c r="I44" s="10">
        <f t="shared" si="8"/>
        <v>7341</v>
      </c>
      <c r="J44" s="10">
        <f t="shared" si="6"/>
        <v>182196419672.69989</v>
      </c>
      <c r="K44" s="11">
        <f t="shared" si="7"/>
        <v>2.5299999999999878E-2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24206592.375506934</v>
      </c>
      <c r="D45" s="11">
        <v>2.5600000000000001E-2</v>
      </c>
      <c r="E45" s="10">
        <f t="shared" si="2"/>
        <v>604220.71452123672</v>
      </c>
      <c r="F45" s="3"/>
      <c r="G45" s="28"/>
      <c r="H45" s="10"/>
      <c r="I45" s="10">
        <f t="shared" si="8"/>
        <v>7341</v>
      </c>
      <c r="J45" s="10">
        <f t="shared" si="6"/>
        <v>177700594628.59641</v>
      </c>
      <c r="K45" s="11">
        <f t="shared" si="7"/>
        <v>2.5600000000000289E-2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23602371.660985697</v>
      </c>
      <c r="D46" s="11">
        <v>3.7699999999999997E-2</v>
      </c>
      <c r="E46" s="10">
        <f t="shared" si="2"/>
        <v>857482.32785888389</v>
      </c>
      <c r="F46" s="3"/>
      <c r="G46" s="28"/>
      <c r="H46" s="10"/>
      <c r="I46" s="10">
        <f t="shared" si="8"/>
        <v>7341</v>
      </c>
      <c r="J46" s="10">
        <f t="shared" si="6"/>
        <v>173265010363.29599</v>
      </c>
      <c r="K46" s="11">
        <f t="shared" si="7"/>
        <v>3.7700000000000067E-2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22744889.333126813</v>
      </c>
      <c r="D47" s="11">
        <v>3.3189999999999997E-2</v>
      </c>
      <c r="E47" s="10">
        <f t="shared" si="2"/>
        <v>730652.51983321458</v>
      </c>
      <c r="F47" s="3"/>
      <c r="G47" s="28"/>
      <c r="H47" s="10"/>
      <c r="I47" s="10">
        <f t="shared" si="8"/>
        <v>7341</v>
      </c>
      <c r="J47" s="10">
        <f t="shared" si="6"/>
        <v>166970232594.48395</v>
      </c>
      <c r="K47" s="11">
        <f t="shared" si="7"/>
        <v>3.3190000000000053E-2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22014236.813293599</v>
      </c>
      <c r="D48" s="11">
        <v>3.0370000000000001E-2</v>
      </c>
      <c r="E48" s="10">
        <f t="shared" si="2"/>
        <v>648866.30241537094</v>
      </c>
      <c r="F48" s="3"/>
      <c r="G48" s="28"/>
      <c r="H48" s="10"/>
      <c r="I48" s="10">
        <f t="shared" si="8"/>
        <v>7341</v>
      </c>
      <c r="J48" s="10">
        <f t="shared" si="6"/>
        <v>161606512446.38831</v>
      </c>
      <c r="K48" s="11">
        <f t="shared" si="7"/>
        <v>3.0370000000000008E-2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21365370.510878228</v>
      </c>
      <c r="D49" s="11">
        <v>3.4439999999999998E-2</v>
      </c>
      <c r="E49" s="10">
        <f t="shared" si="2"/>
        <v>711325.31649457291</v>
      </c>
      <c r="F49" s="3"/>
      <c r="G49" s="28"/>
      <c r="H49" s="10"/>
      <c r="I49" s="10">
        <f t="shared" si="8"/>
        <v>7341</v>
      </c>
      <c r="J49" s="10">
        <f t="shared" si="6"/>
        <v>156843184920.35706</v>
      </c>
      <c r="K49" s="11">
        <f t="shared" si="7"/>
        <v>3.4440000000000026E-2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20654045.194383655</v>
      </c>
      <c r="D50" s="11">
        <v>2.0379999999999999E-2</v>
      </c>
      <c r="E50" s="10">
        <f t="shared" si="2"/>
        <v>412522.23785407469</v>
      </c>
      <c r="F50" s="3"/>
      <c r="G50" s="28"/>
      <c r="H50" s="10"/>
      <c r="I50" s="10">
        <f t="shared" si="8"/>
        <v>7341</v>
      </c>
      <c r="J50" s="10">
        <f t="shared" si="6"/>
        <v>151621345771.9704</v>
      </c>
      <c r="K50" s="11">
        <f t="shared" si="7"/>
        <v>2.0380000000000065E-2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20241522.95652958</v>
      </c>
      <c r="D51" s="11">
        <v>3.3730000000000003E-2</v>
      </c>
      <c r="E51" s="10">
        <f t="shared" si="2"/>
        <v>660468.95158672333</v>
      </c>
      <c r="F51" s="3"/>
      <c r="G51" s="28"/>
      <c r="H51" s="10"/>
      <c r="I51" s="10">
        <f t="shared" si="8"/>
        <v>7341</v>
      </c>
      <c r="J51" s="10">
        <f t="shared" si="6"/>
        <v>148593020023.88364</v>
      </c>
      <c r="K51" s="11">
        <f t="shared" si="7"/>
        <v>3.3729999999999816E-2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19581054.004942857</v>
      </c>
      <c r="D52" s="11">
        <v>3.8670000000000003E-2</v>
      </c>
      <c r="E52" s="10">
        <f t="shared" si="2"/>
        <v>729008.59596516564</v>
      </c>
      <c r="F52" s="3"/>
      <c r="G52" s="28"/>
      <c r="H52" s="10"/>
      <c r="I52" s="10">
        <f t="shared" si="8"/>
        <v>7341</v>
      </c>
      <c r="J52" s="10">
        <f t="shared" si="6"/>
        <v>143744517450.28552</v>
      </c>
      <c r="K52" s="11">
        <f t="shared" si="7"/>
        <v>3.8669999999999982E-2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18852045.408977691</v>
      </c>
      <c r="D53" s="11">
        <v>3.8870000000000002E-2</v>
      </c>
      <c r="E53" s="10">
        <f t="shared" si="2"/>
        <v>705361.59966787323</v>
      </c>
      <c r="F53" s="3"/>
      <c r="G53" s="28"/>
      <c r="H53" s="10"/>
      <c r="I53" s="10">
        <f t="shared" si="8"/>
        <v>7341</v>
      </c>
      <c r="J53" s="10">
        <f t="shared" si="6"/>
        <v>138392865347.30524</v>
      </c>
      <c r="K53" s="11">
        <f t="shared" si="7"/>
        <v>3.8870000000000182E-2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18146683.809309818</v>
      </c>
      <c r="D54" s="11">
        <v>3.5409999999999997E-2</v>
      </c>
      <c r="E54" s="10">
        <f t="shared" si="2"/>
        <v>620598.67461938784</v>
      </c>
      <c r="F54" s="3"/>
      <c r="G54" s="28"/>
      <c r="H54" s="10"/>
      <c r="I54" s="10">
        <f t="shared" si="8"/>
        <v>7341</v>
      </c>
      <c r="J54" s="10">
        <f t="shared" si="6"/>
        <v>133214805844.14337</v>
      </c>
      <c r="K54" s="11">
        <f t="shared" si="7"/>
        <v>3.5409999999999942E-2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17526085.13469043</v>
      </c>
      <c r="D55" s="11">
        <v>3.8159999999999999E-2</v>
      </c>
      <c r="E55" s="10">
        <f t="shared" si="2"/>
        <v>644212.2685711123</v>
      </c>
      <c r="F55" s="3"/>
      <c r="G55" s="28"/>
      <c r="H55" s="10"/>
      <c r="I55" s="10">
        <f t="shared" si="8"/>
        <v>7341</v>
      </c>
      <c r="J55" s="10">
        <f t="shared" si="6"/>
        <v>128658990973.76245</v>
      </c>
      <c r="K55" s="11">
        <f t="shared" si="7"/>
        <v>3.8159999999999972E-2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16881872.866119318</v>
      </c>
      <c r="D56" s="11">
        <v>3.8589999999999999E-2</v>
      </c>
      <c r="E56" s="10">
        <f t="shared" si="2"/>
        <v>627265.30575447902</v>
      </c>
      <c r="F56" s="3"/>
      <c r="G56" s="28"/>
      <c r="H56" s="10"/>
      <c r="I56" s="10">
        <f t="shared" si="8"/>
        <v>7341</v>
      </c>
      <c r="J56" s="10">
        <f t="shared" si="6"/>
        <v>123929828710.18192</v>
      </c>
      <c r="K56" s="11">
        <f t="shared" si="7"/>
        <v>3.8590000000000124E-2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16254607.560364839</v>
      </c>
      <c r="D57" s="11">
        <v>3.6549999999999999E-2</v>
      </c>
      <c r="E57" s="10">
        <f t="shared" si="2"/>
        <v>573157.01734729297</v>
      </c>
      <c r="F57" s="3"/>
      <c r="G57" s="28"/>
      <c r="H57" s="10"/>
      <c r="I57" s="10">
        <f t="shared" si="8"/>
        <v>7341</v>
      </c>
      <c r="J57" s="10">
        <f t="shared" si="6"/>
        <v>119325074100.63828</v>
      </c>
      <c r="K57" s="11">
        <f t="shared" si="7"/>
        <v>3.6550000000000082E-2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15681450.543017546</v>
      </c>
      <c r="D58" s="11">
        <v>4.2869999999999998E-2</v>
      </c>
      <c r="E58" s="10">
        <f t="shared" si="2"/>
        <v>644628.55847724155</v>
      </c>
      <c r="F58" s="3"/>
      <c r="G58" s="28"/>
      <c r="H58" s="10"/>
      <c r="I58" s="10">
        <f t="shared" si="8"/>
        <v>7341</v>
      </c>
      <c r="J58" s="10">
        <f t="shared" si="6"/>
        <v>115117528436.29181</v>
      </c>
      <c r="K58" s="11">
        <f t="shared" si="7"/>
        <v>4.2869999999999964E-2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15036821.984540304</v>
      </c>
      <c r="D59" s="11">
        <v>4.5900000000000003E-2</v>
      </c>
      <c r="E59" s="10">
        <f t="shared" si="2"/>
        <v>659900.68753265217</v>
      </c>
      <c r="F59" s="3"/>
      <c r="G59" s="28"/>
      <c r="H59" s="10"/>
      <c r="I59" s="10">
        <f t="shared" si="8"/>
        <v>7341</v>
      </c>
      <c r="J59" s="10">
        <f t="shared" si="6"/>
        <v>110385310188.51038</v>
      </c>
      <c r="K59" s="11">
        <f t="shared" si="7"/>
        <v>4.5900000000000052E-2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14376921.297007652</v>
      </c>
      <c r="D60" s="11">
        <v>4.6399999999999997E-2</v>
      </c>
      <c r="E60" s="10">
        <f t="shared" si="2"/>
        <v>637508.74252786301</v>
      </c>
      <c r="F60" s="3"/>
      <c r="G60" s="28"/>
      <c r="H60" s="10"/>
      <c r="I60" s="10">
        <f t="shared" si="8"/>
        <v>7341</v>
      </c>
      <c r="J60" s="10">
        <f t="shared" si="6"/>
        <v>105540979241.33318</v>
      </c>
      <c r="K60" s="11">
        <f t="shared" si="7"/>
        <v>4.6400000000000219E-2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13739412.554479789</v>
      </c>
      <c r="D61" s="11">
        <v>4.6190000000000002E-2</v>
      </c>
      <c r="E61" s="10">
        <f t="shared" si="2"/>
        <v>606604.4082732778</v>
      </c>
      <c r="F61" s="3"/>
      <c r="G61" s="28"/>
      <c r="H61" s="10"/>
      <c r="I61" s="10">
        <f t="shared" si="8"/>
        <v>7341</v>
      </c>
      <c r="J61" s="10">
        <f t="shared" si="6"/>
        <v>100861027562.43613</v>
      </c>
      <c r="K61" s="11">
        <f t="shared" si="7"/>
        <v>4.6189999999999953E-2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13132808.146206511</v>
      </c>
      <c r="D62" s="11">
        <v>4.5330000000000002E-2</v>
      </c>
      <c r="E62" s="10">
        <f t="shared" si="2"/>
        <v>569494.98557158187</v>
      </c>
      <c r="F62" s="3"/>
      <c r="G62" s="28"/>
      <c r="H62" s="10"/>
      <c r="I62" s="10">
        <f t="shared" si="8"/>
        <v>7341</v>
      </c>
      <c r="J62" s="10">
        <f t="shared" si="6"/>
        <v>96407944601.302002</v>
      </c>
      <c r="K62" s="11">
        <f t="shared" si="7"/>
        <v>4.5330000000000092E-2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12563313.160634929</v>
      </c>
      <c r="D63" s="11">
        <v>4.512E-2</v>
      </c>
      <c r="E63" s="10">
        <f t="shared" si="2"/>
        <v>542384.3097518459</v>
      </c>
      <c r="F63" s="3"/>
      <c r="G63" s="28"/>
      <c r="H63" s="10"/>
      <c r="I63" s="10">
        <f t="shared" si="8"/>
        <v>7341</v>
      </c>
      <c r="J63" s="10">
        <f t="shared" si="6"/>
        <v>92227281912.221024</v>
      </c>
      <c r="K63" s="11">
        <f t="shared" si="7"/>
        <v>4.5120000000000049E-2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12020928.850883083</v>
      </c>
      <c r="D64" s="11">
        <v>4.4929999999999998E-2</v>
      </c>
      <c r="E64" s="10">
        <f t="shared" si="2"/>
        <v>516877.04752488248</v>
      </c>
      <c r="F64" s="3"/>
      <c r="G64" s="28"/>
      <c r="H64" s="10"/>
      <c r="I64" s="10">
        <f t="shared" si="8"/>
        <v>7341</v>
      </c>
      <c r="J64" s="10">
        <f t="shared" si="6"/>
        <v>88245638694.332718</v>
      </c>
      <c r="K64" s="11">
        <f t="shared" si="7"/>
        <v>4.4929999999999914E-2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11504051.803358201</v>
      </c>
      <c r="D65" s="11">
        <v>4.4970000000000003E-2</v>
      </c>
      <c r="E65" s="10">
        <f t="shared" si="2"/>
        <v>495073.74335820042</v>
      </c>
      <c r="F65" s="3"/>
      <c r="G65" s="28"/>
      <c r="H65" s="10"/>
      <c r="I65" s="10">
        <f t="shared" si="8"/>
        <v>7341</v>
      </c>
      <c r="J65" s="10">
        <f t="shared" si="6"/>
        <v>84451244288.45256</v>
      </c>
      <c r="K65" s="11">
        <f t="shared" si="7"/>
        <v>4.4970000000000176E-2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11008978.060000001</v>
      </c>
      <c r="D66" s="11">
        <v>4.5089999999999998E-2</v>
      </c>
      <c r="E66" s="10">
        <f t="shared" si="2"/>
        <v>474978.06000000052</v>
      </c>
      <c r="F66" s="24">
        <f>SUM(F2)</f>
        <v>42672208</v>
      </c>
      <c r="G66" s="28"/>
      <c r="H66" s="10"/>
      <c r="I66" s="10">
        <f t="shared" si="8"/>
        <v>7341</v>
      </c>
      <c r="J66" s="10">
        <f t="shared" ref="J66:J67" si="9">IF(I66="","",I66*C66)</f>
        <v>80816907938.460007</v>
      </c>
      <c r="K66" s="11">
        <f t="shared" ref="K66" si="10">IFERROR(J66/J67-1,"")</f>
        <v>4.5090000000000074E-2</v>
      </c>
    </row>
    <row r="67" spans="1:11" ht="22.5" customHeight="1">
      <c r="A67" s="3">
        <f t="shared" si="0"/>
        <v>1950</v>
      </c>
      <c r="B67" s="3">
        <v>1700</v>
      </c>
      <c r="C67" s="10">
        <v>10534000</v>
      </c>
      <c r="D67" s="11">
        <v>4.4979999999999999E-2</v>
      </c>
      <c r="E67" s="3" t="s">
        <v>72</v>
      </c>
      <c r="F67" s="10">
        <f>SUM(C2)</f>
        <v>42673535.88442307</v>
      </c>
      <c r="G67" s="28"/>
      <c r="H67" s="10"/>
      <c r="I67" s="10">
        <f t="shared" ref="I67" si="11">IF(H67&lt;&gt;"",H67,I66/(1+IF(G66="",0,G66)/100))</f>
        <v>7341</v>
      </c>
      <c r="J67" s="10">
        <f t="shared" si="9"/>
        <v>77330094000</v>
      </c>
      <c r="K67" s="11"/>
    </row>
  </sheetData>
  <dataValidations count="1">
    <dataValidation type="custom" allowBlank="1" showDropDown="1" sqref="D2:D67" xr:uid="{00000000-0002-0000-5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133059.51721603354</v>
      </c>
      <c r="D2" s="11">
        <v>1.039E-2</v>
      </c>
      <c r="E2" s="10">
        <f t="shared" ref="E2:E66" si="2">SUM(C2-C3)</f>
        <v>1368.2720374059281</v>
      </c>
      <c r="F2" s="15">
        <v>133065</v>
      </c>
      <c r="G2" s="28"/>
      <c r="H2" s="10"/>
      <c r="I2" s="10">
        <f>IF(H2&lt;&gt;"",H2,40873)</f>
        <v>40873</v>
      </c>
      <c r="J2" s="10">
        <f t="shared" ref="J2:J33" si="3">IF(I2="","",I2*C2)</f>
        <v>5438541647.1709385</v>
      </c>
      <c r="K2" s="11">
        <f t="shared" ref="K2:K33" si="4">IFERROR(J2/J3-1,"")</f>
        <v>1.0389999999999899E-2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131691.24517862761</v>
      </c>
      <c r="D3" s="11">
        <v>1.051E-2</v>
      </c>
      <c r="E3" s="10">
        <f t="shared" si="2"/>
        <v>1369.679653667321</v>
      </c>
      <c r="F3" s="3"/>
      <c r="G3" s="28"/>
      <c r="H3" s="10"/>
      <c r="I3" s="10">
        <f t="shared" ref="I3:I34" si="5">IF(H3&lt;&gt;"",H3,I2/(1+IF(G2="",0,G2)/100))</f>
        <v>40873</v>
      </c>
      <c r="J3" s="10">
        <f t="shared" si="3"/>
        <v>5382616264.1860466</v>
      </c>
      <c r="K3" s="11">
        <f t="shared" si="4"/>
        <v>1.0510000000000019E-2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130321.56552496029</v>
      </c>
      <c r="D4" s="11">
        <v>1.1769999999999999E-2</v>
      </c>
      <c r="E4" s="10">
        <f t="shared" si="2"/>
        <v>1516.0410233835719</v>
      </c>
      <c r="F4" s="3"/>
      <c r="G4" s="28"/>
      <c r="H4" s="10"/>
      <c r="I4" s="10">
        <f t="shared" si="5"/>
        <v>40873</v>
      </c>
      <c r="J4" s="10">
        <f t="shared" si="3"/>
        <v>5326633347.7017021</v>
      </c>
      <c r="K4" s="11">
        <f t="shared" si="4"/>
        <v>1.177000000000028E-2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128805.52450157671</v>
      </c>
      <c r="D5" s="11">
        <v>7.1000000000000004E-3</v>
      </c>
      <c r="E5" s="10">
        <f t="shared" si="2"/>
        <v>908.07191337623226</v>
      </c>
      <c r="F5" s="3"/>
      <c r="G5" s="28"/>
      <c r="H5" s="10"/>
      <c r="I5" s="10">
        <f t="shared" si="5"/>
        <v>40873</v>
      </c>
      <c r="J5" s="10">
        <f t="shared" si="3"/>
        <v>5264668202.9529448</v>
      </c>
      <c r="K5" s="11">
        <f t="shared" si="4"/>
        <v>7.1000000000001062E-3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127897.45258820048</v>
      </c>
      <c r="D6" s="11">
        <v>3.5400000000000002E-3</v>
      </c>
      <c r="E6" s="10">
        <f t="shared" si="2"/>
        <v>451.15987620048691</v>
      </c>
      <c r="F6" s="3"/>
      <c r="G6" s="28"/>
      <c r="H6" s="10"/>
      <c r="I6" s="10">
        <f t="shared" si="5"/>
        <v>40873</v>
      </c>
      <c r="J6" s="10">
        <f t="shared" si="3"/>
        <v>5227552579.6375179</v>
      </c>
      <c r="K6" s="11">
        <f t="shared" si="4"/>
        <v>3.5399999999998766E-3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127446.29271199999</v>
      </c>
      <c r="D7" s="11">
        <v>2.5999999999999999E-3</v>
      </c>
      <c r="E7" s="10">
        <f t="shared" si="2"/>
        <v>330.50105829961831</v>
      </c>
      <c r="F7" s="3"/>
      <c r="G7" s="28"/>
      <c r="H7" s="10"/>
      <c r="I7" s="10">
        <f t="shared" si="5"/>
        <v>40873</v>
      </c>
      <c r="J7" s="10">
        <f t="shared" si="3"/>
        <v>5209112322.0175762</v>
      </c>
      <c r="K7" s="11">
        <f t="shared" si="4"/>
        <v>2.5999999999999357E-3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127115.79165370038</v>
      </c>
      <c r="D8" s="11">
        <v>-5.45E-3</v>
      </c>
      <c r="E8" s="10">
        <f t="shared" si="2"/>
        <v>-696.57741140481085</v>
      </c>
      <c r="F8" s="3"/>
      <c r="G8" s="28"/>
      <c r="H8" s="10"/>
      <c r="I8" s="10">
        <f t="shared" si="5"/>
        <v>40873</v>
      </c>
      <c r="J8" s="10">
        <f t="shared" si="3"/>
        <v>5195603752.2616959</v>
      </c>
      <c r="K8" s="11">
        <f t="shared" si="4"/>
        <v>-5.4499999999998439E-3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127812.36906510519</v>
      </c>
      <c r="D9" s="11">
        <v>1.238E-2</v>
      </c>
      <c r="E9" s="10">
        <f t="shared" si="2"/>
        <v>1562.9675902586023</v>
      </c>
      <c r="F9" s="3"/>
      <c r="G9" s="28"/>
      <c r="H9" s="10"/>
      <c r="I9" s="10">
        <f t="shared" si="5"/>
        <v>40873</v>
      </c>
      <c r="J9" s="10">
        <f t="shared" si="3"/>
        <v>5224074960.7980442</v>
      </c>
      <c r="K9" s="11">
        <f t="shared" si="4"/>
        <v>1.2380000000000058E-2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126249.40147484659</v>
      </c>
      <c r="D10" s="11">
        <v>2.5020000000000001E-2</v>
      </c>
      <c r="E10" s="10">
        <f t="shared" si="2"/>
        <v>3081.6569675720093</v>
      </c>
      <c r="F10" s="3"/>
      <c r="G10" s="28"/>
      <c r="H10" s="10"/>
      <c r="I10" s="10">
        <f t="shared" si="5"/>
        <v>40873</v>
      </c>
      <c r="J10" s="10">
        <f t="shared" si="3"/>
        <v>5160191786.4814043</v>
      </c>
      <c r="K10" s="11">
        <f t="shared" si="4"/>
        <v>2.5020000000000042E-2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123167.74450727458</v>
      </c>
      <c r="D11" s="11">
        <v>2.5530000000000001E-2</v>
      </c>
      <c r="E11" s="10">
        <f t="shared" si="2"/>
        <v>3066.1926196900458</v>
      </c>
      <c r="F11" s="3"/>
      <c r="G11" s="28"/>
      <c r="H11" s="10"/>
      <c r="I11" s="10">
        <f t="shared" si="5"/>
        <v>40873</v>
      </c>
      <c r="J11" s="10">
        <f t="shared" si="3"/>
        <v>5034235221.2458334</v>
      </c>
      <c r="K11" s="11">
        <f t="shared" si="4"/>
        <v>2.5530000000000053E-2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120101.55188758453</v>
      </c>
      <c r="D12" s="11">
        <v>2.1299999999999999E-2</v>
      </c>
      <c r="E12" s="10">
        <f t="shared" si="2"/>
        <v>2504.8105896461057</v>
      </c>
      <c r="F12" s="3"/>
      <c r="G12" s="28"/>
      <c r="H12" s="10"/>
      <c r="I12" s="10">
        <f t="shared" si="5"/>
        <v>40873</v>
      </c>
      <c r="J12" s="10">
        <f t="shared" si="3"/>
        <v>4908910730.3012428</v>
      </c>
      <c r="K12" s="11">
        <f t="shared" si="4"/>
        <v>2.1300000000000319E-2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117596.74129793842</v>
      </c>
      <c r="D13" s="11">
        <v>7.3099999999999997E-3</v>
      </c>
      <c r="E13" s="10">
        <f t="shared" si="2"/>
        <v>853.39386970040505</v>
      </c>
      <c r="F13" s="3"/>
      <c r="G13" s="28"/>
      <c r="H13" s="10"/>
      <c r="I13" s="10">
        <f t="shared" si="5"/>
        <v>40873</v>
      </c>
      <c r="J13" s="10">
        <f t="shared" si="3"/>
        <v>4806531607.0706367</v>
      </c>
      <c r="K13" s="11">
        <f t="shared" si="4"/>
        <v>7.3099999999997056E-3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116743.34742823802</v>
      </c>
      <c r="D14" s="11">
        <v>6.5300000000000002E-3</v>
      </c>
      <c r="E14" s="10">
        <f t="shared" si="2"/>
        <v>757.38831302235485</v>
      </c>
      <c r="F14" s="3"/>
      <c r="G14" s="28"/>
      <c r="H14" s="10"/>
      <c r="I14" s="10">
        <f t="shared" si="5"/>
        <v>40873</v>
      </c>
      <c r="J14" s="10">
        <f t="shared" si="3"/>
        <v>4771650839.4343729</v>
      </c>
      <c r="K14" s="11">
        <f t="shared" si="4"/>
        <v>6.5299999999999248E-3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115985.95911521566</v>
      </c>
      <c r="D15" s="11">
        <v>1.133E-2</v>
      </c>
      <c r="E15" s="10">
        <f t="shared" si="2"/>
        <v>1299.3987291738595</v>
      </c>
      <c r="F15" s="3"/>
      <c r="G15" s="28"/>
      <c r="H15" s="10"/>
      <c r="I15" s="10">
        <f t="shared" si="5"/>
        <v>40873</v>
      </c>
      <c r="J15" s="10">
        <f t="shared" si="3"/>
        <v>4740694106.9162102</v>
      </c>
      <c r="K15" s="11">
        <f t="shared" si="4"/>
        <v>1.1330000000000062E-2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114686.56038604181</v>
      </c>
      <c r="D16" s="11">
        <v>1.5339999999999999E-2</v>
      </c>
      <c r="E16" s="10">
        <f t="shared" si="2"/>
        <v>1732.7120337245433</v>
      </c>
      <c r="F16" s="3"/>
      <c r="G16" s="28"/>
      <c r="H16" s="10"/>
      <c r="I16" s="10">
        <f t="shared" si="5"/>
        <v>40873</v>
      </c>
      <c r="J16" s="10">
        <f t="shared" si="3"/>
        <v>4687583782.6586866</v>
      </c>
      <c r="K16" s="11">
        <f t="shared" si="4"/>
        <v>1.5339999999999909E-2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112953.84835231726</v>
      </c>
      <c r="D17" s="11">
        <v>1.2070000000000001E-2</v>
      </c>
      <c r="E17" s="10">
        <f t="shared" si="2"/>
        <v>1347.0935306969623</v>
      </c>
      <c r="F17" s="3"/>
      <c r="G17" s="28"/>
      <c r="H17" s="10"/>
      <c r="I17" s="10">
        <f t="shared" si="5"/>
        <v>40873</v>
      </c>
      <c r="J17" s="10">
        <f t="shared" si="3"/>
        <v>4616762643.7042637</v>
      </c>
      <c r="K17" s="11">
        <f t="shared" si="4"/>
        <v>1.2070000000000247E-2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111606.7548216203</v>
      </c>
      <c r="D18" s="11">
        <v>1.2120000000000001E-2</v>
      </c>
      <c r="E18" s="10">
        <f t="shared" si="2"/>
        <v>1336.4757819606602</v>
      </c>
      <c r="F18" s="3"/>
      <c r="G18" s="28"/>
      <c r="H18" s="10"/>
      <c r="I18" s="10">
        <f t="shared" si="5"/>
        <v>40873</v>
      </c>
      <c r="J18" s="10">
        <f t="shared" si="3"/>
        <v>4561702889.8240862</v>
      </c>
      <c r="K18" s="11">
        <f t="shared" si="4"/>
        <v>1.2119999999999909E-2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110270.27903965964</v>
      </c>
      <c r="D19" s="11">
        <v>9.3299999999999998E-3</v>
      </c>
      <c r="E19" s="10">
        <f t="shared" si="2"/>
        <v>1019.3115268941037</v>
      </c>
      <c r="F19" s="3"/>
      <c r="G19" s="28"/>
      <c r="H19" s="10"/>
      <c r="I19" s="10">
        <f t="shared" si="5"/>
        <v>40873</v>
      </c>
      <c r="J19" s="10">
        <f t="shared" si="3"/>
        <v>4507077115.1880083</v>
      </c>
      <c r="K19" s="11">
        <f t="shared" si="4"/>
        <v>9.3300000000000605E-3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109250.96751276554</v>
      </c>
      <c r="D20" s="11">
        <v>7.1300000000000001E-3</v>
      </c>
      <c r="E20" s="10">
        <f t="shared" si="2"/>
        <v>773.44473738844681</v>
      </c>
      <c r="F20" s="3"/>
      <c r="G20" s="28"/>
      <c r="H20" s="10"/>
      <c r="I20" s="10">
        <f t="shared" si="5"/>
        <v>40873</v>
      </c>
      <c r="J20" s="10">
        <f t="shared" si="3"/>
        <v>4465414795.1492653</v>
      </c>
      <c r="K20" s="11">
        <f t="shared" si="4"/>
        <v>7.1300000000000807E-3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108477.52277537709</v>
      </c>
      <c r="D21" s="11">
        <v>3.6700000000000001E-3</v>
      </c>
      <c r="E21" s="10">
        <f t="shared" si="2"/>
        <v>396.65677820960991</v>
      </c>
      <c r="F21" s="3"/>
      <c r="G21" s="28"/>
      <c r="H21" s="10"/>
      <c r="I21" s="10">
        <f t="shared" si="5"/>
        <v>40873</v>
      </c>
      <c r="J21" s="10">
        <f t="shared" si="3"/>
        <v>4433801788.3979874</v>
      </c>
      <c r="K21" s="11">
        <f t="shared" si="4"/>
        <v>3.6699999999998401E-3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108080.86599716748</v>
      </c>
      <c r="D22" s="11">
        <v>7.26E-3</v>
      </c>
      <c r="E22" s="10">
        <f t="shared" si="2"/>
        <v>779.01146391144721</v>
      </c>
      <c r="F22" s="3"/>
      <c r="G22" s="28"/>
      <c r="H22" s="10"/>
      <c r="I22" s="10">
        <f t="shared" si="5"/>
        <v>40873</v>
      </c>
      <c r="J22" s="10">
        <f t="shared" si="3"/>
        <v>4417589235.9022264</v>
      </c>
      <c r="K22" s="11">
        <f t="shared" si="4"/>
        <v>7.2600000000002662E-3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107301.85453325603</v>
      </c>
      <c r="D23" s="11">
        <v>1.0120000000000001E-2</v>
      </c>
      <c r="E23" s="10">
        <f t="shared" si="2"/>
        <v>1075.0156099043088</v>
      </c>
      <c r="F23" s="3"/>
      <c r="G23" s="28"/>
      <c r="H23" s="10"/>
      <c r="I23" s="10">
        <f t="shared" si="5"/>
        <v>40873</v>
      </c>
      <c r="J23" s="10">
        <f t="shared" si="3"/>
        <v>4385748700.3377733</v>
      </c>
      <c r="K23" s="11">
        <f t="shared" si="4"/>
        <v>1.0119999999999907E-2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106226.83892335172</v>
      </c>
      <c r="D24" s="11">
        <v>1.023E-2</v>
      </c>
      <c r="E24" s="10">
        <f t="shared" si="2"/>
        <v>1075.6961901605391</v>
      </c>
      <c r="F24" s="3"/>
      <c r="G24" s="28"/>
      <c r="H24" s="10"/>
      <c r="I24" s="10">
        <f t="shared" si="5"/>
        <v>40873</v>
      </c>
      <c r="J24" s="10">
        <f t="shared" si="3"/>
        <v>4341809587.3141546</v>
      </c>
      <c r="K24" s="11">
        <f t="shared" si="4"/>
        <v>1.0229999999999739E-2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105151.14273319118</v>
      </c>
      <c r="D25" s="11">
        <v>1.503E-2</v>
      </c>
      <c r="E25" s="10">
        <f t="shared" si="2"/>
        <v>1557.0196696451021</v>
      </c>
      <c r="F25" s="3"/>
      <c r="G25" s="28"/>
      <c r="H25" s="10"/>
      <c r="I25" s="10">
        <f t="shared" si="5"/>
        <v>40873</v>
      </c>
      <c r="J25" s="10">
        <f t="shared" si="3"/>
        <v>4297842656.9337234</v>
      </c>
      <c r="K25" s="11">
        <f t="shared" si="4"/>
        <v>1.5030000000000099E-2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103594.12306354608</v>
      </c>
      <c r="D26" s="11">
        <v>8.1700000000000002E-3</v>
      </c>
      <c r="E26" s="10">
        <f t="shared" si="2"/>
        <v>839.50522771870601</v>
      </c>
      <c r="F26" s="3"/>
      <c r="G26" s="28"/>
      <c r="H26" s="10"/>
      <c r="I26" s="10">
        <f t="shared" si="5"/>
        <v>40873</v>
      </c>
      <c r="J26" s="10">
        <f t="shared" si="3"/>
        <v>4234202591.9763188</v>
      </c>
      <c r="K26" s="11">
        <f t="shared" si="4"/>
        <v>8.1699999999997885E-3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102754.61783582738</v>
      </c>
      <c r="D27" s="11">
        <v>7.4599999999999996E-3</v>
      </c>
      <c r="E27" s="10">
        <f t="shared" si="2"/>
        <v>760.87333398374903</v>
      </c>
      <c r="F27" s="3"/>
      <c r="G27" s="28"/>
      <c r="H27" s="10"/>
      <c r="I27" s="10">
        <f t="shared" si="5"/>
        <v>40873</v>
      </c>
      <c r="J27" s="10">
        <f t="shared" si="3"/>
        <v>4199889494.8037724</v>
      </c>
      <c r="K27" s="11">
        <f t="shared" si="4"/>
        <v>7.4600000000000222E-3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101993.74450184363</v>
      </c>
      <c r="D28" s="11">
        <v>1.7469999999999999E-2</v>
      </c>
      <c r="E28" s="10">
        <f t="shared" si="2"/>
        <v>1751.2366128212307</v>
      </c>
      <c r="F28" s="3"/>
      <c r="G28" s="28"/>
      <c r="H28" s="10"/>
      <c r="I28" s="10">
        <f t="shared" si="5"/>
        <v>40873</v>
      </c>
      <c r="J28" s="10">
        <f t="shared" si="3"/>
        <v>4168790319.0238547</v>
      </c>
      <c r="K28" s="11">
        <f t="shared" si="4"/>
        <v>1.7470000000000097E-2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100242.5078890224</v>
      </c>
      <c r="D29" s="11">
        <v>1.375E-2</v>
      </c>
      <c r="E29" s="10">
        <f t="shared" si="2"/>
        <v>1359.6394411581277</v>
      </c>
      <c r="F29" s="3"/>
      <c r="G29" s="28"/>
      <c r="H29" s="10"/>
      <c r="I29" s="10">
        <f t="shared" si="5"/>
        <v>40873</v>
      </c>
      <c r="J29" s="10">
        <f t="shared" si="3"/>
        <v>4097212024.9480124</v>
      </c>
      <c r="K29" s="11">
        <f t="shared" si="4"/>
        <v>1.3749999999999929E-2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98882.868447864268</v>
      </c>
      <c r="D30" s="11">
        <v>8.0599999999999995E-3</v>
      </c>
      <c r="E30" s="10">
        <f t="shared" si="2"/>
        <v>790.62349432551127</v>
      </c>
      <c r="F30" s="3"/>
      <c r="G30" s="28"/>
      <c r="H30" s="10"/>
      <c r="I30" s="10">
        <f t="shared" si="5"/>
        <v>40873</v>
      </c>
      <c r="J30" s="10">
        <f t="shared" si="3"/>
        <v>4041639482.0695562</v>
      </c>
      <c r="K30" s="11">
        <f t="shared" si="4"/>
        <v>8.0599999999999561E-3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98092.244953538757</v>
      </c>
      <c r="D31" s="11">
        <v>6.6400000000000001E-3</v>
      </c>
      <c r="E31" s="10">
        <f t="shared" si="2"/>
        <v>647.03618621503119</v>
      </c>
      <c r="F31" s="3"/>
      <c r="G31" s="28"/>
      <c r="H31" s="10"/>
      <c r="I31" s="10">
        <f t="shared" si="5"/>
        <v>40873</v>
      </c>
      <c r="J31" s="10">
        <f t="shared" si="3"/>
        <v>4009324327.9859896</v>
      </c>
      <c r="K31" s="11">
        <f t="shared" si="4"/>
        <v>6.6399999999999793E-3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97445.208767323726</v>
      </c>
      <c r="D32" s="11">
        <v>9.1699999999999993E-3</v>
      </c>
      <c r="E32" s="10">
        <f t="shared" si="2"/>
        <v>885.4529607463046</v>
      </c>
      <c r="F32" s="3"/>
      <c r="G32" s="28"/>
      <c r="H32" s="10"/>
      <c r="I32" s="10">
        <f t="shared" si="5"/>
        <v>40873</v>
      </c>
      <c r="J32" s="10">
        <f t="shared" si="3"/>
        <v>3982878017.9468226</v>
      </c>
      <c r="K32" s="11">
        <f t="shared" si="4"/>
        <v>9.1699999999999005E-3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96559.755806577421</v>
      </c>
      <c r="D33" s="11">
        <v>1.2149999999999999E-2</v>
      </c>
      <c r="E33" s="10">
        <f t="shared" si="2"/>
        <v>1159.1177523587685</v>
      </c>
      <c r="F33" s="3"/>
      <c r="G33" s="28"/>
      <c r="H33" s="10"/>
      <c r="I33" s="10">
        <f t="shared" si="5"/>
        <v>40873</v>
      </c>
      <c r="J33" s="10">
        <f t="shared" si="3"/>
        <v>3946686899.0822392</v>
      </c>
      <c r="K33" s="11">
        <f t="shared" si="4"/>
        <v>1.2150000000000105E-2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95400.638054218653</v>
      </c>
      <c r="D34" s="11">
        <v>1.436E-2</v>
      </c>
      <c r="E34" s="10">
        <f t="shared" si="2"/>
        <v>1350.5591333043267</v>
      </c>
      <c r="F34" s="3"/>
      <c r="G34" s="28"/>
      <c r="H34" s="10"/>
      <c r="I34" s="10">
        <f t="shared" si="5"/>
        <v>40873</v>
      </c>
      <c r="J34" s="10">
        <f t="shared" ref="J34:J65" si="6">IF(I34="","",I34*C34)</f>
        <v>3899310279.1900792</v>
      </c>
      <c r="K34" s="11">
        <f t="shared" ref="K34:K65" si="7">IFERROR(J34/J35-1,"")</f>
        <v>1.4359999999999928E-2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94050.078920914326</v>
      </c>
      <c r="D35" s="11">
        <v>1.23E-2</v>
      </c>
      <c r="E35" s="10">
        <f t="shared" si="2"/>
        <v>1142.760022451097</v>
      </c>
      <c r="F35" s="3"/>
      <c r="G35" s="28"/>
      <c r="H35" s="10"/>
      <c r="I35" s="10">
        <f t="shared" ref="I35:I66" si="8">IF(H35&lt;&gt;"",H35,I34/(1+IF(G34="",0,G34)/100))</f>
        <v>40873</v>
      </c>
      <c r="J35" s="10">
        <f t="shared" si="6"/>
        <v>3844108875.7345314</v>
      </c>
      <c r="K35" s="11">
        <f t="shared" si="7"/>
        <v>1.2299999999999978E-2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92907.318898463229</v>
      </c>
      <c r="D36" s="11">
        <v>1.038E-2</v>
      </c>
      <c r="E36" s="10">
        <f t="shared" si="2"/>
        <v>954.47056569415145</v>
      </c>
      <c r="F36" s="3"/>
      <c r="G36" s="28"/>
      <c r="H36" s="10"/>
      <c r="I36" s="10">
        <f t="shared" si="8"/>
        <v>40873</v>
      </c>
      <c r="J36" s="10">
        <f t="shared" si="6"/>
        <v>3797400845.3368874</v>
      </c>
      <c r="K36" s="11">
        <f t="shared" si="7"/>
        <v>1.0380000000000056E-2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91952.848332769077</v>
      </c>
      <c r="D37" s="11">
        <v>1.068E-2</v>
      </c>
      <c r="E37" s="10">
        <f t="shared" si="2"/>
        <v>971.6788896524813</v>
      </c>
      <c r="F37" s="3"/>
      <c r="G37" s="28"/>
      <c r="H37" s="10"/>
      <c r="I37" s="10">
        <f t="shared" si="8"/>
        <v>40873</v>
      </c>
      <c r="J37" s="10">
        <f t="shared" si="6"/>
        <v>3758388769.9052706</v>
      </c>
      <c r="K37" s="11">
        <f t="shared" si="7"/>
        <v>1.0680000000000023E-2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90981.169443116596</v>
      </c>
      <c r="D38" s="11">
        <v>8.7600000000000004E-3</v>
      </c>
      <c r="E38" s="10">
        <f t="shared" si="2"/>
        <v>790.07399611573783</v>
      </c>
      <c r="F38" s="3"/>
      <c r="G38" s="28"/>
      <c r="H38" s="10"/>
      <c r="I38" s="10">
        <f t="shared" si="8"/>
        <v>40873</v>
      </c>
      <c r="J38" s="10">
        <f t="shared" si="6"/>
        <v>3718673338.6485047</v>
      </c>
      <c r="K38" s="11">
        <f t="shared" si="7"/>
        <v>8.760000000000101E-3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90191.095447000858</v>
      </c>
      <c r="D39" s="11">
        <v>6.8399999999999997E-3</v>
      </c>
      <c r="E39" s="10">
        <f t="shared" si="2"/>
        <v>612.7161146333965</v>
      </c>
      <c r="F39" s="3"/>
      <c r="G39" s="28"/>
      <c r="H39" s="10"/>
      <c r="I39" s="10">
        <f t="shared" si="8"/>
        <v>40873</v>
      </c>
      <c r="J39" s="10">
        <f t="shared" si="6"/>
        <v>3686380644.205266</v>
      </c>
      <c r="K39" s="11">
        <f t="shared" si="7"/>
        <v>6.8399999999999572E-3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89578.379332367462</v>
      </c>
      <c r="D40" s="11">
        <v>8.0400000000000003E-3</v>
      </c>
      <c r="E40" s="10">
        <f t="shared" si="2"/>
        <v>714.46586428339651</v>
      </c>
      <c r="F40" s="3"/>
      <c r="G40" s="28"/>
      <c r="H40" s="10"/>
      <c r="I40" s="10">
        <f t="shared" si="8"/>
        <v>40873</v>
      </c>
      <c r="J40" s="10">
        <f t="shared" si="6"/>
        <v>3661337098.4518552</v>
      </c>
      <c r="K40" s="11">
        <f t="shared" si="7"/>
        <v>8.0399999999998251E-3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88863.913468084065</v>
      </c>
      <c r="D41" s="11">
        <v>1.171E-2</v>
      </c>
      <c r="E41" s="10">
        <f t="shared" si="2"/>
        <v>1028.5520818330115</v>
      </c>
      <c r="F41" s="3"/>
      <c r="G41" s="28"/>
      <c r="H41" s="10"/>
      <c r="I41" s="10">
        <f t="shared" si="8"/>
        <v>40873</v>
      </c>
      <c r="J41" s="10">
        <f t="shared" si="6"/>
        <v>3632134735.1810002</v>
      </c>
      <c r="K41" s="11">
        <f t="shared" si="7"/>
        <v>1.1710000000000109E-2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87835.361386251054</v>
      </c>
      <c r="D42" s="11">
        <v>1.38E-2</v>
      </c>
      <c r="E42" s="10">
        <f t="shared" si="2"/>
        <v>1195.6283163644403</v>
      </c>
      <c r="F42" s="3"/>
      <c r="G42" s="28"/>
      <c r="H42" s="10"/>
      <c r="I42" s="10">
        <f t="shared" si="8"/>
        <v>40873</v>
      </c>
      <c r="J42" s="10">
        <f t="shared" si="6"/>
        <v>3590094725.9402394</v>
      </c>
      <c r="K42" s="11">
        <f t="shared" si="7"/>
        <v>1.3800000000000034E-2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86639.733069886614</v>
      </c>
      <c r="D43" s="11">
        <v>1.3180000000000001E-2</v>
      </c>
      <c r="E43" s="10">
        <f t="shared" si="2"/>
        <v>1127.0570696826908</v>
      </c>
      <c r="F43" s="3"/>
      <c r="G43" s="28"/>
      <c r="H43" s="10"/>
      <c r="I43" s="10">
        <f t="shared" si="8"/>
        <v>40873</v>
      </c>
      <c r="J43" s="10">
        <f t="shared" si="6"/>
        <v>3541225809.7654757</v>
      </c>
      <c r="K43" s="11">
        <f t="shared" si="7"/>
        <v>1.3180000000000192E-2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85512.676000203923</v>
      </c>
      <c r="D44" s="11">
        <v>1.6990000000000002E-2</v>
      </c>
      <c r="E44" s="10">
        <f t="shared" si="2"/>
        <v>1428.5886441788753</v>
      </c>
      <c r="F44" s="3"/>
      <c r="G44" s="28"/>
      <c r="H44" s="10"/>
      <c r="I44" s="10">
        <f t="shared" si="8"/>
        <v>40873</v>
      </c>
      <c r="J44" s="10">
        <f t="shared" si="6"/>
        <v>3495159606.1563349</v>
      </c>
      <c r="K44" s="11">
        <f t="shared" si="7"/>
        <v>1.6990000000000061E-2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84084.087356025047</v>
      </c>
      <c r="D45" s="11">
        <v>1.2279999999999999E-2</v>
      </c>
      <c r="E45" s="10">
        <f t="shared" si="2"/>
        <v>1020.0266652823193</v>
      </c>
      <c r="F45" s="3"/>
      <c r="G45" s="28"/>
      <c r="H45" s="10"/>
      <c r="I45" s="10">
        <f t="shared" si="8"/>
        <v>40873</v>
      </c>
      <c r="J45" s="10">
        <f t="shared" si="6"/>
        <v>3436768902.5028119</v>
      </c>
      <c r="K45" s="11">
        <f t="shared" si="7"/>
        <v>1.2280000000000069E-2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83064.060690742728</v>
      </c>
      <c r="D46" s="11">
        <v>4.0699999999999998E-3</v>
      </c>
      <c r="E46" s="10">
        <f t="shared" si="2"/>
        <v>336.70035656011896</v>
      </c>
      <c r="F46" s="3"/>
      <c r="G46" s="28"/>
      <c r="H46" s="10"/>
      <c r="I46" s="10">
        <f t="shared" si="8"/>
        <v>40873</v>
      </c>
      <c r="J46" s="10">
        <f t="shared" si="6"/>
        <v>3395077352.6127276</v>
      </c>
      <c r="K46" s="11">
        <f t="shared" si="7"/>
        <v>4.070000000000018E-3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82727.360334182609</v>
      </c>
      <c r="D47" s="11">
        <v>6.7400000000000003E-3</v>
      </c>
      <c r="E47" s="10">
        <f t="shared" si="2"/>
        <v>553.84946326994395</v>
      </c>
      <c r="F47" s="3"/>
      <c r="G47" s="28"/>
      <c r="H47" s="10"/>
      <c r="I47" s="10">
        <f t="shared" si="8"/>
        <v>40873</v>
      </c>
      <c r="J47" s="10">
        <f t="shared" si="6"/>
        <v>3381315398.9390459</v>
      </c>
      <c r="K47" s="11">
        <f t="shared" si="7"/>
        <v>6.7399999999999682E-3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82173.510870912665</v>
      </c>
      <c r="D48" s="11">
        <v>1.179E-2</v>
      </c>
      <c r="E48" s="10">
        <f t="shared" si="2"/>
        <v>957.53633972273383</v>
      </c>
      <c r="F48" s="3"/>
      <c r="G48" s="28"/>
      <c r="H48" s="10"/>
      <c r="I48" s="10">
        <f t="shared" si="8"/>
        <v>40873</v>
      </c>
      <c r="J48" s="10">
        <f t="shared" si="6"/>
        <v>3358677909.8268132</v>
      </c>
      <c r="K48" s="11">
        <f t="shared" si="7"/>
        <v>1.1789999999999967E-2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81215.974531189931</v>
      </c>
      <c r="D49" s="11">
        <v>1.542E-2</v>
      </c>
      <c r="E49" s="10">
        <f t="shared" si="2"/>
        <v>1233.3323425488488</v>
      </c>
      <c r="F49" s="3"/>
      <c r="G49" s="28"/>
      <c r="H49" s="10"/>
      <c r="I49" s="10">
        <f t="shared" si="8"/>
        <v>40873</v>
      </c>
      <c r="J49" s="10">
        <f t="shared" si="6"/>
        <v>3319540527.0133262</v>
      </c>
      <c r="K49" s="11">
        <f t="shared" si="7"/>
        <v>1.5420000000000211E-2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79982.642188641083</v>
      </c>
      <c r="D50" s="11">
        <v>1.6910000000000001E-2</v>
      </c>
      <c r="E50" s="10">
        <f t="shared" si="2"/>
        <v>1330.0159103656333</v>
      </c>
      <c r="F50" s="3"/>
      <c r="G50" s="28"/>
      <c r="H50" s="10"/>
      <c r="I50" s="10">
        <f t="shared" si="8"/>
        <v>40873</v>
      </c>
      <c r="J50" s="10">
        <f t="shared" si="6"/>
        <v>3269130534.1763268</v>
      </c>
      <c r="K50" s="11">
        <f t="shared" si="7"/>
        <v>1.6909999999999759E-2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78652.626278275449</v>
      </c>
      <c r="D51" s="11">
        <v>1.6729999999999998E-2</v>
      </c>
      <c r="E51" s="10">
        <f t="shared" si="2"/>
        <v>1294.2063651466451</v>
      </c>
      <c r="F51" s="3"/>
      <c r="G51" s="28"/>
      <c r="H51" s="10"/>
      <c r="I51" s="10">
        <f t="shared" si="8"/>
        <v>40873</v>
      </c>
      <c r="J51" s="10">
        <f t="shared" si="6"/>
        <v>3214768793.8719525</v>
      </c>
      <c r="K51" s="11">
        <f t="shared" si="7"/>
        <v>1.6730000000000134E-2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77358.419913128804</v>
      </c>
      <c r="D52" s="11">
        <v>1.797E-2</v>
      </c>
      <c r="E52" s="10">
        <f t="shared" si="2"/>
        <v>1365.5911331757525</v>
      </c>
      <c r="F52" s="3"/>
      <c r="G52" s="28"/>
      <c r="H52" s="10"/>
      <c r="I52" s="10">
        <f t="shared" si="8"/>
        <v>40873</v>
      </c>
      <c r="J52" s="10">
        <f t="shared" si="6"/>
        <v>3161870697.1093135</v>
      </c>
      <c r="K52" s="11">
        <f t="shared" si="7"/>
        <v>1.7969999999999819E-2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75992.828779953052</v>
      </c>
      <c r="D53" s="11">
        <v>1.8149999999999999E-2</v>
      </c>
      <c r="E53" s="10">
        <f t="shared" si="2"/>
        <v>1354.6823575663147</v>
      </c>
      <c r="F53" s="3"/>
      <c r="G53" s="28"/>
      <c r="H53" s="10"/>
      <c r="I53" s="10">
        <f t="shared" si="8"/>
        <v>40873</v>
      </c>
      <c r="J53" s="10">
        <f t="shared" si="6"/>
        <v>3106054890.723021</v>
      </c>
      <c r="K53" s="11">
        <f t="shared" si="7"/>
        <v>1.8149999999999888E-2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74638.146422386737</v>
      </c>
      <c r="D54" s="11">
        <v>1.7739999999999999E-2</v>
      </c>
      <c r="E54" s="10">
        <f t="shared" si="2"/>
        <v>1301.0009604939842</v>
      </c>
      <c r="F54" s="3"/>
      <c r="G54" s="28"/>
      <c r="H54" s="10"/>
      <c r="I54" s="10">
        <f t="shared" si="8"/>
        <v>40873</v>
      </c>
      <c r="J54" s="10">
        <f t="shared" si="6"/>
        <v>3050684958.7222133</v>
      </c>
      <c r="K54" s="11">
        <f t="shared" si="7"/>
        <v>1.7740000000000089E-2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73337.145461892753</v>
      </c>
      <c r="D55" s="11">
        <v>1.9290000000000002E-2</v>
      </c>
      <c r="E55" s="10">
        <f t="shared" si="2"/>
        <v>1387.900927076611</v>
      </c>
      <c r="F55" s="3"/>
      <c r="G55" s="28"/>
      <c r="H55" s="10"/>
      <c r="I55" s="10">
        <f t="shared" si="8"/>
        <v>40873</v>
      </c>
      <c r="J55" s="10">
        <f t="shared" si="6"/>
        <v>2997509146.4639425</v>
      </c>
      <c r="K55" s="11">
        <f t="shared" si="7"/>
        <v>1.9290000000000251E-2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71949.244534816142</v>
      </c>
      <c r="D56" s="11">
        <v>1.949E-2</v>
      </c>
      <c r="E56" s="10">
        <f t="shared" si="2"/>
        <v>1375.4826197251241</v>
      </c>
      <c r="F56" s="3"/>
      <c r="G56" s="28"/>
      <c r="H56" s="10"/>
      <c r="I56" s="10">
        <f t="shared" si="8"/>
        <v>40873</v>
      </c>
      <c r="J56" s="10">
        <f t="shared" si="6"/>
        <v>2940781471.8715401</v>
      </c>
      <c r="K56" s="11">
        <f t="shared" si="7"/>
        <v>1.9490000000000007E-2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70573.761915091018</v>
      </c>
      <c r="D57" s="11">
        <v>2.1579999999999998E-2</v>
      </c>
      <c r="E57" s="10">
        <f t="shared" si="2"/>
        <v>1490.8101001660689</v>
      </c>
      <c r="F57" s="3"/>
      <c r="G57" s="28"/>
      <c r="H57" s="10"/>
      <c r="I57" s="10">
        <f t="shared" si="8"/>
        <v>40873</v>
      </c>
      <c r="J57" s="10">
        <f t="shared" si="6"/>
        <v>2884561370.7555151</v>
      </c>
      <c r="K57" s="11">
        <f t="shared" si="7"/>
        <v>2.1579999999999933E-2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69082.951814924949</v>
      </c>
      <c r="D58" s="11">
        <v>1.9709999999999998E-2</v>
      </c>
      <c r="E58" s="10">
        <f t="shared" si="2"/>
        <v>1335.3060970983497</v>
      </c>
      <c r="F58" s="3"/>
      <c r="G58" s="28"/>
      <c r="H58" s="10"/>
      <c r="I58" s="10">
        <f t="shared" si="8"/>
        <v>40873</v>
      </c>
      <c r="J58" s="10">
        <f t="shared" si="6"/>
        <v>2823627489.5314274</v>
      </c>
      <c r="K58" s="11">
        <f t="shared" si="7"/>
        <v>1.9709999999999894E-2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67747.645717826599</v>
      </c>
      <c r="D59" s="11">
        <v>2.504E-2</v>
      </c>
      <c r="E59" s="10">
        <f t="shared" si="2"/>
        <v>1654.9608296011575</v>
      </c>
      <c r="F59" s="3"/>
      <c r="G59" s="28"/>
      <c r="H59" s="10"/>
      <c r="I59" s="10">
        <f t="shared" si="8"/>
        <v>40873</v>
      </c>
      <c r="J59" s="10">
        <f t="shared" si="6"/>
        <v>2769049523.4247265</v>
      </c>
      <c r="K59" s="11">
        <f t="shared" si="7"/>
        <v>2.5039999999999729E-2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66092.684888225442</v>
      </c>
      <c r="D60" s="11">
        <v>2.002E-2</v>
      </c>
      <c r="E60" s="10">
        <f t="shared" si="2"/>
        <v>1297.2054974042403</v>
      </c>
      <c r="F60" s="3"/>
      <c r="G60" s="28"/>
      <c r="H60" s="10"/>
      <c r="I60" s="10">
        <f t="shared" si="8"/>
        <v>40873</v>
      </c>
      <c r="J60" s="10">
        <f t="shared" si="6"/>
        <v>2701406309.4364386</v>
      </c>
      <c r="K60" s="11">
        <f t="shared" si="7"/>
        <v>2.0019999999999927E-2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64795.479390821201</v>
      </c>
      <c r="D61" s="11">
        <v>2.181E-2</v>
      </c>
      <c r="E61" s="10">
        <f t="shared" si="2"/>
        <v>1383.0256168111664</v>
      </c>
      <c r="F61" s="3"/>
      <c r="G61" s="28"/>
      <c r="H61" s="10"/>
      <c r="I61" s="10">
        <f t="shared" si="8"/>
        <v>40873</v>
      </c>
      <c r="J61" s="10">
        <f t="shared" si="6"/>
        <v>2648385629.1410351</v>
      </c>
      <c r="K61" s="11">
        <f t="shared" si="7"/>
        <v>2.1810000000000107E-2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63412.453774010035</v>
      </c>
      <c r="D62" s="11">
        <v>2.2859999999999998E-2</v>
      </c>
      <c r="E62" s="10">
        <f t="shared" si="2"/>
        <v>1417.2112442307625</v>
      </c>
      <c r="F62" s="3"/>
      <c r="G62" s="28"/>
      <c r="H62" s="10"/>
      <c r="I62" s="10">
        <f t="shared" si="8"/>
        <v>40873</v>
      </c>
      <c r="J62" s="10">
        <f t="shared" si="6"/>
        <v>2591857223.1051121</v>
      </c>
      <c r="K62" s="11">
        <f t="shared" si="7"/>
        <v>2.2860000000000102E-2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61995.242529779272</v>
      </c>
      <c r="D63" s="11">
        <v>2.333E-2</v>
      </c>
      <c r="E63" s="10">
        <f t="shared" si="2"/>
        <v>1413.3749701657871</v>
      </c>
      <c r="F63" s="3"/>
      <c r="G63" s="28"/>
      <c r="H63" s="10"/>
      <c r="I63" s="10">
        <f t="shared" si="8"/>
        <v>40873</v>
      </c>
      <c r="J63" s="10">
        <f t="shared" si="6"/>
        <v>2533931547.9196682</v>
      </c>
      <c r="K63" s="11">
        <f t="shared" si="7"/>
        <v>2.3330000000000073E-2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60581.867559613485</v>
      </c>
      <c r="D64" s="11">
        <v>1.652E-2</v>
      </c>
      <c r="E64" s="10">
        <f t="shared" si="2"/>
        <v>984.54772368947306</v>
      </c>
      <c r="F64" s="3"/>
      <c r="G64" s="28"/>
      <c r="H64" s="10"/>
      <c r="I64" s="10">
        <f t="shared" si="8"/>
        <v>40873</v>
      </c>
      <c r="J64" s="10">
        <f t="shared" si="6"/>
        <v>2476162672.764082</v>
      </c>
      <c r="K64" s="11">
        <f t="shared" si="7"/>
        <v>1.652000000000009E-2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59597.319835924012</v>
      </c>
      <c r="D65" s="11">
        <v>1.5429999999999999E-2</v>
      </c>
      <c r="E65" s="10">
        <f t="shared" si="2"/>
        <v>905.61303592400509</v>
      </c>
      <c r="F65" s="3"/>
      <c r="G65" s="28"/>
      <c r="H65" s="10"/>
      <c r="I65" s="10">
        <f t="shared" si="8"/>
        <v>40873</v>
      </c>
      <c r="J65" s="10">
        <f t="shared" si="6"/>
        <v>2435921253.6537223</v>
      </c>
      <c r="K65" s="11">
        <f t="shared" si="7"/>
        <v>1.5430000000000055E-2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58691.706800000007</v>
      </c>
      <c r="D66" s="11">
        <v>2.2859999999999998E-2</v>
      </c>
      <c r="E66" s="10">
        <f t="shared" si="2"/>
        <v>1311.7068000000072</v>
      </c>
      <c r="F66" s="24">
        <f>SUM(F2)</f>
        <v>133065</v>
      </c>
      <c r="G66" s="28"/>
      <c r="H66" s="10"/>
      <c r="I66" s="10">
        <f t="shared" si="8"/>
        <v>40873</v>
      </c>
      <c r="J66" s="10">
        <f t="shared" ref="J66:J67" si="9">IF(I66="","",I66*C66)</f>
        <v>2398906132.0364003</v>
      </c>
      <c r="K66" s="11">
        <f t="shared" ref="K66" si="10">IFERROR(J66/J67-1,"")</f>
        <v>2.2860000000000102E-2</v>
      </c>
    </row>
    <row r="67" spans="1:11" ht="22.5" customHeight="1">
      <c r="A67" s="3">
        <f t="shared" si="0"/>
        <v>1950</v>
      </c>
      <c r="B67" s="3">
        <v>1700</v>
      </c>
      <c r="C67" s="10">
        <v>57380</v>
      </c>
      <c r="D67" s="11">
        <v>1.1350000000000001E-2</v>
      </c>
      <c r="E67" s="3" t="s">
        <v>72</v>
      </c>
      <c r="F67" s="10">
        <f>SUM(C2)</f>
        <v>133059.51721603354</v>
      </c>
      <c r="G67" s="28"/>
      <c r="H67" s="10"/>
      <c r="I67" s="10">
        <f t="shared" ref="I67" si="11">IF(H67&lt;&gt;"",H67,I66/(1+IF(G66="",0,G66)/100))</f>
        <v>40873</v>
      </c>
      <c r="J67" s="10">
        <f t="shared" si="9"/>
        <v>2345292740</v>
      </c>
      <c r="K67" s="11"/>
    </row>
  </sheetData>
  <dataValidations count="1">
    <dataValidation type="custom" allowBlank="1" showDropDown="1" sqref="D2:D67" xr:uid="{00000000-0002-0000-5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53637097.248155266</v>
      </c>
      <c r="D2" s="11">
        <v>4.9999999999999992E-3</v>
      </c>
      <c r="E2" s="10">
        <f t="shared" ref="E2:E66" si="2">SUM(C2-C3)</f>
        <v>266851.23009032011</v>
      </c>
      <c r="F2" s="15">
        <v>53637198</v>
      </c>
      <c r="G2" s="28"/>
      <c r="H2" s="10"/>
      <c r="I2" s="10">
        <f>IF(H2&lt;&gt;"",H2,15556)</f>
        <v>15556</v>
      </c>
      <c r="J2" s="10">
        <f t="shared" ref="J2:J33" si="3">IF(I2="","",I2*C2)</f>
        <v>834378684792.30334</v>
      </c>
      <c r="K2" s="11">
        <f t="shared" ref="K2:K33" si="4">IFERROR(J2/J3-1,"")</f>
        <v>4.9999999999998934E-3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53370246.018064946</v>
      </c>
      <c r="D3" s="11">
        <v>4.9999999999999992E-3</v>
      </c>
      <c r="E3" s="10">
        <f t="shared" si="2"/>
        <v>265523.61203017086</v>
      </c>
      <c r="F3" s="3"/>
      <c r="G3" s="28"/>
      <c r="H3" s="10"/>
      <c r="I3" s="10">
        <f t="shared" ref="I3:I34" si="5">IF(H3&lt;&gt;"",H3,I2/(1+IF(G2="",0,G2)/100))</f>
        <v>15556</v>
      </c>
      <c r="J3" s="10">
        <f t="shared" si="3"/>
        <v>830227547057.01831</v>
      </c>
      <c r="K3" s="11">
        <f t="shared" si="4"/>
        <v>4.9999999999998934E-3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53104722.406034775</v>
      </c>
      <c r="D4" s="11">
        <v>4.2000000000000006E-3</v>
      </c>
      <c r="E4" s="10">
        <f t="shared" si="2"/>
        <v>222106.98476931453</v>
      </c>
      <c r="F4" s="3"/>
      <c r="G4" s="28"/>
      <c r="H4" s="10"/>
      <c r="I4" s="10">
        <f t="shared" si="5"/>
        <v>15556</v>
      </c>
      <c r="J4" s="10">
        <f t="shared" si="3"/>
        <v>826097061748.27698</v>
      </c>
      <c r="K4" s="11">
        <f t="shared" si="4"/>
        <v>4.1999999999999815E-3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52882615.421265461</v>
      </c>
      <c r="D5" s="11">
        <v>5.7000000000000002E-3</v>
      </c>
      <c r="E5" s="10">
        <f t="shared" si="2"/>
        <v>299722.48970986903</v>
      </c>
      <c r="F5" s="3"/>
      <c r="G5" s="28"/>
      <c r="H5" s="10"/>
      <c r="I5" s="10">
        <f t="shared" si="5"/>
        <v>15556</v>
      </c>
      <c r="J5" s="10">
        <f t="shared" si="3"/>
        <v>822641965493.20544</v>
      </c>
      <c r="K5" s="11">
        <f t="shared" si="4"/>
        <v>5.7000000000000384E-3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52582892.931555592</v>
      </c>
      <c r="D6" s="11">
        <v>6.8999999999999999E-3</v>
      </c>
      <c r="E6" s="10">
        <f t="shared" si="2"/>
        <v>360335.64527533203</v>
      </c>
      <c r="F6" s="3"/>
      <c r="G6" s="28"/>
      <c r="H6" s="10"/>
      <c r="I6" s="10">
        <f t="shared" si="5"/>
        <v>15556</v>
      </c>
      <c r="J6" s="10">
        <f t="shared" si="3"/>
        <v>817979482443.27881</v>
      </c>
      <c r="K6" s="11">
        <f t="shared" si="4"/>
        <v>6.8999999999999062E-3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52222557.286280259</v>
      </c>
      <c r="D7" s="11">
        <v>6.9999999999999993E-3</v>
      </c>
      <c r="E7" s="10">
        <f t="shared" si="2"/>
        <v>363016.78351932019</v>
      </c>
      <c r="F7" s="3"/>
      <c r="G7" s="28"/>
      <c r="H7" s="10"/>
      <c r="I7" s="10">
        <f t="shared" si="5"/>
        <v>15556</v>
      </c>
      <c r="J7" s="10">
        <f t="shared" si="3"/>
        <v>812374101145.37573</v>
      </c>
      <c r="K7" s="11">
        <f t="shared" si="4"/>
        <v>6.9999999999998952E-3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51859540.502760939</v>
      </c>
      <c r="D8" s="11">
        <v>6.9999999999999993E-3</v>
      </c>
      <c r="E8" s="10">
        <f t="shared" si="2"/>
        <v>360493.33020786941</v>
      </c>
      <c r="F8" s="3"/>
      <c r="G8" s="28"/>
      <c r="H8" s="10"/>
      <c r="I8" s="10">
        <f t="shared" si="5"/>
        <v>15556</v>
      </c>
      <c r="J8" s="10">
        <f t="shared" si="3"/>
        <v>806727012060.94922</v>
      </c>
      <c r="K8" s="11">
        <f t="shared" si="4"/>
        <v>6.9999999999998952E-3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51499047.17255307</v>
      </c>
      <c r="D9" s="11">
        <v>7.0999999999999987E-3</v>
      </c>
      <c r="E9" s="10">
        <f t="shared" si="2"/>
        <v>363065.47008751333</v>
      </c>
      <c r="F9" s="3"/>
      <c r="G9" s="28"/>
      <c r="H9" s="10"/>
      <c r="I9" s="10">
        <f t="shared" si="5"/>
        <v>15556</v>
      </c>
      <c r="J9" s="10">
        <f t="shared" si="3"/>
        <v>801119177816.2356</v>
      </c>
      <c r="K9" s="11">
        <f t="shared" si="4"/>
        <v>7.1000000000001062E-3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51135981.702465557</v>
      </c>
      <c r="D10" s="11">
        <v>7.4000000000000003E-3</v>
      </c>
      <c r="E10" s="10">
        <f t="shared" si="2"/>
        <v>375626.6275543496</v>
      </c>
      <c r="F10" s="3"/>
      <c r="G10" s="28"/>
      <c r="H10" s="10"/>
      <c r="I10" s="10">
        <f t="shared" si="5"/>
        <v>15556</v>
      </c>
      <c r="J10" s="10">
        <f t="shared" si="3"/>
        <v>795471331363.5542</v>
      </c>
      <c r="K10" s="11">
        <f t="shared" si="4"/>
        <v>7.4000000000000732E-3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50760355.074911207</v>
      </c>
      <c r="D11" s="11">
        <v>7.7000000000000002E-3</v>
      </c>
      <c r="E11" s="10">
        <f t="shared" si="2"/>
        <v>387868.14932700247</v>
      </c>
      <c r="F11" s="3"/>
      <c r="G11" s="28"/>
      <c r="H11" s="10"/>
      <c r="I11" s="10">
        <f t="shared" si="5"/>
        <v>15556</v>
      </c>
      <c r="J11" s="10">
        <f t="shared" si="3"/>
        <v>789628083545.31873</v>
      </c>
      <c r="K11" s="11">
        <f t="shared" si="4"/>
        <v>7.7000000000000401E-3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50372486.925584204</v>
      </c>
      <c r="D12" s="11">
        <v>8.0000000000000002E-3</v>
      </c>
      <c r="E12" s="10">
        <f t="shared" si="2"/>
        <v>399781.64226654172</v>
      </c>
      <c r="F12" s="3"/>
      <c r="G12" s="28"/>
      <c r="H12" s="10"/>
      <c r="I12" s="10">
        <f t="shared" si="5"/>
        <v>15556</v>
      </c>
      <c r="J12" s="10">
        <f t="shared" si="3"/>
        <v>783594406614.38794</v>
      </c>
      <c r="K12" s="11">
        <f t="shared" si="4"/>
        <v>8.0000000000000071E-3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49972705.283317663</v>
      </c>
      <c r="D13" s="11">
        <v>8.3000000000000001E-3</v>
      </c>
      <c r="E13" s="10">
        <f t="shared" si="2"/>
        <v>411359.17271797359</v>
      </c>
      <c r="F13" s="3"/>
      <c r="G13" s="28"/>
      <c r="H13" s="10"/>
      <c r="I13" s="10">
        <f t="shared" si="5"/>
        <v>15556</v>
      </c>
      <c r="J13" s="10">
        <f t="shared" si="3"/>
        <v>777375403387.28955</v>
      </c>
      <c r="K13" s="11">
        <f t="shared" si="4"/>
        <v>8.2999999999999741E-3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49561346.110599689</v>
      </c>
      <c r="D14" s="11">
        <v>8.6E-3</v>
      </c>
      <c r="E14" s="10">
        <f t="shared" si="2"/>
        <v>422593.27439139038</v>
      </c>
      <c r="F14" s="3"/>
      <c r="G14" s="28"/>
      <c r="H14" s="10"/>
      <c r="I14" s="10">
        <f t="shared" si="5"/>
        <v>15556</v>
      </c>
      <c r="J14" s="10">
        <f t="shared" si="3"/>
        <v>770976300096.48877</v>
      </c>
      <c r="K14" s="11">
        <f t="shared" si="4"/>
        <v>8.599999999999941E-3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49138752.836208299</v>
      </c>
      <c r="D15" s="11">
        <v>8.8999999999999999E-3</v>
      </c>
      <c r="E15" s="10">
        <f t="shared" si="2"/>
        <v>433476.95533972234</v>
      </c>
      <c r="F15" s="3"/>
      <c r="G15" s="28"/>
      <c r="H15" s="10"/>
      <c r="I15" s="10">
        <f t="shared" si="5"/>
        <v>15556</v>
      </c>
      <c r="J15" s="10">
        <f t="shared" si="3"/>
        <v>764402439120.05627</v>
      </c>
      <c r="K15" s="11">
        <f t="shared" si="4"/>
        <v>8.8999999999996859E-3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48705275.880868576</v>
      </c>
      <c r="D16" s="11">
        <v>9.4000000000000004E-3</v>
      </c>
      <c r="E16" s="10">
        <f t="shared" si="2"/>
        <v>453566.0722014755</v>
      </c>
      <c r="F16" s="3"/>
      <c r="G16" s="28"/>
      <c r="H16" s="10"/>
      <c r="I16" s="10">
        <f t="shared" si="5"/>
        <v>15556</v>
      </c>
      <c r="J16" s="10">
        <f t="shared" si="3"/>
        <v>757659271602.79163</v>
      </c>
      <c r="K16" s="11">
        <f t="shared" si="4"/>
        <v>9.400000000000297E-3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48251709.808667101</v>
      </c>
      <c r="D17" s="11">
        <v>9.7999999999999997E-3</v>
      </c>
      <c r="E17" s="10">
        <f t="shared" si="2"/>
        <v>468277.63529901206</v>
      </c>
      <c r="F17" s="3"/>
      <c r="G17" s="28"/>
      <c r="H17" s="10"/>
      <c r="I17" s="10">
        <f t="shared" si="5"/>
        <v>15556</v>
      </c>
      <c r="J17" s="10">
        <f t="shared" si="3"/>
        <v>750603597783.62537</v>
      </c>
      <c r="K17" s="11">
        <f t="shared" si="4"/>
        <v>9.8000000000000309E-3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47783432.173368089</v>
      </c>
      <c r="D18" s="11">
        <v>1.0199999999999999E-2</v>
      </c>
      <c r="E18" s="10">
        <f t="shared" si="2"/>
        <v>482469.81604469568</v>
      </c>
      <c r="F18" s="3"/>
      <c r="G18" s="28"/>
      <c r="H18" s="10"/>
      <c r="I18" s="10">
        <f t="shared" si="5"/>
        <v>15556</v>
      </c>
      <c r="J18" s="10">
        <f t="shared" si="3"/>
        <v>743319070888.91394</v>
      </c>
      <c r="K18" s="11">
        <f t="shared" si="4"/>
        <v>1.0199999999999765E-2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47300962.357323393</v>
      </c>
      <c r="D19" s="11">
        <v>1.0499999999999999E-2</v>
      </c>
      <c r="E19" s="10">
        <f t="shared" si="2"/>
        <v>491499.36145660281</v>
      </c>
      <c r="F19" s="3"/>
      <c r="G19" s="28"/>
      <c r="H19" s="10"/>
      <c r="I19" s="10">
        <f t="shared" si="5"/>
        <v>15556</v>
      </c>
      <c r="J19" s="10">
        <f t="shared" si="3"/>
        <v>735813770430.52271</v>
      </c>
      <c r="K19" s="11">
        <f t="shared" si="4"/>
        <v>1.0500000000000176E-2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46809462.99586679</v>
      </c>
      <c r="D20" s="11">
        <v>1.09E-2</v>
      </c>
      <c r="E20" s="10">
        <f t="shared" si="2"/>
        <v>504721.68033924699</v>
      </c>
      <c r="F20" s="3"/>
      <c r="G20" s="28"/>
      <c r="H20" s="10"/>
      <c r="I20" s="10">
        <f t="shared" si="5"/>
        <v>15556</v>
      </c>
      <c r="J20" s="10">
        <f t="shared" si="3"/>
        <v>728168006363.70374</v>
      </c>
      <c r="K20" s="11">
        <f t="shared" si="4"/>
        <v>1.089999999999991E-2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46304741.315527543</v>
      </c>
      <c r="D21" s="11">
        <v>8.7999999999999988E-3</v>
      </c>
      <c r="E21" s="10">
        <f t="shared" si="2"/>
        <v>403927.16452878714</v>
      </c>
      <c r="F21" s="3"/>
      <c r="G21" s="28"/>
      <c r="H21" s="10"/>
      <c r="I21" s="10">
        <f t="shared" si="5"/>
        <v>15556</v>
      </c>
      <c r="J21" s="10">
        <f t="shared" si="3"/>
        <v>720316555904.34644</v>
      </c>
      <c r="K21" s="11">
        <f t="shared" si="4"/>
        <v>8.799999999999919E-3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45900814.150998756</v>
      </c>
      <c r="D22" s="11">
        <v>9.2999999999999992E-3</v>
      </c>
      <c r="E22" s="10">
        <f t="shared" si="2"/>
        <v>422944.19063141942</v>
      </c>
      <c r="F22" s="3"/>
      <c r="G22" s="28"/>
      <c r="H22" s="10"/>
      <c r="I22" s="10">
        <f t="shared" si="5"/>
        <v>15556</v>
      </c>
      <c r="J22" s="10">
        <f t="shared" si="3"/>
        <v>714033064932.93665</v>
      </c>
      <c r="K22" s="11">
        <f t="shared" si="4"/>
        <v>9.300000000000086E-3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45477869.960367337</v>
      </c>
      <c r="D23" s="11">
        <v>9.8999999999999991E-3</v>
      </c>
      <c r="E23" s="10">
        <f t="shared" si="2"/>
        <v>445817.32112846524</v>
      </c>
      <c r="F23" s="3"/>
      <c r="G23" s="28"/>
      <c r="H23" s="10"/>
      <c r="I23" s="10">
        <f t="shared" si="5"/>
        <v>15556</v>
      </c>
      <c r="J23" s="10">
        <f t="shared" si="3"/>
        <v>707453745103.47424</v>
      </c>
      <c r="K23" s="11">
        <f t="shared" si="4"/>
        <v>9.9000000000000199E-3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45032052.639238872</v>
      </c>
      <c r="D24" s="11">
        <v>1.0499999999999999E-2</v>
      </c>
      <c r="E24" s="10">
        <f t="shared" si="2"/>
        <v>467923.35745868832</v>
      </c>
      <c r="F24" s="3"/>
      <c r="G24" s="28"/>
      <c r="H24" s="10"/>
      <c r="I24" s="10">
        <f t="shared" si="5"/>
        <v>15556</v>
      </c>
      <c r="J24" s="10">
        <f t="shared" si="3"/>
        <v>700518610855.99988</v>
      </c>
      <c r="K24" s="11">
        <f t="shared" si="4"/>
        <v>1.0499999999999954E-2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44564129.281780183</v>
      </c>
      <c r="D25" s="11">
        <v>1.09E-2</v>
      </c>
      <c r="E25" s="10">
        <f t="shared" si="2"/>
        <v>480511.43453496695</v>
      </c>
      <c r="F25" s="3"/>
      <c r="G25" s="28"/>
      <c r="H25" s="10"/>
      <c r="I25" s="10">
        <f t="shared" si="5"/>
        <v>15556</v>
      </c>
      <c r="J25" s="10">
        <f t="shared" si="3"/>
        <v>693239595107.37256</v>
      </c>
      <c r="K25" s="11">
        <f t="shared" si="4"/>
        <v>1.089999999999991E-2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44083617.847245216</v>
      </c>
      <c r="D26" s="11">
        <v>1.1299999999999998E-2</v>
      </c>
      <c r="E26" s="10">
        <f t="shared" si="2"/>
        <v>492578.74189051241</v>
      </c>
      <c r="F26" s="3"/>
      <c r="G26" s="28"/>
      <c r="H26" s="10"/>
      <c r="I26" s="10">
        <f t="shared" si="5"/>
        <v>15556</v>
      </c>
      <c r="J26" s="10">
        <f t="shared" si="3"/>
        <v>685764759231.74658</v>
      </c>
      <c r="K26" s="11">
        <f t="shared" si="4"/>
        <v>1.1300000000000088E-2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43591039.105354704</v>
      </c>
      <c r="D27" s="11">
        <v>1.1599999999999999E-2</v>
      </c>
      <c r="E27" s="10">
        <f t="shared" si="2"/>
        <v>499857.70425278693</v>
      </c>
      <c r="F27" s="3"/>
      <c r="G27" s="28"/>
      <c r="H27" s="10"/>
      <c r="I27" s="10">
        <f t="shared" si="5"/>
        <v>15556</v>
      </c>
      <c r="J27" s="10">
        <f t="shared" si="3"/>
        <v>678102204322.89783</v>
      </c>
      <c r="K27" s="11">
        <f t="shared" si="4"/>
        <v>1.1600000000000277E-2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43091181.401101917</v>
      </c>
      <c r="D28" s="11">
        <v>1.1899999999999997E-2</v>
      </c>
      <c r="E28" s="10">
        <f t="shared" si="2"/>
        <v>506754.67800485343</v>
      </c>
      <c r="F28" s="3"/>
      <c r="G28" s="28"/>
      <c r="H28" s="10"/>
      <c r="I28" s="10">
        <f t="shared" si="5"/>
        <v>15556</v>
      </c>
      <c r="J28" s="10">
        <f t="shared" si="3"/>
        <v>670326417875.54138</v>
      </c>
      <c r="K28" s="11">
        <f t="shared" si="4"/>
        <v>1.18999999999998E-2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42584426.723097064</v>
      </c>
      <c r="D29" s="11">
        <v>1.2299999999999998E-2</v>
      </c>
      <c r="E29" s="10">
        <f t="shared" si="2"/>
        <v>517424.13187206537</v>
      </c>
      <c r="F29" s="3"/>
      <c r="G29" s="28"/>
      <c r="H29" s="10"/>
      <c r="I29" s="10">
        <f t="shared" si="5"/>
        <v>15556</v>
      </c>
      <c r="J29" s="10">
        <f t="shared" si="3"/>
        <v>662443342104.49792</v>
      </c>
      <c r="K29" s="11">
        <f t="shared" si="4"/>
        <v>1.2299999999999978E-2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42067002.591224998</v>
      </c>
      <c r="D30" s="11">
        <v>1.2799999999999999E-2</v>
      </c>
      <c r="E30" s="10">
        <f t="shared" si="2"/>
        <v>531652.48140568286</v>
      </c>
      <c r="F30" s="3"/>
      <c r="G30" s="28"/>
      <c r="H30" s="10"/>
      <c r="I30" s="10">
        <f t="shared" si="5"/>
        <v>15556</v>
      </c>
      <c r="J30" s="10">
        <f t="shared" si="3"/>
        <v>654394292309.09607</v>
      </c>
      <c r="K30" s="11">
        <f t="shared" si="4"/>
        <v>1.2799999999999923E-2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41535350.109819315</v>
      </c>
      <c r="D31" s="11">
        <v>1.34E-2</v>
      </c>
      <c r="E31" s="10">
        <f t="shared" si="2"/>
        <v>549214.22091136873</v>
      </c>
      <c r="F31" s="3"/>
      <c r="G31" s="28"/>
      <c r="H31" s="10"/>
      <c r="I31" s="10">
        <f t="shared" si="5"/>
        <v>15556</v>
      </c>
      <c r="J31" s="10">
        <f t="shared" si="3"/>
        <v>646123906308.34924</v>
      </c>
      <c r="K31" s="11">
        <f t="shared" si="4"/>
        <v>1.3399999999999856E-2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40986135.888907947</v>
      </c>
      <c r="D32" s="11">
        <v>1.5900000000000001E-2</v>
      </c>
      <c r="E32" s="10">
        <f t="shared" si="2"/>
        <v>641480.02818548679</v>
      </c>
      <c r="F32" s="3"/>
      <c r="G32" s="28"/>
      <c r="H32" s="10"/>
      <c r="I32" s="10">
        <f t="shared" si="5"/>
        <v>15556</v>
      </c>
      <c r="J32" s="10">
        <f t="shared" si="3"/>
        <v>637580329887.85205</v>
      </c>
      <c r="K32" s="11">
        <f t="shared" si="4"/>
        <v>1.5900000000000025E-2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40344655.86072246</v>
      </c>
      <c r="D33" s="11">
        <v>1.66E-2</v>
      </c>
      <c r="E33" s="10">
        <f t="shared" si="2"/>
        <v>658785.44883729517</v>
      </c>
      <c r="F33" s="3"/>
      <c r="G33" s="28"/>
      <c r="H33" s="10"/>
      <c r="I33" s="10">
        <f t="shared" si="5"/>
        <v>15556</v>
      </c>
      <c r="J33" s="10">
        <f t="shared" si="3"/>
        <v>627601466569.39856</v>
      </c>
      <c r="K33" s="11">
        <f t="shared" si="4"/>
        <v>1.6599999999999948E-2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39685870.411885165</v>
      </c>
      <c r="D34" s="11">
        <v>1.7300000000000003E-2</v>
      </c>
      <c r="E34" s="10">
        <f t="shared" si="2"/>
        <v>674889.96178670973</v>
      </c>
      <c r="F34" s="3"/>
      <c r="G34" s="28"/>
      <c r="H34" s="10"/>
      <c r="I34" s="10">
        <f t="shared" si="5"/>
        <v>15556</v>
      </c>
      <c r="J34" s="10">
        <f t="shared" ref="J34:J65" si="6">IF(I34="","",I34*C34)</f>
        <v>617353400127.28564</v>
      </c>
      <c r="K34" s="11">
        <f t="shared" ref="K34:K65" si="7">IFERROR(J34/J35-1,"")</f>
        <v>1.7300000000000093E-2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39010980.450098455</v>
      </c>
      <c r="D35" s="11">
        <v>1.8000000000000002E-2</v>
      </c>
      <c r="E35" s="10">
        <f t="shared" si="2"/>
        <v>689781.57966775447</v>
      </c>
      <c r="F35" s="3"/>
      <c r="G35" s="28"/>
      <c r="H35" s="10"/>
      <c r="I35" s="10">
        <f t="shared" ref="I35:I66" si="8">IF(H35&lt;&gt;"",H35,I34/(1+IF(G34="",0,G34)/100))</f>
        <v>15556</v>
      </c>
      <c r="J35" s="10">
        <f t="shared" si="6"/>
        <v>606854811881.73157</v>
      </c>
      <c r="K35" s="11">
        <f t="shared" si="7"/>
        <v>1.8000000000000238E-2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38321198.8704307</v>
      </c>
      <c r="D36" s="11">
        <v>1.8600000000000002E-2</v>
      </c>
      <c r="E36" s="10">
        <f t="shared" si="2"/>
        <v>699758.78557825089</v>
      </c>
      <c r="F36" s="3"/>
      <c r="G36" s="28"/>
      <c r="H36" s="10"/>
      <c r="I36" s="10">
        <f t="shared" si="8"/>
        <v>15556</v>
      </c>
      <c r="J36" s="10">
        <f t="shared" si="6"/>
        <v>596124569628.41992</v>
      </c>
      <c r="K36" s="11">
        <f t="shared" si="7"/>
        <v>1.8599999999999728E-2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37621440.08485245</v>
      </c>
      <c r="D37" s="11">
        <v>1.9300000000000001E-2</v>
      </c>
      <c r="E37" s="10">
        <f t="shared" si="2"/>
        <v>712345.52500505745</v>
      </c>
      <c r="F37" s="3"/>
      <c r="G37" s="28"/>
      <c r="H37" s="10"/>
      <c r="I37" s="10">
        <f t="shared" si="8"/>
        <v>15556</v>
      </c>
      <c r="J37" s="10">
        <f t="shared" si="6"/>
        <v>585239121959.96472</v>
      </c>
      <c r="K37" s="11">
        <f t="shared" si="7"/>
        <v>1.9300000000000095E-2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36909094.559847392</v>
      </c>
      <c r="D38" s="11">
        <v>1.9900000000000001E-2</v>
      </c>
      <c r="E38" s="10">
        <f t="shared" si="2"/>
        <v>720159.80168738216</v>
      </c>
      <c r="F38" s="3"/>
      <c r="G38" s="28"/>
      <c r="H38" s="10"/>
      <c r="I38" s="10">
        <f t="shared" si="8"/>
        <v>15556</v>
      </c>
      <c r="J38" s="10">
        <f t="shared" si="6"/>
        <v>574157874972.98608</v>
      </c>
      <c r="K38" s="11">
        <f t="shared" si="7"/>
        <v>1.9900000000000029E-2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36188934.75816001</v>
      </c>
      <c r="D39" s="11">
        <v>2.0500000000000001E-2</v>
      </c>
      <c r="E39" s="10">
        <f t="shared" si="2"/>
        <v>726970.27196695656</v>
      </c>
      <c r="F39" s="3"/>
      <c r="G39" s="28"/>
      <c r="H39" s="10"/>
      <c r="I39" s="10">
        <f t="shared" si="8"/>
        <v>15556</v>
      </c>
      <c r="J39" s="10">
        <f t="shared" si="6"/>
        <v>562955069097.93713</v>
      </c>
      <c r="K39" s="11">
        <f t="shared" si="7"/>
        <v>2.0499999999999963E-2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35461964.486193053</v>
      </c>
      <c r="D40" s="11">
        <v>2.1100000000000001E-2</v>
      </c>
      <c r="E40" s="10">
        <f t="shared" si="2"/>
        <v>732785.67295923084</v>
      </c>
      <c r="F40" s="3"/>
      <c r="G40" s="28"/>
      <c r="H40" s="10"/>
      <c r="I40" s="10">
        <f t="shared" si="8"/>
        <v>15556</v>
      </c>
      <c r="J40" s="10">
        <f t="shared" si="6"/>
        <v>551646319547.21912</v>
      </c>
      <c r="K40" s="11">
        <f t="shared" si="7"/>
        <v>2.1099999999999897E-2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34729178.813233823</v>
      </c>
      <c r="D41" s="11">
        <v>2.1700000000000001E-2</v>
      </c>
      <c r="E41" s="10">
        <f t="shared" si="2"/>
        <v>737616.89365486801</v>
      </c>
      <c r="F41" s="3"/>
      <c r="G41" s="28"/>
      <c r="H41" s="10"/>
      <c r="I41" s="10">
        <f t="shared" si="8"/>
        <v>15556</v>
      </c>
      <c r="J41" s="10">
        <f t="shared" si="6"/>
        <v>540247105618.66534</v>
      </c>
      <c r="K41" s="11">
        <f t="shared" si="7"/>
        <v>2.1700000000000053E-2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33991561.919578955</v>
      </c>
      <c r="D42" s="11">
        <v>2.23E-2</v>
      </c>
      <c r="E42" s="10">
        <f t="shared" si="2"/>
        <v>741476.89602524415</v>
      </c>
      <c r="F42" s="3"/>
      <c r="G42" s="28"/>
      <c r="H42" s="10"/>
      <c r="I42" s="10">
        <f t="shared" si="8"/>
        <v>15556</v>
      </c>
      <c r="J42" s="10">
        <f t="shared" si="6"/>
        <v>528772737220.97021</v>
      </c>
      <c r="K42" s="11">
        <f t="shared" si="7"/>
        <v>2.2299999999999986E-2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33250085.02355371</v>
      </c>
      <c r="D43" s="11">
        <v>2.29E-2</v>
      </c>
      <c r="E43" s="10">
        <f t="shared" si="2"/>
        <v>744380.63059866801</v>
      </c>
      <c r="F43" s="3"/>
      <c r="G43" s="28"/>
      <c r="H43" s="10"/>
      <c r="I43" s="10">
        <f t="shared" si="8"/>
        <v>15556</v>
      </c>
      <c r="J43" s="10">
        <f t="shared" si="6"/>
        <v>517238322626.40149</v>
      </c>
      <c r="K43" s="11">
        <f t="shared" si="7"/>
        <v>2.289999999999992E-2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32505704.392955042</v>
      </c>
      <c r="D44" s="11">
        <v>2.35E-2</v>
      </c>
      <c r="E44" s="10">
        <f t="shared" si="2"/>
        <v>746344.9469804056</v>
      </c>
      <c r="F44" s="3"/>
      <c r="G44" s="28"/>
      <c r="H44" s="10"/>
      <c r="I44" s="10">
        <f t="shared" si="8"/>
        <v>15556</v>
      </c>
      <c r="J44" s="10">
        <f t="shared" si="6"/>
        <v>505658737536.80865</v>
      </c>
      <c r="K44" s="11">
        <f t="shared" si="7"/>
        <v>2.3500000000000076E-2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31759359.445974637</v>
      </c>
      <c r="D45" s="11">
        <v>2.4200000000000003E-2</v>
      </c>
      <c r="E45" s="10">
        <f t="shared" si="2"/>
        <v>750416.42119955644</v>
      </c>
      <c r="F45" s="3"/>
      <c r="G45" s="28"/>
      <c r="H45" s="10"/>
      <c r="I45" s="10">
        <f t="shared" si="8"/>
        <v>15556</v>
      </c>
      <c r="J45" s="10">
        <f t="shared" si="6"/>
        <v>494048595541.58142</v>
      </c>
      <c r="K45" s="11">
        <f t="shared" si="7"/>
        <v>2.4199999999999999E-2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31008943.02477508</v>
      </c>
      <c r="D46" s="11">
        <v>2.5000000000000001E-2</v>
      </c>
      <c r="E46" s="10">
        <f t="shared" si="2"/>
        <v>756315.68353109807</v>
      </c>
      <c r="F46" s="3"/>
      <c r="G46" s="28"/>
      <c r="H46" s="10"/>
      <c r="I46" s="10">
        <f t="shared" si="8"/>
        <v>15556</v>
      </c>
      <c r="J46" s="10">
        <f t="shared" si="6"/>
        <v>482375117693.40112</v>
      </c>
      <c r="K46" s="11">
        <f t="shared" si="7"/>
        <v>2.4999999999999911E-2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30252627.341243982</v>
      </c>
      <c r="D47" s="11">
        <v>2.5900000000000003E-2</v>
      </c>
      <c r="E47" s="10">
        <f t="shared" si="2"/>
        <v>763761.62212517858</v>
      </c>
      <c r="F47" s="3"/>
      <c r="G47" s="28"/>
      <c r="H47" s="10"/>
      <c r="I47" s="10">
        <f t="shared" si="8"/>
        <v>15556</v>
      </c>
      <c r="J47" s="10">
        <f t="shared" si="6"/>
        <v>470609870920.39142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29488865.719118804</v>
      </c>
      <c r="D48" s="11">
        <v>2.6700000000000002E-2</v>
      </c>
      <c r="E48" s="10">
        <f t="shared" si="2"/>
        <v>766877.09623109922</v>
      </c>
      <c r="F48" s="3"/>
      <c r="G48" s="28"/>
      <c r="H48" s="10"/>
      <c r="I48" s="10">
        <f t="shared" si="8"/>
        <v>15556</v>
      </c>
      <c r="J48" s="10">
        <f t="shared" si="6"/>
        <v>458728795126.61212</v>
      </c>
      <c r="K48" s="11">
        <f t="shared" si="7"/>
        <v>2.6699999999999946E-2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28721988.622887705</v>
      </c>
      <c r="D49" s="11">
        <v>2.7400000000000001E-2</v>
      </c>
      <c r="E49" s="10">
        <f t="shared" si="2"/>
        <v>765994.24592867866</v>
      </c>
      <c r="F49" s="3"/>
      <c r="G49" s="28"/>
      <c r="H49" s="10"/>
      <c r="I49" s="10">
        <f t="shared" si="8"/>
        <v>15556</v>
      </c>
      <c r="J49" s="10">
        <f t="shared" si="6"/>
        <v>446799255017.64111</v>
      </c>
      <c r="K49" s="11">
        <f t="shared" si="7"/>
        <v>2.7400000000000091E-2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27955994.376959026</v>
      </c>
      <c r="D50" s="11">
        <v>2.8000000000000001E-2</v>
      </c>
      <c r="E50" s="10">
        <f t="shared" si="2"/>
        <v>761447.31766036153</v>
      </c>
      <c r="F50" s="3"/>
      <c r="G50" s="28"/>
      <c r="H50" s="10"/>
      <c r="I50" s="10">
        <f t="shared" si="8"/>
        <v>15556</v>
      </c>
      <c r="J50" s="10">
        <f t="shared" si="6"/>
        <v>434883448527.97461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27194547.059298664</v>
      </c>
      <c r="D51" s="11">
        <v>2.8300000000000002E-2</v>
      </c>
      <c r="E51" s="10">
        <f t="shared" si="2"/>
        <v>748425.24728012457</v>
      </c>
      <c r="F51" s="3"/>
      <c r="G51" s="28"/>
      <c r="H51" s="10"/>
      <c r="I51" s="10">
        <f t="shared" si="8"/>
        <v>15556</v>
      </c>
      <c r="J51" s="10">
        <f t="shared" si="6"/>
        <v>423038374054.45001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26446121.81201854</v>
      </c>
      <c r="D52" s="11">
        <v>2.8300000000000002E-2</v>
      </c>
      <c r="E52" s="10">
        <f t="shared" si="2"/>
        <v>727827.72272695228</v>
      </c>
      <c r="F52" s="3"/>
      <c r="G52" s="28"/>
      <c r="H52" s="10"/>
      <c r="I52" s="10">
        <f t="shared" si="8"/>
        <v>15556</v>
      </c>
      <c r="J52" s="10">
        <f t="shared" si="6"/>
        <v>411395870907.76038</v>
      </c>
      <c r="K52" s="11">
        <f t="shared" si="7"/>
        <v>2.8299999999999992E-2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25718294.089291587</v>
      </c>
      <c r="D53" s="11">
        <v>2.8200000000000003E-2</v>
      </c>
      <c r="E53" s="10">
        <f t="shared" si="2"/>
        <v>705364.61127992719</v>
      </c>
      <c r="F53" s="3"/>
      <c r="G53" s="28"/>
      <c r="H53" s="10"/>
      <c r="I53" s="10">
        <f t="shared" si="8"/>
        <v>15556</v>
      </c>
      <c r="J53" s="10">
        <f t="shared" si="6"/>
        <v>400073782853.01996</v>
      </c>
      <c r="K53" s="11">
        <f t="shared" si="7"/>
        <v>2.8200000000000003E-2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25012929.47801166</v>
      </c>
      <c r="D54" s="11">
        <v>2.7900000000000001E-2</v>
      </c>
      <c r="E54" s="10">
        <f t="shared" si="2"/>
        <v>678918.89525880665</v>
      </c>
      <c r="F54" s="3"/>
      <c r="G54" s="28"/>
      <c r="H54" s="10"/>
      <c r="I54" s="10">
        <f t="shared" si="8"/>
        <v>15556</v>
      </c>
      <c r="J54" s="10">
        <f t="shared" si="6"/>
        <v>389101130959.9494</v>
      </c>
      <c r="K54" s="11">
        <f t="shared" si="7"/>
        <v>2.7900000000000036E-2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24334010.582752854</v>
      </c>
      <c r="D55" s="11">
        <v>2.76E-2</v>
      </c>
      <c r="E55" s="10">
        <f t="shared" si="2"/>
        <v>653579.88719733432</v>
      </c>
      <c r="F55" s="3"/>
      <c r="G55" s="28"/>
      <c r="H55" s="10"/>
      <c r="I55" s="10">
        <f t="shared" si="8"/>
        <v>15556</v>
      </c>
      <c r="J55" s="10">
        <f t="shared" si="6"/>
        <v>378539868625.30341</v>
      </c>
      <c r="K55" s="11">
        <f t="shared" si="7"/>
        <v>2.7600000000000069E-2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23680430.695555519</v>
      </c>
      <c r="D56" s="11">
        <v>2.7300000000000001E-2</v>
      </c>
      <c r="E56" s="10">
        <f t="shared" si="2"/>
        <v>629295.97779486701</v>
      </c>
      <c r="F56" s="3"/>
      <c r="G56" s="28"/>
      <c r="H56" s="10"/>
      <c r="I56" s="10">
        <f t="shared" si="8"/>
        <v>15556</v>
      </c>
      <c r="J56" s="10">
        <f t="shared" si="6"/>
        <v>368372779900.06165</v>
      </c>
      <c r="K56" s="11">
        <f t="shared" si="7"/>
        <v>2.7300000000000102E-2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23051134.717760652</v>
      </c>
      <c r="D57" s="11">
        <v>2.7100000000000003E-2</v>
      </c>
      <c r="E57" s="10">
        <f t="shared" si="2"/>
        <v>608203.4376899153</v>
      </c>
      <c r="F57" s="3"/>
      <c r="G57" s="28"/>
      <c r="H57" s="10"/>
      <c r="I57" s="10">
        <f t="shared" si="8"/>
        <v>15556</v>
      </c>
      <c r="J57" s="10">
        <f t="shared" si="6"/>
        <v>358583451669.48468</v>
      </c>
      <c r="K57" s="11">
        <f t="shared" si="7"/>
        <v>2.7099999999999902E-2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22442931.280070737</v>
      </c>
      <c r="D58" s="11">
        <v>2.7100000000000003E-2</v>
      </c>
      <c r="E58" s="10">
        <f t="shared" si="2"/>
        <v>592156.0098236911</v>
      </c>
      <c r="F58" s="3"/>
      <c r="G58" s="28"/>
      <c r="H58" s="10"/>
      <c r="I58" s="10">
        <f t="shared" si="8"/>
        <v>15556</v>
      </c>
      <c r="J58" s="10">
        <f t="shared" si="6"/>
        <v>349122238992.7804</v>
      </c>
      <c r="K58" s="11">
        <f t="shared" si="7"/>
        <v>2.709999999999968E-2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21850775.270247046</v>
      </c>
      <c r="D59" s="11">
        <v>2.7300000000000001E-2</v>
      </c>
      <c r="E59" s="10">
        <f t="shared" si="2"/>
        <v>580673.77093132213</v>
      </c>
      <c r="F59" s="3"/>
      <c r="G59" s="28"/>
      <c r="H59" s="10"/>
      <c r="I59" s="10">
        <f t="shared" si="8"/>
        <v>15556</v>
      </c>
      <c r="J59" s="10">
        <f t="shared" si="6"/>
        <v>339910660103.96307</v>
      </c>
      <c r="K59" s="11">
        <f t="shared" si="7"/>
        <v>2.7300000000000102E-2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21270101.499315724</v>
      </c>
      <c r="D60" s="11">
        <v>2.7800000000000002E-2</v>
      </c>
      <c r="E60" s="10">
        <f t="shared" si="2"/>
        <v>575315.06293148175</v>
      </c>
      <c r="F60" s="3"/>
      <c r="G60" s="28"/>
      <c r="H60" s="10"/>
      <c r="I60" s="10">
        <f t="shared" si="8"/>
        <v>15556</v>
      </c>
      <c r="J60" s="10">
        <f t="shared" si="6"/>
        <v>330877698923.35541</v>
      </c>
      <c r="K60" s="11">
        <f t="shared" si="7"/>
        <v>2.7800000000000047E-2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20694786.436384242</v>
      </c>
      <c r="D61" s="11">
        <v>2.8400000000000002E-2</v>
      </c>
      <c r="E61" s="10">
        <f t="shared" si="2"/>
        <v>571501.29793204367</v>
      </c>
      <c r="F61" s="3"/>
      <c r="G61" s="28"/>
      <c r="H61" s="10"/>
      <c r="I61" s="10">
        <f t="shared" si="8"/>
        <v>15556</v>
      </c>
      <c r="J61" s="10">
        <f t="shared" si="6"/>
        <v>321928097804.39325</v>
      </c>
      <c r="K61" s="11">
        <f t="shared" si="7"/>
        <v>2.8399999999999981E-2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20123285.138452198</v>
      </c>
      <c r="D62" s="11">
        <v>2.9100000000000004E-2</v>
      </c>
      <c r="E62" s="10">
        <f t="shared" si="2"/>
        <v>569028.85776790977</v>
      </c>
      <c r="F62" s="3"/>
      <c r="G62" s="28"/>
      <c r="H62" s="10"/>
      <c r="I62" s="10">
        <f t="shared" si="8"/>
        <v>15556</v>
      </c>
      <c r="J62" s="10">
        <f t="shared" si="6"/>
        <v>313037823613.76239</v>
      </c>
      <c r="K62" s="11">
        <f t="shared" si="7"/>
        <v>2.9099999999999904E-2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19554256.280684289</v>
      </c>
      <c r="D63" s="11">
        <v>2.9599999999999998E-2</v>
      </c>
      <c r="E63" s="10">
        <f t="shared" si="2"/>
        <v>562165.87597927079</v>
      </c>
      <c r="F63" s="3"/>
      <c r="G63" s="28"/>
      <c r="H63" s="10"/>
      <c r="I63" s="10">
        <f t="shared" si="8"/>
        <v>15556</v>
      </c>
      <c r="J63" s="10">
        <f t="shared" si="6"/>
        <v>304186010702.32477</v>
      </c>
      <c r="K63" s="11">
        <f t="shared" si="7"/>
        <v>2.9600000000000071E-2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18992090.404705018</v>
      </c>
      <c r="D64" s="11">
        <v>2.9800000000000004E-2</v>
      </c>
      <c r="E64" s="10">
        <f t="shared" si="2"/>
        <v>549586.61299301684</v>
      </c>
      <c r="F64" s="3"/>
      <c r="G64" s="28"/>
      <c r="H64" s="10"/>
      <c r="I64" s="10">
        <f t="shared" si="8"/>
        <v>15556</v>
      </c>
      <c r="J64" s="10">
        <f t="shared" si="6"/>
        <v>295440958335.59125</v>
      </c>
      <c r="K64" s="11">
        <f t="shared" si="7"/>
        <v>2.9799999999999827E-2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18442503.791712001</v>
      </c>
      <c r="D65" s="11">
        <v>2.9599999999999998E-2</v>
      </c>
      <c r="E65" s="10">
        <f t="shared" si="2"/>
        <v>530204.07171200216</v>
      </c>
      <c r="F65" s="3"/>
      <c r="G65" s="28"/>
      <c r="H65" s="10"/>
      <c r="I65" s="10">
        <f t="shared" si="8"/>
        <v>15556</v>
      </c>
      <c r="J65" s="10">
        <f t="shared" si="6"/>
        <v>286891588983.87189</v>
      </c>
      <c r="K65" s="11">
        <f t="shared" si="7"/>
        <v>2.9600000000000071E-2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17912299.719999999</v>
      </c>
      <c r="D66" s="11">
        <v>2.92E-2</v>
      </c>
      <c r="E66" s="10">
        <f t="shared" si="2"/>
        <v>508199.71999999881</v>
      </c>
      <c r="F66" s="24">
        <f>SUM(F2)</f>
        <v>53637198</v>
      </c>
      <c r="G66" s="28"/>
      <c r="H66" s="10"/>
      <c r="I66" s="10">
        <f t="shared" si="8"/>
        <v>15556</v>
      </c>
      <c r="J66" s="10">
        <f t="shared" ref="J66:J67" si="9">IF(I66="","",I66*C66)</f>
        <v>278643734444.32001</v>
      </c>
      <c r="K66" s="11">
        <f t="shared" ref="K66" si="10">IFERROR(J66/J67-1,"")</f>
        <v>2.9200000000000115E-2</v>
      </c>
    </row>
    <row r="67" spans="1:11" ht="22.5" customHeight="1">
      <c r="A67" s="3">
        <f t="shared" si="0"/>
        <v>1950</v>
      </c>
      <c r="B67" s="3">
        <v>1700</v>
      </c>
      <c r="C67" s="10">
        <v>17404100</v>
      </c>
      <c r="D67" s="11">
        <v>2.86E-2</v>
      </c>
      <c r="E67" s="3" t="s">
        <v>72</v>
      </c>
      <c r="F67" s="10">
        <f>SUM(C2)</f>
        <v>53637097.248155266</v>
      </c>
      <c r="G67" s="28"/>
      <c r="H67" s="10"/>
      <c r="I67" s="10">
        <f t="shared" ref="I67" si="11">IF(H67&lt;&gt;"",H67,I66/(1+IF(G66="",0,G66)/100))</f>
        <v>15556</v>
      </c>
      <c r="J67" s="10">
        <f t="shared" si="9"/>
        <v>270738179600</v>
      </c>
      <c r="K67" s="11"/>
    </row>
  </sheetData>
  <dataValidations count="1">
    <dataValidation type="custom" allowBlank="1" showDropDown="1" sqref="D2:D67" xr:uid="{00000000-0002-0000-5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12224664.698043607</v>
      </c>
      <c r="D2" s="11">
        <v>2.562E-2</v>
      </c>
      <c r="E2" s="10">
        <f t="shared" ref="E2:E66" si="2">SUM(C2-C3)</f>
        <v>305372.27195635438</v>
      </c>
      <c r="F2" s="15">
        <v>12224862</v>
      </c>
      <c r="G2" s="28"/>
      <c r="H2" s="10"/>
      <c r="I2" s="10">
        <f>IF(H2&lt;&gt;"",H2,3675)</f>
        <v>3675</v>
      </c>
      <c r="J2" s="10">
        <f t="shared" ref="J2:J33" si="3">IF(I2="","",I2*C2)</f>
        <v>44925642765.310257</v>
      </c>
      <c r="K2" s="11">
        <f t="shared" ref="K2:K33" si="4">IFERROR(J2/J3-1,"")</f>
        <v>2.5619999999999976E-2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11919292.426087253</v>
      </c>
      <c r="D3" s="11">
        <v>2.5000000000000001E-2</v>
      </c>
      <c r="E3" s="10">
        <f t="shared" si="2"/>
        <v>290714.44941676036</v>
      </c>
      <c r="F3" s="3"/>
      <c r="G3" s="28"/>
      <c r="H3" s="10"/>
      <c r="I3" s="10">
        <f t="shared" ref="I3:I34" si="5">IF(H3&lt;&gt;"",H3,I2/(1+IF(G2="",0,G2)/100))</f>
        <v>3675</v>
      </c>
      <c r="J3" s="10">
        <f t="shared" si="3"/>
        <v>43803399665.870651</v>
      </c>
      <c r="K3" s="11">
        <f t="shared" si="4"/>
        <v>2.4999999999999689E-2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11628577.976670492</v>
      </c>
      <c r="D4" s="11">
        <v>2.46E-2</v>
      </c>
      <c r="E4" s="10">
        <f t="shared" si="2"/>
        <v>279194.82551834174</v>
      </c>
      <c r="F4" s="3"/>
      <c r="G4" s="28"/>
      <c r="H4" s="10"/>
      <c r="I4" s="10">
        <f t="shared" si="5"/>
        <v>3675</v>
      </c>
      <c r="J4" s="10">
        <f t="shared" si="3"/>
        <v>42735024064.264061</v>
      </c>
      <c r="K4" s="11">
        <f t="shared" si="4"/>
        <v>2.4599999999999955E-2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11349383.151152151</v>
      </c>
      <c r="D5" s="11">
        <v>2.4289999999999999E-2</v>
      </c>
      <c r="E5" s="10">
        <f t="shared" si="2"/>
        <v>269139.12733843364</v>
      </c>
      <c r="F5" s="3"/>
      <c r="G5" s="28"/>
      <c r="H5" s="10"/>
      <c r="I5" s="10">
        <f t="shared" si="5"/>
        <v>3675</v>
      </c>
      <c r="J5" s="10">
        <f t="shared" si="3"/>
        <v>41708983080.484154</v>
      </c>
      <c r="K5" s="11">
        <f t="shared" si="4"/>
        <v>2.4289999999999923E-2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11080244.023813717</v>
      </c>
      <c r="D6" s="11">
        <v>2.4799999999999999E-2</v>
      </c>
      <c r="E6" s="10">
        <f t="shared" si="2"/>
        <v>268140.17543967627</v>
      </c>
      <c r="F6" s="3"/>
      <c r="G6" s="28"/>
      <c r="H6" s="10"/>
      <c r="I6" s="10">
        <f t="shared" si="5"/>
        <v>3675</v>
      </c>
      <c r="J6" s="10">
        <f t="shared" si="3"/>
        <v>40719896787.515411</v>
      </c>
      <c r="K6" s="11">
        <f t="shared" si="4"/>
        <v>2.4800000000000155E-2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10812103.848374041</v>
      </c>
      <c r="D7" s="11">
        <v>2.4740000000000002E-2</v>
      </c>
      <c r="E7" s="10">
        <f t="shared" si="2"/>
        <v>261033.48089151829</v>
      </c>
      <c r="F7" s="3"/>
      <c r="G7" s="28"/>
      <c r="H7" s="10"/>
      <c r="I7" s="10">
        <f t="shared" si="5"/>
        <v>3675</v>
      </c>
      <c r="J7" s="10">
        <f t="shared" si="3"/>
        <v>39734481642.774597</v>
      </c>
      <c r="K7" s="11">
        <f t="shared" si="4"/>
        <v>2.4739999999999984E-2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10551070.367482523</v>
      </c>
      <c r="D8" s="11">
        <v>2.444E-2</v>
      </c>
      <c r="E8" s="10">
        <f t="shared" si="2"/>
        <v>251716.21547506191</v>
      </c>
      <c r="F8" s="3"/>
      <c r="G8" s="28"/>
      <c r="H8" s="10"/>
      <c r="I8" s="10">
        <f t="shared" si="5"/>
        <v>3675</v>
      </c>
      <c r="J8" s="10">
        <f t="shared" si="3"/>
        <v>38775183600.498268</v>
      </c>
      <c r="K8" s="11">
        <f t="shared" si="4"/>
        <v>2.4439999999999795E-2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10299354.152007461</v>
      </c>
      <c r="D9" s="11">
        <v>2.4389999999999998E-2</v>
      </c>
      <c r="E9" s="10">
        <f t="shared" si="2"/>
        <v>245220.32406355068</v>
      </c>
      <c r="F9" s="3"/>
      <c r="G9" s="28"/>
      <c r="H9" s="10"/>
      <c r="I9" s="10">
        <f t="shared" si="5"/>
        <v>3675</v>
      </c>
      <c r="J9" s="10">
        <f t="shared" si="3"/>
        <v>37850126508.627419</v>
      </c>
      <c r="K9" s="11">
        <f t="shared" si="4"/>
        <v>2.4389999999999912E-2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10054133.82794391</v>
      </c>
      <c r="D10" s="11">
        <v>2.3990000000000001E-2</v>
      </c>
      <c r="E10" s="10">
        <f t="shared" si="2"/>
        <v>235547.87696400657</v>
      </c>
      <c r="F10" s="3"/>
      <c r="G10" s="28"/>
      <c r="H10" s="10"/>
      <c r="I10" s="10">
        <f t="shared" si="5"/>
        <v>3675</v>
      </c>
      <c r="J10" s="10">
        <f t="shared" si="3"/>
        <v>36948941817.693871</v>
      </c>
      <c r="K10" s="11">
        <f t="shared" si="4"/>
        <v>2.3989999999999956E-2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9818585.9509799033</v>
      </c>
      <c r="D11" s="11">
        <v>2.2290000000000001E-2</v>
      </c>
      <c r="E11" s="10">
        <f t="shared" si="2"/>
        <v>214084.34088892676</v>
      </c>
      <c r="F11" s="3"/>
      <c r="G11" s="28"/>
      <c r="H11" s="10"/>
      <c r="I11" s="10">
        <f t="shared" si="5"/>
        <v>3675</v>
      </c>
      <c r="J11" s="10">
        <f t="shared" si="3"/>
        <v>36083303369.851143</v>
      </c>
      <c r="K11" s="11">
        <f t="shared" si="4"/>
        <v>2.2289999999999921E-2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9604501.6100909766</v>
      </c>
      <c r="D12" s="11">
        <v>1.949E-2</v>
      </c>
      <c r="E12" s="10">
        <f t="shared" si="2"/>
        <v>183613.11673549749</v>
      </c>
      <c r="F12" s="3"/>
      <c r="G12" s="28"/>
      <c r="H12" s="10"/>
      <c r="I12" s="10">
        <f t="shared" si="5"/>
        <v>3675</v>
      </c>
      <c r="J12" s="10">
        <f t="shared" si="3"/>
        <v>35296543417.084335</v>
      </c>
      <c r="K12" s="11">
        <f t="shared" si="4"/>
        <v>1.9490000000000007E-2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9420888.4933554791</v>
      </c>
      <c r="D13" s="11">
        <v>2.053E-2</v>
      </c>
      <c r="E13" s="10">
        <f t="shared" si="2"/>
        <v>189519.99526578002</v>
      </c>
      <c r="F13" s="3"/>
      <c r="G13" s="28"/>
      <c r="H13" s="10"/>
      <c r="I13" s="10">
        <f t="shared" si="5"/>
        <v>3675</v>
      </c>
      <c r="J13" s="10">
        <f t="shared" si="3"/>
        <v>34621765213.081383</v>
      </c>
      <c r="K13" s="11">
        <f t="shared" si="4"/>
        <v>2.0529999999999715E-2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9231368.4980896991</v>
      </c>
      <c r="D14" s="11">
        <v>2.23E-2</v>
      </c>
      <c r="E14" s="10">
        <f t="shared" si="2"/>
        <v>201368.98905155063</v>
      </c>
      <c r="F14" s="3"/>
      <c r="G14" s="28"/>
      <c r="H14" s="10"/>
      <c r="I14" s="10">
        <f t="shared" si="5"/>
        <v>3675</v>
      </c>
      <c r="J14" s="10">
        <f t="shared" si="3"/>
        <v>33925279230.479645</v>
      </c>
      <c r="K14" s="11">
        <f t="shared" si="4"/>
        <v>2.2299999999999986E-2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9029999.5090381484</v>
      </c>
      <c r="D15" s="11">
        <v>2.2550000000000001E-2</v>
      </c>
      <c r="E15" s="10">
        <f t="shared" si="2"/>
        <v>199135.97274344601</v>
      </c>
      <c r="F15" s="3"/>
      <c r="G15" s="28"/>
      <c r="H15" s="10"/>
      <c r="I15" s="10">
        <f t="shared" si="5"/>
        <v>3675</v>
      </c>
      <c r="J15" s="10">
        <f t="shared" si="3"/>
        <v>33185248195.715195</v>
      </c>
      <c r="K15" s="11">
        <f t="shared" si="4"/>
        <v>2.255000000000007E-2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8830863.5362947024</v>
      </c>
      <c r="D16" s="11">
        <v>8.5000000000000006E-3</v>
      </c>
      <c r="E16" s="10">
        <f t="shared" si="2"/>
        <v>74429.687712945044</v>
      </c>
      <c r="F16" s="3"/>
      <c r="G16" s="28"/>
      <c r="H16" s="10"/>
      <c r="I16" s="10">
        <f t="shared" si="5"/>
        <v>3675</v>
      </c>
      <c r="J16" s="10">
        <f t="shared" si="3"/>
        <v>32453423495.88303</v>
      </c>
      <c r="K16" s="11">
        <f t="shared" si="4"/>
        <v>8.499999999999952E-3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8756433.8485817574</v>
      </c>
      <c r="D17" s="11">
        <v>1.7749999999999998E-2</v>
      </c>
      <c r="E17" s="10">
        <f t="shared" si="2"/>
        <v>152715.99195512198</v>
      </c>
      <c r="F17" s="3"/>
      <c r="G17" s="28"/>
      <c r="H17" s="10"/>
      <c r="I17" s="10">
        <f t="shared" si="5"/>
        <v>3675</v>
      </c>
      <c r="J17" s="10">
        <f t="shared" si="3"/>
        <v>32179894393.53796</v>
      </c>
      <c r="K17" s="11">
        <f t="shared" si="4"/>
        <v>1.7749999999999932E-2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8603717.8566266354</v>
      </c>
      <c r="D18" s="11">
        <v>2.1510000000000001E-2</v>
      </c>
      <c r="E18" s="10">
        <f t="shared" si="2"/>
        <v>181169.02536053397</v>
      </c>
      <c r="F18" s="3"/>
      <c r="G18" s="28"/>
      <c r="H18" s="10"/>
      <c r="I18" s="10">
        <f t="shared" si="5"/>
        <v>3675</v>
      </c>
      <c r="J18" s="10">
        <f t="shared" si="3"/>
        <v>31618663123.102886</v>
      </c>
      <c r="K18" s="11">
        <f t="shared" si="4"/>
        <v>2.1509999999999918E-2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8422548.8312661014</v>
      </c>
      <c r="D19" s="11">
        <v>2.332E-2</v>
      </c>
      <c r="E19" s="10">
        <f t="shared" si="2"/>
        <v>191937.84812680911</v>
      </c>
      <c r="F19" s="3"/>
      <c r="G19" s="28"/>
      <c r="H19" s="10"/>
      <c r="I19" s="10">
        <f t="shared" si="5"/>
        <v>3675</v>
      </c>
      <c r="J19" s="10">
        <f t="shared" si="3"/>
        <v>30952866954.902924</v>
      </c>
      <c r="K19" s="11">
        <f t="shared" si="4"/>
        <v>2.3320000000000007E-2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8230610.9831392923</v>
      </c>
      <c r="D20" s="11">
        <v>1.422E-2</v>
      </c>
      <c r="E20" s="10">
        <f t="shared" si="2"/>
        <v>115398.32401277777</v>
      </c>
      <c r="F20" s="3"/>
      <c r="G20" s="28"/>
      <c r="H20" s="10"/>
      <c r="I20" s="10">
        <f t="shared" si="5"/>
        <v>3675</v>
      </c>
      <c r="J20" s="10">
        <f t="shared" si="3"/>
        <v>30247495363.0369</v>
      </c>
      <c r="K20" s="11">
        <f t="shared" si="4"/>
        <v>1.4219999999999899E-2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8115212.6591265146</v>
      </c>
      <c r="D21" s="11">
        <v>2.7019999999999999E-2</v>
      </c>
      <c r="E21" s="10">
        <f t="shared" si="2"/>
        <v>213504.16355046537</v>
      </c>
      <c r="F21" s="3"/>
      <c r="G21" s="28"/>
      <c r="H21" s="10"/>
      <c r="I21" s="10">
        <f t="shared" si="5"/>
        <v>3675</v>
      </c>
      <c r="J21" s="10">
        <f t="shared" si="3"/>
        <v>29823406522.28994</v>
      </c>
      <c r="K21" s="11">
        <f t="shared" si="4"/>
        <v>2.7020000000000044E-2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7901708.4955760492</v>
      </c>
      <c r="D22" s="11">
        <v>2.9610000000000001E-2</v>
      </c>
      <c r="E22" s="10">
        <f t="shared" si="2"/>
        <v>227240.98304601386</v>
      </c>
      <c r="F22" s="3"/>
      <c r="G22" s="28"/>
      <c r="H22" s="10"/>
      <c r="I22" s="10">
        <f t="shared" si="5"/>
        <v>3675</v>
      </c>
      <c r="J22" s="10">
        <f t="shared" si="3"/>
        <v>29038778721.241982</v>
      </c>
      <c r="K22" s="11">
        <f t="shared" si="4"/>
        <v>2.9609999999999914E-2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7674467.5125300353</v>
      </c>
      <c r="D23" s="11">
        <v>2.623E-2</v>
      </c>
      <c r="E23" s="10">
        <f t="shared" si="2"/>
        <v>196156.10813722294</v>
      </c>
      <c r="F23" s="3"/>
      <c r="G23" s="28"/>
      <c r="H23" s="10"/>
      <c r="I23" s="10">
        <f t="shared" si="5"/>
        <v>3675</v>
      </c>
      <c r="J23" s="10">
        <f t="shared" si="3"/>
        <v>28203668108.547878</v>
      </c>
      <c r="K23" s="11">
        <f t="shared" si="4"/>
        <v>2.6229999999999976E-2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7478311.4043928124</v>
      </c>
      <c r="D24" s="11">
        <v>3.3849999999999998E-2</v>
      </c>
      <c r="E24" s="10">
        <f t="shared" si="2"/>
        <v>244852.5811662199</v>
      </c>
      <c r="F24" s="3"/>
      <c r="G24" s="28"/>
      <c r="H24" s="10"/>
      <c r="I24" s="10">
        <f t="shared" si="5"/>
        <v>3675</v>
      </c>
      <c r="J24" s="10">
        <f t="shared" si="3"/>
        <v>27482794411.143585</v>
      </c>
      <c r="K24" s="11">
        <f t="shared" si="4"/>
        <v>3.3849999999999936E-2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7233458.8232265925</v>
      </c>
      <c r="D25" s="11">
        <v>2.6960000000000001E-2</v>
      </c>
      <c r="E25" s="10">
        <f t="shared" si="2"/>
        <v>189894.49430765491</v>
      </c>
      <c r="F25" s="3"/>
      <c r="G25" s="28"/>
      <c r="H25" s="10"/>
      <c r="I25" s="10">
        <f t="shared" si="5"/>
        <v>3675</v>
      </c>
      <c r="J25" s="10">
        <f t="shared" si="3"/>
        <v>26582961175.357727</v>
      </c>
      <c r="K25" s="11">
        <f t="shared" si="4"/>
        <v>2.6960000000000095E-2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7043564.3289189376</v>
      </c>
      <c r="D26" s="11">
        <v>3.7039999999999997E-2</v>
      </c>
      <c r="E26" s="10">
        <f t="shared" si="2"/>
        <v>251575.27457297407</v>
      </c>
      <c r="F26" s="3"/>
      <c r="G26" s="28"/>
      <c r="H26" s="10"/>
      <c r="I26" s="10">
        <f t="shared" si="5"/>
        <v>3675</v>
      </c>
      <c r="J26" s="10">
        <f t="shared" si="3"/>
        <v>25885098908.777096</v>
      </c>
      <c r="K26" s="11">
        <f t="shared" si="4"/>
        <v>3.7039999999999962E-2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6791989.0543459635</v>
      </c>
      <c r="D27" s="11">
        <v>4.3150000000000001E-2</v>
      </c>
      <c r="E27" s="10">
        <f t="shared" si="2"/>
        <v>280951.27996455785</v>
      </c>
      <c r="F27" s="3"/>
      <c r="G27" s="28"/>
      <c r="H27" s="10"/>
      <c r="I27" s="10">
        <f t="shared" si="5"/>
        <v>3675</v>
      </c>
      <c r="J27" s="10">
        <f t="shared" si="3"/>
        <v>24960559774.721416</v>
      </c>
      <c r="K27" s="11">
        <f t="shared" si="4"/>
        <v>4.3150000000000022E-2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6511037.7743814057</v>
      </c>
      <c r="D28" s="11">
        <v>2.5669999999999998E-2</v>
      </c>
      <c r="E28" s="10">
        <f t="shared" si="2"/>
        <v>162955.27769006696</v>
      </c>
      <c r="F28" s="3"/>
      <c r="G28" s="28"/>
      <c r="H28" s="10"/>
      <c r="I28" s="10">
        <f t="shared" si="5"/>
        <v>3675</v>
      </c>
      <c r="J28" s="10">
        <f t="shared" si="3"/>
        <v>23928063820.851665</v>
      </c>
      <c r="K28" s="11">
        <f t="shared" si="4"/>
        <v>2.566999999999986E-2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6348082.4966913387</v>
      </c>
      <c r="D29" s="11">
        <v>2.6239999999999999E-2</v>
      </c>
      <c r="E29" s="10">
        <f t="shared" si="2"/>
        <v>162314.55089762714</v>
      </c>
      <c r="F29" s="3"/>
      <c r="G29" s="28"/>
      <c r="H29" s="10"/>
      <c r="I29" s="10">
        <f t="shared" si="5"/>
        <v>3675</v>
      </c>
      <c r="J29" s="10">
        <f t="shared" si="3"/>
        <v>23329203175.340672</v>
      </c>
      <c r="K29" s="11">
        <f t="shared" si="4"/>
        <v>2.6240000000000041E-2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6185767.9457937116</v>
      </c>
      <c r="D30" s="11">
        <v>2.6069999999999999E-2</v>
      </c>
      <c r="E30" s="10">
        <f t="shared" si="2"/>
        <v>157165.66155022755</v>
      </c>
      <c r="F30" s="3"/>
      <c r="G30" s="28"/>
      <c r="H30" s="10"/>
      <c r="I30" s="10">
        <f t="shared" si="5"/>
        <v>3675</v>
      </c>
      <c r="J30" s="10">
        <f t="shared" si="3"/>
        <v>22732697200.791889</v>
      </c>
      <c r="K30" s="11">
        <f t="shared" si="4"/>
        <v>2.6070000000000038E-2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6028602.284243484</v>
      </c>
      <c r="D31" s="11">
        <v>2.5260000000000001E-2</v>
      </c>
      <c r="E31" s="10">
        <f t="shared" si="2"/>
        <v>148530.61047928408</v>
      </c>
      <c r="F31" s="3"/>
      <c r="G31" s="28"/>
      <c r="H31" s="10"/>
      <c r="I31" s="10">
        <f t="shared" si="5"/>
        <v>3675</v>
      </c>
      <c r="J31" s="10">
        <f t="shared" si="3"/>
        <v>22155113394.594803</v>
      </c>
      <c r="K31" s="11">
        <f t="shared" si="4"/>
        <v>2.526000000000006E-2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5880071.6737641999</v>
      </c>
      <c r="D32" s="11">
        <v>2.4129999999999999E-2</v>
      </c>
      <c r="E32" s="10">
        <f t="shared" si="2"/>
        <v>138543.08485048823</v>
      </c>
      <c r="F32" s="3"/>
      <c r="G32" s="28"/>
      <c r="H32" s="10"/>
      <c r="I32" s="10">
        <f t="shared" si="5"/>
        <v>3675</v>
      </c>
      <c r="J32" s="10">
        <f t="shared" si="3"/>
        <v>21609263401.083435</v>
      </c>
      <c r="K32" s="11">
        <f t="shared" si="4"/>
        <v>2.4130000000000207E-2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5741528.5889137117</v>
      </c>
      <c r="D33" s="11">
        <v>2.2849999999999999E-2</v>
      </c>
      <c r="E33" s="10">
        <f t="shared" si="2"/>
        <v>128263.11605482548</v>
      </c>
      <c r="F33" s="3"/>
      <c r="G33" s="28"/>
      <c r="H33" s="10"/>
      <c r="I33" s="10">
        <f t="shared" si="5"/>
        <v>3675</v>
      </c>
      <c r="J33" s="10">
        <f t="shared" si="3"/>
        <v>21100117564.257889</v>
      </c>
      <c r="K33" s="11">
        <f t="shared" si="4"/>
        <v>2.2849999999999815E-2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5613265.4728588862</v>
      </c>
      <c r="D34" s="11">
        <v>2.1530000000000001E-2</v>
      </c>
      <c r="E34" s="10">
        <f t="shared" si="2"/>
        <v>118306.46738779265</v>
      </c>
      <c r="F34" s="3"/>
      <c r="G34" s="28"/>
      <c r="H34" s="10"/>
      <c r="I34" s="10">
        <f t="shared" si="5"/>
        <v>3675</v>
      </c>
      <c r="J34" s="10">
        <f t="shared" ref="J34:J65" si="6">IF(I34="","",I34*C34)</f>
        <v>20628750612.756409</v>
      </c>
      <c r="K34" s="11">
        <f t="shared" ref="K34:K65" si="7">IFERROR(J34/J35-1,"")</f>
        <v>2.1530000000000049E-2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5494959.0054710936</v>
      </c>
      <c r="D35" s="11">
        <v>2.0760000000000001E-2</v>
      </c>
      <c r="E35" s="10">
        <f t="shared" si="2"/>
        <v>111755.30874405429</v>
      </c>
      <c r="F35" s="3"/>
      <c r="G35" s="28"/>
      <c r="H35" s="10"/>
      <c r="I35" s="10">
        <f t="shared" ref="I35:I66" si="8">IF(H35&lt;&gt;"",H35,I34/(1+IF(G34="",0,G34)/100))</f>
        <v>3675</v>
      </c>
      <c r="J35" s="10">
        <f t="shared" si="6"/>
        <v>20193974345.10627</v>
      </c>
      <c r="K35" s="11">
        <f t="shared" si="7"/>
        <v>2.0760000000000112E-2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5383203.6967270393</v>
      </c>
      <c r="D36" s="11">
        <v>1.941E-2</v>
      </c>
      <c r="E36" s="10">
        <f t="shared" si="2"/>
        <v>102498.48809946049</v>
      </c>
      <c r="F36" s="3"/>
      <c r="G36" s="28"/>
      <c r="H36" s="10"/>
      <c r="I36" s="10">
        <f t="shared" si="8"/>
        <v>3675</v>
      </c>
      <c r="J36" s="10">
        <f t="shared" si="6"/>
        <v>19783273585.47187</v>
      </c>
      <c r="K36" s="11">
        <f t="shared" si="7"/>
        <v>1.9409999999999927E-2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5280705.2086275788</v>
      </c>
      <c r="D37" s="11">
        <v>1.821E-2</v>
      </c>
      <c r="E37" s="10">
        <f t="shared" si="2"/>
        <v>94441.855657584034</v>
      </c>
      <c r="F37" s="3"/>
      <c r="G37" s="28"/>
      <c r="H37" s="10"/>
      <c r="I37" s="10">
        <f t="shared" si="8"/>
        <v>3675</v>
      </c>
      <c r="J37" s="10">
        <f t="shared" si="6"/>
        <v>19406591641.706352</v>
      </c>
      <c r="K37" s="11">
        <f t="shared" si="7"/>
        <v>1.8210000000000059E-2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5186263.3529699948</v>
      </c>
      <c r="D38" s="11">
        <v>1.702E-2</v>
      </c>
      <c r="E38" s="10">
        <f t="shared" si="2"/>
        <v>86792.985651756637</v>
      </c>
      <c r="F38" s="3"/>
      <c r="G38" s="28"/>
      <c r="H38" s="10"/>
      <c r="I38" s="10">
        <f t="shared" si="8"/>
        <v>3675</v>
      </c>
      <c r="J38" s="10">
        <f t="shared" si="6"/>
        <v>19059517822.16473</v>
      </c>
      <c r="K38" s="11">
        <f t="shared" si="7"/>
        <v>1.7020000000000035E-2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5099470.3673182381</v>
      </c>
      <c r="D39" s="11">
        <v>1.609E-2</v>
      </c>
      <c r="E39" s="10">
        <f t="shared" si="2"/>
        <v>80751.191538298503</v>
      </c>
      <c r="F39" s="3"/>
      <c r="G39" s="28"/>
      <c r="H39" s="10"/>
      <c r="I39" s="10">
        <f t="shared" si="8"/>
        <v>3675</v>
      </c>
      <c r="J39" s="10">
        <f t="shared" si="6"/>
        <v>18740553599.894524</v>
      </c>
      <c r="K39" s="11">
        <f t="shared" si="7"/>
        <v>1.6089999999999716E-2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5018719.1757799396</v>
      </c>
      <c r="D40" s="11">
        <v>1.562E-2</v>
      </c>
      <c r="E40" s="10">
        <f t="shared" si="2"/>
        <v>77186.736698452383</v>
      </c>
      <c r="F40" s="3"/>
      <c r="G40" s="28"/>
      <c r="H40" s="10"/>
      <c r="I40" s="10">
        <f t="shared" si="8"/>
        <v>3675</v>
      </c>
      <c r="J40" s="10">
        <f t="shared" si="6"/>
        <v>18443792970.99128</v>
      </c>
      <c r="K40" s="11">
        <f t="shared" si="7"/>
        <v>1.5619999999999967E-2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4941532.4390814872</v>
      </c>
      <c r="D41" s="11">
        <v>1.549E-2</v>
      </c>
      <c r="E41" s="10">
        <f t="shared" si="2"/>
        <v>75376.751599102281</v>
      </c>
      <c r="F41" s="3"/>
      <c r="G41" s="28"/>
      <c r="H41" s="10"/>
      <c r="I41" s="10">
        <f t="shared" si="8"/>
        <v>3675</v>
      </c>
      <c r="J41" s="10">
        <f t="shared" si="6"/>
        <v>18160131713.624466</v>
      </c>
      <c r="K41" s="11">
        <f t="shared" si="7"/>
        <v>1.5490000000000004E-2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4866155.687482385</v>
      </c>
      <c r="D42" s="11">
        <v>1.5699999999999999E-2</v>
      </c>
      <c r="E42" s="10">
        <f t="shared" si="2"/>
        <v>75217.725995346904</v>
      </c>
      <c r="F42" s="3"/>
      <c r="G42" s="28"/>
      <c r="H42" s="10"/>
      <c r="I42" s="10">
        <f t="shared" si="8"/>
        <v>3675</v>
      </c>
      <c r="J42" s="10">
        <f t="shared" si="6"/>
        <v>17883122151.497765</v>
      </c>
      <c r="K42" s="11">
        <f t="shared" si="7"/>
        <v>1.5700000000000047E-2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4790937.9614870381</v>
      </c>
      <c r="D43" s="11">
        <v>1.6080000000000001E-2</v>
      </c>
      <c r="E43" s="10">
        <f t="shared" si="2"/>
        <v>75819.111113999039</v>
      </c>
      <c r="F43" s="3"/>
      <c r="G43" s="28"/>
      <c r="H43" s="10"/>
      <c r="I43" s="10">
        <f t="shared" si="8"/>
        <v>3675</v>
      </c>
      <c r="J43" s="10">
        <f t="shared" si="6"/>
        <v>17606697008.464867</v>
      </c>
      <c r="K43" s="11">
        <f t="shared" si="7"/>
        <v>1.6080000000000316E-2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4715118.850373039</v>
      </c>
      <c r="D44" s="11">
        <v>1.6580000000000001E-2</v>
      </c>
      <c r="E44" s="10">
        <f t="shared" si="2"/>
        <v>76901.641325999983</v>
      </c>
      <c r="F44" s="3"/>
      <c r="G44" s="28"/>
      <c r="H44" s="10"/>
      <c r="I44" s="10">
        <f t="shared" si="8"/>
        <v>3675</v>
      </c>
      <c r="J44" s="10">
        <f t="shared" si="6"/>
        <v>17328061775.120918</v>
      </c>
      <c r="K44" s="11">
        <f t="shared" si="7"/>
        <v>1.6580000000000039E-2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4638217.209047039</v>
      </c>
      <c r="D45" s="11">
        <v>1.7010000000000001E-2</v>
      </c>
      <c r="E45" s="10">
        <f t="shared" si="2"/>
        <v>77576.498486632481</v>
      </c>
      <c r="F45" s="3"/>
      <c r="G45" s="28"/>
      <c r="H45" s="10"/>
      <c r="I45" s="10">
        <f t="shared" si="8"/>
        <v>3675</v>
      </c>
      <c r="J45" s="10">
        <f t="shared" si="6"/>
        <v>17045448243.247868</v>
      </c>
      <c r="K45" s="11">
        <f t="shared" si="7"/>
        <v>1.700999999999997E-2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4560640.7105604066</v>
      </c>
      <c r="D46" s="11">
        <v>1.7639999999999999E-2</v>
      </c>
      <c r="E46" s="10">
        <f t="shared" si="2"/>
        <v>79055.16895393841</v>
      </c>
      <c r="F46" s="3"/>
      <c r="G46" s="28"/>
      <c r="H46" s="10"/>
      <c r="I46" s="10">
        <f t="shared" si="8"/>
        <v>3675</v>
      </c>
      <c r="J46" s="10">
        <f t="shared" si="6"/>
        <v>16760354611.309494</v>
      </c>
      <c r="K46" s="11">
        <f t="shared" si="7"/>
        <v>1.76400000000001E-2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4481585.5416064681</v>
      </c>
      <c r="D47" s="11">
        <v>1.8350000000000002E-2</v>
      </c>
      <c r="E47" s="10">
        <f t="shared" si="2"/>
        <v>80755.236105934717</v>
      </c>
      <c r="F47" s="3"/>
      <c r="G47" s="28"/>
      <c r="H47" s="10"/>
      <c r="I47" s="10">
        <f t="shared" si="8"/>
        <v>3675</v>
      </c>
      <c r="J47" s="10">
        <f t="shared" si="6"/>
        <v>16469826865.40377</v>
      </c>
      <c r="K47" s="11">
        <f t="shared" si="7"/>
        <v>1.8350000000000088E-2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4400830.3055005334</v>
      </c>
      <c r="D48" s="11">
        <v>1.9050000000000001E-2</v>
      </c>
      <c r="E48" s="10">
        <f t="shared" si="2"/>
        <v>82268.600480629131</v>
      </c>
      <c r="F48" s="3"/>
      <c r="G48" s="28"/>
      <c r="H48" s="10"/>
      <c r="I48" s="10">
        <f t="shared" si="8"/>
        <v>3675</v>
      </c>
      <c r="J48" s="10">
        <f t="shared" si="6"/>
        <v>16173051372.71446</v>
      </c>
      <c r="K48" s="11">
        <f t="shared" si="7"/>
        <v>1.9050000000000011E-2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4318561.7050199043</v>
      </c>
      <c r="D49" s="11">
        <v>1.9310000000000001E-2</v>
      </c>
      <c r="E49" s="10">
        <f t="shared" si="2"/>
        <v>81811.643684388138</v>
      </c>
      <c r="F49" s="3"/>
      <c r="G49" s="28"/>
      <c r="H49" s="10"/>
      <c r="I49" s="10">
        <f t="shared" si="8"/>
        <v>3675</v>
      </c>
      <c r="J49" s="10">
        <f t="shared" si="6"/>
        <v>15870714265.948149</v>
      </c>
      <c r="K49" s="11">
        <f t="shared" si="7"/>
        <v>1.9309999999999938E-2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4236750.0613355162</v>
      </c>
      <c r="D50" s="11">
        <v>1.9120000000000002E-2</v>
      </c>
      <c r="E50" s="10">
        <f t="shared" si="2"/>
        <v>79486.87217671657</v>
      </c>
      <c r="F50" s="3"/>
      <c r="G50" s="28"/>
      <c r="H50" s="10"/>
      <c r="I50" s="10">
        <f t="shared" si="8"/>
        <v>3675</v>
      </c>
      <c r="J50" s="10">
        <f t="shared" si="6"/>
        <v>15570056475.408022</v>
      </c>
      <c r="K50" s="11">
        <f t="shared" si="7"/>
        <v>1.9120000000000026E-2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4157263.1891587996</v>
      </c>
      <c r="D51" s="11">
        <v>1.8859999999999998E-2</v>
      </c>
      <c r="E51" s="10">
        <f t="shared" si="2"/>
        <v>76954.619621474296</v>
      </c>
      <c r="F51" s="3"/>
      <c r="G51" s="28"/>
      <c r="H51" s="10"/>
      <c r="I51" s="10">
        <f t="shared" si="8"/>
        <v>3675</v>
      </c>
      <c r="J51" s="10">
        <f t="shared" si="6"/>
        <v>15277942220.158588</v>
      </c>
      <c r="K51" s="11">
        <f t="shared" si="7"/>
        <v>1.8860000000000099E-2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4080308.5695373253</v>
      </c>
      <c r="D52" s="11">
        <v>1.8540000000000001E-2</v>
      </c>
      <c r="E52" s="10">
        <f t="shared" si="2"/>
        <v>74271.91949184332</v>
      </c>
      <c r="F52" s="3"/>
      <c r="G52" s="28"/>
      <c r="H52" s="10"/>
      <c r="I52" s="10">
        <f t="shared" si="8"/>
        <v>3675</v>
      </c>
      <c r="J52" s="10">
        <f t="shared" si="6"/>
        <v>14995133993.049671</v>
      </c>
      <c r="K52" s="11">
        <f t="shared" si="7"/>
        <v>1.8540000000000001E-2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4006036.650045482</v>
      </c>
      <c r="D53" s="11">
        <v>1.8290000000000001E-2</v>
      </c>
      <c r="E53" s="10">
        <f t="shared" si="2"/>
        <v>71954.364993598778</v>
      </c>
      <c r="F53" s="3"/>
      <c r="G53" s="28"/>
      <c r="H53" s="10"/>
      <c r="I53" s="10">
        <f t="shared" si="8"/>
        <v>3675</v>
      </c>
      <c r="J53" s="10">
        <f t="shared" si="6"/>
        <v>14722184688.917147</v>
      </c>
      <c r="K53" s="11">
        <f t="shared" si="7"/>
        <v>1.8290000000000139E-2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3934082.2850518832</v>
      </c>
      <c r="D54" s="11">
        <v>1.804E-2</v>
      </c>
      <c r="E54" s="10">
        <f t="shared" si="2"/>
        <v>69713.217970154714</v>
      </c>
      <c r="F54" s="3"/>
      <c r="G54" s="28"/>
      <c r="H54" s="10"/>
      <c r="I54" s="10">
        <f t="shared" si="8"/>
        <v>3675</v>
      </c>
      <c r="J54" s="10">
        <f t="shared" si="6"/>
        <v>14457752397.56567</v>
      </c>
      <c r="K54" s="11">
        <f t="shared" si="7"/>
        <v>1.8040000000000056E-2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3864369.0670817285</v>
      </c>
      <c r="D55" s="11">
        <v>1.7829999999999999E-2</v>
      </c>
      <c r="E55" s="10">
        <f t="shared" si="2"/>
        <v>67694.703895608429</v>
      </c>
      <c r="F55" s="3"/>
      <c r="G55" s="28"/>
      <c r="H55" s="10"/>
      <c r="I55" s="10">
        <f t="shared" si="8"/>
        <v>3675</v>
      </c>
      <c r="J55" s="10">
        <f t="shared" si="6"/>
        <v>14201556321.525352</v>
      </c>
      <c r="K55" s="11">
        <f t="shared" si="7"/>
        <v>1.7830000000000013E-2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3796674.3631861201</v>
      </c>
      <c r="D56" s="11">
        <v>1.762E-2</v>
      </c>
      <c r="E56" s="10">
        <f t="shared" si="2"/>
        <v>65739.079695111606</v>
      </c>
      <c r="F56" s="3"/>
      <c r="G56" s="28"/>
      <c r="H56" s="10"/>
      <c r="I56" s="10">
        <f t="shared" si="8"/>
        <v>3675</v>
      </c>
      <c r="J56" s="10">
        <f t="shared" si="6"/>
        <v>13952778284.708992</v>
      </c>
      <c r="K56" s="11">
        <f t="shared" si="7"/>
        <v>1.7619999999999969E-2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3730935.2834910084</v>
      </c>
      <c r="D57" s="11">
        <v>1.7389999999999999E-2</v>
      </c>
      <c r="E57" s="10">
        <f t="shared" si="2"/>
        <v>63771.970021239482</v>
      </c>
      <c r="F57" s="3"/>
      <c r="G57" s="28"/>
      <c r="H57" s="10"/>
      <c r="I57" s="10">
        <f t="shared" si="8"/>
        <v>3675</v>
      </c>
      <c r="J57" s="10">
        <f t="shared" si="6"/>
        <v>13711187166.829456</v>
      </c>
      <c r="K57" s="11">
        <f t="shared" si="7"/>
        <v>1.7390000000000017E-2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3667163.313469769</v>
      </c>
      <c r="D58" s="11">
        <v>1.72E-2</v>
      </c>
      <c r="E58" s="10">
        <f t="shared" si="2"/>
        <v>62008.660039009526</v>
      </c>
      <c r="F58" s="3"/>
      <c r="G58" s="28"/>
      <c r="H58" s="10"/>
      <c r="I58" s="10">
        <f t="shared" si="8"/>
        <v>3675</v>
      </c>
      <c r="J58" s="10">
        <f t="shared" si="6"/>
        <v>13476825177.001402</v>
      </c>
      <c r="K58" s="11">
        <f t="shared" si="7"/>
        <v>1.7200000000000104E-2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3605154.6534307594</v>
      </c>
      <c r="D59" s="11">
        <v>1.704E-2</v>
      </c>
      <c r="E59" s="10">
        <f t="shared" si="2"/>
        <v>60402.575409482233</v>
      </c>
      <c r="F59" s="3"/>
      <c r="G59" s="28"/>
      <c r="H59" s="10"/>
      <c r="I59" s="10">
        <f t="shared" si="8"/>
        <v>3675</v>
      </c>
      <c r="J59" s="10">
        <f t="shared" si="6"/>
        <v>13248943351.358042</v>
      </c>
      <c r="K59" s="11">
        <f t="shared" si="7"/>
        <v>1.7039999999999944E-2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3544752.0780212772</v>
      </c>
      <c r="D60" s="11">
        <v>1.687E-2</v>
      </c>
      <c r="E60" s="10">
        <f t="shared" si="2"/>
        <v>58807.878643502947</v>
      </c>
      <c r="F60" s="3"/>
      <c r="G60" s="28"/>
      <c r="H60" s="10"/>
      <c r="I60" s="10">
        <f t="shared" si="8"/>
        <v>3675</v>
      </c>
      <c r="J60" s="10">
        <f t="shared" si="6"/>
        <v>13026963886.728193</v>
      </c>
      <c r="K60" s="11">
        <f t="shared" si="7"/>
        <v>1.6869999999999941E-2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3485944.1993777743</v>
      </c>
      <c r="D61" s="11">
        <v>1.6650000000000002E-2</v>
      </c>
      <c r="E61" s="10">
        <f t="shared" si="2"/>
        <v>57090.415501539595</v>
      </c>
      <c r="F61" s="3"/>
      <c r="G61" s="28"/>
      <c r="H61" s="10"/>
      <c r="I61" s="10">
        <f t="shared" si="8"/>
        <v>3675</v>
      </c>
      <c r="J61" s="10">
        <f t="shared" si="6"/>
        <v>12810844932.71332</v>
      </c>
      <c r="K61" s="11">
        <f t="shared" si="7"/>
        <v>1.6650000000000054E-2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3428853.7838762347</v>
      </c>
      <c r="D62" s="11">
        <v>1.651E-2</v>
      </c>
      <c r="E62" s="10">
        <f t="shared" si="2"/>
        <v>55690.918900745455</v>
      </c>
      <c r="F62" s="3"/>
      <c r="G62" s="28"/>
      <c r="H62" s="10"/>
      <c r="I62" s="10">
        <f t="shared" si="8"/>
        <v>3675</v>
      </c>
      <c r="J62" s="10">
        <f t="shared" si="6"/>
        <v>12601037655.745163</v>
      </c>
      <c r="K62" s="11">
        <f t="shared" si="7"/>
        <v>1.6510000000000025E-2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3373162.8649754892</v>
      </c>
      <c r="D63" s="11">
        <v>1.6379999999999999E-2</v>
      </c>
      <c r="E63" s="10">
        <f t="shared" si="2"/>
        <v>54361.958842459135</v>
      </c>
      <c r="F63" s="3"/>
      <c r="G63" s="28"/>
      <c r="H63" s="10"/>
      <c r="I63" s="10">
        <f t="shared" si="8"/>
        <v>3675</v>
      </c>
      <c r="J63" s="10">
        <f t="shared" si="6"/>
        <v>12396373528.784924</v>
      </c>
      <c r="K63" s="11">
        <f t="shared" si="7"/>
        <v>1.6380000000000061E-2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3318800.9061330301</v>
      </c>
      <c r="D64" s="11">
        <v>1.626E-2</v>
      </c>
      <c r="E64" s="10">
        <f t="shared" si="2"/>
        <v>53100.291986030061</v>
      </c>
      <c r="F64" s="3"/>
      <c r="G64" s="28"/>
      <c r="H64" s="10"/>
      <c r="I64" s="10">
        <f t="shared" si="8"/>
        <v>3675</v>
      </c>
      <c r="J64" s="10">
        <f t="shared" si="6"/>
        <v>12196593330.038885</v>
      </c>
      <c r="K64" s="11">
        <f t="shared" si="7"/>
        <v>1.6259999999999941E-2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3265700.614147</v>
      </c>
      <c r="D65" s="11">
        <v>1.6150000000000001E-2</v>
      </c>
      <c r="E65" s="10">
        <f t="shared" si="2"/>
        <v>51902.83414700022</v>
      </c>
      <c r="F65" s="3"/>
      <c r="G65" s="28"/>
      <c r="H65" s="10"/>
      <c r="I65" s="10">
        <f t="shared" si="8"/>
        <v>3675</v>
      </c>
      <c r="J65" s="10">
        <f t="shared" si="6"/>
        <v>12001449756.990225</v>
      </c>
      <c r="K65" s="11">
        <f t="shared" si="7"/>
        <v>1.6149999999999887E-2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3213797.78</v>
      </c>
      <c r="D66" s="11">
        <v>1.6060000000000001E-2</v>
      </c>
      <c r="E66" s="10">
        <f t="shared" si="2"/>
        <v>50797.779999999795</v>
      </c>
      <c r="F66" s="24">
        <f>SUM(F2)</f>
        <v>12224862</v>
      </c>
      <c r="G66" s="28"/>
      <c r="H66" s="10"/>
      <c r="I66" s="10">
        <f t="shared" si="8"/>
        <v>3675</v>
      </c>
      <c r="J66" s="10">
        <f t="shared" ref="J66:J67" si="9">IF(I66="","",I66*C66)</f>
        <v>11810706841.5</v>
      </c>
      <c r="K66" s="11">
        <f t="shared" ref="K66" si="10">IFERROR(J66/J67-1,"")</f>
        <v>1.6059999999999963E-2</v>
      </c>
    </row>
    <row r="67" spans="1:11" ht="22.5" customHeight="1">
      <c r="A67" s="3">
        <f t="shared" si="0"/>
        <v>1950</v>
      </c>
      <c r="B67" s="3">
        <v>1700</v>
      </c>
      <c r="C67" s="10">
        <v>3163000</v>
      </c>
      <c r="D67" s="11">
        <v>1.6070000000000001E-2</v>
      </c>
      <c r="E67" s="3" t="s">
        <v>72</v>
      </c>
      <c r="F67" s="10">
        <f>SUM(C2)</f>
        <v>12224664.698043607</v>
      </c>
      <c r="G67" s="28"/>
      <c r="H67" s="10"/>
      <c r="I67" s="10">
        <f t="shared" ref="I67" si="11">IF(H67&lt;&gt;"",H67,I66/(1+IF(G66="",0,G66)/100))</f>
        <v>3675</v>
      </c>
      <c r="J67" s="10">
        <f t="shared" si="9"/>
        <v>11624025000</v>
      </c>
      <c r="K67" s="11"/>
    </row>
  </sheetData>
  <dataValidations count="1">
    <dataValidation type="custom" allowBlank="1" showDropDown="1" sqref="D2:D67" xr:uid="{00000000-0002-0000-5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16303297.541242715</v>
      </c>
      <c r="D2" s="11">
        <v>9.75E-3</v>
      </c>
      <c r="E2" s="10">
        <f t="shared" ref="E2:E66" si="2">SUM(C2-C3)</f>
        <v>157422.28376045078</v>
      </c>
      <c r="F2" s="15">
        <v>16302960</v>
      </c>
      <c r="G2" s="28"/>
      <c r="H2" s="10"/>
      <c r="I2" s="10">
        <f>IF(H2&lt;&gt;"",H2,3373)</f>
        <v>3373</v>
      </c>
      <c r="J2" s="10">
        <f t="shared" ref="J2:J33" si="3">IF(I2="","",I2*C2)</f>
        <v>54991022606.611679</v>
      </c>
      <c r="K2" s="11">
        <f t="shared" ref="K2:K33" si="4">IFERROR(J2/J3-1,"")</f>
        <v>9.7499999999999254E-3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16145875.257482264</v>
      </c>
      <c r="D3" s="11">
        <v>1.056E-2</v>
      </c>
      <c r="E3" s="10">
        <f t="shared" si="2"/>
        <v>168718.77248160541</v>
      </c>
      <c r="F3" s="3"/>
      <c r="G3" s="28"/>
      <c r="H3" s="10"/>
      <c r="I3" s="10">
        <f t="shared" ref="I3:I34" si="5">IF(H3&lt;&gt;"",H3,I2/(1+IF(G2="",0,G2)/100))</f>
        <v>3373</v>
      </c>
      <c r="J3" s="10">
        <f t="shared" si="3"/>
        <v>54460037243.487679</v>
      </c>
      <c r="K3" s="11">
        <f t="shared" si="4"/>
        <v>1.0559999999999903E-2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15977156.485000659</v>
      </c>
      <c r="D4" s="11">
        <v>1.102E-2</v>
      </c>
      <c r="E4" s="10">
        <f t="shared" si="2"/>
        <v>174149.14093164168</v>
      </c>
      <c r="F4" s="3"/>
      <c r="G4" s="28"/>
      <c r="H4" s="10"/>
      <c r="I4" s="10">
        <f t="shared" si="5"/>
        <v>3373</v>
      </c>
      <c r="J4" s="10">
        <f t="shared" si="3"/>
        <v>53890948823.907219</v>
      </c>
      <c r="K4" s="11">
        <f t="shared" si="4"/>
        <v>1.102000000000003E-2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15803007.344069017</v>
      </c>
      <c r="D5" s="11">
        <v>1.1140000000000001E-2</v>
      </c>
      <c r="E5" s="10">
        <f t="shared" si="2"/>
        <v>174105.96140289865</v>
      </c>
      <c r="F5" s="3"/>
      <c r="G5" s="28"/>
      <c r="H5" s="10"/>
      <c r="I5" s="10">
        <f t="shared" si="5"/>
        <v>3373</v>
      </c>
      <c r="J5" s="10">
        <f t="shared" si="3"/>
        <v>53303543771.544792</v>
      </c>
      <c r="K5" s="11">
        <f t="shared" si="4"/>
        <v>1.1139999999999706E-2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15628901.382666118</v>
      </c>
      <c r="D6" s="11">
        <v>1.1010000000000001E-2</v>
      </c>
      <c r="E6" s="10">
        <f t="shared" si="2"/>
        <v>170200.29893191345</v>
      </c>
      <c r="F6" s="3"/>
      <c r="G6" s="28"/>
      <c r="H6" s="10"/>
      <c r="I6" s="10">
        <f t="shared" si="5"/>
        <v>3373</v>
      </c>
      <c r="J6" s="10">
        <f t="shared" si="3"/>
        <v>52716284363.732819</v>
      </c>
      <c r="K6" s="11">
        <f t="shared" si="4"/>
        <v>1.1009999999999964E-2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15458701.083734205</v>
      </c>
      <c r="D7" s="11">
        <v>1.094E-2</v>
      </c>
      <c r="E7" s="10">
        <f t="shared" si="2"/>
        <v>167288.05849610455</v>
      </c>
      <c r="F7" s="3"/>
      <c r="G7" s="28"/>
      <c r="H7" s="10"/>
      <c r="I7" s="10">
        <f t="shared" si="5"/>
        <v>3373</v>
      </c>
      <c r="J7" s="10">
        <f t="shared" si="3"/>
        <v>52142198755.435471</v>
      </c>
      <c r="K7" s="11">
        <f t="shared" si="4"/>
        <v>1.093999999999995E-2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15291413.0252381</v>
      </c>
      <c r="D8" s="11">
        <v>1.0970000000000001E-2</v>
      </c>
      <c r="E8" s="10">
        <f t="shared" si="2"/>
        <v>165926.58623585291</v>
      </c>
      <c r="F8" s="3"/>
      <c r="G8" s="28"/>
      <c r="H8" s="10"/>
      <c r="I8" s="10">
        <f t="shared" si="5"/>
        <v>3373</v>
      </c>
      <c r="J8" s="10">
        <f t="shared" si="3"/>
        <v>51577936134.128113</v>
      </c>
      <c r="K8" s="11">
        <f t="shared" si="4"/>
        <v>1.0969999999999924E-2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15125486.439002248</v>
      </c>
      <c r="D9" s="11">
        <v>1.116E-2</v>
      </c>
      <c r="E9" s="10">
        <f t="shared" si="2"/>
        <v>166937.40719497018</v>
      </c>
      <c r="F9" s="3"/>
      <c r="G9" s="28"/>
      <c r="H9" s="10"/>
      <c r="I9" s="10">
        <f t="shared" si="5"/>
        <v>3373</v>
      </c>
      <c r="J9" s="10">
        <f t="shared" si="3"/>
        <v>51018265758.754578</v>
      </c>
      <c r="K9" s="11">
        <f t="shared" si="4"/>
        <v>1.1159999999999837E-2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14958549.031807277</v>
      </c>
      <c r="D10" s="11">
        <v>1.1429999999999999E-2</v>
      </c>
      <c r="E10" s="10">
        <f t="shared" si="2"/>
        <v>169044.04203311913</v>
      </c>
      <c r="F10" s="3"/>
      <c r="G10" s="28"/>
      <c r="H10" s="10"/>
      <c r="I10" s="10">
        <f t="shared" si="5"/>
        <v>3373</v>
      </c>
      <c r="J10" s="10">
        <f t="shared" si="3"/>
        <v>50455185884.28595</v>
      </c>
      <c r="K10" s="11">
        <f t="shared" si="4"/>
        <v>1.1430000000000273E-2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14789504.989774158</v>
      </c>
      <c r="D11" s="11">
        <v>1.1809999999999999E-2</v>
      </c>
      <c r="E11" s="10">
        <f t="shared" si="2"/>
        <v>172625.34856270812</v>
      </c>
      <c r="F11" s="3"/>
      <c r="G11" s="28"/>
      <c r="H11" s="10"/>
      <c r="I11" s="10">
        <f t="shared" si="5"/>
        <v>3373</v>
      </c>
      <c r="J11" s="10">
        <f t="shared" si="3"/>
        <v>49885000330.508232</v>
      </c>
      <c r="K11" s="11">
        <f t="shared" si="4"/>
        <v>1.1810000000000098E-2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14616879.64121145</v>
      </c>
      <c r="D12" s="11">
        <v>1.502E-2</v>
      </c>
      <c r="E12" s="10">
        <f t="shared" si="2"/>
        <v>216296.75495162234</v>
      </c>
      <c r="F12" s="3"/>
      <c r="G12" s="28"/>
      <c r="H12" s="10"/>
      <c r="I12" s="10">
        <f t="shared" si="5"/>
        <v>3373</v>
      </c>
      <c r="J12" s="10">
        <f t="shared" si="3"/>
        <v>49302735029.806221</v>
      </c>
      <c r="K12" s="11">
        <f t="shared" si="4"/>
        <v>1.5020000000000033E-2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14400582.886259828</v>
      </c>
      <c r="D13" s="11">
        <v>1.9519999999999999E-2</v>
      </c>
      <c r="E13" s="10">
        <f t="shared" si="2"/>
        <v>275717.37478400767</v>
      </c>
      <c r="F13" s="3"/>
      <c r="G13" s="28"/>
      <c r="H13" s="10"/>
      <c r="I13" s="10">
        <f t="shared" si="5"/>
        <v>3373</v>
      </c>
      <c r="J13" s="10">
        <f t="shared" si="3"/>
        <v>48573166075.354401</v>
      </c>
      <c r="K13" s="11">
        <f t="shared" si="4"/>
        <v>1.9519999999999982E-2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14124865.51147582</v>
      </c>
      <c r="D14" s="11">
        <v>2.0490000000000001E-2</v>
      </c>
      <c r="E14" s="10">
        <f t="shared" si="2"/>
        <v>283607.37913172878</v>
      </c>
      <c r="F14" s="3"/>
      <c r="G14" s="28"/>
      <c r="H14" s="10"/>
      <c r="I14" s="10">
        <f t="shared" si="5"/>
        <v>3373</v>
      </c>
      <c r="J14" s="10">
        <f t="shared" si="3"/>
        <v>47643171370.207939</v>
      </c>
      <c r="K14" s="11">
        <f t="shared" si="4"/>
        <v>2.0489999999999897E-2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13841258.132344091</v>
      </c>
      <c r="D15" s="11">
        <v>2.154E-2</v>
      </c>
      <c r="E15" s="10">
        <f t="shared" si="2"/>
        <v>291854.1615313068</v>
      </c>
      <c r="F15" s="3"/>
      <c r="G15" s="28"/>
      <c r="H15" s="10"/>
      <c r="I15" s="10">
        <f t="shared" si="5"/>
        <v>3373</v>
      </c>
      <c r="J15" s="10">
        <f t="shared" si="3"/>
        <v>46686563680.396622</v>
      </c>
      <c r="K15" s="11">
        <f t="shared" si="4"/>
        <v>2.1540000000000115E-2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13549403.970812785</v>
      </c>
      <c r="D16" s="11">
        <v>2.256E-2</v>
      </c>
      <c r="E16" s="10">
        <f t="shared" si="2"/>
        <v>298930.67749719881</v>
      </c>
      <c r="F16" s="3"/>
      <c r="G16" s="28"/>
      <c r="H16" s="10"/>
      <c r="I16" s="10">
        <f t="shared" si="5"/>
        <v>3373</v>
      </c>
      <c r="J16" s="10">
        <f t="shared" si="3"/>
        <v>45702139593.551521</v>
      </c>
      <c r="K16" s="11">
        <f t="shared" si="4"/>
        <v>2.2559999999999913E-2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13250473.293315586</v>
      </c>
      <c r="D17" s="11">
        <v>2.359E-2</v>
      </c>
      <c r="E17" s="10">
        <f t="shared" si="2"/>
        <v>305374.87176439352</v>
      </c>
      <c r="F17" s="3"/>
      <c r="G17" s="28"/>
      <c r="H17" s="10"/>
      <c r="I17" s="10">
        <f t="shared" si="5"/>
        <v>3373</v>
      </c>
      <c r="J17" s="10">
        <f t="shared" si="3"/>
        <v>44693846418.35347</v>
      </c>
      <c r="K17" s="11">
        <f t="shared" si="4"/>
        <v>2.359E-2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12945098.421551192</v>
      </c>
      <c r="D18" s="11">
        <v>2.487E-2</v>
      </c>
      <c r="E18" s="10">
        <f t="shared" si="2"/>
        <v>314132.13163033128</v>
      </c>
      <c r="F18" s="3"/>
      <c r="G18" s="28"/>
      <c r="H18" s="10"/>
      <c r="I18" s="10">
        <f t="shared" si="5"/>
        <v>3373</v>
      </c>
      <c r="J18" s="10">
        <f t="shared" si="3"/>
        <v>43663816975.892174</v>
      </c>
      <c r="K18" s="11">
        <f t="shared" si="4"/>
        <v>2.487000000000017E-2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12630966.289920861</v>
      </c>
      <c r="D19" s="11">
        <v>2.0729999999999998E-2</v>
      </c>
      <c r="E19" s="10">
        <f t="shared" si="2"/>
        <v>256522.22545634769</v>
      </c>
      <c r="F19" s="3"/>
      <c r="G19" s="28"/>
      <c r="H19" s="10"/>
      <c r="I19" s="10">
        <f t="shared" si="5"/>
        <v>3373</v>
      </c>
      <c r="J19" s="10">
        <f t="shared" si="3"/>
        <v>42604249295.903061</v>
      </c>
      <c r="K19" s="11">
        <f t="shared" si="4"/>
        <v>2.0729999999999693E-2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12374444.064464513</v>
      </c>
      <c r="D20" s="11">
        <v>1.7319999999999999E-2</v>
      </c>
      <c r="E20" s="10">
        <f t="shared" si="2"/>
        <v>210676.45499599539</v>
      </c>
      <c r="F20" s="3"/>
      <c r="G20" s="28"/>
      <c r="H20" s="10"/>
      <c r="I20" s="10">
        <f t="shared" si="5"/>
        <v>3373</v>
      </c>
      <c r="J20" s="10">
        <f t="shared" si="3"/>
        <v>41738999829.438805</v>
      </c>
      <c r="K20" s="11">
        <f t="shared" si="4"/>
        <v>1.7320000000000002E-2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12163767.609468518</v>
      </c>
      <c r="D21" s="11">
        <v>1.8499999999999999E-2</v>
      </c>
      <c r="E21" s="10">
        <f t="shared" si="2"/>
        <v>220942.26880232431</v>
      </c>
      <c r="F21" s="3"/>
      <c r="G21" s="28"/>
      <c r="H21" s="10"/>
      <c r="I21" s="10">
        <f t="shared" si="5"/>
        <v>3373</v>
      </c>
      <c r="J21" s="10">
        <f t="shared" si="3"/>
        <v>41028388146.737312</v>
      </c>
      <c r="K21" s="11">
        <f t="shared" si="4"/>
        <v>1.8499999999999961E-2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11942825.340666194</v>
      </c>
      <c r="D22" s="11">
        <v>-1.562E-2</v>
      </c>
      <c r="E22" s="10">
        <f t="shared" si="2"/>
        <v>-189507.03165566735</v>
      </c>
      <c r="F22" s="3"/>
      <c r="G22" s="28"/>
      <c r="H22" s="10"/>
      <c r="I22" s="10">
        <f t="shared" si="5"/>
        <v>3373</v>
      </c>
      <c r="J22" s="10">
        <f t="shared" si="3"/>
        <v>40283149874.06707</v>
      </c>
      <c r="K22" s="11">
        <f t="shared" si="4"/>
        <v>-1.5619999999999967E-2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12132332.372321861</v>
      </c>
      <c r="D23" s="11">
        <v>-8.0300000000000007E-3</v>
      </c>
      <c r="E23" s="10">
        <f t="shared" si="2"/>
        <v>-98211.265410995111</v>
      </c>
      <c r="F23" s="3"/>
      <c r="G23" s="28"/>
      <c r="H23" s="10"/>
      <c r="I23" s="10">
        <f t="shared" si="5"/>
        <v>3373</v>
      </c>
      <c r="J23" s="10">
        <f t="shared" si="3"/>
        <v>40922357091.841637</v>
      </c>
      <c r="K23" s="11">
        <f t="shared" si="4"/>
        <v>-8.0299999999999816E-3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12230543.637732856</v>
      </c>
      <c r="D24" s="11">
        <v>7.4000000000000003E-3</v>
      </c>
      <c r="E24" s="10">
        <f t="shared" si="2"/>
        <v>89841.198053626344</v>
      </c>
      <c r="F24" s="3"/>
      <c r="G24" s="28"/>
      <c r="H24" s="10"/>
      <c r="I24" s="10">
        <f t="shared" si="5"/>
        <v>3373</v>
      </c>
      <c r="J24" s="10">
        <f t="shared" si="3"/>
        <v>41253623690.072922</v>
      </c>
      <c r="K24" s="11">
        <f t="shared" si="4"/>
        <v>7.4000000000000732E-3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12140702.43967923</v>
      </c>
      <c r="D25" s="11">
        <v>-1.7129999999999999E-2</v>
      </c>
      <c r="E25" s="10">
        <f t="shared" si="2"/>
        <v>-211594.85261703469</v>
      </c>
      <c r="F25" s="3"/>
      <c r="G25" s="28"/>
      <c r="H25" s="10"/>
      <c r="I25" s="10">
        <f t="shared" si="5"/>
        <v>3373</v>
      </c>
      <c r="J25" s="10">
        <f t="shared" si="3"/>
        <v>40950589329.03804</v>
      </c>
      <c r="K25" s="11">
        <f t="shared" si="4"/>
        <v>-1.7129999999999979E-2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12352297.292296264</v>
      </c>
      <c r="D26" s="11">
        <v>1.0489999999999999E-2</v>
      </c>
      <c r="E26" s="10">
        <f t="shared" si="2"/>
        <v>128230.4610596709</v>
      </c>
      <c r="F26" s="3"/>
      <c r="G26" s="28"/>
      <c r="H26" s="10"/>
      <c r="I26" s="10">
        <f t="shared" si="5"/>
        <v>3373</v>
      </c>
      <c r="J26" s="10">
        <f t="shared" si="3"/>
        <v>41664298766.915298</v>
      </c>
      <c r="K26" s="11">
        <f t="shared" si="4"/>
        <v>1.0489999999999888E-2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12224066.831236593</v>
      </c>
      <c r="D27" s="11">
        <v>2.495E-2</v>
      </c>
      <c r="E27" s="10">
        <f t="shared" si="2"/>
        <v>297566.19097453915</v>
      </c>
      <c r="F27" s="3"/>
      <c r="G27" s="28"/>
      <c r="H27" s="10"/>
      <c r="I27" s="10">
        <f t="shared" si="5"/>
        <v>3373</v>
      </c>
      <c r="J27" s="10">
        <f t="shared" si="3"/>
        <v>41231777421.761032</v>
      </c>
      <c r="K27" s="11">
        <f t="shared" si="4"/>
        <v>2.4950000000000028E-2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11926500.640262054</v>
      </c>
      <c r="D28" s="11">
        <v>2.911E-2</v>
      </c>
      <c r="E28" s="10">
        <f t="shared" si="2"/>
        <v>337359.88731819578</v>
      </c>
      <c r="F28" s="3"/>
      <c r="G28" s="28"/>
      <c r="H28" s="10"/>
      <c r="I28" s="10">
        <f t="shared" si="5"/>
        <v>3373</v>
      </c>
      <c r="J28" s="10">
        <f t="shared" si="3"/>
        <v>40228086659.603912</v>
      </c>
      <c r="K28" s="11">
        <f t="shared" si="4"/>
        <v>2.9110000000000191E-2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11589140.752943859</v>
      </c>
      <c r="D29" s="11">
        <v>2.963E-2</v>
      </c>
      <c r="E29" s="10">
        <f t="shared" si="2"/>
        <v>333504.5021121446</v>
      </c>
      <c r="F29" s="3"/>
      <c r="G29" s="28"/>
      <c r="H29" s="10"/>
      <c r="I29" s="10">
        <f t="shared" si="5"/>
        <v>3373</v>
      </c>
      <c r="J29" s="10">
        <f t="shared" si="3"/>
        <v>39090171759.679634</v>
      </c>
      <c r="K29" s="11">
        <f t="shared" si="4"/>
        <v>2.9630000000000045E-2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11255636.250831714</v>
      </c>
      <c r="D30" s="11">
        <v>3.0259999999999999E-2</v>
      </c>
      <c r="E30" s="10">
        <f t="shared" si="2"/>
        <v>330591.84375804849</v>
      </c>
      <c r="F30" s="3"/>
      <c r="G30" s="28"/>
      <c r="H30" s="10"/>
      <c r="I30" s="10">
        <f t="shared" si="5"/>
        <v>3373</v>
      </c>
      <c r="J30" s="10">
        <f t="shared" si="3"/>
        <v>37965261074.055374</v>
      </c>
      <c r="K30" s="11">
        <f t="shared" si="4"/>
        <v>3.0260000000000176E-2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10925044.407073665</v>
      </c>
      <c r="D31" s="11">
        <v>3.073E-2</v>
      </c>
      <c r="E31" s="10">
        <f t="shared" si="2"/>
        <v>325717.32134445757</v>
      </c>
      <c r="F31" s="3"/>
      <c r="G31" s="28"/>
      <c r="H31" s="10"/>
      <c r="I31" s="10">
        <f t="shared" si="5"/>
        <v>3373</v>
      </c>
      <c r="J31" s="10">
        <f t="shared" si="3"/>
        <v>36850174785.059471</v>
      </c>
      <c r="K31" s="11">
        <f t="shared" si="4"/>
        <v>3.0729999999999702E-2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10599327.085729208</v>
      </c>
      <c r="D32" s="11">
        <v>3.099E-2</v>
      </c>
      <c r="E32" s="10">
        <f t="shared" si="2"/>
        <v>318599.74043079838</v>
      </c>
      <c r="F32" s="3"/>
      <c r="G32" s="28"/>
      <c r="H32" s="10"/>
      <c r="I32" s="10">
        <f t="shared" si="5"/>
        <v>3373</v>
      </c>
      <c r="J32" s="10">
        <f t="shared" si="3"/>
        <v>35751530260.164619</v>
      </c>
      <c r="K32" s="11">
        <f t="shared" si="4"/>
        <v>3.0990000000000073E-2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10280727.345298409</v>
      </c>
      <c r="D33" s="11">
        <v>3.1379999999999998E-2</v>
      </c>
      <c r="E33" s="10">
        <f t="shared" si="2"/>
        <v>312793.75603120402</v>
      </c>
      <c r="F33" s="3"/>
      <c r="G33" s="28"/>
      <c r="H33" s="10"/>
      <c r="I33" s="10">
        <f t="shared" si="5"/>
        <v>3373</v>
      </c>
      <c r="J33" s="10">
        <f t="shared" si="3"/>
        <v>34676893335.691536</v>
      </c>
      <c r="K33" s="11">
        <f t="shared" si="4"/>
        <v>3.1379999999999963E-2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9967933.5892672054</v>
      </c>
      <c r="D34" s="11">
        <v>3.1809999999999998E-2</v>
      </c>
      <c r="E34" s="10">
        <f t="shared" si="2"/>
        <v>307304.60789737292</v>
      </c>
      <c r="F34" s="3"/>
      <c r="G34" s="28"/>
      <c r="H34" s="10"/>
      <c r="I34" s="10">
        <f t="shared" si="5"/>
        <v>3373</v>
      </c>
      <c r="J34" s="10">
        <f t="shared" ref="J34:J65" si="6">IF(I34="","",I34*C34)</f>
        <v>33621839996.598286</v>
      </c>
      <c r="K34" s="11">
        <f t="shared" ref="K34:K65" si="7">IFERROR(J34/J35-1,"")</f>
        <v>3.1809999999999894E-2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9660628.9813698325</v>
      </c>
      <c r="D35" s="11">
        <v>3.1919999999999997E-2</v>
      </c>
      <c r="E35" s="10">
        <f t="shared" si="2"/>
        <v>298828.66606454365</v>
      </c>
      <c r="F35" s="3"/>
      <c r="G35" s="28"/>
      <c r="H35" s="10"/>
      <c r="I35" s="10">
        <f t="shared" ref="I35:I66" si="8">IF(H35&lt;&gt;"",H35,I34/(1+IF(G34="",0,G34)/100))</f>
        <v>3373</v>
      </c>
      <c r="J35" s="10">
        <f t="shared" si="6"/>
        <v>32585301554.160446</v>
      </c>
      <c r="K35" s="11">
        <f t="shared" si="7"/>
        <v>3.1919999999999948E-2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9361800.3153052889</v>
      </c>
      <c r="D36" s="11">
        <v>3.2460000000000003E-2</v>
      </c>
      <c r="E36" s="10">
        <f t="shared" si="2"/>
        <v>294330.08371734433</v>
      </c>
      <c r="F36" s="3"/>
      <c r="G36" s="28"/>
      <c r="H36" s="10"/>
      <c r="I36" s="10">
        <f t="shared" si="8"/>
        <v>3373</v>
      </c>
      <c r="J36" s="10">
        <f t="shared" si="6"/>
        <v>31577352463.524738</v>
      </c>
      <c r="K36" s="11">
        <f t="shared" si="7"/>
        <v>3.2459999999999933E-2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9067470.2315879446</v>
      </c>
      <c r="D37" s="11">
        <v>3.3059999999999999E-2</v>
      </c>
      <c r="E37" s="10">
        <f t="shared" si="2"/>
        <v>290177.30418010429</v>
      </c>
      <c r="F37" s="3"/>
      <c r="G37" s="28"/>
      <c r="H37" s="10"/>
      <c r="I37" s="10">
        <f t="shared" si="8"/>
        <v>3373</v>
      </c>
      <c r="J37" s="10">
        <f t="shared" si="6"/>
        <v>30584577091.146137</v>
      </c>
      <c r="K37" s="11">
        <f t="shared" si="7"/>
        <v>3.3060000000000089E-2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8777292.9274078403</v>
      </c>
      <c r="D38" s="11">
        <v>3.3599999999999998E-2</v>
      </c>
      <c r="E38" s="10">
        <f t="shared" si="2"/>
        <v>285329.95584452711</v>
      </c>
      <c r="F38" s="3"/>
      <c r="G38" s="28"/>
      <c r="H38" s="10"/>
      <c r="I38" s="10">
        <f t="shared" si="8"/>
        <v>3373</v>
      </c>
      <c r="J38" s="10">
        <f t="shared" si="6"/>
        <v>29605809044.146645</v>
      </c>
      <c r="K38" s="11">
        <f t="shared" si="7"/>
        <v>3.3600000000000074E-2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8491962.9715633132</v>
      </c>
      <c r="D39" s="11">
        <v>3.4130000000000001E-2</v>
      </c>
      <c r="E39" s="10">
        <f t="shared" si="2"/>
        <v>280265.24346015975</v>
      </c>
      <c r="F39" s="3"/>
      <c r="G39" s="28"/>
      <c r="H39" s="10"/>
      <c r="I39" s="10">
        <f t="shared" si="8"/>
        <v>3373</v>
      </c>
      <c r="J39" s="10">
        <f t="shared" si="6"/>
        <v>28643391103.083054</v>
      </c>
      <c r="K39" s="11">
        <f t="shared" si="7"/>
        <v>3.4129999999999772E-2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8211697.7281031534</v>
      </c>
      <c r="D40" s="11">
        <v>3.4160000000000003E-2</v>
      </c>
      <c r="E40" s="10">
        <f t="shared" si="2"/>
        <v>271245.83661329374</v>
      </c>
      <c r="F40" s="3"/>
      <c r="G40" s="28"/>
      <c r="H40" s="10"/>
      <c r="I40" s="10">
        <f t="shared" si="8"/>
        <v>3373</v>
      </c>
      <c r="J40" s="10">
        <f t="shared" si="6"/>
        <v>27698056436.891937</v>
      </c>
      <c r="K40" s="11">
        <f t="shared" si="7"/>
        <v>3.4159999999999968E-2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7940451.8914898597</v>
      </c>
      <c r="D41" s="11">
        <v>3.4139999999999997E-2</v>
      </c>
      <c r="E41" s="10">
        <f t="shared" si="2"/>
        <v>262137.64826374035</v>
      </c>
      <c r="F41" s="3"/>
      <c r="G41" s="28"/>
      <c r="H41" s="10"/>
      <c r="I41" s="10">
        <f t="shared" si="8"/>
        <v>3373</v>
      </c>
      <c r="J41" s="10">
        <f t="shared" si="6"/>
        <v>26783144229.995296</v>
      </c>
      <c r="K41" s="11">
        <f t="shared" si="7"/>
        <v>3.4140000000000059E-2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7678314.2432261193</v>
      </c>
      <c r="D42" s="11">
        <v>3.4119999999999998E-2</v>
      </c>
      <c r="E42" s="10">
        <f t="shared" si="2"/>
        <v>253340.11718067061</v>
      </c>
      <c r="F42" s="3"/>
      <c r="G42" s="28"/>
      <c r="H42" s="10"/>
      <c r="I42" s="10">
        <f t="shared" si="8"/>
        <v>3373</v>
      </c>
      <c r="J42" s="10">
        <f t="shared" si="6"/>
        <v>25898953942.401699</v>
      </c>
      <c r="K42" s="11">
        <f t="shared" si="7"/>
        <v>3.4119999999999928E-2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7424974.1260454487</v>
      </c>
      <c r="D43" s="11">
        <v>3.4020000000000002E-2</v>
      </c>
      <c r="E43" s="10">
        <f t="shared" si="2"/>
        <v>244286.97681675944</v>
      </c>
      <c r="F43" s="3"/>
      <c r="G43" s="28"/>
      <c r="H43" s="10"/>
      <c r="I43" s="10">
        <f t="shared" si="8"/>
        <v>3373</v>
      </c>
      <c r="J43" s="10">
        <f t="shared" si="6"/>
        <v>25044437727.151299</v>
      </c>
      <c r="K43" s="11">
        <f t="shared" si="7"/>
        <v>3.4019999999999939E-2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7180687.1492286893</v>
      </c>
      <c r="D44" s="11">
        <v>3.406E-2</v>
      </c>
      <c r="E44" s="10">
        <f t="shared" si="2"/>
        <v>236518.38800720405</v>
      </c>
      <c r="F44" s="3"/>
      <c r="G44" s="28"/>
      <c r="H44" s="10"/>
      <c r="I44" s="10">
        <f t="shared" si="8"/>
        <v>3373</v>
      </c>
      <c r="J44" s="10">
        <f t="shared" si="6"/>
        <v>24220457754.34837</v>
      </c>
      <c r="K44" s="11">
        <f t="shared" si="7"/>
        <v>3.4059999999999979E-2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6944168.7612214852</v>
      </c>
      <c r="D45" s="11">
        <v>3.4049999999999997E-2</v>
      </c>
      <c r="E45" s="10">
        <f t="shared" si="2"/>
        <v>228662.97211894114</v>
      </c>
      <c r="F45" s="3"/>
      <c r="G45" s="28"/>
      <c r="H45" s="10"/>
      <c r="I45" s="10">
        <f t="shared" si="8"/>
        <v>3373</v>
      </c>
      <c r="J45" s="10">
        <f t="shared" si="6"/>
        <v>23422681231.600071</v>
      </c>
      <c r="K45" s="11">
        <f t="shared" si="7"/>
        <v>3.4050000000000136E-2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6715505.7891025441</v>
      </c>
      <c r="D46" s="11">
        <v>3.4029999999999998E-2</v>
      </c>
      <c r="E46" s="10">
        <f t="shared" si="2"/>
        <v>221007.76766937133</v>
      </c>
      <c r="F46" s="3"/>
      <c r="G46" s="28"/>
      <c r="H46" s="10"/>
      <c r="I46" s="10">
        <f t="shared" si="8"/>
        <v>3373</v>
      </c>
      <c r="J46" s="10">
        <f t="shared" si="6"/>
        <v>22651401026.642879</v>
      </c>
      <c r="K46" s="11">
        <f t="shared" si="7"/>
        <v>3.4030000000000005E-2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6494498.0214331727</v>
      </c>
      <c r="D47" s="11">
        <v>3.4040000000000001E-2</v>
      </c>
      <c r="E47" s="10">
        <f t="shared" si="2"/>
        <v>213795.12654209323</v>
      </c>
      <c r="F47" s="3"/>
      <c r="G47" s="28"/>
      <c r="H47" s="10"/>
      <c r="I47" s="10">
        <f t="shared" si="8"/>
        <v>3373</v>
      </c>
      <c r="J47" s="10">
        <f t="shared" si="6"/>
        <v>21905941826.29409</v>
      </c>
      <c r="K47" s="11">
        <f t="shared" si="7"/>
        <v>3.404000000000007E-2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6280702.8948910795</v>
      </c>
      <c r="D48" s="11">
        <v>3.3959999999999997E-2</v>
      </c>
      <c r="E48" s="10">
        <f t="shared" si="2"/>
        <v>206287.15841086768</v>
      </c>
      <c r="F48" s="3"/>
      <c r="G48" s="28"/>
      <c r="H48" s="10"/>
      <c r="I48" s="10">
        <f t="shared" si="8"/>
        <v>3373</v>
      </c>
      <c r="J48" s="10">
        <f t="shared" si="6"/>
        <v>21184810864.467609</v>
      </c>
      <c r="K48" s="11">
        <f t="shared" si="7"/>
        <v>3.3959999999999768E-2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6074415.7364802118</v>
      </c>
      <c r="D49" s="11">
        <v>3.3579999999999999E-2</v>
      </c>
      <c r="E49" s="10">
        <f t="shared" si="2"/>
        <v>197351.80676000379</v>
      </c>
      <c r="F49" s="3"/>
      <c r="G49" s="28"/>
      <c r="H49" s="10"/>
      <c r="I49" s="10">
        <f t="shared" si="8"/>
        <v>3373</v>
      </c>
      <c r="J49" s="10">
        <f t="shared" si="6"/>
        <v>20489004279.147755</v>
      </c>
      <c r="K49" s="11">
        <f t="shared" si="7"/>
        <v>3.3579999999999943E-2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5877063.929720208</v>
      </c>
      <c r="D50" s="11">
        <v>3.313E-2</v>
      </c>
      <c r="E50" s="10">
        <f t="shared" si="2"/>
        <v>188463.33761639986</v>
      </c>
      <c r="F50" s="3"/>
      <c r="G50" s="28"/>
      <c r="H50" s="10"/>
      <c r="I50" s="10">
        <f t="shared" si="8"/>
        <v>3373</v>
      </c>
      <c r="J50" s="10">
        <f t="shared" si="6"/>
        <v>19823336634.946262</v>
      </c>
      <c r="K50" s="11">
        <f t="shared" si="7"/>
        <v>3.3130000000000104E-2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5688600.5921038082</v>
      </c>
      <c r="D51" s="11">
        <v>3.2710000000000003E-2</v>
      </c>
      <c r="E51" s="10">
        <f t="shared" si="2"/>
        <v>180180.42370822001</v>
      </c>
      <c r="F51" s="3"/>
      <c r="G51" s="28"/>
      <c r="H51" s="10"/>
      <c r="I51" s="10">
        <f t="shared" si="8"/>
        <v>3373</v>
      </c>
      <c r="J51" s="10">
        <f t="shared" si="6"/>
        <v>19187649797.166145</v>
      </c>
      <c r="K51" s="11">
        <f t="shared" si="7"/>
        <v>3.2710000000000239E-2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5508420.1683955882</v>
      </c>
      <c r="D52" s="11">
        <v>3.2210000000000003E-2</v>
      </c>
      <c r="E52" s="10">
        <f t="shared" si="2"/>
        <v>171889.64806000981</v>
      </c>
      <c r="F52" s="3"/>
      <c r="G52" s="28"/>
      <c r="H52" s="10"/>
      <c r="I52" s="10">
        <f t="shared" si="8"/>
        <v>3373</v>
      </c>
      <c r="J52" s="10">
        <f t="shared" si="6"/>
        <v>18579901227.998318</v>
      </c>
      <c r="K52" s="11">
        <f t="shared" si="7"/>
        <v>3.2210000000000072E-2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5336530.5203355784</v>
      </c>
      <c r="D53" s="11">
        <v>3.168E-2</v>
      </c>
      <c r="E53" s="10">
        <f t="shared" si="2"/>
        <v>163869.88880683016</v>
      </c>
      <c r="F53" s="3"/>
      <c r="G53" s="28"/>
      <c r="H53" s="10"/>
      <c r="I53" s="10">
        <f t="shared" si="8"/>
        <v>3373</v>
      </c>
      <c r="J53" s="10">
        <f t="shared" si="6"/>
        <v>18000117445.091908</v>
      </c>
      <c r="K53" s="11">
        <f t="shared" si="7"/>
        <v>3.167999999999993E-2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5172660.6315287482</v>
      </c>
      <c r="D54" s="11">
        <v>3.1199999999999999E-2</v>
      </c>
      <c r="E54" s="10">
        <f t="shared" si="2"/>
        <v>156504.0842743367</v>
      </c>
      <c r="F54" s="3"/>
      <c r="G54" s="28"/>
      <c r="H54" s="10"/>
      <c r="I54" s="10">
        <f t="shared" si="8"/>
        <v>3373</v>
      </c>
      <c r="J54" s="10">
        <f t="shared" si="6"/>
        <v>17447384310.146469</v>
      </c>
      <c r="K54" s="11">
        <f t="shared" si="7"/>
        <v>3.1199999999999894E-2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5016156.5472544115</v>
      </c>
      <c r="D55" s="11">
        <v>3.1109999999999999E-2</v>
      </c>
      <c r="E55" s="10">
        <f t="shared" si="2"/>
        <v>151344.30874017812</v>
      </c>
      <c r="F55" s="3"/>
      <c r="G55" s="28"/>
      <c r="H55" s="10"/>
      <c r="I55" s="10">
        <f t="shared" si="8"/>
        <v>3373</v>
      </c>
      <c r="J55" s="10">
        <f t="shared" si="6"/>
        <v>16919496033.88913</v>
      </c>
      <c r="K55" s="11">
        <f t="shared" si="7"/>
        <v>3.1109999999999971E-2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4864812.2385142334</v>
      </c>
      <c r="D56" s="11">
        <v>2.894E-2</v>
      </c>
      <c r="E56" s="10">
        <f t="shared" si="2"/>
        <v>136827.86769160628</v>
      </c>
      <c r="F56" s="3"/>
      <c r="G56" s="28"/>
      <c r="H56" s="10"/>
      <c r="I56" s="10">
        <f t="shared" si="8"/>
        <v>3373</v>
      </c>
      <c r="J56" s="10">
        <f t="shared" si="6"/>
        <v>16409011680.508509</v>
      </c>
      <c r="K56" s="11">
        <f t="shared" si="7"/>
        <v>2.8939999999999744E-2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4727984.3708226271</v>
      </c>
      <c r="D57" s="11">
        <v>2.8400000000000002E-2</v>
      </c>
      <c r="E57" s="10">
        <f t="shared" si="2"/>
        <v>130566.66290486418</v>
      </c>
      <c r="F57" s="3"/>
      <c r="G57" s="28"/>
      <c r="H57" s="10"/>
      <c r="I57" s="10">
        <f t="shared" si="8"/>
        <v>3373</v>
      </c>
      <c r="J57" s="10">
        <f t="shared" si="6"/>
        <v>15947491282.784721</v>
      </c>
      <c r="K57" s="11">
        <f t="shared" si="7"/>
        <v>2.8399999999999981E-2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4597417.7079177629</v>
      </c>
      <c r="D58" s="11">
        <v>2.835E-2</v>
      </c>
      <c r="E58" s="10">
        <f t="shared" si="2"/>
        <v>126743.6106573334</v>
      </c>
      <c r="F58" s="3"/>
      <c r="G58" s="28"/>
      <c r="H58" s="10"/>
      <c r="I58" s="10">
        <f t="shared" si="8"/>
        <v>3373</v>
      </c>
      <c r="J58" s="10">
        <f t="shared" si="6"/>
        <v>15507089928.806614</v>
      </c>
      <c r="K58" s="11">
        <f t="shared" si="7"/>
        <v>2.8350000000000097E-2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4470674.0972604295</v>
      </c>
      <c r="D59" s="11">
        <v>2.8060000000000002E-2</v>
      </c>
      <c r="E59" s="10">
        <f t="shared" si="2"/>
        <v>122023.14570076391</v>
      </c>
      <c r="F59" s="3"/>
      <c r="G59" s="28"/>
      <c r="H59" s="10"/>
      <c r="I59" s="10">
        <f t="shared" si="8"/>
        <v>3373</v>
      </c>
      <c r="J59" s="10">
        <f t="shared" si="6"/>
        <v>15079583730.059429</v>
      </c>
      <c r="K59" s="11">
        <f t="shared" si="7"/>
        <v>2.8059999999999974E-2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4348650.9515596656</v>
      </c>
      <c r="D60" s="11">
        <v>2.8029999999999999E-2</v>
      </c>
      <c r="E60" s="10">
        <f t="shared" si="2"/>
        <v>118569.19172807969</v>
      </c>
      <c r="F60" s="3"/>
      <c r="G60" s="28"/>
      <c r="H60" s="10"/>
      <c r="I60" s="10">
        <f t="shared" si="8"/>
        <v>3373</v>
      </c>
      <c r="J60" s="10">
        <f t="shared" si="6"/>
        <v>14667999659.610752</v>
      </c>
      <c r="K60" s="11">
        <f t="shared" si="7"/>
        <v>2.8029999999999999E-2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4230081.7598315859</v>
      </c>
      <c r="D61" s="11">
        <v>2.7810000000000001E-2</v>
      </c>
      <c r="E61" s="10">
        <f t="shared" si="2"/>
        <v>114455.56449238397</v>
      </c>
      <c r="F61" s="3"/>
      <c r="G61" s="28"/>
      <c r="H61" s="10"/>
      <c r="I61" s="10">
        <f t="shared" si="8"/>
        <v>3373</v>
      </c>
      <c r="J61" s="10">
        <f t="shared" si="6"/>
        <v>14268065775.91194</v>
      </c>
      <c r="K61" s="11">
        <f t="shared" si="7"/>
        <v>2.7810000000000334E-2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4115626.1953392019</v>
      </c>
      <c r="D62" s="11">
        <v>2.7310000000000001E-2</v>
      </c>
      <c r="E62" s="10">
        <f t="shared" si="2"/>
        <v>109409.77056070045</v>
      </c>
      <c r="F62" s="3"/>
      <c r="G62" s="28"/>
      <c r="H62" s="10"/>
      <c r="I62" s="10">
        <f t="shared" si="8"/>
        <v>3373</v>
      </c>
      <c r="J62" s="10">
        <f t="shared" si="6"/>
        <v>13882007156.879128</v>
      </c>
      <c r="K62" s="11">
        <f t="shared" si="7"/>
        <v>2.7309999999999945E-2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4006216.4247785015</v>
      </c>
      <c r="D63" s="11">
        <v>2.7490000000000001E-2</v>
      </c>
      <c r="E63" s="10">
        <f t="shared" si="2"/>
        <v>107184.39061904373</v>
      </c>
      <c r="F63" s="3"/>
      <c r="G63" s="28"/>
      <c r="H63" s="10"/>
      <c r="I63" s="10">
        <f t="shared" si="8"/>
        <v>3373</v>
      </c>
      <c r="J63" s="10">
        <f t="shared" si="6"/>
        <v>13512968000.777885</v>
      </c>
      <c r="K63" s="11">
        <f t="shared" si="7"/>
        <v>2.7490000000000014E-2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3899032.0341594578</v>
      </c>
      <c r="D64" s="11">
        <v>2.6970000000000001E-2</v>
      </c>
      <c r="E64" s="10">
        <f t="shared" si="2"/>
        <v>102395.29291145829</v>
      </c>
      <c r="F64" s="3"/>
      <c r="G64" s="28"/>
      <c r="H64" s="10"/>
      <c r="I64" s="10">
        <f t="shared" si="8"/>
        <v>3373</v>
      </c>
      <c r="J64" s="10">
        <f t="shared" si="6"/>
        <v>13151435051.219851</v>
      </c>
      <c r="K64" s="11">
        <f t="shared" si="7"/>
        <v>2.6969999999999938E-2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3796636.7412479995</v>
      </c>
      <c r="D65" s="11">
        <v>2.7050000000000001E-2</v>
      </c>
      <c r="E65" s="10">
        <f t="shared" si="2"/>
        <v>99994.181247999892</v>
      </c>
      <c r="F65" s="3"/>
      <c r="G65" s="28"/>
      <c r="H65" s="10"/>
      <c r="I65" s="10">
        <f t="shared" si="8"/>
        <v>3373</v>
      </c>
      <c r="J65" s="10">
        <f t="shared" si="6"/>
        <v>12806055728.229502</v>
      </c>
      <c r="K65" s="11">
        <f t="shared" si="7"/>
        <v>2.7049999999999796E-2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3696642.5599999996</v>
      </c>
      <c r="D66" s="11">
        <v>2.656E-2</v>
      </c>
      <c r="E66" s="10">
        <f t="shared" si="2"/>
        <v>95642.55999999959</v>
      </c>
      <c r="F66" s="24">
        <f>SUM(F2)</f>
        <v>16302960</v>
      </c>
      <c r="G66" s="28"/>
      <c r="H66" s="10"/>
      <c r="I66" s="10">
        <f t="shared" si="8"/>
        <v>3373</v>
      </c>
      <c r="J66" s="10">
        <f t="shared" ref="J66:J67" si="9">IF(I66="","",I66*C66)</f>
        <v>12468775354.879999</v>
      </c>
      <c r="K66" s="11">
        <f t="shared" ref="K66" si="10">IFERROR(J66/J67-1,"")</f>
        <v>2.6559999999999917E-2</v>
      </c>
    </row>
    <row r="67" spans="1:11" ht="22.5" customHeight="1">
      <c r="A67" s="3">
        <f t="shared" si="0"/>
        <v>1950</v>
      </c>
      <c r="B67" s="3">
        <v>1700</v>
      </c>
      <c r="C67" s="10">
        <v>3601000</v>
      </c>
      <c r="D67" s="11">
        <v>0.01</v>
      </c>
      <c r="E67" s="3" t="s">
        <v>72</v>
      </c>
      <c r="F67" s="10">
        <f>SUM(C2)</f>
        <v>16303297.541242715</v>
      </c>
      <c r="G67" s="28"/>
      <c r="H67" s="10"/>
      <c r="I67" s="10">
        <f t="shared" ref="I67" si="11">IF(H67&lt;&gt;"",H67,I66/(1+IF(G66="",0,G66)/100))</f>
        <v>3373</v>
      </c>
      <c r="J67" s="10">
        <f t="shared" si="9"/>
        <v>12146173000</v>
      </c>
      <c r="K67" s="11"/>
    </row>
  </sheetData>
  <dataValidations count="1">
    <dataValidation type="custom" allowBlank="1" showDropDown="1" sqref="D2:D67" xr:uid="{00000000-0002-0000-5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189630.93342655883</v>
      </c>
      <c r="D2" s="11">
        <v>2.5000000000000001E-2</v>
      </c>
      <c r="E2" s="10">
        <f t="shared" ref="E2:E66" si="2">SUM(C2-C3)</f>
        <v>4625.1447177209193</v>
      </c>
      <c r="F2" s="15">
        <v>189681</v>
      </c>
      <c r="G2" s="28"/>
      <c r="H2" s="10"/>
      <c r="I2" s="10">
        <f>IF(H2&lt;&gt;"",H2,10754)</f>
        <v>10754</v>
      </c>
      <c r="J2" s="10">
        <f t="shared" ref="J2:J33" si="3">IF(I2="","",I2*C2)</f>
        <v>2039291058.0692136</v>
      </c>
      <c r="K2" s="11">
        <f t="shared" ref="K2:K33" si="4">IFERROR(J2/J3-1,"")</f>
        <v>2.4999999999999911E-2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185005.78870883791</v>
      </c>
      <c r="D3" s="11">
        <v>4.4510000000000001E-2</v>
      </c>
      <c r="E3" s="10">
        <f t="shared" si="2"/>
        <v>7883.7039907998696</v>
      </c>
      <c r="F3" s="3"/>
      <c r="G3" s="28"/>
      <c r="H3" s="10"/>
      <c r="I3" s="10">
        <f t="shared" ref="I3:I34" si="5">IF(H3&lt;&gt;"",H3,I2/(1+IF(G2="",0,G2)/100))</f>
        <v>10754</v>
      </c>
      <c r="J3" s="10">
        <f t="shared" si="3"/>
        <v>1989552251.7748427</v>
      </c>
      <c r="K3" s="11">
        <f t="shared" si="4"/>
        <v>4.451000000000005E-2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177122.08471803804</v>
      </c>
      <c r="D4" s="11">
        <v>2.581E-2</v>
      </c>
      <c r="E4" s="10">
        <f t="shared" si="2"/>
        <v>4456.4987732353329</v>
      </c>
      <c r="F4" s="3"/>
      <c r="G4" s="28"/>
      <c r="H4" s="10"/>
      <c r="I4" s="10">
        <f t="shared" si="5"/>
        <v>10754</v>
      </c>
      <c r="J4" s="10">
        <f t="shared" si="3"/>
        <v>1904770899.057781</v>
      </c>
      <c r="K4" s="11">
        <f t="shared" si="4"/>
        <v>2.5809999999999889E-2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172665.5859448027</v>
      </c>
      <c r="D5" s="11">
        <v>-4.4549999999999999E-2</v>
      </c>
      <c r="E5" s="10">
        <f t="shared" si="2"/>
        <v>-8050.9203556868015</v>
      </c>
      <c r="F5" s="3"/>
      <c r="G5" s="28"/>
      <c r="H5" s="10"/>
      <c r="I5" s="10">
        <f t="shared" si="5"/>
        <v>10754</v>
      </c>
      <c r="J5" s="10">
        <f t="shared" si="3"/>
        <v>1856845711.2504082</v>
      </c>
      <c r="K5" s="11">
        <f t="shared" si="4"/>
        <v>-4.4549999999999979E-2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180716.50630048951</v>
      </c>
      <c r="D6" s="11">
        <v>1.584E-2</v>
      </c>
      <c r="E6" s="10">
        <f t="shared" si="2"/>
        <v>2817.913706685853</v>
      </c>
      <c r="F6" s="3"/>
      <c r="G6" s="28"/>
      <c r="H6" s="10"/>
      <c r="I6" s="10">
        <f t="shared" si="5"/>
        <v>10754</v>
      </c>
      <c r="J6" s="10">
        <f t="shared" si="3"/>
        <v>1943425308.7554641</v>
      </c>
      <c r="K6" s="11">
        <f t="shared" si="4"/>
        <v>1.5840000000000076E-2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177898.59259380365</v>
      </c>
      <c r="D7" s="11">
        <v>1.7610000000000001E-2</v>
      </c>
      <c r="E7" s="10">
        <f t="shared" si="2"/>
        <v>3078.5804144779104</v>
      </c>
      <c r="F7" s="3"/>
      <c r="G7" s="28"/>
      <c r="H7" s="10"/>
      <c r="I7" s="10">
        <f t="shared" si="5"/>
        <v>10754</v>
      </c>
      <c r="J7" s="10">
        <f t="shared" si="3"/>
        <v>1913121464.7537644</v>
      </c>
      <c r="K7" s="11">
        <f t="shared" si="4"/>
        <v>1.7609999999999904E-2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174820.01217932574</v>
      </c>
      <c r="D8" s="11">
        <v>1.7309999999999999E-2</v>
      </c>
      <c r="E8" s="10">
        <f t="shared" si="2"/>
        <v>2974.643334700464</v>
      </c>
      <c r="F8" s="3"/>
      <c r="G8" s="28"/>
      <c r="H8" s="10"/>
      <c r="I8" s="10">
        <f t="shared" si="5"/>
        <v>10754</v>
      </c>
      <c r="J8" s="10">
        <f t="shared" si="3"/>
        <v>1880014410.976469</v>
      </c>
      <c r="K8" s="11">
        <f t="shared" si="4"/>
        <v>1.7309999999999937E-2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171845.36884462528</v>
      </c>
      <c r="D9" s="11">
        <v>1.7149999999999999E-2</v>
      </c>
      <c r="E9" s="10">
        <f t="shared" si="2"/>
        <v>2897.4566933936148</v>
      </c>
      <c r="F9" s="3"/>
      <c r="G9" s="28"/>
      <c r="H9" s="10"/>
      <c r="I9" s="10">
        <f t="shared" si="5"/>
        <v>10754</v>
      </c>
      <c r="J9" s="10">
        <f t="shared" si="3"/>
        <v>1848025096.5551002</v>
      </c>
      <c r="K9" s="11">
        <f t="shared" si="4"/>
        <v>1.7149999999999777E-2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168947.91215123166</v>
      </c>
      <c r="D10" s="11">
        <v>1.6250000000000001E-2</v>
      </c>
      <c r="E10" s="10">
        <f t="shared" si="2"/>
        <v>2701.5041303395119</v>
      </c>
      <c r="F10" s="3"/>
      <c r="G10" s="28"/>
      <c r="H10" s="10"/>
      <c r="I10" s="10">
        <f t="shared" si="5"/>
        <v>10754</v>
      </c>
      <c r="J10" s="10">
        <f t="shared" si="3"/>
        <v>1816865847.2743454</v>
      </c>
      <c r="K10" s="11">
        <f t="shared" si="4"/>
        <v>1.6250000000000098E-2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166246.40802089215</v>
      </c>
      <c r="D11" s="11">
        <v>1.66E-2</v>
      </c>
      <c r="E11" s="10">
        <f t="shared" si="2"/>
        <v>2714.6275557218178</v>
      </c>
      <c r="F11" s="3"/>
      <c r="G11" s="28"/>
      <c r="H11" s="10"/>
      <c r="I11" s="10">
        <f t="shared" si="5"/>
        <v>10754</v>
      </c>
      <c r="J11" s="10">
        <f t="shared" si="3"/>
        <v>1787813871.8566742</v>
      </c>
      <c r="K11" s="11">
        <f t="shared" si="4"/>
        <v>1.6599999999999948E-2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163531.78046517033</v>
      </c>
      <c r="D12" s="11">
        <v>1.6219999999999998E-2</v>
      </c>
      <c r="E12" s="10">
        <f t="shared" si="2"/>
        <v>2610.1488645618665</v>
      </c>
      <c r="F12" s="3"/>
      <c r="G12" s="28"/>
      <c r="H12" s="10"/>
      <c r="I12" s="10">
        <f t="shared" si="5"/>
        <v>10754</v>
      </c>
      <c r="J12" s="10">
        <f t="shared" si="3"/>
        <v>1758620767.1224418</v>
      </c>
      <c r="K12" s="11">
        <f t="shared" si="4"/>
        <v>1.6219999999999901E-2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160921.63160060847</v>
      </c>
      <c r="D13" s="11">
        <v>1.6490000000000001E-2</v>
      </c>
      <c r="E13" s="10">
        <f t="shared" si="2"/>
        <v>2610.5497398833395</v>
      </c>
      <c r="F13" s="3"/>
      <c r="G13" s="28"/>
      <c r="H13" s="10"/>
      <c r="I13" s="10">
        <f t="shared" si="5"/>
        <v>10754</v>
      </c>
      <c r="J13" s="10">
        <f t="shared" si="3"/>
        <v>1730551226.2329435</v>
      </c>
      <c r="K13" s="11">
        <f t="shared" si="4"/>
        <v>1.6489999999999894E-2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158311.08186072513</v>
      </c>
      <c r="D14" s="11">
        <v>1.575E-2</v>
      </c>
      <c r="E14" s="10">
        <f t="shared" si="2"/>
        <v>2454.737424864783</v>
      </c>
      <c r="F14" s="3"/>
      <c r="G14" s="28"/>
      <c r="H14" s="10"/>
      <c r="I14" s="10">
        <f t="shared" si="5"/>
        <v>10754</v>
      </c>
      <c r="J14" s="10">
        <f t="shared" si="3"/>
        <v>1702477374.3302381</v>
      </c>
      <c r="K14" s="11">
        <f t="shared" si="4"/>
        <v>1.5749999999999931E-2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155856.34443586034</v>
      </c>
      <c r="D15" s="11">
        <v>1.617E-2</v>
      </c>
      <c r="E15" s="10">
        <f t="shared" si="2"/>
        <v>2480.0939700324379</v>
      </c>
      <c r="F15" s="3"/>
      <c r="G15" s="28"/>
      <c r="H15" s="10"/>
      <c r="I15" s="10">
        <f t="shared" si="5"/>
        <v>10754</v>
      </c>
      <c r="J15" s="10">
        <f t="shared" si="3"/>
        <v>1676079128.0632422</v>
      </c>
      <c r="K15" s="11">
        <f t="shared" si="4"/>
        <v>1.6170000000000018E-2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153376.25046582791</v>
      </c>
      <c r="D16" s="11">
        <v>2.1010000000000001E-2</v>
      </c>
      <c r="E16" s="10">
        <f t="shared" si="2"/>
        <v>3156.1248394110007</v>
      </c>
      <c r="F16" s="3"/>
      <c r="G16" s="28"/>
      <c r="H16" s="10"/>
      <c r="I16" s="10">
        <f t="shared" si="5"/>
        <v>10754</v>
      </c>
      <c r="J16" s="10">
        <f t="shared" si="3"/>
        <v>1649408197.5095134</v>
      </c>
      <c r="K16" s="11">
        <f t="shared" si="4"/>
        <v>2.1009999999999973E-2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150220.12562641691</v>
      </c>
      <c r="D17" s="11">
        <v>3.1230000000000001E-2</v>
      </c>
      <c r="E17" s="10">
        <f t="shared" si="2"/>
        <v>4549.299887816509</v>
      </c>
      <c r="F17" s="3"/>
      <c r="G17" s="28"/>
      <c r="H17" s="10"/>
      <c r="I17" s="10">
        <f t="shared" si="5"/>
        <v>10754</v>
      </c>
      <c r="J17" s="10">
        <f t="shared" si="3"/>
        <v>1615467230.9864874</v>
      </c>
      <c r="K17" s="11">
        <f t="shared" si="4"/>
        <v>3.1230000000000091E-2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145670.8257386004</v>
      </c>
      <c r="D18" s="11">
        <v>2.9700000000000001E-2</v>
      </c>
      <c r="E18" s="10">
        <f t="shared" si="2"/>
        <v>4201.6349659478001</v>
      </c>
      <c r="F18" s="3"/>
      <c r="G18" s="28"/>
      <c r="H18" s="10"/>
      <c r="I18" s="10">
        <f t="shared" si="5"/>
        <v>10754</v>
      </c>
      <c r="J18" s="10">
        <f t="shared" si="3"/>
        <v>1566544059.9929087</v>
      </c>
      <c r="K18" s="11">
        <f t="shared" si="4"/>
        <v>2.970000000000006E-2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141469.1907726526</v>
      </c>
      <c r="D19" s="11">
        <v>2.724E-2</v>
      </c>
      <c r="E19" s="10">
        <f t="shared" si="2"/>
        <v>3751.4317556238675</v>
      </c>
      <c r="F19" s="3"/>
      <c r="G19" s="28"/>
      <c r="H19" s="10"/>
      <c r="I19" s="10">
        <f t="shared" si="5"/>
        <v>10754</v>
      </c>
      <c r="J19" s="10">
        <f t="shared" si="3"/>
        <v>1521359677.5691061</v>
      </c>
      <c r="K19" s="11">
        <f t="shared" si="4"/>
        <v>2.7240000000000153E-2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137717.75901702873</v>
      </c>
      <c r="D20" s="11">
        <v>2.7210000000000002E-2</v>
      </c>
      <c r="E20" s="10">
        <f t="shared" si="2"/>
        <v>3648.0371324786101</v>
      </c>
      <c r="F20" s="3"/>
      <c r="G20" s="28"/>
      <c r="H20" s="10"/>
      <c r="I20" s="10">
        <f t="shared" si="5"/>
        <v>10754</v>
      </c>
      <c r="J20" s="10">
        <f t="shared" si="3"/>
        <v>1481016780.4691269</v>
      </c>
      <c r="K20" s="11">
        <f t="shared" si="4"/>
        <v>2.7209999999999956E-2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134069.72188455012</v>
      </c>
      <c r="D21" s="11">
        <v>2.7359999999999999E-2</v>
      </c>
      <c r="E21" s="10">
        <f t="shared" si="2"/>
        <v>3570.4598103501048</v>
      </c>
      <c r="F21" s="3"/>
      <c r="G21" s="28"/>
      <c r="H21" s="10"/>
      <c r="I21" s="10">
        <f t="shared" si="5"/>
        <v>10754</v>
      </c>
      <c r="J21" s="10">
        <f t="shared" si="3"/>
        <v>1441785789.146452</v>
      </c>
      <c r="K21" s="11">
        <f t="shared" si="4"/>
        <v>2.7359999999999829E-2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130499.26207420001</v>
      </c>
      <c r="D22" s="11">
        <v>2.615E-2</v>
      </c>
      <c r="E22" s="10">
        <f t="shared" si="2"/>
        <v>3325.5914858844335</v>
      </c>
      <c r="F22" s="3"/>
      <c r="G22" s="28"/>
      <c r="H22" s="10"/>
      <c r="I22" s="10">
        <f t="shared" si="5"/>
        <v>10754</v>
      </c>
      <c r="J22" s="10">
        <f t="shared" si="3"/>
        <v>1403389064.345947</v>
      </c>
      <c r="K22" s="11">
        <f t="shared" si="4"/>
        <v>2.6149999999999896E-2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127173.67058831558</v>
      </c>
      <c r="D23" s="11">
        <v>2.5350000000000001E-2</v>
      </c>
      <c r="E23" s="10">
        <f t="shared" si="2"/>
        <v>3144.1483877834835</v>
      </c>
      <c r="F23" s="3"/>
      <c r="G23" s="28"/>
      <c r="H23" s="10"/>
      <c r="I23" s="10">
        <f t="shared" si="5"/>
        <v>10754</v>
      </c>
      <c r="J23" s="10">
        <f t="shared" si="3"/>
        <v>1367625653.5067458</v>
      </c>
      <c r="K23" s="11">
        <f t="shared" si="4"/>
        <v>2.5349999999999984E-2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124029.5222005321</v>
      </c>
      <c r="D24" s="11">
        <v>2.579E-2</v>
      </c>
      <c r="E24" s="10">
        <f t="shared" si="2"/>
        <v>3118.300409978372</v>
      </c>
      <c r="F24" s="3"/>
      <c r="G24" s="28"/>
      <c r="H24" s="10"/>
      <c r="I24" s="10">
        <f t="shared" si="5"/>
        <v>10754</v>
      </c>
      <c r="J24" s="10">
        <f t="shared" si="3"/>
        <v>1333813481.7445221</v>
      </c>
      <c r="K24" s="11">
        <f t="shared" si="4"/>
        <v>2.5789999999999758E-2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120911.22179055373</v>
      </c>
      <c r="D25" s="11">
        <v>2.828E-2</v>
      </c>
      <c r="E25" s="10">
        <f t="shared" si="2"/>
        <v>3325.329046793544</v>
      </c>
      <c r="F25" s="3"/>
      <c r="G25" s="28"/>
      <c r="H25" s="10"/>
      <c r="I25" s="10">
        <f t="shared" si="5"/>
        <v>10754</v>
      </c>
      <c r="J25" s="10">
        <f t="shared" si="3"/>
        <v>1300279279.1356149</v>
      </c>
      <c r="K25" s="11">
        <f t="shared" si="4"/>
        <v>2.8280000000000083E-2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117585.89274376018</v>
      </c>
      <c r="D26" s="11">
        <v>3.5049999999999998E-2</v>
      </c>
      <c r="E26" s="10">
        <f t="shared" si="2"/>
        <v>3981.8226565564983</v>
      </c>
      <c r="F26" s="3"/>
      <c r="G26" s="28"/>
      <c r="H26" s="10"/>
      <c r="I26" s="10">
        <f t="shared" si="5"/>
        <v>10754</v>
      </c>
      <c r="J26" s="10">
        <f t="shared" si="3"/>
        <v>1264518690.566397</v>
      </c>
      <c r="K26" s="11">
        <f t="shared" si="4"/>
        <v>3.5050000000000026E-2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113604.07008720368</v>
      </c>
      <c r="D27" s="11">
        <v>3.5959999999999999E-2</v>
      </c>
      <c r="E27" s="10">
        <f t="shared" si="2"/>
        <v>3943.3977763000876</v>
      </c>
      <c r="F27" s="3"/>
      <c r="G27" s="28"/>
      <c r="H27" s="10"/>
      <c r="I27" s="10">
        <f t="shared" si="5"/>
        <v>10754</v>
      </c>
      <c r="J27" s="10">
        <f t="shared" si="3"/>
        <v>1221698169.7177885</v>
      </c>
      <c r="K27" s="11">
        <f t="shared" si="4"/>
        <v>3.5959999999999992E-2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109660.6723109036</v>
      </c>
      <c r="D28" s="11">
        <v>3.9070000000000001E-2</v>
      </c>
      <c r="E28" s="10">
        <f t="shared" si="2"/>
        <v>4123.3434390243201</v>
      </c>
      <c r="F28" s="3"/>
      <c r="G28" s="28"/>
      <c r="H28" s="10"/>
      <c r="I28" s="10">
        <f t="shared" si="5"/>
        <v>10754</v>
      </c>
      <c r="J28" s="10">
        <f t="shared" si="3"/>
        <v>1179290870.0314572</v>
      </c>
      <c r="K28" s="11">
        <f t="shared" si="4"/>
        <v>3.9069999999999938E-2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105537.32887187928</v>
      </c>
      <c r="D29" s="11">
        <v>3.8420000000000003E-2</v>
      </c>
      <c r="E29" s="10">
        <f t="shared" si="2"/>
        <v>3904.7246540490305</v>
      </c>
      <c r="F29" s="3"/>
      <c r="G29" s="28"/>
      <c r="H29" s="10"/>
      <c r="I29" s="10">
        <f t="shared" si="5"/>
        <v>10754</v>
      </c>
      <c r="J29" s="10">
        <f t="shared" si="3"/>
        <v>1134948434.6881897</v>
      </c>
      <c r="K29" s="11">
        <f t="shared" si="4"/>
        <v>3.8420000000000121E-2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101632.60421783025</v>
      </c>
      <c r="D30" s="11">
        <v>3.669E-2</v>
      </c>
      <c r="E30" s="10">
        <f t="shared" si="2"/>
        <v>3596.9289264410763</v>
      </c>
      <c r="F30" s="3"/>
      <c r="G30" s="28"/>
      <c r="H30" s="10"/>
      <c r="I30" s="10">
        <f t="shared" si="5"/>
        <v>10754</v>
      </c>
      <c r="J30" s="10">
        <f t="shared" si="3"/>
        <v>1092957025.7585464</v>
      </c>
      <c r="K30" s="11">
        <f t="shared" si="4"/>
        <v>3.6690000000000111E-2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98035.675291389169</v>
      </c>
      <c r="D31" s="11">
        <v>3.8510000000000003E-2</v>
      </c>
      <c r="E31" s="10">
        <f t="shared" si="2"/>
        <v>3635.356284938418</v>
      </c>
      <c r="F31" s="3"/>
      <c r="G31" s="28"/>
      <c r="H31" s="10"/>
      <c r="I31" s="10">
        <f t="shared" si="5"/>
        <v>10754</v>
      </c>
      <c r="J31" s="10">
        <f t="shared" si="3"/>
        <v>1054275652.0835991</v>
      </c>
      <c r="K31" s="11">
        <f t="shared" si="4"/>
        <v>3.8510000000000044E-2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94400.319006450751</v>
      </c>
      <c r="D32" s="11">
        <v>3.61E-2</v>
      </c>
      <c r="E32" s="10">
        <f t="shared" si="2"/>
        <v>3289.1144832862337</v>
      </c>
      <c r="F32" s="3"/>
      <c r="G32" s="28"/>
      <c r="H32" s="10"/>
      <c r="I32" s="10">
        <f t="shared" si="5"/>
        <v>10754</v>
      </c>
      <c r="J32" s="10">
        <f t="shared" si="3"/>
        <v>1015181030.5953714</v>
      </c>
      <c r="K32" s="11">
        <f t="shared" si="4"/>
        <v>3.6099999999999799E-2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91111.204523164517</v>
      </c>
      <c r="D33" s="11">
        <v>2.581E-2</v>
      </c>
      <c r="E33" s="10">
        <f t="shared" si="2"/>
        <v>2292.4130089810642</v>
      </c>
      <c r="F33" s="3"/>
      <c r="G33" s="28"/>
      <c r="H33" s="10"/>
      <c r="I33" s="10">
        <f t="shared" si="5"/>
        <v>10754</v>
      </c>
      <c r="J33" s="10">
        <f t="shared" si="3"/>
        <v>979809893.44211125</v>
      </c>
      <c r="K33" s="11">
        <f t="shared" si="4"/>
        <v>2.5809999999999889E-2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88818.791514183453</v>
      </c>
      <c r="D34" s="11">
        <v>2.4099999999999998E-3</v>
      </c>
      <c r="E34" s="10">
        <f t="shared" si="2"/>
        <v>213.53865938007948</v>
      </c>
      <c r="F34" s="3"/>
      <c r="G34" s="28"/>
      <c r="H34" s="10"/>
      <c r="I34" s="10">
        <f t="shared" si="5"/>
        <v>10754</v>
      </c>
      <c r="J34" s="10">
        <f t="shared" ref="J34:J65" si="6">IF(I34="","",I34*C34)</f>
        <v>955157283.94352889</v>
      </c>
      <c r="K34" s="11">
        <f t="shared" ref="K34:K65" si="7">IFERROR(J34/J35-1,"")</f>
        <v>2.4100000000000232E-3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88605.252854803373</v>
      </c>
      <c r="D35" s="11">
        <v>3.47E-3</v>
      </c>
      <c r="E35" s="10">
        <f t="shared" si="2"/>
        <v>306.3970297130727</v>
      </c>
      <c r="F35" s="3"/>
      <c r="G35" s="28"/>
      <c r="H35" s="10"/>
      <c r="I35" s="10">
        <f t="shared" ref="I35:I66" si="8">IF(H35&lt;&gt;"",H35,I34/(1+IF(G34="",0,G34)/100))</f>
        <v>10754</v>
      </c>
      <c r="J35" s="10">
        <f t="shared" si="6"/>
        <v>952860889.20055544</v>
      </c>
      <c r="K35" s="11">
        <f t="shared" si="7"/>
        <v>3.4700000000000841E-3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88298.855825090301</v>
      </c>
      <c r="D36" s="11">
        <v>3.63E-3</v>
      </c>
      <c r="E36" s="10">
        <f t="shared" si="2"/>
        <v>319.36554969966528</v>
      </c>
      <c r="F36" s="3"/>
      <c r="G36" s="28"/>
      <c r="H36" s="10"/>
      <c r="I36" s="10">
        <f t="shared" si="8"/>
        <v>10754</v>
      </c>
      <c r="J36" s="10">
        <f t="shared" si="6"/>
        <v>949565895.54302108</v>
      </c>
      <c r="K36" s="11">
        <f t="shared" si="7"/>
        <v>3.6300000000000221E-3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87979.490275390635</v>
      </c>
      <c r="D37" s="11">
        <v>1.2099999999999999E-3</v>
      </c>
      <c r="E37" s="10">
        <f t="shared" si="2"/>
        <v>106.32652813417371</v>
      </c>
      <c r="F37" s="3"/>
      <c r="G37" s="28"/>
      <c r="H37" s="10"/>
      <c r="I37" s="10">
        <f t="shared" si="8"/>
        <v>10754</v>
      </c>
      <c r="J37" s="10">
        <f t="shared" si="6"/>
        <v>946131438.42155087</v>
      </c>
      <c r="K37" s="11">
        <f t="shared" si="7"/>
        <v>1.2099999999999334E-3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87873.163747256462</v>
      </c>
      <c r="D38" s="11">
        <v>2.2799999999999999E-3</v>
      </c>
      <c r="E38" s="10">
        <f t="shared" si="2"/>
        <v>199.89505262377497</v>
      </c>
      <c r="F38" s="3"/>
      <c r="G38" s="28"/>
      <c r="H38" s="10"/>
      <c r="I38" s="10">
        <f t="shared" si="8"/>
        <v>10754</v>
      </c>
      <c r="J38" s="10">
        <f t="shared" si="6"/>
        <v>944988002.93799603</v>
      </c>
      <c r="K38" s="11">
        <f t="shared" si="7"/>
        <v>2.2800000000002818E-3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87673.268694632687</v>
      </c>
      <c r="D39" s="11">
        <v>2.4399999999999999E-3</v>
      </c>
      <c r="E39" s="10">
        <f t="shared" si="2"/>
        <v>213.40207455299969</v>
      </c>
      <c r="F39" s="3"/>
      <c r="G39" s="28"/>
      <c r="H39" s="10"/>
      <c r="I39" s="10">
        <f t="shared" si="8"/>
        <v>10754</v>
      </c>
      <c r="J39" s="10">
        <f t="shared" si="6"/>
        <v>942838331.54207993</v>
      </c>
      <c r="K39" s="11">
        <f t="shared" si="7"/>
        <v>2.4399999999999977E-3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87459.866620079687</v>
      </c>
      <c r="D40" s="11">
        <v>3.2100000000000002E-3</v>
      </c>
      <c r="E40" s="10">
        <f t="shared" si="2"/>
        <v>279.84786021914624</v>
      </c>
      <c r="F40" s="3"/>
      <c r="G40" s="28"/>
      <c r="H40" s="10"/>
      <c r="I40" s="10">
        <f t="shared" si="8"/>
        <v>10754</v>
      </c>
      <c r="J40" s="10">
        <f t="shared" si="6"/>
        <v>940543405.63233697</v>
      </c>
      <c r="K40" s="11">
        <f t="shared" si="7"/>
        <v>3.2099999999999351E-3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87180.018759860541</v>
      </c>
      <c r="D41" s="11">
        <v>3.5300000000000002E-3</v>
      </c>
      <c r="E41" s="10">
        <f t="shared" si="2"/>
        <v>306.66294602284324</v>
      </c>
      <c r="F41" s="3"/>
      <c r="G41" s="28"/>
      <c r="H41" s="10"/>
      <c r="I41" s="10">
        <f t="shared" si="8"/>
        <v>10754</v>
      </c>
      <c r="J41" s="10">
        <f t="shared" si="6"/>
        <v>937533921.74354029</v>
      </c>
      <c r="K41" s="11">
        <f t="shared" si="7"/>
        <v>3.5300000000000331E-3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86873.355813837697</v>
      </c>
      <c r="D42" s="11">
        <v>3.0799999999999998E-3</v>
      </c>
      <c r="E42" s="10">
        <f t="shared" si="2"/>
        <v>266.74835098558106</v>
      </c>
      <c r="F42" s="3"/>
      <c r="G42" s="28"/>
      <c r="H42" s="10"/>
      <c r="I42" s="10">
        <f t="shared" si="8"/>
        <v>10754</v>
      </c>
      <c r="J42" s="10">
        <f t="shared" si="6"/>
        <v>934236068.42201054</v>
      </c>
      <c r="K42" s="11">
        <f t="shared" si="7"/>
        <v>3.0799999999999716E-3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86606.607462852116</v>
      </c>
      <c r="D43" s="11">
        <v>3.2399999999999998E-3</v>
      </c>
      <c r="E43" s="10">
        <f t="shared" si="2"/>
        <v>279.69918282727303</v>
      </c>
      <c r="F43" s="3"/>
      <c r="G43" s="28"/>
      <c r="H43" s="10"/>
      <c r="I43" s="10">
        <f t="shared" si="8"/>
        <v>10754</v>
      </c>
      <c r="J43" s="10">
        <f t="shared" si="6"/>
        <v>931367456.65551162</v>
      </c>
      <c r="K43" s="11">
        <f t="shared" si="7"/>
        <v>3.2399999999999096E-3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86326.908280024843</v>
      </c>
      <c r="D44" s="11">
        <v>6.5100000000000002E-3</v>
      </c>
      <c r="E44" s="10">
        <f t="shared" si="2"/>
        <v>558.35329296575219</v>
      </c>
      <c r="F44" s="3"/>
      <c r="G44" s="28"/>
      <c r="H44" s="10"/>
      <c r="I44" s="10">
        <f t="shared" si="8"/>
        <v>10754</v>
      </c>
      <c r="J44" s="10">
        <f t="shared" si="6"/>
        <v>928359571.6433872</v>
      </c>
      <c r="K44" s="11">
        <f t="shared" si="7"/>
        <v>6.5100000000000158E-3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85768.554987059091</v>
      </c>
      <c r="D45" s="11">
        <v>7.1799999999999998E-3</v>
      </c>
      <c r="E45" s="10">
        <f t="shared" si="2"/>
        <v>611.42817054258194</v>
      </c>
      <c r="F45" s="3"/>
      <c r="G45" s="28"/>
      <c r="H45" s="10"/>
      <c r="I45" s="10">
        <f t="shared" si="8"/>
        <v>10754</v>
      </c>
      <c r="J45" s="10">
        <f t="shared" si="6"/>
        <v>922355040.33083344</v>
      </c>
      <c r="K45" s="11">
        <f t="shared" si="7"/>
        <v>7.1799999999999642E-3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85157.126816516509</v>
      </c>
      <c r="D46" s="11">
        <v>7.8700000000000003E-3</v>
      </c>
      <c r="E46" s="10">
        <f t="shared" si="2"/>
        <v>664.9534047506022</v>
      </c>
      <c r="F46" s="3"/>
      <c r="G46" s="28"/>
      <c r="H46" s="10"/>
      <c r="I46" s="10">
        <f t="shared" si="8"/>
        <v>10754</v>
      </c>
      <c r="J46" s="10">
        <f t="shared" si="6"/>
        <v>915779741.78481853</v>
      </c>
      <c r="K46" s="11">
        <f t="shared" si="7"/>
        <v>7.8700000000000436E-3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84492.173411765907</v>
      </c>
      <c r="D47" s="11">
        <v>0.01</v>
      </c>
      <c r="E47" s="10">
        <f t="shared" si="2"/>
        <v>836.55617239372805</v>
      </c>
      <c r="F47" s="3"/>
      <c r="G47" s="28"/>
      <c r="H47" s="10"/>
      <c r="I47" s="10">
        <f t="shared" si="8"/>
        <v>10754</v>
      </c>
      <c r="J47" s="10">
        <f t="shared" si="6"/>
        <v>908628832.87013054</v>
      </c>
      <c r="K47" s="11">
        <f t="shared" si="7"/>
        <v>1.0000000000000009E-2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83655.617239372179</v>
      </c>
      <c r="D48" s="11">
        <v>9.2999999999999992E-3</v>
      </c>
      <c r="E48" s="10">
        <f t="shared" si="2"/>
        <v>770.82853495112795</v>
      </c>
      <c r="F48" s="3"/>
      <c r="G48" s="28"/>
      <c r="H48" s="10"/>
      <c r="I48" s="10">
        <f t="shared" si="8"/>
        <v>10754</v>
      </c>
      <c r="J48" s="10">
        <f t="shared" si="6"/>
        <v>899632507.79220843</v>
      </c>
      <c r="K48" s="11">
        <f t="shared" si="7"/>
        <v>9.300000000000086E-3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82884.788704421051</v>
      </c>
      <c r="D49" s="11">
        <v>8.4100000000000008E-3</v>
      </c>
      <c r="E49" s="10">
        <f t="shared" si="2"/>
        <v>691.24768001525081</v>
      </c>
      <c r="F49" s="3"/>
      <c r="G49" s="28"/>
      <c r="H49" s="10"/>
      <c r="I49" s="10">
        <f t="shared" si="8"/>
        <v>10754</v>
      </c>
      <c r="J49" s="10">
        <f t="shared" si="6"/>
        <v>891343017.72734404</v>
      </c>
      <c r="K49" s="11">
        <f t="shared" si="7"/>
        <v>8.4100000000000286E-3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82193.5410244058</v>
      </c>
      <c r="D50" s="11">
        <v>8.8100000000000001E-3</v>
      </c>
      <c r="E50" s="10">
        <f t="shared" si="2"/>
        <v>717.80126726045273</v>
      </c>
      <c r="F50" s="3"/>
      <c r="G50" s="28"/>
      <c r="H50" s="10"/>
      <c r="I50" s="10">
        <f t="shared" si="8"/>
        <v>10754</v>
      </c>
      <c r="J50" s="10">
        <f t="shared" si="6"/>
        <v>883909340.17646003</v>
      </c>
      <c r="K50" s="11">
        <f t="shared" si="7"/>
        <v>8.8099999999999845E-3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81475.739757145348</v>
      </c>
      <c r="D51" s="11">
        <v>1.038E-2</v>
      </c>
      <c r="E51" s="10">
        <f t="shared" si="2"/>
        <v>837.02980925906741</v>
      </c>
      <c r="F51" s="3"/>
      <c r="G51" s="28"/>
      <c r="H51" s="10"/>
      <c r="I51" s="10">
        <f t="shared" si="8"/>
        <v>10754</v>
      </c>
      <c r="J51" s="10">
        <f t="shared" si="6"/>
        <v>876190105.34834111</v>
      </c>
      <c r="K51" s="11">
        <f t="shared" si="7"/>
        <v>1.0380000000000278E-2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80638.70994788628</v>
      </c>
      <c r="D52" s="11">
        <v>7.4799999999999997E-3</v>
      </c>
      <c r="E52" s="10">
        <f t="shared" si="2"/>
        <v>598.6992797973071</v>
      </c>
      <c r="F52" s="3"/>
      <c r="G52" s="28"/>
      <c r="H52" s="10"/>
      <c r="I52" s="10">
        <f t="shared" si="8"/>
        <v>10754</v>
      </c>
      <c r="J52" s="10">
        <f t="shared" si="6"/>
        <v>867188686.77956903</v>
      </c>
      <c r="K52" s="11">
        <f t="shared" si="7"/>
        <v>7.4799999999999311E-3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80040.010668088973</v>
      </c>
      <c r="D53" s="11">
        <v>8.5400000000000007E-3</v>
      </c>
      <c r="E53" s="10">
        <f t="shared" si="2"/>
        <v>677.75367472333892</v>
      </c>
      <c r="F53" s="3"/>
      <c r="G53" s="28"/>
      <c r="H53" s="10"/>
      <c r="I53" s="10">
        <f t="shared" si="8"/>
        <v>10754</v>
      </c>
      <c r="J53" s="10">
        <f t="shared" si="6"/>
        <v>860750274.72462881</v>
      </c>
      <c r="K53" s="11">
        <f t="shared" si="7"/>
        <v>8.539999999999992E-3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79362.256993365634</v>
      </c>
      <c r="D54" s="11">
        <v>6.9199999999999999E-3</v>
      </c>
      <c r="E54" s="10">
        <f t="shared" si="2"/>
        <v>545.4125634549855</v>
      </c>
      <c r="F54" s="3"/>
      <c r="G54" s="28"/>
      <c r="H54" s="10"/>
      <c r="I54" s="10">
        <f t="shared" si="8"/>
        <v>10754</v>
      </c>
      <c r="J54" s="10">
        <f t="shared" si="6"/>
        <v>853461711.70665407</v>
      </c>
      <c r="K54" s="11">
        <f t="shared" si="7"/>
        <v>6.9200000000000372E-3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78816.844429910649</v>
      </c>
      <c r="D55" s="11">
        <v>9.5300000000000003E-3</v>
      </c>
      <c r="E55" s="10">
        <f t="shared" si="2"/>
        <v>744.0338844977814</v>
      </c>
      <c r="F55" s="3"/>
      <c r="G55" s="28"/>
      <c r="H55" s="10"/>
      <c r="I55" s="10">
        <f t="shared" si="8"/>
        <v>10754</v>
      </c>
      <c r="J55" s="10">
        <f t="shared" si="6"/>
        <v>847596344.99925911</v>
      </c>
      <c r="K55" s="11">
        <f t="shared" si="7"/>
        <v>9.5300000000000384E-3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78072.810545412867</v>
      </c>
      <c r="D56" s="11">
        <v>8.4200000000000004E-3</v>
      </c>
      <c r="E56" s="10">
        <f t="shared" si="2"/>
        <v>651.88419982981577</v>
      </c>
      <c r="F56" s="3"/>
      <c r="G56" s="28"/>
      <c r="H56" s="10"/>
      <c r="I56" s="10">
        <f t="shared" si="8"/>
        <v>10754</v>
      </c>
      <c r="J56" s="10">
        <f t="shared" si="6"/>
        <v>839595004.60536993</v>
      </c>
      <c r="K56" s="11">
        <f t="shared" si="7"/>
        <v>8.4200000000000941E-3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77420.926345583051</v>
      </c>
      <c r="D57" s="11">
        <v>5.7099999999999998E-3</v>
      </c>
      <c r="E57" s="10">
        <f t="shared" si="2"/>
        <v>439.56358138358337</v>
      </c>
      <c r="F57" s="3"/>
      <c r="G57" s="28"/>
      <c r="H57" s="10"/>
      <c r="I57" s="10">
        <f t="shared" si="8"/>
        <v>10754</v>
      </c>
      <c r="J57" s="10">
        <f t="shared" si="6"/>
        <v>832584641.92040014</v>
      </c>
      <c r="K57" s="11">
        <f t="shared" si="7"/>
        <v>5.7100000000001039E-3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76981.362764199468</v>
      </c>
      <c r="D58" s="11">
        <v>-4.15E-3</v>
      </c>
      <c r="E58" s="10">
        <f t="shared" si="2"/>
        <v>-320.80399203838897</v>
      </c>
      <c r="F58" s="3"/>
      <c r="G58" s="28"/>
      <c r="H58" s="10"/>
      <c r="I58" s="10">
        <f t="shared" si="8"/>
        <v>10754</v>
      </c>
      <c r="J58" s="10">
        <f t="shared" si="6"/>
        <v>827857575.16620111</v>
      </c>
      <c r="K58" s="11">
        <f t="shared" si="7"/>
        <v>-4.149999999999876E-3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77302.166756237857</v>
      </c>
      <c r="D59" s="11">
        <v>-1.9E-3</v>
      </c>
      <c r="E59" s="10">
        <f t="shared" si="2"/>
        <v>-147.15370888373582</v>
      </c>
      <c r="F59" s="3"/>
      <c r="G59" s="28"/>
      <c r="H59" s="10"/>
      <c r="I59" s="10">
        <f t="shared" si="8"/>
        <v>10754</v>
      </c>
      <c r="J59" s="10">
        <f t="shared" si="6"/>
        <v>831307501.29658186</v>
      </c>
      <c r="K59" s="11">
        <f t="shared" si="7"/>
        <v>-1.9000000000001238E-3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77449.320465121593</v>
      </c>
      <c r="D60" s="11">
        <v>1.3799999999999999E-3</v>
      </c>
      <c r="E60" s="10">
        <f t="shared" si="2"/>
        <v>106.73277101786516</v>
      </c>
      <c r="F60" s="3"/>
      <c r="G60" s="28"/>
      <c r="H60" s="10"/>
      <c r="I60" s="10">
        <f t="shared" si="8"/>
        <v>10754</v>
      </c>
      <c r="J60" s="10">
        <f t="shared" si="6"/>
        <v>832889992.28191757</v>
      </c>
      <c r="K60" s="11">
        <f t="shared" si="7"/>
        <v>1.3799999999999368E-3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77342.587694103728</v>
      </c>
      <c r="D61" s="11">
        <v>3.98E-3</v>
      </c>
      <c r="E61" s="10">
        <f t="shared" si="2"/>
        <v>306.60321821404796</v>
      </c>
      <c r="F61" s="3"/>
      <c r="G61" s="28"/>
      <c r="H61" s="10"/>
      <c r="I61" s="10">
        <f t="shared" si="8"/>
        <v>10754</v>
      </c>
      <c r="J61" s="10">
        <f t="shared" si="6"/>
        <v>831742188.06239152</v>
      </c>
      <c r="K61" s="11">
        <f t="shared" si="7"/>
        <v>3.9800000000000946E-3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77035.98447588968</v>
      </c>
      <c r="D62" s="11">
        <v>9.75E-3</v>
      </c>
      <c r="E62" s="10">
        <f t="shared" si="2"/>
        <v>743.84832744731102</v>
      </c>
      <c r="F62" s="3"/>
      <c r="G62" s="28"/>
      <c r="H62" s="10"/>
      <c r="I62" s="10">
        <f t="shared" si="8"/>
        <v>10754</v>
      </c>
      <c r="J62" s="10">
        <f t="shared" si="6"/>
        <v>828444977.05371761</v>
      </c>
      <c r="K62" s="11">
        <f t="shared" si="7"/>
        <v>9.7499999999999254E-3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76292.136148442369</v>
      </c>
      <c r="D63" s="11">
        <v>2.445E-2</v>
      </c>
      <c r="E63" s="10">
        <f t="shared" si="2"/>
        <v>1820.8235920049046</v>
      </c>
      <c r="F63" s="3"/>
      <c r="G63" s="28"/>
      <c r="H63" s="10"/>
      <c r="I63" s="10">
        <f t="shared" si="8"/>
        <v>10754</v>
      </c>
      <c r="J63" s="10">
        <f t="shared" si="6"/>
        <v>820445632.14034927</v>
      </c>
      <c r="K63" s="11">
        <f t="shared" si="7"/>
        <v>2.4450000000000083E-2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74471.312556437464</v>
      </c>
      <c r="D64" s="11">
        <v>2.6169999999999999E-2</v>
      </c>
      <c r="E64" s="10">
        <f t="shared" si="2"/>
        <v>1899.2118748374778</v>
      </c>
      <c r="F64" s="3"/>
      <c r="G64" s="28"/>
      <c r="H64" s="10"/>
      <c r="I64" s="10">
        <f t="shared" si="8"/>
        <v>10754</v>
      </c>
      <c r="J64" s="10">
        <f t="shared" si="6"/>
        <v>800864495.23192847</v>
      </c>
      <c r="K64" s="11">
        <f t="shared" si="7"/>
        <v>2.6170000000000027E-2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72572.100681599986</v>
      </c>
      <c r="D65" s="11">
        <v>2.3099999999999999E-2</v>
      </c>
      <c r="E65" s="10">
        <f t="shared" si="2"/>
        <v>1638.5646815999935</v>
      </c>
      <c r="F65" s="3"/>
      <c r="G65" s="28"/>
      <c r="H65" s="10"/>
      <c r="I65" s="10">
        <f t="shared" si="8"/>
        <v>10754</v>
      </c>
      <c r="J65" s="10">
        <f t="shared" si="6"/>
        <v>780440370.72992623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70933.535999999993</v>
      </c>
      <c r="D66" s="11">
        <v>3.7039999999999997E-2</v>
      </c>
      <c r="E66" s="10">
        <f t="shared" si="2"/>
        <v>2533.5359999999928</v>
      </c>
      <c r="F66" s="24">
        <f>SUM(F2)</f>
        <v>189681</v>
      </c>
      <c r="G66" s="28"/>
      <c r="H66" s="10"/>
      <c r="I66" s="10">
        <f t="shared" si="8"/>
        <v>10754</v>
      </c>
      <c r="J66" s="10">
        <f t="shared" ref="J66:J67" si="9">IF(I66="","",I66*C66)</f>
        <v>762819246.14399993</v>
      </c>
      <c r="K66" s="11">
        <f t="shared" ref="K66" si="10">IFERROR(J66/J67-1,"")</f>
        <v>3.7039999999999962E-2</v>
      </c>
    </row>
    <row r="67" spans="1:11" ht="22.5" customHeight="1">
      <c r="A67" s="3">
        <f t="shared" si="0"/>
        <v>1950</v>
      </c>
      <c r="B67" s="3">
        <v>1700</v>
      </c>
      <c r="C67" s="10">
        <v>68400</v>
      </c>
      <c r="D67" s="11">
        <v>4.4790000000000003E-2</v>
      </c>
      <c r="E67" s="3" t="s">
        <v>72</v>
      </c>
      <c r="F67" s="10">
        <f>SUM(C2)</f>
        <v>189630.93342655883</v>
      </c>
      <c r="G67" s="28"/>
      <c r="H67" s="10"/>
      <c r="I67" s="10">
        <f t="shared" ref="I67" si="11">IF(H67&lt;&gt;"",H67,I66/(1+IF(G66="",0,G66)/100))</f>
        <v>10754</v>
      </c>
      <c r="J67" s="10">
        <f t="shared" si="9"/>
        <v>735573600</v>
      </c>
      <c r="K67" s="11"/>
    </row>
  </sheetData>
  <dataValidations count="1">
    <dataValidation type="custom" allowBlank="1" showDropDown="1" sqref="D2:D67" xr:uid="{00000000-0002-0000-5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220397.80165261147</v>
      </c>
      <c r="D2" s="11">
        <v>-6.7299999999999999E-3</v>
      </c>
      <c r="E2" s="10">
        <f t="shared" ref="E2:E66" si="2">SUM(C2-C3)</f>
        <v>-1493.327297836513</v>
      </c>
      <c r="F2" s="15">
        <v>220218</v>
      </c>
      <c r="G2" s="28"/>
      <c r="H2" s="10"/>
      <c r="I2" s="10">
        <f>IF(H2&lt;&gt;"",H2,3452)</f>
        <v>3452</v>
      </c>
      <c r="J2" s="10">
        <f t="shared" ref="J2:J33" si="3">IF(I2="","",I2*C2)</f>
        <v>760813211.30481482</v>
      </c>
      <c r="K2" s="11">
        <f t="shared" ref="K2:K33" si="4">IFERROR(J2/J3-1,"")</f>
        <v>-6.7300000000000137E-3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221891.12895044798</v>
      </c>
      <c r="D3" s="11">
        <v>-6.0299999999999998E-3</v>
      </c>
      <c r="E3" s="10">
        <f t="shared" si="2"/>
        <v>-1346.1206148789206</v>
      </c>
      <c r="F3" s="3"/>
      <c r="G3" s="28"/>
      <c r="H3" s="10"/>
      <c r="I3" s="10">
        <f t="shared" ref="I3:I34" si="5">IF(H3&lt;&gt;"",H3,I2/(1+IF(G2="",0,G2)/100))</f>
        <v>3452</v>
      </c>
      <c r="J3" s="10">
        <f t="shared" si="3"/>
        <v>765968177.13694644</v>
      </c>
      <c r="K3" s="11">
        <f t="shared" si="4"/>
        <v>-6.0299999999999798E-3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223237.2495653269</v>
      </c>
      <c r="D4" s="11">
        <v>-5.3400000000000001E-3</v>
      </c>
      <c r="E4" s="10">
        <f t="shared" si="2"/>
        <v>-1198.4868323636765</v>
      </c>
      <c r="F4" s="3"/>
      <c r="G4" s="28"/>
      <c r="H4" s="10"/>
      <c r="I4" s="10">
        <f t="shared" si="5"/>
        <v>3452</v>
      </c>
      <c r="J4" s="10">
        <f t="shared" si="3"/>
        <v>770614985.4995085</v>
      </c>
      <c r="K4" s="11">
        <f t="shared" si="4"/>
        <v>-5.3399999999999004E-3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224435.73639769058</v>
      </c>
      <c r="D5" s="11">
        <v>-9.0299999999999998E-3</v>
      </c>
      <c r="E5" s="10">
        <f t="shared" si="2"/>
        <v>-2045.1221527101006</v>
      </c>
      <c r="F5" s="3"/>
      <c r="G5" s="28"/>
      <c r="H5" s="10"/>
      <c r="I5" s="10">
        <f t="shared" si="5"/>
        <v>3452</v>
      </c>
      <c r="J5" s="10">
        <f t="shared" si="3"/>
        <v>774752162.04482782</v>
      </c>
      <c r="K5" s="11">
        <f t="shared" si="4"/>
        <v>-9.0299999999999825E-3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226480.85855040068</v>
      </c>
      <c r="D6" s="11">
        <v>-8.1300000000000001E-3</v>
      </c>
      <c r="E6" s="10">
        <f t="shared" si="2"/>
        <v>-1856.3817637540633</v>
      </c>
      <c r="F6" s="3"/>
      <c r="G6" s="28"/>
      <c r="H6" s="10"/>
      <c r="I6" s="10">
        <f t="shared" si="5"/>
        <v>3452</v>
      </c>
      <c r="J6" s="10">
        <f t="shared" si="3"/>
        <v>781811923.71598315</v>
      </c>
      <c r="K6" s="11">
        <f t="shared" si="4"/>
        <v>-8.1299999999999706E-3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228337.24031415474</v>
      </c>
      <c r="D7" s="11">
        <v>-7.4200000000000004E-3</v>
      </c>
      <c r="E7" s="10">
        <f t="shared" si="2"/>
        <v>-1706.9277268643491</v>
      </c>
      <c r="F7" s="3"/>
      <c r="G7" s="28"/>
      <c r="H7" s="10"/>
      <c r="I7" s="10">
        <f t="shared" si="5"/>
        <v>3452</v>
      </c>
      <c r="J7" s="10">
        <f t="shared" si="3"/>
        <v>788220153.56446218</v>
      </c>
      <c r="K7" s="11">
        <f t="shared" si="4"/>
        <v>-7.4199999999998711E-3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230044.16804101909</v>
      </c>
      <c r="D8" s="11">
        <v>-6.1000000000000004E-3</v>
      </c>
      <c r="E8" s="10">
        <f t="shared" si="2"/>
        <v>-1411.8819046686986</v>
      </c>
      <c r="F8" s="3"/>
      <c r="G8" s="28"/>
      <c r="H8" s="10"/>
      <c r="I8" s="10">
        <f t="shared" si="5"/>
        <v>3452</v>
      </c>
      <c r="J8" s="10">
        <f t="shared" si="3"/>
        <v>794112468.07759786</v>
      </c>
      <c r="K8" s="11">
        <f t="shared" si="4"/>
        <v>-6.0999999999999943E-3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231456.04994568779</v>
      </c>
      <c r="D9" s="11">
        <v>-6.5700000000000003E-3</v>
      </c>
      <c r="E9" s="10">
        <f t="shared" si="2"/>
        <v>-1530.7230989029631</v>
      </c>
      <c r="F9" s="3"/>
      <c r="G9" s="28"/>
      <c r="H9" s="10"/>
      <c r="I9" s="10">
        <f t="shared" si="5"/>
        <v>3452</v>
      </c>
      <c r="J9" s="10">
        <f t="shared" si="3"/>
        <v>798986284.41251421</v>
      </c>
      <c r="K9" s="11">
        <f t="shared" si="4"/>
        <v>-6.5699999999999648E-3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232986.77304459075</v>
      </c>
      <c r="D10" s="11">
        <v>-7.0000000000000001E-3</v>
      </c>
      <c r="E10" s="10">
        <f t="shared" si="2"/>
        <v>-1642.404240999138</v>
      </c>
      <c r="F10" s="3"/>
      <c r="G10" s="28"/>
      <c r="H10" s="10"/>
      <c r="I10" s="10">
        <f t="shared" si="5"/>
        <v>3452</v>
      </c>
      <c r="J10" s="10">
        <f t="shared" si="3"/>
        <v>804270340.54992723</v>
      </c>
      <c r="K10" s="11">
        <f t="shared" si="4"/>
        <v>-7.0000000000000062E-3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234629.17728558989</v>
      </c>
      <c r="D11" s="11">
        <v>-7.0299999999999998E-3</v>
      </c>
      <c r="E11" s="10">
        <f t="shared" si="2"/>
        <v>-1661.1207955101272</v>
      </c>
      <c r="F11" s="3"/>
      <c r="G11" s="28"/>
      <c r="H11" s="10"/>
      <c r="I11" s="10">
        <f t="shared" si="5"/>
        <v>3452</v>
      </c>
      <c r="J11" s="10">
        <f t="shared" si="3"/>
        <v>809939919.98985624</v>
      </c>
      <c r="K11" s="11">
        <f t="shared" si="4"/>
        <v>-7.0300000000000917E-3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236290.29808110002</v>
      </c>
      <c r="D12" s="11">
        <v>-7.2500000000000004E-3</v>
      </c>
      <c r="E12" s="10">
        <f t="shared" si="2"/>
        <v>-1725.6153725388867</v>
      </c>
      <c r="F12" s="3"/>
      <c r="G12" s="28"/>
      <c r="H12" s="10"/>
      <c r="I12" s="10">
        <f t="shared" si="5"/>
        <v>3452</v>
      </c>
      <c r="J12" s="10">
        <f t="shared" si="3"/>
        <v>815674108.97595727</v>
      </c>
      <c r="K12" s="11">
        <f t="shared" si="4"/>
        <v>-7.2499999999999787E-3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238015.9134536389</v>
      </c>
      <c r="D13" s="11">
        <v>-6.8399999999999997E-3</v>
      </c>
      <c r="E13" s="10">
        <f t="shared" si="2"/>
        <v>-1639.2412582291581</v>
      </c>
      <c r="F13" s="3"/>
      <c r="G13" s="28"/>
      <c r="H13" s="10"/>
      <c r="I13" s="10">
        <f t="shared" si="5"/>
        <v>3452</v>
      </c>
      <c r="J13" s="10">
        <f t="shared" si="3"/>
        <v>821630933.24196148</v>
      </c>
      <c r="K13" s="11">
        <f t="shared" si="4"/>
        <v>-6.8399999999999572E-3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239655.15471186806</v>
      </c>
      <c r="D14" s="11">
        <v>-7.3000000000000001E-3</v>
      </c>
      <c r="E14" s="10">
        <f t="shared" si="2"/>
        <v>-1762.3477681037912</v>
      </c>
      <c r="F14" s="3"/>
      <c r="G14" s="28"/>
      <c r="H14" s="10"/>
      <c r="I14" s="10">
        <f t="shared" si="5"/>
        <v>3452</v>
      </c>
      <c r="J14" s="10">
        <f t="shared" si="3"/>
        <v>827289594.06536853</v>
      </c>
      <c r="K14" s="11">
        <f t="shared" si="4"/>
        <v>-7.2999999999999732E-3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241417.50247997185</v>
      </c>
      <c r="D15" s="11">
        <v>-7.3899999999999999E-3</v>
      </c>
      <c r="E15" s="10">
        <f t="shared" si="2"/>
        <v>-1797.3578175990551</v>
      </c>
      <c r="F15" s="3"/>
      <c r="G15" s="28"/>
      <c r="H15" s="10"/>
      <c r="I15" s="10">
        <f t="shared" si="5"/>
        <v>3452</v>
      </c>
      <c r="J15" s="10">
        <f t="shared" si="3"/>
        <v>833373218.56086278</v>
      </c>
      <c r="K15" s="11">
        <f t="shared" si="4"/>
        <v>-7.3900000000001187E-3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243214.86029757091</v>
      </c>
      <c r="D16" s="11">
        <v>-9.4500000000000001E-3</v>
      </c>
      <c r="E16" s="10">
        <f t="shared" si="2"/>
        <v>-2320.307334119454</v>
      </c>
      <c r="F16" s="3"/>
      <c r="G16" s="28"/>
      <c r="H16" s="10"/>
      <c r="I16" s="10">
        <f t="shared" si="5"/>
        <v>3452</v>
      </c>
      <c r="J16" s="10">
        <f t="shared" si="3"/>
        <v>839577697.74721479</v>
      </c>
      <c r="K16" s="11">
        <f t="shared" si="4"/>
        <v>-9.4499999999998474E-3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245535.16763169036</v>
      </c>
      <c r="D17" s="11">
        <v>-8.6499999999999997E-3</v>
      </c>
      <c r="E17" s="10">
        <f t="shared" si="2"/>
        <v>-2142.4110556454689</v>
      </c>
      <c r="F17" s="3"/>
      <c r="G17" s="28"/>
      <c r="H17" s="10"/>
      <c r="I17" s="10">
        <f t="shared" si="5"/>
        <v>3452</v>
      </c>
      <c r="J17" s="10">
        <f t="shared" si="3"/>
        <v>847587398.66459513</v>
      </c>
      <c r="K17" s="11">
        <f t="shared" si="4"/>
        <v>-8.6500000000001576E-3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247677.57868733583</v>
      </c>
      <c r="D18" s="11">
        <v>-8.0199999999999994E-3</v>
      </c>
      <c r="E18" s="10">
        <f t="shared" si="2"/>
        <v>-2002.4336993411707</v>
      </c>
      <c r="F18" s="3"/>
      <c r="G18" s="28"/>
      <c r="H18" s="10"/>
      <c r="I18" s="10">
        <f t="shared" si="5"/>
        <v>3452</v>
      </c>
      <c r="J18" s="10">
        <f t="shared" si="3"/>
        <v>854983001.62868333</v>
      </c>
      <c r="K18" s="11">
        <f t="shared" si="4"/>
        <v>-8.0200000000000271E-3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249680.012386677</v>
      </c>
      <c r="D19" s="11">
        <v>-9.4299999999999991E-3</v>
      </c>
      <c r="E19" s="10">
        <f t="shared" si="2"/>
        <v>-2376.8966522369592</v>
      </c>
      <c r="F19" s="3"/>
      <c r="G19" s="28"/>
      <c r="H19" s="10"/>
      <c r="I19" s="10">
        <f t="shared" si="5"/>
        <v>3452</v>
      </c>
      <c r="J19" s="10">
        <f t="shared" si="3"/>
        <v>861895402.75880897</v>
      </c>
      <c r="K19" s="11">
        <f t="shared" si="4"/>
        <v>-9.4300000000000495E-3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252056.90903891396</v>
      </c>
      <c r="D20" s="11">
        <v>-9.8600000000000007E-3</v>
      </c>
      <c r="E20" s="10">
        <f t="shared" si="2"/>
        <v>-2510.0300191121351</v>
      </c>
      <c r="F20" s="3"/>
      <c r="G20" s="28"/>
      <c r="H20" s="10"/>
      <c r="I20" s="10">
        <f t="shared" si="5"/>
        <v>3452</v>
      </c>
      <c r="J20" s="10">
        <f t="shared" si="3"/>
        <v>870100450.00233102</v>
      </c>
      <c r="K20" s="11">
        <f t="shared" si="4"/>
        <v>-9.8599999999998689E-3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254566.9390580261</v>
      </c>
      <c r="D21" s="11">
        <v>-8.1499999999999993E-3</v>
      </c>
      <c r="E21" s="10">
        <f t="shared" si="2"/>
        <v>-2091.7684663234395</v>
      </c>
      <c r="F21" s="3"/>
      <c r="G21" s="28"/>
      <c r="H21" s="10"/>
      <c r="I21" s="10">
        <f t="shared" si="5"/>
        <v>3452</v>
      </c>
      <c r="J21" s="10">
        <f t="shared" si="3"/>
        <v>878765073.62830603</v>
      </c>
      <c r="K21" s="11">
        <f t="shared" si="4"/>
        <v>-8.1499999999999906E-3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256658.70752434953</v>
      </c>
      <c r="D22" s="11">
        <v>-7.7499999999999999E-3</v>
      </c>
      <c r="E22" s="10">
        <f t="shared" si="2"/>
        <v>-2004.6409506814962</v>
      </c>
      <c r="F22" s="3"/>
      <c r="G22" s="28"/>
      <c r="H22" s="10"/>
      <c r="I22" s="10">
        <f t="shared" si="5"/>
        <v>3452</v>
      </c>
      <c r="J22" s="10">
        <f t="shared" si="3"/>
        <v>885985858.37405455</v>
      </c>
      <c r="K22" s="11">
        <f t="shared" si="4"/>
        <v>-7.7500000000000346E-3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258663.34847503103</v>
      </c>
      <c r="D23" s="11">
        <v>-6.4000000000000003E-3</v>
      </c>
      <c r="E23" s="10">
        <f t="shared" si="2"/>
        <v>-1666.1085247989104</v>
      </c>
      <c r="F23" s="3"/>
      <c r="G23" s="28"/>
      <c r="H23" s="10"/>
      <c r="I23" s="10">
        <f t="shared" si="5"/>
        <v>3452</v>
      </c>
      <c r="J23" s="10">
        <f t="shared" si="3"/>
        <v>892905878.93580711</v>
      </c>
      <c r="K23" s="11">
        <f t="shared" si="4"/>
        <v>-6.3999999999999613E-3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260329.45699982994</v>
      </c>
      <c r="D24" s="11">
        <v>-5.3499999999999997E-3</v>
      </c>
      <c r="E24" s="10">
        <f t="shared" si="2"/>
        <v>-1400.2539536008553</v>
      </c>
      <c r="F24" s="3"/>
      <c r="G24" s="28"/>
      <c r="H24" s="10"/>
      <c r="I24" s="10">
        <f t="shared" si="5"/>
        <v>3452</v>
      </c>
      <c r="J24" s="10">
        <f t="shared" si="3"/>
        <v>898657285.5634129</v>
      </c>
      <c r="K24" s="11">
        <f t="shared" si="4"/>
        <v>-5.3500000000000769E-3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261729.7109534308</v>
      </c>
      <c r="D25" s="11">
        <v>-1.6330000000000001E-2</v>
      </c>
      <c r="E25" s="10">
        <f t="shared" si="2"/>
        <v>-4345.0000303653651</v>
      </c>
      <c r="F25" s="3"/>
      <c r="G25" s="28"/>
      <c r="H25" s="10"/>
      <c r="I25" s="10">
        <f t="shared" si="5"/>
        <v>3452</v>
      </c>
      <c r="J25" s="10">
        <f t="shared" si="3"/>
        <v>903490962.21124315</v>
      </c>
      <c r="K25" s="11">
        <f t="shared" si="4"/>
        <v>-1.6329999999999845E-2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266074.71098379616</v>
      </c>
      <c r="D26" s="11">
        <v>-1.536E-2</v>
      </c>
      <c r="E26" s="10">
        <f t="shared" si="2"/>
        <v>-4150.6617248040857</v>
      </c>
      <c r="F26" s="3"/>
      <c r="G26" s="28"/>
      <c r="H26" s="10"/>
      <c r="I26" s="10">
        <f t="shared" si="5"/>
        <v>3452</v>
      </c>
      <c r="J26" s="10">
        <f t="shared" si="3"/>
        <v>918489902.31606436</v>
      </c>
      <c r="K26" s="11">
        <f t="shared" si="4"/>
        <v>-1.5359999999999929E-2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270225.37270860025</v>
      </c>
      <c r="D27" s="11">
        <v>-1.355E-2</v>
      </c>
      <c r="E27" s="10">
        <f t="shared" si="2"/>
        <v>-3711.849359016167</v>
      </c>
      <c r="F27" s="3"/>
      <c r="G27" s="28"/>
      <c r="H27" s="10"/>
      <c r="I27" s="10">
        <f t="shared" si="5"/>
        <v>3452</v>
      </c>
      <c r="J27" s="10">
        <f t="shared" si="3"/>
        <v>932817986.59008801</v>
      </c>
      <c r="K27" s="11">
        <f t="shared" si="4"/>
        <v>-1.3549999999999951E-2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273937.22206761641</v>
      </c>
      <c r="D28" s="11">
        <v>-1.214E-2</v>
      </c>
      <c r="E28" s="10">
        <f t="shared" si="2"/>
        <v>-3366.466782642121</v>
      </c>
      <c r="F28" s="3"/>
      <c r="G28" s="28"/>
      <c r="H28" s="10"/>
      <c r="I28" s="10">
        <f t="shared" si="5"/>
        <v>3452</v>
      </c>
      <c r="J28" s="10">
        <f t="shared" si="3"/>
        <v>945631290.57741189</v>
      </c>
      <c r="K28" s="11">
        <f t="shared" si="4"/>
        <v>-1.2139999999999929E-2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277303.68885025854</v>
      </c>
      <c r="D29" s="11">
        <v>1.09E-3</v>
      </c>
      <c r="E29" s="10">
        <f t="shared" si="2"/>
        <v>301.93191505939467</v>
      </c>
      <c r="F29" s="3"/>
      <c r="G29" s="28"/>
      <c r="H29" s="10"/>
      <c r="I29" s="10">
        <f t="shared" si="5"/>
        <v>3452</v>
      </c>
      <c r="J29" s="10">
        <f t="shared" si="3"/>
        <v>957252333.91109252</v>
      </c>
      <c r="K29" s="11">
        <f t="shared" si="4"/>
        <v>1.0900000000002574E-3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277001.75693519914</v>
      </c>
      <c r="D30" s="11">
        <v>1.0200000000000001E-3</v>
      </c>
      <c r="E30" s="10">
        <f t="shared" si="2"/>
        <v>282.25389310292667</v>
      </c>
      <c r="F30" s="3"/>
      <c r="G30" s="28"/>
      <c r="H30" s="10"/>
      <c r="I30" s="10">
        <f t="shared" si="5"/>
        <v>3452</v>
      </c>
      <c r="J30" s="10">
        <f t="shared" si="3"/>
        <v>956210064.94030738</v>
      </c>
      <c r="K30" s="11">
        <f t="shared" si="4"/>
        <v>1.0199999999997988E-3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276719.50304209621</v>
      </c>
      <c r="D31" s="11">
        <v>1.82E-3</v>
      </c>
      <c r="E31" s="10">
        <f t="shared" si="2"/>
        <v>502.71455504640471</v>
      </c>
      <c r="F31" s="3"/>
      <c r="G31" s="28"/>
      <c r="H31" s="10"/>
      <c r="I31" s="10">
        <f t="shared" si="5"/>
        <v>3452</v>
      </c>
      <c r="J31" s="10">
        <f t="shared" si="3"/>
        <v>955235724.50131619</v>
      </c>
      <c r="K31" s="11">
        <f t="shared" si="4"/>
        <v>1.8199999999999328E-3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276216.78848704981</v>
      </c>
      <c r="D32" s="11">
        <v>-7.9000000000000001E-4</v>
      </c>
      <c r="E32" s="10">
        <f t="shared" si="2"/>
        <v>-218.38378609577194</v>
      </c>
      <c r="F32" s="3"/>
      <c r="G32" s="28"/>
      <c r="H32" s="10"/>
      <c r="I32" s="10">
        <f t="shared" si="5"/>
        <v>3452</v>
      </c>
      <c r="J32" s="10">
        <f t="shared" si="3"/>
        <v>953500353.85729599</v>
      </c>
      <c r="K32" s="11">
        <f t="shared" si="4"/>
        <v>-7.899999999999574E-4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276435.17227314558</v>
      </c>
      <c r="D33" s="11">
        <v>2.1800000000000001E-3</v>
      </c>
      <c r="E33" s="10">
        <f t="shared" si="2"/>
        <v>601.31780274549965</v>
      </c>
      <c r="F33" s="3"/>
      <c r="G33" s="28"/>
      <c r="H33" s="10"/>
      <c r="I33" s="10">
        <f t="shared" si="5"/>
        <v>3452</v>
      </c>
      <c r="J33" s="10">
        <f t="shared" si="3"/>
        <v>954254214.68689859</v>
      </c>
      <c r="K33" s="11">
        <f t="shared" si="4"/>
        <v>2.1800000000002928E-3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275833.85447040008</v>
      </c>
      <c r="D34" s="11">
        <v>2.1299999999999999E-3</v>
      </c>
      <c r="E34" s="10">
        <f t="shared" si="2"/>
        <v>586.27733928925591</v>
      </c>
      <c r="F34" s="3"/>
      <c r="G34" s="28"/>
      <c r="H34" s="10"/>
      <c r="I34" s="10">
        <f t="shared" si="5"/>
        <v>3452</v>
      </c>
      <c r="J34" s="10">
        <f t="shared" ref="J34:J65" si="6">IF(I34="","",I34*C34)</f>
        <v>952178465.63182104</v>
      </c>
      <c r="K34" s="11">
        <f t="shared" ref="K34:K65" si="7">IFERROR(J34/J35-1,"")</f>
        <v>2.1299999999999653E-3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275247.57713111083</v>
      </c>
      <c r="D35" s="11">
        <v>2.49E-3</v>
      </c>
      <c r="E35" s="10">
        <f t="shared" si="2"/>
        <v>683.66414333955618</v>
      </c>
      <c r="F35" s="3"/>
      <c r="G35" s="28"/>
      <c r="H35" s="10"/>
      <c r="I35" s="10">
        <f t="shared" ref="I35:I66" si="8">IF(H35&lt;&gt;"",H35,I34/(1+IF(G34="",0,G34)/100))</f>
        <v>3452</v>
      </c>
      <c r="J35" s="10">
        <f t="shared" si="6"/>
        <v>950154636.25659454</v>
      </c>
      <c r="K35" s="11">
        <f t="shared" si="7"/>
        <v>2.4899999999998812E-3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274563.91298777127</v>
      </c>
      <c r="D36" s="11">
        <v>3.1199999999999999E-3</v>
      </c>
      <c r="E36" s="10">
        <f t="shared" si="2"/>
        <v>853.97500650153961</v>
      </c>
      <c r="F36" s="3"/>
      <c r="G36" s="28"/>
      <c r="H36" s="10"/>
      <c r="I36" s="10">
        <f t="shared" si="8"/>
        <v>3452</v>
      </c>
      <c r="J36" s="10">
        <f t="shared" si="6"/>
        <v>947794627.63378644</v>
      </c>
      <c r="K36" s="11">
        <f t="shared" si="7"/>
        <v>3.1200000000000117E-3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273709.93798126973</v>
      </c>
      <c r="D37" s="11">
        <v>3.2599999999999999E-3</v>
      </c>
      <c r="E37" s="10">
        <f t="shared" si="2"/>
        <v>889.39497021603165</v>
      </c>
      <c r="F37" s="3"/>
      <c r="G37" s="28"/>
      <c r="H37" s="10"/>
      <c r="I37" s="10">
        <f t="shared" si="8"/>
        <v>3452</v>
      </c>
      <c r="J37" s="10">
        <f t="shared" si="6"/>
        <v>944846705.9113431</v>
      </c>
      <c r="K37" s="11">
        <f t="shared" si="7"/>
        <v>3.2600000000000406E-3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272820.5430110537</v>
      </c>
      <c r="D38" s="11">
        <v>4.5599999999999998E-3</v>
      </c>
      <c r="E38" s="10">
        <f t="shared" si="2"/>
        <v>1238.4145059831208</v>
      </c>
      <c r="F38" s="3"/>
      <c r="G38" s="28"/>
      <c r="H38" s="10"/>
      <c r="I38" s="10">
        <f t="shared" si="8"/>
        <v>3452</v>
      </c>
      <c r="J38" s="10">
        <f t="shared" si="6"/>
        <v>941776514.47415733</v>
      </c>
      <c r="K38" s="11">
        <f t="shared" si="7"/>
        <v>4.5599999999998975E-3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271582.12850507058</v>
      </c>
      <c r="D39" s="11">
        <v>-2.0100000000000001E-3</v>
      </c>
      <c r="E39" s="10">
        <f t="shared" si="2"/>
        <v>-546.97950710443547</v>
      </c>
      <c r="F39" s="3"/>
      <c r="G39" s="28"/>
      <c r="H39" s="10"/>
      <c r="I39" s="10">
        <f t="shared" si="8"/>
        <v>3452</v>
      </c>
      <c r="J39" s="10">
        <f t="shared" si="6"/>
        <v>937501507.59950364</v>
      </c>
      <c r="K39" s="11">
        <f t="shared" si="7"/>
        <v>-2.0099999999998452E-3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272129.10801217501</v>
      </c>
      <c r="D40" s="11">
        <v>4.0800000000000003E-3</v>
      </c>
      <c r="E40" s="10">
        <f t="shared" si="2"/>
        <v>1105.7751978823217</v>
      </c>
      <c r="F40" s="3"/>
      <c r="G40" s="28"/>
      <c r="H40" s="10"/>
      <c r="I40" s="10">
        <f t="shared" si="8"/>
        <v>3452</v>
      </c>
      <c r="J40" s="10">
        <f t="shared" si="6"/>
        <v>939389680.85802817</v>
      </c>
      <c r="K40" s="11">
        <f t="shared" si="7"/>
        <v>4.0800000000000836E-3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271023.33281429269</v>
      </c>
      <c r="D41" s="11">
        <v>6.2399999999999999E-3</v>
      </c>
      <c r="E41" s="10">
        <f t="shared" si="2"/>
        <v>1680.6980409854441</v>
      </c>
      <c r="F41" s="3"/>
      <c r="G41" s="28"/>
      <c r="H41" s="10"/>
      <c r="I41" s="10">
        <f t="shared" si="8"/>
        <v>3452</v>
      </c>
      <c r="J41" s="10">
        <f t="shared" si="6"/>
        <v>935572544.87493837</v>
      </c>
      <c r="K41" s="11">
        <f t="shared" si="7"/>
        <v>6.2400000000000233E-3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269342.63477330725</v>
      </c>
      <c r="D42" s="11">
        <v>2.0600000000000002E-3</v>
      </c>
      <c r="E42" s="10">
        <f t="shared" si="2"/>
        <v>553.7051949314191</v>
      </c>
      <c r="F42" s="3"/>
      <c r="G42" s="28"/>
      <c r="H42" s="10"/>
      <c r="I42" s="10">
        <f t="shared" si="8"/>
        <v>3452</v>
      </c>
      <c r="J42" s="10">
        <f t="shared" si="6"/>
        <v>929770775.23745656</v>
      </c>
      <c r="K42" s="11">
        <f t="shared" si="7"/>
        <v>2.0599999999997287E-3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268788.92957837583</v>
      </c>
      <c r="D43" s="11">
        <v>7.2399999999999999E-3</v>
      </c>
      <c r="E43" s="10">
        <f t="shared" si="2"/>
        <v>1932.0438526542275</v>
      </c>
      <c r="F43" s="3"/>
      <c r="G43" s="28"/>
      <c r="H43" s="10"/>
      <c r="I43" s="10">
        <f t="shared" si="8"/>
        <v>3452</v>
      </c>
      <c r="J43" s="10">
        <f t="shared" si="6"/>
        <v>927859384.90455341</v>
      </c>
      <c r="K43" s="11">
        <f t="shared" si="7"/>
        <v>7.2400000000001352E-3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266856.8857257216</v>
      </c>
      <c r="D44" s="11">
        <v>6.1500000000000001E-3</v>
      </c>
      <c r="E44" s="10">
        <f t="shared" si="2"/>
        <v>1631.1383463829407</v>
      </c>
      <c r="F44" s="3"/>
      <c r="G44" s="28"/>
      <c r="H44" s="10"/>
      <c r="I44" s="10">
        <f t="shared" si="8"/>
        <v>3452</v>
      </c>
      <c r="J44" s="10">
        <f t="shared" si="6"/>
        <v>921189969.52519095</v>
      </c>
      <c r="K44" s="11">
        <f t="shared" si="7"/>
        <v>6.1500000000000998E-3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265225.74737933866</v>
      </c>
      <c r="D45" s="11">
        <v>4.28E-3</v>
      </c>
      <c r="E45" s="10">
        <f t="shared" si="2"/>
        <v>1130.3283932604245</v>
      </c>
      <c r="F45" s="3"/>
      <c r="G45" s="28"/>
      <c r="H45" s="10"/>
      <c r="I45" s="10">
        <f t="shared" si="8"/>
        <v>3452</v>
      </c>
      <c r="J45" s="10">
        <f t="shared" si="6"/>
        <v>915559279.95347703</v>
      </c>
      <c r="K45" s="11">
        <f t="shared" si="7"/>
        <v>4.2800000000000615E-3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264095.41898607824</v>
      </c>
      <c r="D46" s="11">
        <v>5.3099999999999996E-3</v>
      </c>
      <c r="E46" s="10">
        <f t="shared" si="2"/>
        <v>1394.9395458276849</v>
      </c>
      <c r="F46" s="3"/>
      <c r="G46" s="28"/>
      <c r="H46" s="10"/>
      <c r="I46" s="10">
        <f t="shared" si="8"/>
        <v>3452</v>
      </c>
      <c r="J46" s="10">
        <f t="shared" si="6"/>
        <v>911657386.3399421</v>
      </c>
      <c r="K46" s="11">
        <f t="shared" si="7"/>
        <v>5.3099999999999259E-3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262700.47944025055</v>
      </c>
      <c r="D47" s="11">
        <v>5.9800000000000001E-3</v>
      </c>
      <c r="E47" s="10">
        <f t="shared" si="2"/>
        <v>1561.6104366416112</v>
      </c>
      <c r="F47" s="3"/>
      <c r="G47" s="28"/>
      <c r="H47" s="10"/>
      <c r="I47" s="10">
        <f t="shared" si="8"/>
        <v>3452</v>
      </c>
      <c r="J47" s="10">
        <f t="shared" si="6"/>
        <v>906842055.02774489</v>
      </c>
      <c r="K47" s="11">
        <f t="shared" si="7"/>
        <v>5.9800000000000963E-3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261138.86900360894</v>
      </c>
      <c r="D48" s="11">
        <v>7.1500000000000001E-3</v>
      </c>
      <c r="E48" s="10">
        <f t="shared" si="2"/>
        <v>1853.8876169148716</v>
      </c>
      <c r="F48" s="3"/>
      <c r="G48" s="28"/>
      <c r="H48" s="10"/>
      <c r="I48" s="10">
        <f t="shared" si="8"/>
        <v>3452</v>
      </c>
      <c r="J48" s="10">
        <f t="shared" si="6"/>
        <v>901451375.80045807</v>
      </c>
      <c r="K48" s="11">
        <f t="shared" si="7"/>
        <v>7.1499999999999897E-3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259284.98138669407</v>
      </c>
      <c r="D49" s="11">
        <v>8.2400000000000008E-3</v>
      </c>
      <c r="E49" s="10">
        <f t="shared" si="2"/>
        <v>2119.0472968999238</v>
      </c>
      <c r="F49" s="3"/>
      <c r="G49" s="28"/>
      <c r="H49" s="10"/>
      <c r="I49" s="10">
        <f t="shared" si="8"/>
        <v>3452</v>
      </c>
      <c r="J49" s="10">
        <f t="shared" si="6"/>
        <v>895051755.7468679</v>
      </c>
      <c r="K49" s="11">
        <f t="shared" si="7"/>
        <v>8.2400000000000251E-3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257165.93408979414</v>
      </c>
      <c r="D50" s="11">
        <v>6.0200000000000002E-3</v>
      </c>
      <c r="E50" s="10">
        <f t="shared" si="2"/>
        <v>1538.8748963445541</v>
      </c>
      <c r="F50" s="3"/>
      <c r="G50" s="28"/>
      <c r="H50" s="10"/>
      <c r="I50" s="10">
        <f t="shared" si="8"/>
        <v>3452</v>
      </c>
      <c r="J50" s="10">
        <f t="shared" si="6"/>
        <v>887736804.47796941</v>
      </c>
      <c r="K50" s="11">
        <f t="shared" si="7"/>
        <v>6.0199999999999143E-3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255627.05919344959</v>
      </c>
      <c r="D51" s="11">
        <v>6.62E-3</v>
      </c>
      <c r="E51" s="10">
        <f t="shared" si="2"/>
        <v>1681.1221035352501</v>
      </c>
      <c r="F51" s="3"/>
      <c r="G51" s="28"/>
      <c r="H51" s="10"/>
      <c r="I51" s="10">
        <f t="shared" si="8"/>
        <v>3452</v>
      </c>
      <c r="J51" s="10">
        <f t="shared" si="6"/>
        <v>882424608.33578801</v>
      </c>
      <c r="K51" s="11">
        <f t="shared" si="7"/>
        <v>6.6200000000000703E-3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253945.93708991434</v>
      </c>
      <c r="D52" s="11">
        <v>7.0800000000000004E-3</v>
      </c>
      <c r="E52" s="10">
        <f t="shared" si="2"/>
        <v>1785.2973295036936</v>
      </c>
      <c r="F52" s="3"/>
      <c r="G52" s="28"/>
      <c r="H52" s="10"/>
      <c r="I52" s="10">
        <f t="shared" si="8"/>
        <v>3452</v>
      </c>
      <c r="J52" s="10">
        <f t="shared" si="6"/>
        <v>876621374.83438432</v>
      </c>
      <c r="K52" s="11">
        <f t="shared" si="7"/>
        <v>7.0799999999999752E-3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252160.63976041065</v>
      </c>
      <c r="D53" s="11">
        <v>8.1799999999999998E-3</v>
      </c>
      <c r="E53" s="10">
        <f t="shared" si="2"/>
        <v>2045.9382582873804</v>
      </c>
      <c r="F53" s="3"/>
      <c r="G53" s="28"/>
      <c r="H53" s="10"/>
      <c r="I53" s="10">
        <f t="shared" si="8"/>
        <v>3452</v>
      </c>
      <c r="J53" s="10">
        <f t="shared" si="6"/>
        <v>870458528.4529376</v>
      </c>
      <c r="K53" s="11">
        <f t="shared" si="7"/>
        <v>8.1800000000000761E-3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250114.70150212327</v>
      </c>
      <c r="D54" s="11">
        <v>8.1899999999999994E-3</v>
      </c>
      <c r="E54" s="10">
        <f t="shared" si="2"/>
        <v>2031.7989717239398</v>
      </c>
      <c r="F54" s="3"/>
      <c r="G54" s="28"/>
      <c r="H54" s="10"/>
      <c r="I54" s="10">
        <f t="shared" si="8"/>
        <v>3452</v>
      </c>
      <c r="J54" s="10">
        <f t="shared" si="6"/>
        <v>863395949.58532953</v>
      </c>
      <c r="K54" s="11">
        <f t="shared" si="7"/>
        <v>8.1899999999999196E-3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248082.90253039933</v>
      </c>
      <c r="D55" s="11">
        <v>8.0800000000000004E-3</v>
      </c>
      <c r="E55" s="10">
        <f t="shared" si="2"/>
        <v>1988.4432311380515</v>
      </c>
      <c r="F55" s="3"/>
      <c r="G55" s="28"/>
      <c r="H55" s="10"/>
      <c r="I55" s="10">
        <f t="shared" si="8"/>
        <v>3452</v>
      </c>
      <c r="J55" s="10">
        <f t="shared" si="6"/>
        <v>856382179.53493845</v>
      </c>
      <c r="K55" s="11">
        <f t="shared" si="7"/>
        <v>8.0800000000000871E-3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246094.45929926127</v>
      </c>
      <c r="D56" s="11">
        <v>9.4999999999999998E-3</v>
      </c>
      <c r="E56" s="10">
        <f t="shared" si="2"/>
        <v>2315.896348036651</v>
      </c>
      <c r="F56" s="3"/>
      <c r="G56" s="28"/>
      <c r="H56" s="10"/>
      <c r="I56" s="10">
        <f t="shared" si="8"/>
        <v>3452</v>
      </c>
      <c r="J56" s="10">
        <f t="shared" si="6"/>
        <v>849518073.50104988</v>
      </c>
      <c r="K56" s="11">
        <f t="shared" si="7"/>
        <v>9.5000000000000639E-3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243778.56295122462</v>
      </c>
      <c r="D57" s="11">
        <v>9.5899999999999996E-3</v>
      </c>
      <c r="E57" s="10">
        <f t="shared" si="2"/>
        <v>2315.6295314952149</v>
      </c>
      <c r="F57" s="3"/>
      <c r="G57" s="28"/>
      <c r="H57" s="10"/>
      <c r="I57" s="10">
        <f t="shared" si="8"/>
        <v>3452</v>
      </c>
      <c r="J57" s="10">
        <f t="shared" si="6"/>
        <v>841523599.30762744</v>
      </c>
      <c r="K57" s="11">
        <f t="shared" si="7"/>
        <v>9.5900000000002095E-3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241462.93341972941</v>
      </c>
      <c r="D58" s="11">
        <v>7.9699999999999997E-3</v>
      </c>
      <c r="E58" s="10">
        <f t="shared" si="2"/>
        <v>1909.2429133359692</v>
      </c>
      <c r="F58" s="3"/>
      <c r="G58" s="28"/>
      <c r="H58" s="10"/>
      <c r="I58" s="10">
        <f t="shared" si="8"/>
        <v>3452</v>
      </c>
      <c r="J58" s="10">
        <f t="shared" si="6"/>
        <v>833530046.16490591</v>
      </c>
      <c r="K58" s="11">
        <f t="shared" si="7"/>
        <v>7.9700000000000326E-3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239553.69050639344</v>
      </c>
      <c r="D59" s="11">
        <v>9.8899999999999995E-3</v>
      </c>
      <c r="E59" s="10">
        <f t="shared" si="2"/>
        <v>2345.9842152197089</v>
      </c>
      <c r="F59" s="3"/>
      <c r="G59" s="28"/>
      <c r="H59" s="10"/>
      <c r="I59" s="10">
        <f t="shared" si="8"/>
        <v>3452</v>
      </c>
      <c r="J59" s="10">
        <f t="shared" si="6"/>
        <v>826939339.62807012</v>
      </c>
      <c r="K59" s="11">
        <f t="shared" si="7"/>
        <v>9.8899999999999544E-3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237207.70629117373</v>
      </c>
      <c r="D60" s="11">
        <v>9.7099999999999999E-3</v>
      </c>
      <c r="E60" s="10">
        <f t="shared" si="2"/>
        <v>2281.1369879344711</v>
      </c>
      <c r="F60" s="3"/>
      <c r="G60" s="28"/>
      <c r="H60" s="10"/>
      <c r="I60" s="10">
        <f t="shared" si="8"/>
        <v>3452</v>
      </c>
      <c r="J60" s="10">
        <f t="shared" si="6"/>
        <v>818841002.11713171</v>
      </c>
      <c r="K60" s="11">
        <f t="shared" si="7"/>
        <v>9.7099999999998854E-3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234926.56930323926</v>
      </c>
      <c r="D61" s="11">
        <v>6.6499999999999997E-3</v>
      </c>
      <c r="E61" s="10">
        <f t="shared" si="2"/>
        <v>1551.9412763786386</v>
      </c>
      <c r="F61" s="3"/>
      <c r="G61" s="28"/>
      <c r="H61" s="10"/>
      <c r="I61" s="10">
        <f t="shared" si="8"/>
        <v>3452</v>
      </c>
      <c r="J61" s="10">
        <f t="shared" si="6"/>
        <v>810966517.23478198</v>
      </c>
      <c r="K61" s="11">
        <f t="shared" si="7"/>
        <v>6.6500000000002668E-3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233374.62802686062</v>
      </c>
      <c r="D62" s="11">
        <v>7.5100000000000002E-3</v>
      </c>
      <c r="E62" s="10">
        <f t="shared" si="2"/>
        <v>1739.5792165652965</v>
      </c>
      <c r="F62" s="3"/>
      <c r="G62" s="28"/>
      <c r="H62" s="10"/>
      <c r="I62" s="10">
        <f t="shared" si="8"/>
        <v>3452</v>
      </c>
      <c r="J62" s="10">
        <f t="shared" si="6"/>
        <v>805609215.94872284</v>
      </c>
      <c r="K62" s="11">
        <f t="shared" si="7"/>
        <v>7.5099999999999056E-3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231635.04881029532</v>
      </c>
      <c r="D63" s="11">
        <v>7.79E-3</v>
      </c>
      <c r="E63" s="10">
        <f t="shared" si="2"/>
        <v>1790.4891199874983</v>
      </c>
      <c r="F63" s="3"/>
      <c r="G63" s="28"/>
      <c r="H63" s="10"/>
      <c r="I63" s="10">
        <f t="shared" si="8"/>
        <v>3452</v>
      </c>
      <c r="J63" s="10">
        <f t="shared" si="6"/>
        <v>799604188.49313951</v>
      </c>
      <c r="K63" s="11">
        <f t="shared" si="7"/>
        <v>7.7899999999999636E-3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229844.55969030783</v>
      </c>
      <c r="D64" s="11">
        <v>8.4200000000000004E-3</v>
      </c>
      <c r="E64" s="10">
        <f t="shared" si="2"/>
        <v>1919.1321003078192</v>
      </c>
      <c r="F64" s="3"/>
      <c r="G64" s="28"/>
      <c r="H64" s="10"/>
      <c r="I64" s="10">
        <f t="shared" si="8"/>
        <v>3452</v>
      </c>
      <c r="J64" s="10">
        <f t="shared" si="6"/>
        <v>793423420.05094266</v>
      </c>
      <c r="K64" s="11">
        <f t="shared" si="7"/>
        <v>8.4200000000000941E-3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227925.42759000001</v>
      </c>
      <c r="D65" s="11">
        <v>6.1799999999999997E-3</v>
      </c>
      <c r="E65" s="10">
        <f t="shared" si="2"/>
        <v>1399.9275900000066</v>
      </c>
      <c r="F65" s="3"/>
      <c r="G65" s="28"/>
      <c r="H65" s="10"/>
      <c r="I65" s="10">
        <f t="shared" si="8"/>
        <v>3452</v>
      </c>
      <c r="J65" s="10">
        <f t="shared" si="6"/>
        <v>786798576.04068005</v>
      </c>
      <c r="K65" s="11">
        <f t="shared" si="7"/>
        <v>6.1800000000000743E-3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226525.5</v>
      </c>
      <c r="D66" s="11">
        <v>6.7799999999999996E-3</v>
      </c>
      <c r="E66" s="10">
        <f t="shared" si="2"/>
        <v>1525.5</v>
      </c>
      <c r="F66" s="24">
        <f>SUM(F2)</f>
        <v>220218</v>
      </c>
      <c r="G66" s="28"/>
      <c r="H66" s="10"/>
      <c r="I66" s="10">
        <f t="shared" si="8"/>
        <v>3452</v>
      </c>
      <c r="J66" s="10">
        <f t="shared" ref="J66:J67" si="9">IF(I66="","",I66*C66)</f>
        <v>781966026</v>
      </c>
      <c r="K66" s="11">
        <f t="shared" ref="K66" si="10">IFERROR(J66/J67-1,"")</f>
        <v>6.7800000000000082E-3</v>
      </c>
    </row>
    <row r="67" spans="1:11" ht="22.5" customHeight="1">
      <c r="A67" s="3">
        <f t="shared" si="0"/>
        <v>1950</v>
      </c>
      <c r="B67" s="3">
        <v>1700</v>
      </c>
      <c r="C67" s="10">
        <v>225000</v>
      </c>
      <c r="D67" s="11">
        <v>1.1350000000000001E-2</v>
      </c>
      <c r="E67" s="3" t="s">
        <v>72</v>
      </c>
      <c r="F67" s="10">
        <f>SUM(C2)</f>
        <v>220397.80165261147</v>
      </c>
      <c r="G67" s="28"/>
      <c r="H67" s="10"/>
      <c r="I67" s="10">
        <f t="shared" ref="I67" si="11">IF(H67&lt;&gt;"",H67,I66/(1+IF(G66="",0,G66)/100))</f>
        <v>3452</v>
      </c>
      <c r="J67" s="10">
        <f t="shared" si="9"/>
        <v>776700000</v>
      </c>
      <c r="K67" s="11"/>
    </row>
  </sheetData>
  <dataValidations count="1">
    <dataValidation type="custom" allowBlank="1" showDropDown="1" sqref="D2:D67" xr:uid="{00000000-0002-0000-5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10967541.219928285</v>
      </c>
      <c r="D2" s="11">
        <v>1.7479999999999999E-2</v>
      </c>
      <c r="E2" s="10">
        <f t="shared" ref="E2:E66" si="2">SUM(C2-C3)</f>
        <v>188419.05543533526</v>
      </c>
      <c r="F2" s="15">
        <v>10967500</v>
      </c>
      <c r="G2" s="28"/>
      <c r="H2" s="10"/>
      <c r="I2" s="10">
        <f>IF(H2&lt;&gt;"",H2,10516)</f>
        <v>10516</v>
      </c>
      <c r="J2" s="10">
        <f t="shared" ref="J2:J33" si="3">IF(I2="","",I2*C2)</f>
        <v>115334663468.76584</v>
      </c>
      <c r="K2" s="11">
        <f t="shared" ref="K2:K33" si="4">IFERROR(J2/J3-1,"")</f>
        <v>1.7479999999999718E-2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10779122.16449295</v>
      </c>
      <c r="D3" s="11">
        <v>1.7180000000000001E-2</v>
      </c>
      <c r="E3" s="10">
        <f t="shared" si="2"/>
        <v>182057.56973789074</v>
      </c>
      <c r="F3" s="3"/>
      <c r="G3" s="28"/>
      <c r="H3" s="10"/>
      <c r="I3" s="10">
        <f t="shared" ref="I3:I34" si="5">IF(H3&lt;&gt;"",H3,I2/(1+IF(G2="",0,G2)/100))</f>
        <v>10516</v>
      </c>
      <c r="J3" s="10">
        <f t="shared" si="3"/>
        <v>113353248681.80786</v>
      </c>
      <c r="K3" s="11">
        <f t="shared" si="4"/>
        <v>1.7179999999999973E-2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10597064.594755059</v>
      </c>
      <c r="D4" s="11">
        <v>1.711E-2</v>
      </c>
      <c r="E4" s="10">
        <f t="shared" si="2"/>
        <v>178265.6499456875</v>
      </c>
      <c r="F4" s="3"/>
      <c r="G4" s="28"/>
      <c r="H4" s="10"/>
      <c r="I4" s="10">
        <f t="shared" si="5"/>
        <v>10516</v>
      </c>
      <c r="J4" s="10">
        <f t="shared" si="3"/>
        <v>111438731278.4442</v>
      </c>
      <c r="K4" s="11">
        <f t="shared" si="4"/>
        <v>1.7109999999999959E-2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10418798.944809372</v>
      </c>
      <c r="D5" s="11">
        <v>1.7080000000000001E-2</v>
      </c>
      <c r="E5" s="10">
        <f t="shared" si="2"/>
        <v>174964.68908772618</v>
      </c>
      <c r="F5" s="3"/>
      <c r="G5" s="28"/>
      <c r="H5" s="10"/>
      <c r="I5" s="10">
        <f t="shared" si="5"/>
        <v>10516</v>
      </c>
      <c r="J5" s="10">
        <f t="shared" si="3"/>
        <v>109564089703.61536</v>
      </c>
      <c r="K5" s="11">
        <f t="shared" si="4"/>
        <v>1.7079999999999984E-2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10243834.255721645</v>
      </c>
      <c r="D6" s="11">
        <v>1.6979999999999999E-2</v>
      </c>
      <c r="E6" s="10">
        <f t="shared" si="2"/>
        <v>171036.11247237213</v>
      </c>
      <c r="F6" s="3"/>
      <c r="G6" s="28"/>
      <c r="H6" s="10"/>
      <c r="I6" s="10">
        <f t="shared" si="5"/>
        <v>10516</v>
      </c>
      <c r="J6" s="10">
        <f t="shared" si="3"/>
        <v>107724161033.16882</v>
      </c>
      <c r="K6" s="11">
        <f t="shared" si="4"/>
        <v>1.6979999999999995E-2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10072798.143249273</v>
      </c>
      <c r="D7" s="11">
        <v>1.806E-2</v>
      </c>
      <c r="E7" s="10">
        <f t="shared" si="2"/>
        <v>178687.63576516323</v>
      </c>
      <c r="F7" s="3"/>
      <c r="G7" s="28"/>
      <c r="H7" s="10"/>
      <c r="I7" s="10">
        <f t="shared" si="5"/>
        <v>10516</v>
      </c>
      <c r="J7" s="10">
        <f t="shared" si="3"/>
        <v>105925545274.40936</v>
      </c>
      <c r="K7" s="11">
        <f t="shared" si="4"/>
        <v>1.8060000000000187E-2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9894110.5074841101</v>
      </c>
      <c r="D8" s="11">
        <v>1.9359999999999999E-2</v>
      </c>
      <c r="E8" s="10">
        <f t="shared" si="2"/>
        <v>187912.00304592401</v>
      </c>
      <c r="F8" s="3"/>
      <c r="G8" s="28"/>
      <c r="H8" s="10"/>
      <c r="I8" s="10">
        <f t="shared" si="5"/>
        <v>10516</v>
      </c>
      <c r="J8" s="10">
        <f t="shared" si="3"/>
        <v>104046466096.7029</v>
      </c>
      <c r="K8" s="11">
        <f t="shared" si="4"/>
        <v>1.9360000000000044E-2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9706198.5044381861</v>
      </c>
      <c r="D9" s="11">
        <v>2.0490000000000001E-2</v>
      </c>
      <c r="E9" s="10">
        <f t="shared" si="2"/>
        <v>194886.77728928067</v>
      </c>
      <c r="F9" s="3"/>
      <c r="G9" s="28"/>
      <c r="H9" s="10"/>
      <c r="I9" s="10">
        <f t="shared" si="5"/>
        <v>10516</v>
      </c>
      <c r="J9" s="10">
        <f t="shared" si="3"/>
        <v>102070383472.67197</v>
      </c>
      <c r="K9" s="11">
        <f t="shared" si="4"/>
        <v>2.0489999999999897E-2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9511311.7271489054</v>
      </c>
      <c r="D10" s="11">
        <v>2.1430000000000001E-2</v>
      </c>
      <c r="E10" s="10">
        <f t="shared" si="2"/>
        <v>199551.03170339763</v>
      </c>
      <c r="F10" s="3"/>
      <c r="G10" s="28"/>
      <c r="H10" s="10"/>
      <c r="I10" s="10">
        <f t="shared" si="5"/>
        <v>10516</v>
      </c>
      <c r="J10" s="10">
        <f t="shared" si="3"/>
        <v>100020954122.69789</v>
      </c>
      <c r="K10" s="11">
        <f t="shared" si="4"/>
        <v>2.143000000000006E-2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9311760.6954455078</v>
      </c>
      <c r="D11" s="11">
        <v>2.205E-2</v>
      </c>
      <c r="E11" s="10">
        <f t="shared" si="2"/>
        <v>200894.59746056795</v>
      </c>
      <c r="F11" s="3"/>
      <c r="G11" s="28"/>
      <c r="H11" s="10"/>
      <c r="I11" s="10">
        <f t="shared" si="5"/>
        <v>10516</v>
      </c>
      <c r="J11" s="10">
        <f t="shared" si="3"/>
        <v>97922475473.304962</v>
      </c>
      <c r="K11" s="11">
        <f t="shared" si="4"/>
        <v>2.2050000000000125E-2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9110866.0979849398</v>
      </c>
      <c r="D12" s="11">
        <v>2.2499999999999999E-2</v>
      </c>
      <c r="E12" s="10">
        <f t="shared" si="2"/>
        <v>200483.60606812872</v>
      </c>
      <c r="F12" s="3"/>
      <c r="G12" s="28"/>
      <c r="H12" s="10"/>
      <c r="I12" s="10">
        <f t="shared" si="5"/>
        <v>10516</v>
      </c>
      <c r="J12" s="10">
        <f t="shared" si="3"/>
        <v>95809867886.409622</v>
      </c>
      <c r="K12" s="11">
        <f t="shared" si="4"/>
        <v>2.2499999999999964E-2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8910382.4919168111</v>
      </c>
      <c r="D13" s="11">
        <v>2.2859999999999998E-2</v>
      </c>
      <c r="E13" s="10">
        <f t="shared" si="2"/>
        <v>199139.02563910931</v>
      </c>
      <c r="F13" s="3"/>
      <c r="G13" s="28"/>
      <c r="H13" s="10"/>
      <c r="I13" s="10">
        <f t="shared" si="5"/>
        <v>10516</v>
      </c>
      <c r="J13" s="10">
        <f t="shared" si="3"/>
        <v>93701582284.997192</v>
      </c>
      <c r="K13" s="11">
        <f t="shared" si="4"/>
        <v>2.2860000000000102E-2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8711243.4662777018</v>
      </c>
      <c r="D14" s="11">
        <v>2.3380000000000001E-2</v>
      </c>
      <c r="E14" s="10">
        <f t="shared" si="2"/>
        <v>199015.88094507717</v>
      </c>
      <c r="F14" s="3"/>
      <c r="G14" s="28"/>
      <c r="H14" s="10"/>
      <c r="I14" s="10">
        <f t="shared" si="5"/>
        <v>10516</v>
      </c>
      <c r="J14" s="10">
        <f t="shared" si="3"/>
        <v>91607436291.376312</v>
      </c>
      <c r="K14" s="11">
        <f t="shared" si="4"/>
        <v>2.3379999999999956E-2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8512227.5853326246</v>
      </c>
      <c r="D15" s="11">
        <v>2.3949999999999999E-2</v>
      </c>
      <c r="E15" s="10">
        <f t="shared" si="2"/>
        <v>199099.41957001388</v>
      </c>
      <c r="F15" s="3"/>
      <c r="G15" s="28"/>
      <c r="H15" s="10"/>
      <c r="I15" s="10">
        <f t="shared" si="5"/>
        <v>10516</v>
      </c>
      <c r="J15" s="10">
        <f t="shared" si="3"/>
        <v>89514585287.35788</v>
      </c>
      <c r="K15" s="11">
        <f t="shared" si="4"/>
        <v>2.3949999999999916E-2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8313128.1657626107</v>
      </c>
      <c r="D16" s="11">
        <v>2.4420000000000001E-2</v>
      </c>
      <c r="E16" s="10">
        <f t="shared" si="2"/>
        <v>198167.34328490682</v>
      </c>
      <c r="F16" s="3"/>
      <c r="G16" s="28"/>
      <c r="H16" s="10"/>
      <c r="I16" s="10">
        <f t="shared" si="5"/>
        <v>10516</v>
      </c>
      <c r="J16" s="10">
        <f t="shared" si="3"/>
        <v>87420855791.159607</v>
      </c>
      <c r="K16" s="11">
        <f t="shared" si="4"/>
        <v>2.4420000000000108E-2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8114960.8224777039</v>
      </c>
      <c r="D17" s="11">
        <v>2.3640000000000001E-2</v>
      </c>
      <c r="E17" s="10">
        <f t="shared" si="2"/>
        <v>187407.36376399267</v>
      </c>
      <c r="F17" s="3"/>
      <c r="G17" s="28"/>
      <c r="H17" s="10"/>
      <c r="I17" s="10">
        <f t="shared" si="5"/>
        <v>10516</v>
      </c>
      <c r="J17" s="10">
        <f t="shared" si="3"/>
        <v>85336928009.175537</v>
      </c>
      <c r="K17" s="11">
        <f t="shared" si="4"/>
        <v>2.3640000000000105E-2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7927553.4587137112</v>
      </c>
      <c r="D18" s="11">
        <v>2.325E-2</v>
      </c>
      <c r="E18" s="10">
        <f t="shared" si="2"/>
        <v>180127.65005139913</v>
      </c>
      <c r="F18" s="3"/>
      <c r="G18" s="28"/>
      <c r="H18" s="10"/>
      <c r="I18" s="10">
        <f t="shared" si="5"/>
        <v>10516</v>
      </c>
      <c r="J18" s="10">
        <f t="shared" si="3"/>
        <v>83366152171.833389</v>
      </c>
      <c r="K18" s="11">
        <f t="shared" si="4"/>
        <v>2.3250000000000215E-2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7747425.8086623121</v>
      </c>
      <c r="D19" s="11">
        <v>2.4469999999999999E-2</v>
      </c>
      <c r="E19" s="10">
        <f t="shared" si="2"/>
        <v>185051.30412600376</v>
      </c>
      <c r="F19" s="3"/>
      <c r="G19" s="28"/>
      <c r="H19" s="10"/>
      <c r="I19" s="10">
        <f t="shared" si="5"/>
        <v>10516</v>
      </c>
      <c r="J19" s="10">
        <f t="shared" si="3"/>
        <v>81471929803.892868</v>
      </c>
      <c r="K19" s="11">
        <f t="shared" si="4"/>
        <v>2.4469999999999992E-2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7562374.5045363083</v>
      </c>
      <c r="D20" s="11">
        <v>2.4660000000000001E-2</v>
      </c>
      <c r="E20" s="10">
        <f t="shared" si="2"/>
        <v>182000.03443275299</v>
      </c>
      <c r="F20" s="3"/>
      <c r="G20" s="28"/>
      <c r="H20" s="10"/>
      <c r="I20" s="10">
        <f t="shared" si="5"/>
        <v>10516</v>
      </c>
      <c r="J20" s="10">
        <f t="shared" si="3"/>
        <v>79525930289.703812</v>
      </c>
      <c r="K20" s="11">
        <f t="shared" si="4"/>
        <v>2.4659999999999682E-2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7380374.4701035554</v>
      </c>
      <c r="D21" s="11">
        <v>2.5100000000000001E-2</v>
      </c>
      <c r="E21" s="10">
        <f t="shared" si="2"/>
        <v>180711.53955672495</v>
      </c>
      <c r="F21" s="3"/>
      <c r="G21" s="28"/>
      <c r="H21" s="10"/>
      <c r="I21" s="10">
        <f t="shared" si="5"/>
        <v>10516</v>
      </c>
      <c r="J21" s="10">
        <f t="shared" si="3"/>
        <v>77612017927.608994</v>
      </c>
      <c r="K21" s="11">
        <f t="shared" si="4"/>
        <v>2.5100000000000122E-2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7199662.9305468304</v>
      </c>
      <c r="D22" s="11">
        <v>2.537E-2</v>
      </c>
      <c r="E22" s="10">
        <f t="shared" si="2"/>
        <v>178136.13480789587</v>
      </c>
      <c r="F22" s="3"/>
      <c r="G22" s="28"/>
      <c r="H22" s="10"/>
      <c r="I22" s="10">
        <f t="shared" si="5"/>
        <v>10516</v>
      </c>
      <c r="J22" s="10">
        <f t="shared" si="3"/>
        <v>75711655377.630463</v>
      </c>
      <c r="K22" s="11">
        <f t="shared" si="4"/>
        <v>2.5369999999999893E-2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7021526.7957389345</v>
      </c>
      <c r="D23" s="11">
        <v>2.546E-2</v>
      </c>
      <c r="E23" s="10">
        <f t="shared" si="2"/>
        <v>174329.63959541451</v>
      </c>
      <c r="F23" s="3"/>
      <c r="G23" s="28"/>
      <c r="H23" s="10"/>
      <c r="I23" s="10">
        <f t="shared" si="5"/>
        <v>10516</v>
      </c>
      <c r="J23" s="10">
        <f t="shared" si="3"/>
        <v>73838375783.990631</v>
      </c>
      <c r="K23" s="11">
        <f t="shared" si="4"/>
        <v>2.5460000000000038E-2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6847197.15614352</v>
      </c>
      <c r="D24" s="11">
        <v>2.5409999999999999E-2</v>
      </c>
      <c r="E24" s="10">
        <f t="shared" si="2"/>
        <v>169675.81722199544</v>
      </c>
      <c r="F24" s="3"/>
      <c r="G24" s="28"/>
      <c r="H24" s="10"/>
      <c r="I24" s="10">
        <f t="shared" si="5"/>
        <v>10516</v>
      </c>
      <c r="J24" s="10">
        <f t="shared" si="3"/>
        <v>72005125294.005249</v>
      </c>
      <c r="K24" s="11">
        <f t="shared" si="4"/>
        <v>2.5409999999999711E-2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6677521.3389215246</v>
      </c>
      <c r="D25" s="11">
        <v>2.5760000000000002E-2</v>
      </c>
      <c r="E25" s="10">
        <f t="shared" si="2"/>
        <v>167693.17354022246</v>
      </c>
      <c r="F25" s="3"/>
      <c r="G25" s="28"/>
      <c r="H25" s="10"/>
      <c r="I25" s="10">
        <f t="shared" si="5"/>
        <v>10516</v>
      </c>
      <c r="J25" s="10">
        <f t="shared" si="3"/>
        <v>70220814400.098755</v>
      </c>
      <c r="K25" s="11">
        <f t="shared" si="4"/>
        <v>2.5760000000000005E-2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6509828.1653813021</v>
      </c>
      <c r="D26" s="11">
        <v>2.7210000000000002E-2</v>
      </c>
      <c r="E26" s="10">
        <f t="shared" si="2"/>
        <v>172440.32318613026</v>
      </c>
      <c r="F26" s="3"/>
      <c r="G26" s="28"/>
      <c r="H26" s="10"/>
      <c r="I26" s="10">
        <f t="shared" si="5"/>
        <v>10516</v>
      </c>
      <c r="J26" s="10">
        <f t="shared" si="3"/>
        <v>68457352987.149773</v>
      </c>
      <c r="K26" s="11">
        <f t="shared" si="4"/>
        <v>2.7209999999999956E-2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6337387.8421951719</v>
      </c>
      <c r="D27" s="11">
        <v>2.9139999999999999E-2</v>
      </c>
      <c r="E27" s="10">
        <f t="shared" si="2"/>
        <v>179442.52649937477</v>
      </c>
      <c r="F27" s="3"/>
      <c r="G27" s="28"/>
      <c r="H27" s="10"/>
      <c r="I27" s="10">
        <f t="shared" si="5"/>
        <v>10516</v>
      </c>
      <c r="J27" s="10">
        <f t="shared" si="3"/>
        <v>66643970548.524429</v>
      </c>
      <c r="K27" s="11">
        <f t="shared" si="4"/>
        <v>2.9139999999999944E-2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6157945.3156957971</v>
      </c>
      <c r="D28" s="11">
        <v>2.9850000000000002E-2</v>
      </c>
      <c r="E28" s="10">
        <f t="shared" si="2"/>
        <v>178486.83562996425</v>
      </c>
      <c r="F28" s="3"/>
      <c r="G28" s="28"/>
      <c r="H28" s="10"/>
      <c r="I28" s="10">
        <f t="shared" si="5"/>
        <v>10516</v>
      </c>
      <c r="J28" s="10">
        <f t="shared" si="3"/>
        <v>64756952939.857002</v>
      </c>
      <c r="K28" s="11">
        <f t="shared" si="4"/>
        <v>2.9849999999999932E-2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5979458.4800658328</v>
      </c>
      <c r="D29" s="11">
        <v>3.0960000000000001E-2</v>
      </c>
      <c r="E29" s="10">
        <f t="shared" si="2"/>
        <v>179564.71108756773</v>
      </c>
      <c r="F29" s="3"/>
      <c r="G29" s="28"/>
      <c r="H29" s="10"/>
      <c r="I29" s="10">
        <f t="shared" si="5"/>
        <v>10516</v>
      </c>
      <c r="J29" s="10">
        <f t="shared" si="3"/>
        <v>62879985376.372299</v>
      </c>
      <c r="K29" s="11">
        <f t="shared" si="4"/>
        <v>3.0960000000000099E-2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5799893.7689782651</v>
      </c>
      <c r="D30" s="11">
        <v>3.1940000000000003E-2</v>
      </c>
      <c r="E30" s="10">
        <f t="shared" si="2"/>
        <v>179514.90104188863</v>
      </c>
      <c r="F30" s="3"/>
      <c r="G30" s="28"/>
      <c r="H30" s="10"/>
      <c r="I30" s="10">
        <f t="shared" si="5"/>
        <v>10516</v>
      </c>
      <c r="J30" s="10">
        <f t="shared" si="3"/>
        <v>60991682874.575439</v>
      </c>
      <c r="K30" s="11">
        <f t="shared" si="4"/>
        <v>3.1940000000000301E-2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5620378.8679363765</v>
      </c>
      <c r="D31" s="11">
        <v>3.2539999999999999E-2</v>
      </c>
      <c r="E31" s="10">
        <f t="shared" si="2"/>
        <v>177123.52873753011</v>
      </c>
      <c r="F31" s="3"/>
      <c r="G31" s="28"/>
      <c r="H31" s="10"/>
      <c r="I31" s="10">
        <f t="shared" si="5"/>
        <v>10516</v>
      </c>
      <c r="J31" s="10">
        <f t="shared" si="3"/>
        <v>59103904175.218933</v>
      </c>
      <c r="K31" s="11">
        <f t="shared" si="4"/>
        <v>3.2540000000000013E-2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5443255.3391988464</v>
      </c>
      <c r="D32" s="11">
        <v>3.3009999999999998E-2</v>
      </c>
      <c r="E32" s="10">
        <f t="shared" si="2"/>
        <v>173940.09617230576</v>
      </c>
      <c r="F32" s="3"/>
      <c r="G32" s="28"/>
      <c r="H32" s="10"/>
      <c r="I32" s="10">
        <f t="shared" si="5"/>
        <v>10516</v>
      </c>
      <c r="J32" s="10">
        <f t="shared" si="3"/>
        <v>57241273147.015068</v>
      </c>
      <c r="K32" s="11">
        <f t="shared" si="4"/>
        <v>3.3009999999999984E-2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5269315.2430265406</v>
      </c>
      <c r="D33" s="11">
        <v>3.2730000000000002E-2</v>
      </c>
      <c r="E33" s="10">
        <f t="shared" si="2"/>
        <v>166998.81663576979</v>
      </c>
      <c r="F33" s="3"/>
      <c r="G33" s="28"/>
      <c r="H33" s="10"/>
      <c r="I33" s="10">
        <f t="shared" si="5"/>
        <v>10516</v>
      </c>
      <c r="J33" s="10">
        <f t="shared" si="3"/>
        <v>55412119095.667099</v>
      </c>
      <c r="K33" s="11">
        <f t="shared" si="4"/>
        <v>3.2729999999999926E-2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5102316.4263907708</v>
      </c>
      <c r="D34" s="11">
        <v>3.2419999999999997E-2</v>
      </c>
      <c r="E34" s="10">
        <f t="shared" si="2"/>
        <v>160222.67928128876</v>
      </c>
      <c r="F34" s="3"/>
      <c r="G34" s="28"/>
      <c r="H34" s="10"/>
      <c r="I34" s="10">
        <f t="shared" si="5"/>
        <v>10516</v>
      </c>
      <c r="J34" s="10">
        <f t="shared" ref="J34:J65" si="6">IF(I34="","",I34*C34)</f>
        <v>53655959539.925346</v>
      </c>
      <c r="K34" s="11">
        <f t="shared" ref="K34:K65" si="7">IFERROR(J34/J35-1,"")</f>
        <v>3.2419999999999893E-2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4942093.7471094821</v>
      </c>
      <c r="D35" s="11">
        <v>3.2030000000000003E-2</v>
      </c>
      <c r="E35" s="10">
        <f t="shared" si="2"/>
        <v>153382.42368915305</v>
      </c>
      <c r="F35" s="3"/>
      <c r="G35" s="28"/>
      <c r="H35" s="10"/>
      <c r="I35" s="10">
        <f t="shared" ref="I35:I66" si="8">IF(H35&lt;&gt;"",H35,I34/(1+IF(G34="",0,G34)/100))</f>
        <v>10516</v>
      </c>
      <c r="J35" s="10">
        <f t="shared" si="6"/>
        <v>51971057844.60331</v>
      </c>
      <c r="K35" s="11">
        <f t="shared" si="7"/>
        <v>3.2030000000000003E-2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4788711.323420329</v>
      </c>
      <c r="D36" s="11">
        <v>3.1660000000000001E-2</v>
      </c>
      <c r="E36" s="10">
        <f t="shared" si="2"/>
        <v>146957.91297470871</v>
      </c>
      <c r="F36" s="3"/>
      <c r="G36" s="28"/>
      <c r="H36" s="10"/>
      <c r="I36" s="10">
        <f t="shared" si="8"/>
        <v>10516</v>
      </c>
      <c r="J36" s="10">
        <f t="shared" si="6"/>
        <v>50358088277.088181</v>
      </c>
      <c r="K36" s="11">
        <f t="shared" si="7"/>
        <v>3.1660000000000244E-2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4641753.4104456203</v>
      </c>
      <c r="D37" s="11">
        <v>3.1390000000000001E-2</v>
      </c>
      <c r="E37" s="10">
        <f t="shared" si="2"/>
        <v>141270.1689505307</v>
      </c>
      <c r="F37" s="3"/>
      <c r="G37" s="28"/>
      <c r="H37" s="10"/>
      <c r="I37" s="10">
        <f t="shared" si="8"/>
        <v>10516</v>
      </c>
      <c r="J37" s="10">
        <f t="shared" si="6"/>
        <v>48812678864.24614</v>
      </c>
      <c r="K37" s="11">
        <f t="shared" si="7"/>
        <v>3.1389999999999807E-2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4500483.2414950896</v>
      </c>
      <c r="D38" s="11">
        <v>2.4029999999999999E-2</v>
      </c>
      <c r="E38" s="10">
        <f t="shared" si="2"/>
        <v>105608.83205875475</v>
      </c>
      <c r="F38" s="3"/>
      <c r="G38" s="28"/>
      <c r="H38" s="10"/>
      <c r="I38" s="10">
        <f t="shared" si="8"/>
        <v>10516</v>
      </c>
      <c r="J38" s="10">
        <f t="shared" si="6"/>
        <v>47327081767.562363</v>
      </c>
      <c r="K38" s="11">
        <f t="shared" si="7"/>
        <v>2.4029999999999774E-2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4394874.4094363349</v>
      </c>
      <c r="D39" s="11">
        <v>2.401E-2</v>
      </c>
      <c r="E39" s="10">
        <f t="shared" si="2"/>
        <v>103046.78135034535</v>
      </c>
      <c r="F39" s="3"/>
      <c r="G39" s="28"/>
      <c r="H39" s="10"/>
      <c r="I39" s="10">
        <f t="shared" si="8"/>
        <v>10516</v>
      </c>
      <c r="J39" s="10">
        <f t="shared" si="6"/>
        <v>46216499289.6325</v>
      </c>
      <c r="K39" s="11">
        <f t="shared" si="7"/>
        <v>2.4010000000000309E-2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4291827.6280859895</v>
      </c>
      <c r="D40" s="11">
        <v>2.401E-2</v>
      </c>
      <c r="E40" s="10">
        <f t="shared" si="2"/>
        <v>100630.63969135517</v>
      </c>
      <c r="F40" s="3"/>
      <c r="G40" s="28"/>
      <c r="H40" s="10"/>
      <c r="I40" s="10">
        <f t="shared" si="8"/>
        <v>10516</v>
      </c>
      <c r="J40" s="10">
        <f t="shared" si="6"/>
        <v>45132859336.952263</v>
      </c>
      <c r="K40" s="11">
        <f t="shared" si="7"/>
        <v>2.4009999999999865E-2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4191196.9883946343</v>
      </c>
      <c r="D41" s="11">
        <v>2.4029999999999999E-2</v>
      </c>
      <c r="E41" s="10">
        <f t="shared" si="2"/>
        <v>98351.087010266259</v>
      </c>
      <c r="F41" s="3"/>
      <c r="G41" s="28"/>
      <c r="H41" s="10"/>
      <c r="I41" s="10">
        <f t="shared" si="8"/>
        <v>10516</v>
      </c>
      <c r="J41" s="10">
        <f t="shared" si="6"/>
        <v>44074627529.957977</v>
      </c>
      <c r="K41" s="11">
        <f t="shared" si="7"/>
        <v>2.4029999999999996E-2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4092845.9013843681</v>
      </c>
      <c r="D42" s="11">
        <v>2.3890000000000002E-2</v>
      </c>
      <c r="E42" s="10">
        <f t="shared" si="2"/>
        <v>95496.673064560164</v>
      </c>
      <c r="F42" s="3"/>
      <c r="G42" s="28"/>
      <c r="H42" s="10"/>
      <c r="I42" s="10">
        <f t="shared" si="8"/>
        <v>10516</v>
      </c>
      <c r="J42" s="10">
        <f t="shared" si="6"/>
        <v>43040367498.958015</v>
      </c>
      <c r="K42" s="11">
        <f t="shared" si="7"/>
        <v>2.3889999999999967E-2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3997349.2283198079</v>
      </c>
      <c r="D43" s="11">
        <v>2.392E-2</v>
      </c>
      <c r="E43" s="10">
        <f t="shared" si="2"/>
        <v>93382.875167405233</v>
      </c>
      <c r="F43" s="3"/>
      <c r="G43" s="28"/>
      <c r="H43" s="10"/>
      <c r="I43" s="10">
        <f t="shared" si="8"/>
        <v>10516</v>
      </c>
      <c r="J43" s="10">
        <f t="shared" si="6"/>
        <v>42036124485.011101</v>
      </c>
      <c r="K43" s="11">
        <f t="shared" si="7"/>
        <v>2.3919999999999941E-2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3903966.3531524027</v>
      </c>
      <c r="D44" s="11">
        <v>2.402E-2</v>
      </c>
      <c r="E44" s="10">
        <f t="shared" si="2"/>
        <v>91573.672196559142</v>
      </c>
      <c r="F44" s="3"/>
      <c r="G44" s="28"/>
      <c r="H44" s="10"/>
      <c r="I44" s="10">
        <f t="shared" si="8"/>
        <v>10516</v>
      </c>
      <c r="J44" s="10">
        <f t="shared" si="6"/>
        <v>41054110169.750664</v>
      </c>
      <c r="K44" s="11">
        <f t="shared" si="7"/>
        <v>2.401999999999993E-2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3812392.6809558435</v>
      </c>
      <c r="D45" s="11">
        <v>2.3879999999999998E-2</v>
      </c>
      <c r="E45" s="10">
        <f t="shared" si="2"/>
        <v>88916.608607674018</v>
      </c>
      <c r="F45" s="3"/>
      <c r="G45" s="28"/>
      <c r="H45" s="10"/>
      <c r="I45" s="10">
        <f t="shared" si="8"/>
        <v>10516</v>
      </c>
      <c r="J45" s="10">
        <f t="shared" si="6"/>
        <v>40091121432.931648</v>
      </c>
      <c r="K45" s="11">
        <f t="shared" si="7"/>
        <v>2.3879999999999901E-2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3723476.0723481695</v>
      </c>
      <c r="D46" s="11">
        <v>2.4160000000000001E-2</v>
      </c>
      <c r="E46" s="10">
        <f t="shared" si="2"/>
        <v>87837.03904461395</v>
      </c>
      <c r="F46" s="3"/>
      <c r="G46" s="28"/>
      <c r="H46" s="10"/>
      <c r="I46" s="10">
        <f t="shared" si="8"/>
        <v>10516</v>
      </c>
      <c r="J46" s="10">
        <f t="shared" si="6"/>
        <v>39156074376.813347</v>
      </c>
      <c r="K46" s="11">
        <f t="shared" si="7"/>
        <v>2.4159999999999959E-2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3635639.0333035556</v>
      </c>
      <c r="D47" s="11">
        <v>2.333E-2</v>
      </c>
      <c r="E47" s="10">
        <f t="shared" si="2"/>
        <v>82885.734461974353</v>
      </c>
      <c r="F47" s="3"/>
      <c r="G47" s="28"/>
      <c r="H47" s="10"/>
      <c r="I47" s="10">
        <f t="shared" si="8"/>
        <v>10516</v>
      </c>
      <c r="J47" s="10">
        <f t="shared" si="6"/>
        <v>38232380074.220192</v>
      </c>
      <c r="K47" s="11">
        <f t="shared" si="7"/>
        <v>2.3330000000000295E-2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3552753.2988415812</v>
      </c>
      <c r="D48" s="11">
        <v>2.2610000000000002E-2</v>
      </c>
      <c r="E48" s="10">
        <f t="shared" si="2"/>
        <v>78551.698190716095</v>
      </c>
      <c r="F48" s="3"/>
      <c r="G48" s="28"/>
      <c r="H48" s="10"/>
      <c r="I48" s="10">
        <f t="shared" si="8"/>
        <v>10516</v>
      </c>
      <c r="J48" s="10">
        <f t="shared" si="6"/>
        <v>37360753690.618065</v>
      </c>
      <c r="K48" s="11">
        <f t="shared" si="7"/>
        <v>2.2610000000000019E-2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3474201.6006508651</v>
      </c>
      <c r="D49" s="11">
        <v>2.2589999999999999E-2</v>
      </c>
      <c r="E49" s="10">
        <f t="shared" si="2"/>
        <v>76748.466304876376</v>
      </c>
      <c r="F49" s="3"/>
      <c r="G49" s="28"/>
      <c r="H49" s="10"/>
      <c r="I49" s="10">
        <f t="shared" si="8"/>
        <v>10516</v>
      </c>
      <c r="J49" s="10">
        <f t="shared" si="6"/>
        <v>36534704032.444496</v>
      </c>
      <c r="K49" s="11">
        <f t="shared" si="7"/>
        <v>2.259000000000011E-2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3397453.1343459887</v>
      </c>
      <c r="D50" s="11">
        <v>2.2790000000000001E-2</v>
      </c>
      <c r="E50" s="10">
        <f t="shared" si="2"/>
        <v>75702.692568117753</v>
      </c>
      <c r="F50" s="3"/>
      <c r="G50" s="28"/>
      <c r="H50" s="10"/>
      <c r="I50" s="10">
        <f t="shared" si="8"/>
        <v>10516</v>
      </c>
      <c r="J50" s="10">
        <f t="shared" si="6"/>
        <v>35727617160.782417</v>
      </c>
      <c r="K50" s="11">
        <f t="shared" si="7"/>
        <v>2.2790000000000088E-2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3321750.441777871</v>
      </c>
      <c r="D51" s="11">
        <v>2.4580000000000001E-2</v>
      </c>
      <c r="E51" s="10">
        <f t="shared" si="2"/>
        <v>79689.849361592438</v>
      </c>
      <c r="F51" s="3"/>
      <c r="G51" s="28"/>
      <c r="H51" s="10"/>
      <c r="I51" s="10">
        <f t="shared" si="8"/>
        <v>10516</v>
      </c>
      <c r="J51" s="10">
        <f t="shared" si="6"/>
        <v>34931527645.736092</v>
      </c>
      <c r="K51" s="11">
        <f t="shared" si="7"/>
        <v>2.4580000000000046E-2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3242060.5924162786</v>
      </c>
      <c r="D52" s="11">
        <v>2.5219999999999999E-2</v>
      </c>
      <c r="E52" s="10">
        <f t="shared" si="2"/>
        <v>79753.387702872045</v>
      </c>
      <c r="F52" s="3"/>
      <c r="G52" s="28"/>
      <c r="H52" s="10"/>
      <c r="I52" s="10">
        <f t="shared" si="8"/>
        <v>10516</v>
      </c>
      <c r="J52" s="10">
        <f t="shared" si="6"/>
        <v>34093509189.849586</v>
      </c>
      <c r="K52" s="11">
        <f t="shared" si="7"/>
        <v>2.522000000000002E-2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3162307.2047134065</v>
      </c>
      <c r="D53" s="11">
        <v>2.5780000000000001E-2</v>
      </c>
      <c r="E53" s="10">
        <f t="shared" si="2"/>
        <v>79475.403826855123</v>
      </c>
      <c r="F53" s="3"/>
      <c r="G53" s="28"/>
      <c r="H53" s="10"/>
      <c r="I53" s="10">
        <f t="shared" si="8"/>
        <v>10516</v>
      </c>
      <c r="J53" s="10">
        <f t="shared" si="6"/>
        <v>33254822564.766182</v>
      </c>
      <c r="K53" s="11">
        <f t="shared" si="7"/>
        <v>2.5779999999999914E-2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3082831.8008865514</v>
      </c>
      <c r="D54" s="11">
        <v>2.614E-2</v>
      </c>
      <c r="E54" s="10">
        <f t="shared" si="2"/>
        <v>78532.386687172111</v>
      </c>
      <c r="F54" s="3"/>
      <c r="G54" s="28"/>
      <c r="H54" s="10"/>
      <c r="I54" s="10">
        <f t="shared" si="8"/>
        <v>10516</v>
      </c>
      <c r="J54" s="10">
        <f t="shared" si="6"/>
        <v>32419059218.122974</v>
      </c>
      <c r="K54" s="11">
        <f t="shared" si="7"/>
        <v>2.6140000000000052E-2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3004299.4141993793</v>
      </c>
      <c r="D55" s="11">
        <v>2.615E-2</v>
      </c>
      <c r="E55" s="10">
        <f t="shared" si="2"/>
        <v>76560.375852763653</v>
      </c>
      <c r="F55" s="3"/>
      <c r="G55" s="28"/>
      <c r="H55" s="10"/>
      <c r="I55" s="10">
        <f t="shared" si="8"/>
        <v>10516</v>
      </c>
      <c r="J55" s="10">
        <f t="shared" si="6"/>
        <v>31593212639.720673</v>
      </c>
      <c r="K55" s="11">
        <f t="shared" si="7"/>
        <v>2.6149999999999896E-2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2927739.0383466156</v>
      </c>
      <c r="D56" s="11">
        <v>2.6009999999999998E-2</v>
      </c>
      <c r="E56" s="10">
        <f t="shared" si="2"/>
        <v>74220.029422126245</v>
      </c>
      <c r="F56" s="3"/>
      <c r="G56" s="28"/>
      <c r="H56" s="10"/>
      <c r="I56" s="10">
        <f t="shared" si="8"/>
        <v>10516</v>
      </c>
      <c r="J56" s="10">
        <f t="shared" si="6"/>
        <v>30788103727.25301</v>
      </c>
      <c r="K56" s="11">
        <f t="shared" si="7"/>
        <v>2.6010000000000089E-2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2853519.0089244894</v>
      </c>
      <c r="D57" s="11">
        <v>2.5659999999999999E-2</v>
      </c>
      <c r="E57" s="10">
        <f t="shared" si="2"/>
        <v>71389.444620051887</v>
      </c>
      <c r="F57" s="3"/>
      <c r="G57" s="28"/>
      <c r="H57" s="10"/>
      <c r="I57" s="10">
        <f t="shared" si="8"/>
        <v>10516</v>
      </c>
      <c r="J57" s="10">
        <f t="shared" si="6"/>
        <v>30007605897.84993</v>
      </c>
      <c r="K57" s="11">
        <f t="shared" si="7"/>
        <v>2.5660000000000016E-2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2782129.5643044375</v>
      </c>
      <c r="D58" s="11">
        <v>2.5360000000000001E-2</v>
      </c>
      <c r="E58" s="10">
        <f t="shared" si="2"/>
        <v>68809.789489311632</v>
      </c>
      <c r="F58" s="3"/>
      <c r="G58" s="28"/>
      <c r="H58" s="10"/>
      <c r="I58" s="10">
        <f t="shared" si="8"/>
        <v>10516</v>
      </c>
      <c r="J58" s="10">
        <f t="shared" si="6"/>
        <v>29256874498.225464</v>
      </c>
      <c r="K58" s="11">
        <f t="shared" si="7"/>
        <v>2.5360000000000049E-2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2713319.7748151259</v>
      </c>
      <c r="D59" s="11">
        <v>2.5010000000000001E-2</v>
      </c>
      <c r="E59" s="10">
        <f t="shared" si="2"/>
        <v>66204.356609326787</v>
      </c>
      <c r="F59" s="3"/>
      <c r="G59" s="28"/>
      <c r="H59" s="10"/>
      <c r="I59" s="10">
        <f t="shared" si="8"/>
        <v>10516</v>
      </c>
      <c r="J59" s="10">
        <f t="shared" si="6"/>
        <v>28533270751.955864</v>
      </c>
      <c r="K59" s="11">
        <f t="shared" si="7"/>
        <v>2.5009999999999977E-2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2647115.4182057991</v>
      </c>
      <c r="D60" s="11">
        <v>2.8660000000000001E-2</v>
      </c>
      <c r="E60" s="10">
        <f t="shared" si="2"/>
        <v>73752.578972428106</v>
      </c>
      <c r="F60" s="3"/>
      <c r="G60" s="28"/>
      <c r="H60" s="10"/>
      <c r="I60" s="10">
        <f t="shared" si="8"/>
        <v>10516</v>
      </c>
      <c r="J60" s="10">
        <f t="shared" si="6"/>
        <v>27837065737.852184</v>
      </c>
      <c r="K60" s="11">
        <f t="shared" si="7"/>
        <v>2.8659999999999908E-2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2573362.839233371</v>
      </c>
      <c r="D61" s="11">
        <v>2.8150000000000001E-2</v>
      </c>
      <c r="E61" s="10">
        <f t="shared" si="2"/>
        <v>70456.804867401719</v>
      </c>
      <c r="F61" s="3"/>
      <c r="G61" s="28"/>
      <c r="H61" s="10"/>
      <c r="I61" s="10">
        <f t="shared" si="8"/>
        <v>10516</v>
      </c>
      <c r="J61" s="10">
        <f t="shared" si="6"/>
        <v>27061483617.378128</v>
      </c>
      <c r="K61" s="11">
        <f t="shared" si="7"/>
        <v>2.8149999999999897E-2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2502906.0343659692</v>
      </c>
      <c r="D62" s="11">
        <v>2.758E-2</v>
      </c>
      <c r="E62" s="10">
        <f t="shared" si="2"/>
        <v>67177.39585026307</v>
      </c>
      <c r="F62" s="3"/>
      <c r="G62" s="28"/>
      <c r="H62" s="10"/>
      <c r="I62" s="10">
        <f t="shared" si="8"/>
        <v>10516</v>
      </c>
      <c r="J62" s="10">
        <f t="shared" si="6"/>
        <v>26320559857.392532</v>
      </c>
      <c r="K62" s="11">
        <f t="shared" si="7"/>
        <v>2.7579999999999938E-2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2435728.6385157062</v>
      </c>
      <c r="D63" s="11">
        <v>2.7060000000000001E-2</v>
      </c>
      <c r="E63" s="10">
        <f t="shared" si="2"/>
        <v>64174.261443572119</v>
      </c>
      <c r="F63" s="3"/>
      <c r="G63" s="28"/>
      <c r="H63" s="10"/>
      <c r="I63" s="10">
        <f t="shared" si="8"/>
        <v>10516</v>
      </c>
      <c r="J63" s="10">
        <f t="shared" si="6"/>
        <v>25614122362.631165</v>
      </c>
      <c r="K63" s="11">
        <f t="shared" si="7"/>
        <v>2.7060000000000084E-2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2371554.3770721341</v>
      </c>
      <c r="D64" s="11">
        <v>2.6329999999999999E-2</v>
      </c>
      <c r="E64" s="10">
        <f t="shared" si="2"/>
        <v>60841.081083383877</v>
      </c>
      <c r="F64" s="3"/>
      <c r="G64" s="28"/>
      <c r="H64" s="10"/>
      <c r="I64" s="10">
        <f t="shared" si="8"/>
        <v>10516</v>
      </c>
      <c r="J64" s="10">
        <f t="shared" si="6"/>
        <v>24939265829.290562</v>
      </c>
      <c r="K64" s="11">
        <f t="shared" si="7"/>
        <v>2.6329999999999965E-2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2310713.2959887502</v>
      </c>
      <c r="D65" s="11">
        <v>2.6249999999999999E-2</v>
      </c>
      <c r="E65" s="10">
        <f t="shared" si="2"/>
        <v>59104.724988750182</v>
      </c>
      <c r="F65" s="3"/>
      <c r="G65" s="28"/>
      <c r="H65" s="10"/>
      <c r="I65" s="10">
        <f t="shared" si="8"/>
        <v>10516</v>
      </c>
      <c r="J65" s="10">
        <f t="shared" si="6"/>
        <v>24299461020.617699</v>
      </c>
      <c r="K65" s="11">
        <f t="shared" si="7"/>
        <v>2.6250000000000107E-2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2251608.571</v>
      </c>
      <c r="D66" s="11">
        <v>2.5930000000000002E-2</v>
      </c>
      <c r="E66" s="10">
        <f t="shared" si="2"/>
        <v>56908.570999999996</v>
      </c>
      <c r="F66" s="24">
        <f>SUM(F2)</f>
        <v>10967500</v>
      </c>
      <c r="G66" s="28"/>
      <c r="H66" s="10"/>
      <c r="I66" s="10">
        <f t="shared" si="8"/>
        <v>10516</v>
      </c>
      <c r="J66" s="10">
        <f t="shared" ref="J66:J67" si="9">IF(I66="","",I66*C66)</f>
        <v>23677915732.636002</v>
      </c>
      <c r="K66" s="11">
        <f t="shared" ref="K66" si="10">IFERROR(J66/J67-1,"")</f>
        <v>2.5930000000000009E-2</v>
      </c>
    </row>
    <row r="67" spans="1:11" ht="22.5" customHeight="1">
      <c r="A67" s="3">
        <f t="shared" si="0"/>
        <v>1950</v>
      </c>
      <c r="B67" s="3">
        <v>1700</v>
      </c>
      <c r="C67" s="10">
        <v>2194700</v>
      </c>
      <c r="D67" s="11">
        <v>2.5579999999999999E-2</v>
      </c>
      <c r="E67" s="3" t="s">
        <v>72</v>
      </c>
      <c r="F67" s="10">
        <f>SUM(C2)</f>
        <v>10967541.219928285</v>
      </c>
      <c r="G67" s="28"/>
      <c r="H67" s="10"/>
      <c r="I67" s="10">
        <f t="shared" ref="I67" si="11">IF(H67&lt;&gt;"",H67,I66/(1+IF(G66="",0,G66)/100))</f>
        <v>10516</v>
      </c>
      <c r="J67" s="10">
        <f t="shared" si="9"/>
        <v>23079465200</v>
      </c>
      <c r="K67" s="11"/>
    </row>
  </sheetData>
  <dataValidations count="1">
    <dataValidation type="custom" allowBlank="1" showDropDown="1" sqref="D2:D67" xr:uid="{00000000-0002-0000-5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88913059.385321379</v>
      </c>
      <c r="D2" s="11">
        <v>1.37E-2</v>
      </c>
      <c r="E2" s="10">
        <f t="shared" ref="E2:E66" si="2">SUM(C2-C3)</f>
        <v>1201646.3584678918</v>
      </c>
      <c r="F2" s="15">
        <v>88913943</v>
      </c>
      <c r="G2" s="28"/>
      <c r="H2" s="10"/>
      <c r="I2" s="10">
        <f>IF(H2&lt;&gt;"",H2,488)</f>
        <v>488</v>
      </c>
      <c r="J2" s="10">
        <f t="shared" ref="J2:J33" si="3">IF(I2="","",I2*C2)</f>
        <v>43389572980.036835</v>
      </c>
      <c r="K2" s="11">
        <f t="shared" ref="K2:K33" si="4">IFERROR(J2/J3-1,"")</f>
        <v>1.3700000000000045E-2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87711413.026853487</v>
      </c>
      <c r="D3" s="11">
        <v>1.353E-2</v>
      </c>
      <c r="E3" s="10">
        <f t="shared" si="2"/>
        <v>1170893.2328133732</v>
      </c>
      <c r="F3" s="3"/>
      <c r="G3" s="28"/>
      <c r="H3" s="10"/>
      <c r="I3" s="10">
        <f t="shared" ref="I3:I34" si="5">IF(H3&lt;&gt;"",H3,I2/(1+IF(G2="",0,G2)/100))</f>
        <v>488</v>
      </c>
      <c r="J3" s="10">
        <f t="shared" si="3"/>
        <v>42803169557.1045</v>
      </c>
      <c r="K3" s="11">
        <f t="shared" si="4"/>
        <v>1.3530000000000042E-2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86540519.794040114</v>
      </c>
      <c r="D4" s="11">
        <v>1.333E-2</v>
      </c>
      <c r="E4" s="10">
        <f t="shared" si="2"/>
        <v>1138410.1219292432</v>
      </c>
      <c r="F4" s="3"/>
      <c r="G4" s="28"/>
      <c r="H4" s="10"/>
      <c r="I4" s="10">
        <f t="shared" si="5"/>
        <v>488</v>
      </c>
      <c r="J4" s="10">
        <f t="shared" si="3"/>
        <v>42231773659.491577</v>
      </c>
      <c r="K4" s="11">
        <f t="shared" si="4"/>
        <v>1.3330000000000064E-2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85402109.67211087</v>
      </c>
      <c r="D5" s="11">
        <v>1.2800000000000001E-2</v>
      </c>
      <c r="E5" s="10">
        <f t="shared" si="2"/>
        <v>1079331.5598371029</v>
      </c>
      <c r="F5" s="3"/>
      <c r="G5" s="28"/>
      <c r="H5" s="10"/>
      <c r="I5" s="10">
        <f t="shared" si="5"/>
        <v>488</v>
      </c>
      <c r="J5" s="10">
        <f t="shared" si="3"/>
        <v>41676229519.990105</v>
      </c>
      <c r="K5" s="11">
        <f t="shared" si="4"/>
        <v>1.2799999999999923E-2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84322778.112273768</v>
      </c>
      <c r="D6" s="11">
        <v>1.222E-2</v>
      </c>
      <c r="E6" s="10">
        <f t="shared" si="2"/>
        <v>1017984.5770010203</v>
      </c>
      <c r="F6" s="3"/>
      <c r="G6" s="28"/>
      <c r="H6" s="10"/>
      <c r="I6" s="10">
        <f t="shared" si="5"/>
        <v>488</v>
      </c>
      <c r="J6" s="10">
        <f t="shared" si="3"/>
        <v>41149515718.789597</v>
      </c>
      <c r="K6" s="11">
        <f t="shared" si="4"/>
        <v>1.2219999999999676E-2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83304793.535272747</v>
      </c>
      <c r="D7" s="11">
        <v>1.2500000000000001E-2</v>
      </c>
      <c r="E7" s="10">
        <f t="shared" si="2"/>
        <v>1028454.2411762029</v>
      </c>
      <c r="F7" s="3"/>
      <c r="G7" s="28"/>
      <c r="H7" s="10"/>
      <c r="I7" s="10">
        <f t="shared" si="5"/>
        <v>488</v>
      </c>
      <c r="J7" s="10">
        <f t="shared" si="3"/>
        <v>40652739245.213104</v>
      </c>
      <c r="K7" s="11">
        <f t="shared" si="4"/>
        <v>1.2500000000000178E-2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82276339.294096544</v>
      </c>
      <c r="D8" s="11">
        <v>1.2540000000000001E-2</v>
      </c>
      <c r="E8" s="10">
        <f t="shared" si="2"/>
        <v>1018967.4430125952</v>
      </c>
      <c r="F8" s="3"/>
      <c r="G8" s="28"/>
      <c r="H8" s="10"/>
      <c r="I8" s="10">
        <f t="shared" si="5"/>
        <v>488</v>
      </c>
      <c r="J8" s="10">
        <f t="shared" si="3"/>
        <v>40150853575.519112</v>
      </c>
      <c r="K8" s="11">
        <f t="shared" si="4"/>
        <v>1.2539999999999996E-2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81257371.851083949</v>
      </c>
      <c r="D9" s="11">
        <v>1.23E-2</v>
      </c>
      <c r="E9" s="10">
        <f t="shared" si="2"/>
        <v>987321.61786854267</v>
      </c>
      <c r="F9" s="3"/>
      <c r="G9" s="28"/>
      <c r="H9" s="10"/>
      <c r="I9" s="10">
        <f t="shared" si="5"/>
        <v>488</v>
      </c>
      <c r="J9" s="10">
        <f t="shared" si="3"/>
        <v>39653597463.328964</v>
      </c>
      <c r="K9" s="11">
        <f t="shared" si="4"/>
        <v>1.2299999999999756E-2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80270050.233215407</v>
      </c>
      <c r="D10" s="11">
        <v>1.1990000000000001E-2</v>
      </c>
      <c r="E10" s="10">
        <f t="shared" si="2"/>
        <v>951034.99273337424</v>
      </c>
      <c r="F10" s="3"/>
      <c r="G10" s="28"/>
      <c r="H10" s="10"/>
      <c r="I10" s="10">
        <f t="shared" si="5"/>
        <v>488</v>
      </c>
      <c r="J10" s="10">
        <f t="shared" si="3"/>
        <v>39171784513.80912</v>
      </c>
      <c r="K10" s="11">
        <f t="shared" si="4"/>
        <v>1.1989999999999945E-2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79319015.240482032</v>
      </c>
      <c r="D11" s="11">
        <v>2.0789999999999999E-2</v>
      </c>
      <c r="E11" s="10">
        <f t="shared" si="2"/>
        <v>1615456.9763121009</v>
      </c>
      <c r="F11" s="3"/>
      <c r="G11" s="28"/>
      <c r="H11" s="10"/>
      <c r="I11" s="10">
        <f t="shared" si="5"/>
        <v>488</v>
      </c>
      <c r="J11" s="10">
        <f t="shared" si="3"/>
        <v>38707679437.355232</v>
      </c>
      <c r="K11" s="11">
        <f t="shared" si="4"/>
        <v>2.0790000000000086E-2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77703558.264169931</v>
      </c>
      <c r="D12" s="11">
        <v>2.232E-2</v>
      </c>
      <c r="E12" s="10">
        <f t="shared" si="2"/>
        <v>1696478.0308086127</v>
      </c>
      <c r="F12" s="3"/>
      <c r="G12" s="28"/>
      <c r="H12" s="10"/>
      <c r="I12" s="10">
        <f t="shared" si="5"/>
        <v>488</v>
      </c>
      <c r="J12" s="10">
        <f t="shared" si="3"/>
        <v>37919336432.914925</v>
      </c>
      <c r="K12" s="11">
        <f t="shared" si="4"/>
        <v>2.2319999999999673E-2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76007080.233361319</v>
      </c>
      <c r="D13" s="11">
        <v>2.1940000000000001E-2</v>
      </c>
      <c r="E13" s="10">
        <f t="shared" si="2"/>
        <v>1631793.7846839875</v>
      </c>
      <c r="F13" s="3"/>
      <c r="G13" s="28"/>
      <c r="H13" s="10"/>
      <c r="I13" s="10">
        <f t="shared" si="5"/>
        <v>488</v>
      </c>
      <c r="J13" s="10">
        <f t="shared" si="3"/>
        <v>37091455153.880325</v>
      </c>
      <c r="K13" s="11">
        <f t="shared" si="4"/>
        <v>2.1940000000000071E-2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74375286.448677331</v>
      </c>
      <c r="D14" s="11">
        <v>2.0840000000000001E-2</v>
      </c>
      <c r="E14" s="10">
        <f t="shared" si="2"/>
        <v>1518338.7892230302</v>
      </c>
      <c r="F14" s="3"/>
      <c r="G14" s="28"/>
      <c r="H14" s="10"/>
      <c r="I14" s="10">
        <f t="shared" si="5"/>
        <v>488</v>
      </c>
      <c r="J14" s="10">
        <f t="shared" si="3"/>
        <v>36295139786.954536</v>
      </c>
      <c r="K14" s="11">
        <f t="shared" si="4"/>
        <v>2.083999999999997E-2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72856947.659454301</v>
      </c>
      <c r="D15" s="11">
        <v>2.1219999999999999E-2</v>
      </c>
      <c r="E15" s="10">
        <f t="shared" si="2"/>
        <v>1513899.4823188186</v>
      </c>
      <c r="F15" s="3"/>
      <c r="G15" s="28"/>
      <c r="H15" s="10"/>
      <c r="I15" s="10">
        <f t="shared" si="5"/>
        <v>488</v>
      </c>
      <c r="J15" s="10">
        <f t="shared" si="3"/>
        <v>35554190457.813698</v>
      </c>
      <c r="K15" s="11">
        <f t="shared" si="4"/>
        <v>2.1220000000000017E-2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71343048.177135482</v>
      </c>
      <c r="D16" s="11">
        <v>1.5350000000000001E-2</v>
      </c>
      <c r="E16" s="10">
        <f t="shared" si="2"/>
        <v>1078559.8951288015</v>
      </c>
      <c r="F16" s="3"/>
      <c r="G16" s="28"/>
      <c r="H16" s="10"/>
      <c r="I16" s="10">
        <f t="shared" si="5"/>
        <v>488</v>
      </c>
      <c r="J16" s="10">
        <f t="shared" si="3"/>
        <v>34815407510.442116</v>
      </c>
      <c r="K16" s="11">
        <f t="shared" si="4"/>
        <v>1.5349999999999975E-2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70264488.282006681</v>
      </c>
      <c r="D17" s="11">
        <v>1.553E-2</v>
      </c>
      <c r="E17" s="10">
        <f t="shared" si="2"/>
        <v>1074520.2042476088</v>
      </c>
      <c r="F17" s="3"/>
      <c r="G17" s="28"/>
      <c r="H17" s="10"/>
      <c r="I17" s="10">
        <f t="shared" si="5"/>
        <v>488</v>
      </c>
      <c r="J17" s="10">
        <f t="shared" si="3"/>
        <v>34289070281.619259</v>
      </c>
      <c r="K17" s="11">
        <f t="shared" si="4"/>
        <v>1.5530000000000044E-2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69189968.077759072</v>
      </c>
      <c r="D18" s="11">
        <v>1.3979999999999999E-2</v>
      </c>
      <c r="E18" s="10">
        <f t="shared" si="2"/>
        <v>953939.67704203725</v>
      </c>
      <c r="F18" s="3"/>
      <c r="G18" s="28"/>
      <c r="H18" s="10"/>
      <c r="I18" s="10">
        <f t="shared" si="5"/>
        <v>488</v>
      </c>
      <c r="J18" s="10">
        <f t="shared" si="3"/>
        <v>33764704421.946426</v>
      </c>
      <c r="K18" s="11">
        <f t="shared" si="4"/>
        <v>1.3980000000000103E-2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68236028.400717035</v>
      </c>
      <c r="D19" s="11">
        <v>1.451E-2</v>
      </c>
      <c r="E19" s="10">
        <f t="shared" si="2"/>
        <v>975943.82716228068</v>
      </c>
      <c r="F19" s="3"/>
      <c r="G19" s="28"/>
      <c r="H19" s="10"/>
      <c r="I19" s="10">
        <f t="shared" si="5"/>
        <v>488</v>
      </c>
      <c r="J19" s="10">
        <f t="shared" si="3"/>
        <v>33299181859.549911</v>
      </c>
      <c r="K19" s="11">
        <f t="shared" si="4"/>
        <v>1.4509999999999801E-2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67260084.573554754</v>
      </c>
      <c r="D20" s="11">
        <v>1.2959999999999999E-2</v>
      </c>
      <c r="E20" s="10">
        <f t="shared" si="2"/>
        <v>860538.12201200426</v>
      </c>
      <c r="F20" s="3"/>
      <c r="G20" s="28"/>
      <c r="H20" s="10"/>
      <c r="I20" s="10">
        <f t="shared" si="5"/>
        <v>488</v>
      </c>
      <c r="J20" s="10">
        <f t="shared" si="3"/>
        <v>32822921271.894722</v>
      </c>
      <c r="K20" s="11">
        <f t="shared" si="4"/>
        <v>1.2960000000000083E-2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66399546.45154275</v>
      </c>
      <c r="D21" s="11">
        <v>1.1010000000000001E-2</v>
      </c>
      <c r="E21" s="10">
        <f t="shared" si="2"/>
        <v>723097.70074626803</v>
      </c>
      <c r="F21" s="3"/>
      <c r="G21" s="28"/>
      <c r="H21" s="10"/>
      <c r="I21" s="10">
        <f t="shared" si="5"/>
        <v>488</v>
      </c>
      <c r="J21" s="10">
        <f t="shared" si="3"/>
        <v>32402978668.352863</v>
      </c>
      <c r="K21" s="11">
        <f t="shared" si="4"/>
        <v>1.1009999999999964E-2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65676448.750796482</v>
      </c>
      <c r="D22" s="11">
        <v>1.06E-2</v>
      </c>
      <c r="E22" s="10">
        <f t="shared" si="2"/>
        <v>688868.35222485662</v>
      </c>
      <c r="F22" s="3"/>
      <c r="G22" s="28"/>
      <c r="H22" s="10"/>
      <c r="I22" s="10">
        <f t="shared" si="5"/>
        <v>488</v>
      </c>
      <c r="J22" s="10">
        <f t="shared" si="3"/>
        <v>32050106990.388683</v>
      </c>
      <c r="K22" s="11">
        <f t="shared" si="4"/>
        <v>1.0599999999999943E-2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64987580.398571625</v>
      </c>
      <c r="D23" s="11">
        <v>1.155E-2</v>
      </c>
      <c r="E23" s="10">
        <f t="shared" si="2"/>
        <v>742036.0373718515</v>
      </c>
      <c r="F23" s="3"/>
      <c r="G23" s="28"/>
      <c r="H23" s="10"/>
      <c r="I23" s="10">
        <f t="shared" si="5"/>
        <v>488</v>
      </c>
      <c r="J23" s="10">
        <f t="shared" si="3"/>
        <v>31713939234.502953</v>
      </c>
      <c r="K23" s="11">
        <f t="shared" si="4"/>
        <v>1.1549999999999727E-2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64245544.361199774</v>
      </c>
      <c r="D24" s="11">
        <v>1.7760000000000001E-2</v>
      </c>
      <c r="E24" s="10">
        <f t="shared" si="2"/>
        <v>1121090.3040548936</v>
      </c>
      <c r="F24" s="3"/>
      <c r="G24" s="28"/>
      <c r="H24" s="10"/>
      <c r="I24" s="10">
        <f t="shared" si="5"/>
        <v>488</v>
      </c>
      <c r="J24" s="10">
        <f t="shared" si="3"/>
        <v>31351825648.265491</v>
      </c>
      <c r="K24" s="11">
        <f t="shared" si="4"/>
        <v>1.7759999999999998E-2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63124454.05714488</v>
      </c>
      <c r="D25" s="11">
        <v>1.4930000000000001E-2</v>
      </c>
      <c r="E25" s="10">
        <f t="shared" si="2"/>
        <v>928584.33495233953</v>
      </c>
      <c r="F25" s="3"/>
      <c r="G25" s="28"/>
      <c r="H25" s="10"/>
      <c r="I25" s="10">
        <f t="shared" si="5"/>
        <v>488</v>
      </c>
      <c r="J25" s="10">
        <f t="shared" si="3"/>
        <v>30804733579.886703</v>
      </c>
      <c r="K25" s="11">
        <f t="shared" si="4"/>
        <v>1.493000000000011E-2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62195869.722192541</v>
      </c>
      <c r="D26" s="11">
        <v>2.4719999999999999E-2</v>
      </c>
      <c r="E26" s="10">
        <f t="shared" si="2"/>
        <v>1500392.2042436972</v>
      </c>
      <c r="F26" s="3"/>
      <c r="G26" s="28"/>
      <c r="H26" s="10"/>
      <c r="I26" s="10">
        <f t="shared" si="5"/>
        <v>488</v>
      </c>
      <c r="J26" s="10">
        <f t="shared" si="3"/>
        <v>30351584424.429958</v>
      </c>
      <c r="K26" s="11">
        <f t="shared" si="4"/>
        <v>2.4719999999999853E-2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60695477.517948844</v>
      </c>
      <c r="D27" s="11">
        <v>2.9659999999999999E-2</v>
      </c>
      <c r="E27" s="10">
        <f t="shared" si="2"/>
        <v>1748371.1741568744</v>
      </c>
      <c r="F27" s="3"/>
      <c r="G27" s="28"/>
      <c r="H27" s="10"/>
      <c r="I27" s="10">
        <f t="shared" si="5"/>
        <v>488</v>
      </c>
      <c r="J27" s="10">
        <f t="shared" si="3"/>
        <v>29619393028.759037</v>
      </c>
      <c r="K27" s="11">
        <f t="shared" si="4"/>
        <v>2.966000000000002E-2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58947106.343791969</v>
      </c>
      <c r="D28" s="11">
        <v>2.8559999999999999E-2</v>
      </c>
      <c r="E28" s="10">
        <f t="shared" si="2"/>
        <v>1636782.8392886147</v>
      </c>
      <c r="F28" s="3"/>
      <c r="G28" s="28"/>
      <c r="H28" s="10"/>
      <c r="I28" s="10">
        <f t="shared" si="5"/>
        <v>488</v>
      </c>
      <c r="J28" s="10">
        <f t="shared" si="3"/>
        <v>28766187895.770481</v>
      </c>
      <c r="K28" s="11">
        <f t="shared" si="4"/>
        <v>2.8560000000000141E-2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57310323.504503354</v>
      </c>
      <c r="D29" s="11">
        <v>2.988E-2</v>
      </c>
      <c r="E29" s="10">
        <f t="shared" si="2"/>
        <v>1662749.5109280273</v>
      </c>
      <c r="F29" s="3"/>
      <c r="G29" s="28"/>
      <c r="H29" s="10"/>
      <c r="I29" s="10">
        <f t="shared" si="5"/>
        <v>488</v>
      </c>
      <c r="J29" s="10">
        <f t="shared" si="3"/>
        <v>27967437870.197636</v>
      </c>
      <c r="K29" s="11">
        <f t="shared" si="4"/>
        <v>2.9879999999999907E-2</v>
      </c>
      <c r="L29" t="s">
        <v>131</v>
      </c>
      <c r="M29" t="s">
        <v>132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55647573.993575327</v>
      </c>
      <c r="D30" s="11">
        <v>3.4759999999999999E-2</v>
      </c>
      <c r="E30" s="10">
        <f t="shared" si="2"/>
        <v>1869331.702053301</v>
      </c>
      <c r="F30" s="3"/>
      <c r="G30" s="28"/>
      <c r="H30" s="10"/>
      <c r="I30" s="10">
        <f t="shared" si="5"/>
        <v>488</v>
      </c>
      <c r="J30" s="10">
        <f t="shared" si="3"/>
        <v>27156016108.864761</v>
      </c>
      <c r="K30" s="11">
        <f t="shared" si="4"/>
        <v>3.4759999999999902E-2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53778242.291522026</v>
      </c>
      <c r="D31" s="11">
        <v>3.6970000000000003E-2</v>
      </c>
      <c r="E31" s="10">
        <f t="shared" si="2"/>
        <v>1917299.0708675906</v>
      </c>
      <c r="F31" s="3"/>
      <c r="G31" s="28"/>
      <c r="H31" s="10"/>
      <c r="I31" s="10">
        <f t="shared" si="5"/>
        <v>488</v>
      </c>
      <c r="J31" s="10">
        <f t="shared" si="3"/>
        <v>26243782238.262749</v>
      </c>
      <c r="K31" s="11">
        <f t="shared" si="4"/>
        <v>3.6969999999999947E-2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51860943.220654435</v>
      </c>
      <c r="D32" s="11">
        <v>3.6830000000000002E-2</v>
      </c>
      <c r="E32" s="10">
        <f t="shared" si="2"/>
        <v>1842190.656922251</v>
      </c>
      <c r="F32" s="3"/>
      <c r="G32" s="28"/>
      <c r="H32" s="10"/>
      <c r="I32" s="10">
        <f t="shared" si="5"/>
        <v>488</v>
      </c>
      <c r="J32" s="10">
        <f t="shared" si="3"/>
        <v>25308140291.679363</v>
      </c>
      <c r="K32" s="11">
        <f t="shared" si="4"/>
        <v>3.6829999999999696E-2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50018752.563732184</v>
      </c>
      <c r="D33" s="11">
        <v>3.6639999999999999E-2</v>
      </c>
      <c r="E33" s="10">
        <f t="shared" si="2"/>
        <v>1767910.8407307714</v>
      </c>
      <c r="F33" s="3"/>
      <c r="G33" s="28"/>
      <c r="H33" s="10"/>
      <c r="I33" s="10">
        <f t="shared" si="5"/>
        <v>488</v>
      </c>
      <c r="J33" s="10">
        <f t="shared" si="3"/>
        <v>24409151251.101307</v>
      </c>
      <c r="K33" s="11">
        <f t="shared" si="4"/>
        <v>3.6640000000000006E-2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48250841.723001413</v>
      </c>
      <c r="D34" s="11">
        <v>3.8640000000000001E-2</v>
      </c>
      <c r="E34" s="10">
        <f t="shared" si="2"/>
        <v>1795051.7255033255</v>
      </c>
      <c r="F34" s="3"/>
      <c r="G34" s="28"/>
      <c r="H34" s="10"/>
      <c r="I34" s="10">
        <f t="shared" si="5"/>
        <v>488</v>
      </c>
      <c r="J34" s="10">
        <f t="shared" ref="J34:J65" si="6">IF(I34="","",I34*C34)</f>
        <v>23546410760.824688</v>
      </c>
      <c r="K34" s="11">
        <f t="shared" ref="K34:K65" si="7">IFERROR(J34/J35-1,"")</f>
        <v>3.8639999999999786E-2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46455789.997498088</v>
      </c>
      <c r="D35" s="11">
        <v>3.9230000000000001E-2</v>
      </c>
      <c r="E35" s="10">
        <f t="shared" si="2"/>
        <v>1753664.3876734227</v>
      </c>
      <c r="F35" s="3"/>
      <c r="G35" s="28"/>
      <c r="H35" s="10"/>
      <c r="I35" s="10">
        <f t="shared" ref="I35:I66" si="8">IF(H35&lt;&gt;"",H35,I34/(1+IF(G34="",0,G34)/100))</f>
        <v>488</v>
      </c>
      <c r="J35" s="10">
        <f t="shared" si="6"/>
        <v>22670425518.779068</v>
      </c>
      <c r="K35" s="11">
        <f t="shared" si="7"/>
        <v>3.9230000000000098E-2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44702125.609824665</v>
      </c>
      <c r="D36" s="11">
        <v>3.7400000000000003E-2</v>
      </c>
      <c r="E36" s="10">
        <f t="shared" si="2"/>
        <v>1611586.1748674065</v>
      </c>
      <c r="F36" s="3"/>
      <c r="G36" s="28"/>
      <c r="H36" s="10"/>
      <c r="I36" s="10">
        <f t="shared" si="8"/>
        <v>488</v>
      </c>
      <c r="J36" s="10">
        <f t="shared" si="6"/>
        <v>21814637297.594437</v>
      </c>
      <c r="K36" s="11">
        <f t="shared" si="7"/>
        <v>3.74000000000001E-2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43090539.434957258</v>
      </c>
      <c r="D37" s="11">
        <v>3.6769999999999997E-2</v>
      </c>
      <c r="E37" s="10">
        <f t="shared" si="2"/>
        <v>1528245.5462864265</v>
      </c>
      <c r="F37" s="3"/>
      <c r="G37" s="28"/>
      <c r="H37" s="10"/>
      <c r="I37" s="10">
        <f t="shared" si="8"/>
        <v>488</v>
      </c>
      <c r="J37" s="10">
        <f t="shared" si="6"/>
        <v>21028183244.259144</v>
      </c>
      <c r="K37" s="11">
        <f t="shared" si="7"/>
        <v>3.6769999999999969E-2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41562293.888670832</v>
      </c>
      <c r="D38" s="11">
        <v>3.5650000000000001E-2</v>
      </c>
      <c r="E38" s="10">
        <f t="shared" si="2"/>
        <v>1430691.6208478883</v>
      </c>
      <c r="F38" s="3"/>
      <c r="G38" s="28"/>
      <c r="H38" s="10"/>
      <c r="I38" s="10">
        <f t="shared" si="8"/>
        <v>488</v>
      </c>
      <c r="J38" s="10">
        <f t="shared" si="6"/>
        <v>20282399417.671368</v>
      </c>
      <c r="K38" s="11">
        <f t="shared" si="7"/>
        <v>3.5649999999999959E-2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40131602.267822944</v>
      </c>
      <c r="D39" s="11">
        <v>3.3050000000000003E-2</v>
      </c>
      <c r="E39" s="10">
        <f t="shared" si="2"/>
        <v>1283916.0301549286</v>
      </c>
      <c r="F39" s="3"/>
      <c r="G39" s="28"/>
      <c r="H39" s="10"/>
      <c r="I39" s="10">
        <f t="shared" si="8"/>
        <v>488</v>
      </c>
      <c r="J39" s="10">
        <f t="shared" si="6"/>
        <v>19584221906.697598</v>
      </c>
      <c r="K39" s="11">
        <f t="shared" si="7"/>
        <v>3.3050000000000024E-2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38847686.237668015</v>
      </c>
      <c r="D40" s="11">
        <v>3.2280000000000003E-2</v>
      </c>
      <c r="E40" s="10">
        <f t="shared" si="2"/>
        <v>1214789.8939744309</v>
      </c>
      <c r="F40" s="3"/>
      <c r="G40" s="28"/>
      <c r="H40" s="10"/>
      <c r="I40" s="10">
        <f t="shared" si="8"/>
        <v>488</v>
      </c>
      <c r="J40" s="10">
        <f t="shared" si="6"/>
        <v>18957670883.981991</v>
      </c>
      <c r="K40" s="11">
        <f t="shared" si="7"/>
        <v>3.2280000000000086E-2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37632896.343693584</v>
      </c>
      <c r="D41" s="11">
        <v>2.963E-2</v>
      </c>
      <c r="E41" s="10">
        <f t="shared" si="2"/>
        <v>1082974.1933156997</v>
      </c>
      <c r="F41" s="3"/>
      <c r="G41" s="28"/>
      <c r="H41" s="10"/>
      <c r="I41" s="10">
        <f t="shared" si="8"/>
        <v>488</v>
      </c>
      <c r="J41" s="10">
        <f t="shared" si="6"/>
        <v>18364853415.722469</v>
      </c>
      <c r="K41" s="11">
        <f t="shared" si="7"/>
        <v>2.9630000000000045E-2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36549922.150377885</v>
      </c>
      <c r="D42" s="11">
        <v>3.066E-2</v>
      </c>
      <c r="E42" s="10">
        <f t="shared" si="2"/>
        <v>1087284.4712422937</v>
      </c>
      <c r="F42" s="3"/>
      <c r="G42" s="28"/>
      <c r="H42" s="10"/>
      <c r="I42" s="10">
        <f t="shared" si="8"/>
        <v>488</v>
      </c>
      <c r="J42" s="10">
        <f t="shared" si="6"/>
        <v>17836362009.384407</v>
      </c>
      <c r="K42" s="11">
        <f t="shared" si="7"/>
        <v>3.065999999999991E-2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35462637.679135591</v>
      </c>
      <c r="D43" s="11">
        <v>2.9780000000000001E-2</v>
      </c>
      <c r="E43" s="10">
        <f t="shared" si="2"/>
        <v>1025536.8623246253</v>
      </c>
      <c r="F43" s="3"/>
      <c r="G43" s="28"/>
      <c r="H43" s="10"/>
      <c r="I43" s="10">
        <f t="shared" si="8"/>
        <v>488</v>
      </c>
      <c r="J43" s="10">
        <f t="shared" si="6"/>
        <v>17305767187.418167</v>
      </c>
      <c r="K43" s="11">
        <f t="shared" si="7"/>
        <v>2.9779999999999696E-2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34437100.816810966</v>
      </c>
      <c r="D44" s="11">
        <v>2.9420000000000002E-2</v>
      </c>
      <c r="E44" s="10">
        <f t="shared" si="2"/>
        <v>984184.78952281922</v>
      </c>
      <c r="F44" s="3"/>
      <c r="G44" s="28"/>
      <c r="H44" s="10"/>
      <c r="I44" s="10">
        <f t="shared" si="8"/>
        <v>488</v>
      </c>
      <c r="J44" s="10">
        <f t="shared" si="6"/>
        <v>16805305198.603752</v>
      </c>
      <c r="K44" s="11">
        <f t="shared" si="7"/>
        <v>2.9420000000000002E-2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33452916.027288146</v>
      </c>
      <c r="D45" s="11">
        <v>2.913E-2</v>
      </c>
      <c r="E45" s="10">
        <f t="shared" si="2"/>
        <v>946900.23988699913</v>
      </c>
      <c r="F45" s="3"/>
      <c r="G45" s="28"/>
      <c r="H45" s="10"/>
      <c r="I45" s="10">
        <f t="shared" si="8"/>
        <v>488</v>
      </c>
      <c r="J45" s="10">
        <f t="shared" si="6"/>
        <v>16325023021.316616</v>
      </c>
      <c r="K45" s="11">
        <f t="shared" si="7"/>
        <v>2.91300000000001E-2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32506015.787401147</v>
      </c>
      <c r="D46" s="11">
        <v>2.9430000000000001E-2</v>
      </c>
      <c r="E46" s="10">
        <f t="shared" si="2"/>
        <v>929302.66712959483</v>
      </c>
      <c r="F46" s="3"/>
      <c r="G46" s="28"/>
      <c r="H46" s="10"/>
      <c r="I46" s="10">
        <f t="shared" si="8"/>
        <v>488</v>
      </c>
      <c r="J46" s="10">
        <f t="shared" si="6"/>
        <v>15862935704.25176</v>
      </c>
      <c r="K46" s="11">
        <f t="shared" si="7"/>
        <v>2.9430000000000067E-2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31576713.120271552</v>
      </c>
      <c r="D47" s="11">
        <v>3.0349999999999999E-2</v>
      </c>
      <c r="E47" s="10">
        <f t="shared" si="2"/>
        <v>930123.98039525002</v>
      </c>
      <c r="F47" s="3"/>
      <c r="G47" s="28"/>
      <c r="H47" s="10"/>
      <c r="I47" s="10">
        <f t="shared" si="8"/>
        <v>488</v>
      </c>
      <c r="J47" s="10">
        <f t="shared" si="6"/>
        <v>15409436002.692518</v>
      </c>
      <c r="K47" s="11">
        <f t="shared" si="7"/>
        <v>3.0350000000000099E-2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30646589.139876302</v>
      </c>
      <c r="D48" s="11">
        <v>3.0380000000000001E-2</v>
      </c>
      <c r="E48" s="10">
        <f t="shared" si="2"/>
        <v>903592.24564669654</v>
      </c>
      <c r="F48" s="3"/>
      <c r="G48" s="28"/>
      <c r="H48" s="10"/>
      <c r="I48" s="10">
        <f t="shared" si="8"/>
        <v>488</v>
      </c>
      <c r="J48" s="10">
        <f t="shared" si="6"/>
        <v>14955535500.259636</v>
      </c>
      <c r="K48" s="11">
        <f t="shared" si="7"/>
        <v>3.0380000000000074E-2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29742996.894229606</v>
      </c>
      <c r="D49" s="11">
        <v>2.9649999999999999E-2</v>
      </c>
      <c r="E49" s="10">
        <f t="shared" si="2"/>
        <v>856485.07542748004</v>
      </c>
      <c r="F49" s="3"/>
      <c r="G49" s="28"/>
      <c r="H49" s="10"/>
      <c r="I49" s="10">
        <f t="shared" si="8"/>
        <v>488</v>
      </c>
      <c r="J49" s="10">
        <f t="shared" si="6"/>
        <v>14514582484.384048</v>
      </c>
      <c r="K49" s="11">
        <f t="shared" si="7"/>
        <v>2.9649999999999954E-2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28886511.818802126</v>
      </c>
      <c r="D50" s="11">
        <v>3.022E-2</v>
      </c>
      <c r="E50" s="10">
        <f t="shared" si="2"/>
        <v>847343.66170740128</v>
      </c>
      <c r="F50" s="3"/>
      <c r="G50" s="28"/>
      <c r="H50" s="10"/>
      <c r="I50" s="10">
        <f t="shared" si="8"/>
        <v>488</v>
      </c>
      <c r="J50" s="10">
        <f t="shared" si="6"/>
        <v>14096617767.575438</v>
      </c>
      <c r="K50" s="11">
        <f t="shared" si="7"/>
        <v>3.0219999999999914E-2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28039168.157094724</v>
      </c>
      <c r="D51" s="11">
        <v>3.073E-2</v>
      </c>
      <c r="E51" s="10">
        <f t="shared" si="2"/>
        <v>835954.7480596453</v>
      </c>
      <c r="F51" s="3"/>
      <c r="G51" s="28"/>
      <c r="H51" s="10"/>
      <c r="I51" s="10">
        <f t="shared" si="8"/>
        <v>488</v>
      </c>
      <c r="J51" s="10">
        <f t="shared" si="6"/>
        <v>13683114060.662226</v>
      </c>
      <c r="K51" s="11">
        <f t="shared" si="7"/>
        <v>3.0729999999999924E-2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27203213.409035079</v>
      </c>
      <c r="D52" s="11">
        <v>3.159E-2</v>
      </c>
      <c r="E52" s="10">
        <f t="shared" si="2"/>
        <v>833033.96852569282</v>
      </c>
      <c r="F52" s="3"/>
      <c r="G52" s="28"/>
      <c r="H52" s="10"/>
      <c r="I52" s="10">
        <f t="shared" si="8"/>
        <v>488</v>
      </c>
      <c r="J52" s="10">
        <f t="shared" si="6"/>
        <v>13275168143.609119</v>
      </c>
      <c r="K52" s="11">
        <f t="shared" si="7"/>
        <v>3.1590000000000229E-2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26370179.440509386</v>
      </c>
      <c r="D53" s="11">
        <v>3.1220000000000001E-2</v>
      </c>
      <c r="E53" s="10">
        <f t="shared" si="2"/>
        <v>798352.43898751214</v>
      </c>
      <c r="F53" s="3"/>
      <c r="G53" s="28"/>
      <c r="H53" s="10"/>
      <c r="I53" s="10">
        <f t="shared" si="8"/>
        <v>488</v>
      </c>
      <c r="J53" s="10">
        <f t="shared" si="6"/>
        <v>12868647566.96858</v>
      </c>
      <c r="K53" s="11">
        <f t="shared" si="7"/>
        <v>3.1220000000000026E-2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25571827.001521874</v>
      </c>
      <c r="D54" s="11">
        <v>3.1050000000000001E-2</v>
      </c>
      <c r="E54" s="10">
        <f t="shared" si="2"/>
        <v>770093.81542820856</v>
      </c>
      <c r="F54" s="3"/>
      <c r="G54" s="28"/>
      <c r="H54" s="10"/>
      <c r="I54" s="10">
        <f t="shared" si="8"/>
        <v>488</v>
      </c>
      <c r="J54" s="10">
        <f t="shared" si="6"/>
        <v>12479051576.742674</v>
      </c>
      <c r="K54" s="11">
        <f t="shared" si="7"/>
        <v>3.1050000000000022E-2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24801733.186093666</v>
      </c>
      <c r="D55" s="11">
        <v>3.0339999999999999E-2</v>
      </c>
      <c r="E55" s="10">
        <f t="shared" si="2"/>
        <v>730326.47947869822</v>
      </c>
      <c r="F55" s="3"/>
      <c r="G55" s="28"/>
      <c r="H55" s="10"/>
      <c r="I55" s="10">
        <f t="shared" si="8"/>
        <v>488</v>
      </c>
      <c r="J55" s="10">
        <f t="shared" si="6"/>
        <v>12103245794.813709</v>
      </c>
      <c r="K55" s="11">
        <f t="shared" si="7"/>
        <v>3.0340000000000034E-2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24071406.706614967</v>
      </c>
      <c r="D56" s="11">
        <v>3.04E-2</v>
      </c>
      <c r="E56" s="10">
        <f t="shared" si="2"/>
        <v>710181.25376658887</v>
      </c>
      <c r="F56" s="3"/>
      <c r="G56" s="28"/>
      <c r="H56" s="10"/>
      <c r="I56" s="10">
        <f t="shared" si="8"/>
        <v>488</v>
      </c>
      <c r="J56" s="10">
        <f t="shared" si="6"/>
        <v>11746846472.828104</v>
      </c>
      <c r="K56" s="11">
        <f t="shared" si="7"/>
        <v>3.0399999999999761E-2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23361225.452848379</v>
      </c>
      <c r="D57" s="11">
        <v>2.972E-2</v>
      </c>
      <c r="E57" s="10">
        <f t="shared" si="2"/>
        <v>674256.71100750938</v>
      </c>
      <c r="F57" s="3"/>
      <c r="G57" s="28"/>
      <c r="H57" s="10"/>
      <c r="I57" s="10">
        <f t="shared" si="8"/>
        <v>488</v>
      </c>
      <c r="J57" s="10">
        <f t="shared" si="6"/>
        <v>11400278020.990009</v>
      </c>
      <c r="K57" s="11">
        <f t="shared" si="7"/>
        <v>2.9719999999999969E-2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22686968.741840869</v>
      </c>
      <c r="D58" s="11">
        <v>2.9229999999999999E-2</v>
      </c>
      <c r="E58" s="10">
        <f t="shared" si="2"/>
        <v>644307.00263693184</v>
      </c>
      <c r="F58" s="3"/>
      <c r="G58" s="28"/>
      <c r="H58" s="10"/>
      <c r="I58" s="10">
        <f t="shared" si="8"/>
        <v>488</v>
      </c>
      <c r="J58" s="10">
        <f t="shared" si="6"/>
        <v>11071240746.018345</v>
      </c>
      <c r="K58" s="11">
        <f t="shared" si="7"/>
        <v>2.9230000000000089E-2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22042661.739203937</v>
      </c>
      <c r="D59" s="11">
        <v>2.7210000000000002E-2</v>
      </c>
      <c r="E59" s="10">
        <f t="shared" si="2"/>
        <v>583893.0948138535</v>
      </c>
      <c r="F59" s="3"/>
      <c r="G59" s="28"/>
      <c r="H59" s="10"/>
      <c r="I59" s="10">
        <f t="shared" si="8"/>
        <v>488</v>
      </c>
      <c r="J59" s="10">
        <f t="shared" si="6"/>
        <v>10756818928.731522</v>
      </c>
      <c r="K59" s="11">
        <f t="shared" si="7"/>
        <v>2.7209999999999956E-2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21458768.644390084</v>
      </c>
      <c r="D60" s="11">
        <v>2.6769999999999999E-2</v>
      </c>
      <c r="E60" s="10">
        <f t="shared" si="2"/>
        <v>559474.11456345767</v>
      </c>
      <c r="F60" s="3"/>
      <c r="G60" s="28"/>
      <c r="H60" s="10"/>
      <c r="I60" s="10">
        <f t="shared" si="8"/>
        <v>488</v>
      </c>
      <c r="J60" s="10">
        <f t="shared" si="6"/>
        <v>10471879098.46236</v>
      </c>
      <c r="K60" s="11">
        <f t="shared" si="7"/>
        <v>2.676999999999996E-2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20899294.529826626</v>
      </c>
      <c r="D61" s="11">
        <v>2.6919999999999999E-2</v>
      </c>
      <c r="E61" s="10">
        <f t="shared" si="2"/>
        <v>547860.60135447234</v>
      </c>
      <c r="F61" s="3"/>
      <c r="G61" s="28"/>
      <c r="H61" s="10"/>
      <c r="I61" s="10">
        <f t="shared" si="8"/>
        <v>488</v>
      </c>
      <c r="J61" s="10">
        <f t="shared" si="6"/>
        <v>10198855730.555393</v>
      </c>
      <c r="K61" s="11">
        <f t="shared" si="7"/>
        <v>2.6920000000000055E-2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20351433.928472154</v>
      </c>
      <c r="D62" s="11">
        <v>2.622E-2</v>
      </c>
      <c r="E62" s="10">
        <f t="shared" si="2"/>
        <v>519980.70355726779</v>
      </c>
      <c r="F62" s="3"/>
      <c r="G62" s="28"/>
      <c r="H62" s="10"/>
      <c r="I62" s="10">
        <f t="shared" si="8"/>
        <v>488</v>
      </c>
      <c r="J62" s="10">
        <f t="shared" si="6"/>
        <v>9931499757.0944118</v>
      </c>
      <c r="K62" s="11">
        <f t="shared" si="7"/>
        <v>2.621999999999991E-2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19831453.224914886</v>
      </c>
      <c r="D63" s="11">
        <v>2.5180000000000001E-2</v>
      </c>
      <c r="E63" s="10">
        <f t="shared" si="2"/>
        <v>487091.03982067108</v>
      </c>
      <c r="F63" s="3"/>
      <c r="G63" s="28"/>
      <c r="H63" s="10"/>
      <c r="I63" s="10">
        <f t="shared" si="8"/>
        <v>488</v>
      </c>
      <c r="J63" s="10">
        <f t="shared" si="6"/>
        <v>9677749173.7584648</v>
      </c>
      <c r="K63" s="11">
        <f t="shared" si="7"/>
        <v>2.517999999999998E-2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19344362.185094215</v>
      </c>
      <c r="D64" s="11">
        <v>2.46E-2</v>
      </c>
      <c r="E64" s="10">
        <f t="shared" si="2"/>
        <v>464445.93963821605</v>
      </c>
      <c r="F64" s="3"/>
      <c r="G64" s="28"/>
      <c r="H64" s="10"/>
      <c r="I64" s="10">
        <f t="shared" si="8"/>
        <v>488</v>
      </c>
      <c r="J64" s="10">
        <f t="shared" si="6"/>
        <v>9440048746.3259773</v>
      </c>
      <c r="K64" s="11">
        <f t="shared" si="7"/>
        <v>2.4599999999999955E-2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18879916.245455999</v>
      </c>
      <c r="D65" s="11">
        <v>2.4799999999999999E-2</v>
      </c>
      <c r="E65" s="10">
        <f t="shared" si="2"/>
        <v>456891.02545600012</v>
      </c>
      <c r="F65" s="3"/>
      <c r="G65" s="28"/>
      <c r="H65" s="10"/>
      <c r="I65" s="10">
        <f t="shared" si="8"/>
        <v>488</v>
      </c>
      <c r="J65" s="10">
        <f t="shared" si="6"/>
        <v>9213399127.7825279</v>
      </c>
      <c r="K65" s="11">
        <f t="shared" si="7"/>
        <v>2.4800000000000155E-2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18423025.219999999</v>
      </c>
      <c r="D66" s="11">
        <v>2.46E-2</v>
      </c>
      <c r="E66" s="10">
        <f t="shared" si="2"/>
        <v>442325.21999999881</v>
      </c>
      <c r="F66" s="24">
        <f>SUM(F2)</f>
        <v>88913943</v>
      </c>
      <c r="G66" s="28"/>
      <c r="H66" s="10"/>
      <c r="I66" s="10">
        <f t="shared" si="8"/>
        <v>488</v>
      </c>
      <c r="J66" s="10">
        <f t="shared" ref="J66:J67" si="9">IF(I66="","",I66*C66)</f>
        <v>8990436307.3599987</v>
      </c>
      <c r="K66" s="11">
        <f t="shared" ref="K66" si="10">IFERROR(J66/J67-1,"")</f>
        <v>2.4599999999999955E-2</v>
      </c>
    </row>
    <row r="67" spans="1:11" ht="22.5" customHeight="1">
      <c r="A67" s="3">
        <f t="shared" si="0"/>
        <v>1950</v>
      </c>
      <c r="B67" s="3">
        <v>1700</v>
      </c>
      <c r="C67" s="10">
        <v>17980700</v>
      </c>
      <c r="D67" s="11">
        <v>2.4549999999999999E-2</v>
      </c>
      <c r="E67" s="3" t="s">
        <v>72</v>
      </c>
      <c r="F67" s="10">
        <f>SUM(C2)</f>
        <v>88913059.385321379</v>
      </c>
      <c r="G67" s="28"/>
      <c r="H67" s="10"/>
      <c r="I67" s="10">
        <f t="shared" ref="I67" si="11">IF(H67&lt;&gt;"",H67,I66/(1+IF(G66="",0,G66)/100))</f>
        <v>488</v>
      </c>
      <c r="J67" s="10">
        <f t="shared" si="9"/>
        <v>8774581600</v>
      </c>
      <c r="K67" s="11"/>
    </row>
  </sheetData>
  <dataValidations count="1">
    <dataValidation type="custom" allowBlank="1" showDropDown="1" sqref="D2:D67" xr:uid="{00000000-0002-0000-6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33245957.230227757</v>
      </c>
      <c r="D2" s="11">
        <v>1.7309999999999999E-2</v>
      </c>
      <c r="E2" s="10">
        <f t="shared" ref="E2:E66" si="2">SUM(C2-C3)</f>
        <v>565695.33343350515</v>
      </c>
      <c r="F2" s="15">
        <v>33245174</v>
      </c>
      <c r="G2" s="28"/>
      <c r="H2" s="10"/>
      <c r="I2" s="10">
        <f>IF(H2&lt;&gt;"",H2,8770)</f>
        <v>8770</v>
      </c>
      <c r="J2" s="10">
        <f t="shared" ref="J2:J33" si="3">IF(I2="","",I2*C2)</f>
        <v>291567044909.09741</v>
      </c>
      <c r="K2" s="11">
        <f t="shared" ref="K2:K33" si="4">IFERROR(J2/J3-1,"")</f>
        <v>1.7309999999999715E-2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32680261.896794252</v>
      </c>
      <c r="D3" s="11">
        <v>1.7299999999999999E-2</v>
      </c>
      <c r="E3" s="10">
        <f t="shared" si="2"/>
        <v>555753.98684217408</v>
      </c>
      <c r="F3" s="3"/>
      <c r="G3" s="28"/>
      <c r="H3" s="10"/>
      <c r="I3" s="10">
        <f t="shared" ref="I3:I34" si="5">IF(H3&lt;&gt;"",H3,I2/(1+IF(G2="",0,G2)/100))</f>
        <v>8770</v>
      </c>
      <c r="J3" s="10">
        <f t="shared" si="3"/>
        <v>286605896834.88562</v>
      </c>
      <c r="K3" s="11">
        <f t="shared" si="4"/>
        <v>1.7300000000000093E-2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32124507.909952078</v>
      </c>
      <c r="D4" s="11">
        <v>1.7309999999999999E-2</v>
      </c>
      <c r="E4" s="10">
        <f t="shared" si="2"/>
        <v>546613.35475053638</v>
      </c>
      <c r="F4" s="3"/>
      <c r="G4" s="28"/>
      <c r="H4" s="10"/>
      <c r="I4" s="10">
        <f t="shared" si="5"/>
        <v>8770</v>
      </c>
      <c r="J4" s="10">
        <f t="shared" si="3"/>
        <v>281731934370.27972</v>
      </c>
      <c r="K4" s="11">
        <f t="shared" si="4"/>
        <v>1.7309999999999937E-2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31577894.555201542</v>
      </c>
      <c r="D5" s="11">
        <v>1.754E-2</v>
      </c>
      <c r="E5" s="10">
        <f t="shared" si="2"/>
        <v>544328.74432281032</v>
      </c>
      <c r="F5" s="3"/>
      <c r="G5" s="28"/>
      <c r="H5" s="10"/>
      <c r="I5" s="10">
        <f t="shared" si="5"/>
        <v>8770</v>
      </c>
      <c r="J5" s="10">
        <f t="shared" si="3"/>
        <v>276938135249.11749</v>
      </c>
      <c r="K5" s="11">
        <f t="shared" si="4"/>
        <v>1.7539999999999889E-2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31033565.810878731</v>
      </c>
      <c r="D6" s="11">
        <v>1.7749999999999998E-2</v>
      </c>
      <c r="E6" s="10">
        <f t="shared" si="2"/>
        <v>541238.80436560512</v>
      </c>
      <c r="F6" s="3"/>
      <c r="G6" s="28"/>
      <c r="H6" s="10"/>
      <c r="I6" s="10">
        <f t="shared" si="5"/>
        <v>8770</v>
      </c>
      <c r="J6" s="10">
        <f t="shared" si="3"/>
        <v>272164372161.40646</v>
      </c>
      <c r="K6" s="11">
        <f t="shared" si="4"/>
        <v>1.7749999999999932E-2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30492327.006513126</v>
      </c>
      <c r="D7" s="11">
        <v>1.7739999999999999E-2</v>
      </c>
      <c r="E7" s="10">
        <f t="shared" si="2"/>
        <v>531504.98270240426</v>
      </c>
      <c r="F7" s="3"/>
      <c r="G7" s="28"/>
      <c r="H7" s="10"/>
      <c r="I7" s="10">
        <f t="shared" si="5"/>
        <v>8770</v>
      </c>
      <c r="J7" s="10">
        <f t="shared" si="3"/>
        <v>267417707847.12012</v>
      </c>
      <c r="K7" s="11">
        <f t="shared" si="4"/>
        <v>1.7740000000000089E-2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29960822.023810722</v>
      </c>
      <c r="D8" s="11">
        <v>1.7940000000000001E-2</v>
      </c>
      <c r="E8" s="10">
        <f t="shared" si="2"/>
        <v>528024.38955848664</v>
      </c>
      <c r="F8" s="3"/>
      <c r="G8" s="28"/>
      <c r="H8" s="10"/>
      <c r="I8" s="10">
        <f t="shared" si="5"/>
        <v>8770</v>
      </c>
      <c r="J8" s="10">
        <f t="shared" si="3"/>
        <v>262756409148.82004</v>
      </c>
      <c r="K8" s="11">
        <f t="shared" si="4"/>
        <v>1.7940000000000067E-2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29432797.634252235</v>
      </c>
      <c r="D9" s="11">
        <v>1.8149999999999999E-2</v>
      </c>
      <c r="E9" s="10">
        <f t="shared" si="2"/>
        <v>524682.29343581572</v>
      </c>
      <c r="F9" s="3"/>
      <c r="G9" s="28"/>
      <c r="H9" s="10"/>
      <c r="I9" s="10">
        <f t="shared" si="5"/>
        <v>8770</v>
      </c>
      <c r="J9" s="10">
        <f t="shared" si="3"/>
        <v>258125635252.39209</v>
      </c>
      <c r="K9" s="11">
        <f t="shared" si="4"/>
        <v>1.8149999999999888E-2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28908115.34081642</v>
      </c>
      <c r="D10" s="11">
        <v>1.8270000000000002E-2</v>
      </c>
      <c r="E10" s="10">
        <f t="shared" si="2"/>
        <v>518675.07368057221</v>
      </c>
      <c r="F10" s="3"/>
      <c r="G10" s="28"/>
      <c r="H10" s="10"/>
      <c r="I10" s="10">
        <f t="shared" si="5"/>
        <v>8770</v>
      </c>
      <c r="J10" s="10">
        <f t="shared" si="3"/>
        <v>253524171538.95999</v>
      </c>
      <c r="K10" s="11">
        <f t="shared" si="4"/>
        <v>1.8270000000000008E-2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28389440.267135847</v>
      </c>
      <c r="D11" s="11">
        <v>1.8409999999999999E-2</v>
      </c>
      <c r="E11" s="10">
        <f t="shared" si="2"/>
        <v>513201.55469601974</v>
      </c>
      <c r="F11" s="3"/>
      <c r="G11" s="28"/>
      <c r="H11" s="10"/>
      <c r="I11" s="10">
        <f t="shared" si="5"/>
        <v>8770</v>
      </c>
      <c r="J11" s="10">
        <f t="shared" si="3"/>
        <v>248975391142.78137</v>
      </c>
      <c r="K11" s="11">
        <f t="shared" si="4"/>
        <v>1.8410000000000037E-2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27876238.712439828</v>
      </c>
      <c r="D12" s="11">
        <v>1.8669999999999999E-2</v>
      </c>
      <c r="E12" s="10">
        <f t="shared" si="2"/>
        <v>510910.67446891591</v>
      </c>
      <c r="F12" s="3"/>
      <c r="G12" s="28"/>
      <c r="H12" s="10"/>
      <c r="I12" s="10">
        <f t="shared" si="5"/>
        <v>8770</v>
      </c>
      <c r="J12" s="10">
        <f t="shared" si="3"/>
        <v>244474613508.09729</v>
      </c>
      <c r="K12" s="11">
        <f t="shared" si="4"/>
        <v>1.8669999999999964E-2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27365328.037970912</v>
      </c>
      <c r="D13" s="11">
        <v>1.9029999999999998E-2</v>
      </c>
      <c r="E13" s="10">
        <f t="shared" si="2"/>
        <v>511037.15549354628</v>
      </c>
      <c r="F13" s="3"/>
      <c r="G13" s="28"/>
      <c r="H13" s="10"/>
      <c r="I13" s="10">
        <f t="shared" si="5"/>
        <v>8770</v>
      </c>
      <c r="J13" s="10">
        <f t="shared" si="3"/>
        <v>239993926893.00488</v>
      </c>
      <c r="K13" s="11">
        <f t="shared" si="4"/>
        <v>1.902999999999988E-2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26854290.882477365</v>
      </c>
      <c r="D14" s="11">
        <v>1.907E-2</v>
      </c>
      <c r="E14" s="10">
        <f t="shared" si="2"/>
        <v>502528.11595753208</v>
      </c>
      <c r="F14" s="3"/>
      <c r="G14" s="28"/>
      <c r="H14" s="10"/>
      <c r="I14" s="10">
        <f t="shared" si="5"/>
        <v>8770</v>
      </c>
      <c r="J14" s="10">
        <f t="shared" si="3"/>
        <v>235512131039.32651</v>
      </c>
      <c r="K14" s="11">
        <f t="shared" si="4"/>
        <v>1.906999999999992E-2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26351762.766519833</v>
      </c>
      <c r="D15" s="11">
        <v>1.9210000000000001E-2</v>
      </c>
      <c r="E15" s="10">
        <f t="shared" si="2"/>
        <v>496676.21269889921</v>
      </c>
      <c r="F15" s="3"/>
      <c r="G15" s="28"/>
      <c r="H15" s="10"/>
      <c r="I15" s="10">
        <f t="shared" si="5"/>
        <v>8770</v>
      </c>
      <c r="J15" s="10">
        <f t="shared" si="3"/>
        <v>231104959462.37894</v>
      </c>
      <c r="K15" s="11">
        <f t="shared" si="4"/>
        <v>1.9209999999999949E-2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25855086.553820934</v>
      </c>
      <c r="D16" s="11">
        <v>1.9390000000000001E-2</v>
      </c>
      <c r="E16" s="10">
        <f t="shared" si="2"/>
        <v>491794.23800369725</v>
      </c>
      <c r="F16" s="3"/>
      <c r="G16" s="28"/>
      <c r="H16" s="10"/>
      <c r="I16" s="10">
        <f t="shared" si="5"/>
        <v>8770</v>
      </c>
      <c r="J16" s="10">
        <f t="shared" si="3"/>
        <v>226749109077.00958</v>
      </c>
      <c r="K16" s="11">
        <f t="shared" si="4"/>
        <v>1.9390000000000018E-2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25363292.315817237</v>
      </c>
      <c r="D17" s="11">
        <v>1.9539999999999998E-2</v>
      </c>
      <c r="E17" s="10">
        <f t="shared" si="2"/>
        <v>486100.33137597889</v>
      </c>
      <c r="F17" s="3"/>
      <c r="G17" s="28"/>
      <c r="H17" s="10"/>
      <c r="I17" s="10">
        <f t="shared" si="5"/>
        <v>8770</v>
      </c>
      <c r="J17" s="10">
        <f t="shared" si="3"/>
        <v>222436073609.71716</v>
      </c>
      <c r="K17" s="11">
        <f t="shared" si="4"/>
        <v>1.9539999999999891E-2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24877191.984441258</v>
      </c>
      <c r="D18" s="11">
        <v>1.9740000000000001E-2</v>
      </c>
      <c r="E18" s="10">
        <f t="shared" si="2"/>
        <v>481569.58614242077</v>
      </c>
      <c r="F18" s="3"/>
      <c r="G18" s="28"/>
      <c r="H18" s="10"/>
      <c r="I18" s="10">
        <f t="shared" si="5"/>
        <v>8770</v>
      </c>
      <c r="J18" s="10">
        <f t="shared" si="3"/>
        <v>218172973703.54984</v>
      </c>
      <c r="K18" s="11">
        <f t="shared" si="4"/>
        <v>1.9740000000000091E-2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24395622.398298837</v>
      </c>
      <c r="D19" s="11">
        <v>1.9890000000000001E-2</v>
      </c>
      <c r="E19" s="10">
        <f t="shared" si="2"/>
        <v>475765.94485891983</v>
      </c>
      <c r="F19" s="3"/>
      <c r="G19" s="28"/>
      <c r="H19" s="10"/>
      <c r="I19" s="10">
        <f t="shared" si="5"/>
        <v>8770</v>
      </c>
      <c r="J19" s="10">
        <f t="shared" si="3"/>
        <v>213949608433.08081</v>
      </c>
      <c r="K19" s="11">
        <f t="shared" si="4"/>
        <v>1.9889999999999963E-2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23919856.453439917</v>
      </c>
      <c r="D20" s="11">
        <v>2.0049999999999998E-2</v>
      </c>
      <c r="E20" s="10">
        <f t="shared" si="2"/>
        <v>470166.2878206633</v>
      </c>
      <c r="F20" s="3"/>
      <c r="G20" s="28"/>
      <c r="H20" s="10"/>
      <c r="I20" s="10">
        <f t="shared" si="5"/>
        <v>8770</v>
      </c>
      <c r="J20" s="10">
        <f t="shared" si="3"/>
        <v>209777141096.66809</v>
      </c>
      <c r="K20" s="11">
        <f t="shared" si="4"/>
        <v>2.0049999999999901E-2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23449690.165619254</v>
      </c>
      <c r="D21" s="11">
        <v>2.0160000000000001E-2</v>
      </c>
      <c r="E21" s="10">
        <f t="shared" si="2"/>
        <v>463403.53840464726</v>
      </c>
      <c r="F21" s="3"/>
      <c r="G21" s="28"/>
      <c r="H21" s="10"/>
      <c r="I21" s="10">
        <f t="shared" si="5"/>
        <v>8770</v>
      </c>
      <c r="J21" s="10">
        <f t="shared" si="3"/>
        <v>205653782752.48087</v>
      </c>
      <c r="K21" s="11">
        <f t="shared" si="4"/>
        <v>2.0160000000000178E-2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22986286.627214607</v>
      </c>
      <c r="D22" s="11">
        <v>2.0289999999999999E-2</v>
      </c>
      <c r="E22" s="10">
        <f t="shared" si="2"/>
        <v>457116.85468463227</v>
      </c>
      <c r="F22" s="3"/>
      <c r="G22" s="28"/>
      <c r="H22" s="10"/>
      <c r="I22" s="10">
        <f t="shared" si="5"/>
        <v>8770</v>
      </c>
      <c r="J22" s="10">
        <f t="shared" si="3"/>
        <v>201589733720.67209</v>
      </c>
      <c r="K22" s="11">
        <f t="shared" si="4"/>
        <v>2.0289999999999919E-2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22529169.772529975</v>
      </c>
      <c r="D23" s="11">
        <v>2.051E-2</v>
      </c>
      <c r="E23" s="10">
        <f t="shared" si="2"/>
        <v>452786.61848937348</v>
      </c>
      <c r="F23" s="3"/>
      <c r="G23" s="28"/>
      <c r="H23" s="10"/>
      <c r="I23" s="10">
        <f t="shared" si="5"/>
        <v>8770</v>
      </c>
      <c r="J23" s="10">
        <f t="shared" si="3"/>
        <v>197580818905.08789</v>
      </c>
      <c r="K23" s="11">
        <f t="shared" si="4"/>
        <v>2.0510000000000028E-2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22076383.154040601</v>
      </c>
      <c r="D24" s="11">
        <v>2.0709999999999999E-2</v>
      </c>
      <c r="E24" s="10">
        <f t="shared" si="2"/>
        <v>447925.36089602485</v>
      </c>
      <c r="F24" s="3"/>
      <c r="G24" s="28"/>
      <c r="H24" s="10"/>
      <c r="I24" s="10">
        <f t="shared" si="5"/>
        <v>8770</v>
      </c>
      <c r="J24" s="10">
        <f t="shared" si="3"/>
        <v>193609880260.93607</v>
      </c>
      <c r="K24" s="11">
        <f t="shared" si="4"/>
        <v>2.0710000000000006E-2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21628457.793144576</v>
      </c>
      <c r="D25" s="11">
        <v>2.0840000000000001E-2</v>
      </c>
      <c r="E25" s="10">
        <f t="shared" si="2"/>
        <v>441535.46139368787</v>
      </c>
      <c r="F25" s="3"/>
      <c r="G25" s="28"/>
      <c r="H25" s="10"/>
      <c r="I25" s="10">
        <f t="shared" si="5"/>
        <v>8770</v>
      </c>
      <c r="J25" s="10">
        <f t="shared" si="3"/>
        <v>189681574845.87793</v>
      </c>
      <c r="K25" s="11">
        <f t="shared" si="4"/>
        <v>2.083999999999997E-2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21186922.331750888</v>
      </c>
      <c r="D26" s="11">
        <v>2.104E-2</v>
      </c>
      <c r="E26" s="10">
        <f t="shared" si="2"/>
        <v>436587.05423885211</v>
      </c>
      <c r="F26" s="3"/>
      <c r="G26" s="28"/>
      <c r="H26" s="10"/>
      <c r="I26" s="10">
        <f t="shared" si="5"/>
        <v>8770</v>
      </c>
      <c r="J26" s="10">
        <f t="shared" si="3"/>
        <v>185809308849.45529</v>
      </c>
      <c r="K26" s="11">
        <f t="shared" si="4"/>
        <v>2.1039999999999948E-2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20750335.277512036</v>
      </c>
      <c r="D27" s="11">
        <v>2.1420000000000002E-2</v>
      </c>
      <c r="E27" s="10">
        <f t="shared" si="2"/>
        <v>435151.24203981459</v>
      </c>
      <c r="F27" s="3"/>
      <c r="G27" s="28"/>
      <c r="H27" s="10"/>
      <c r="I27" s="10">
        <f t="shared" si="5"/>
        <v>8770</v>
      </c>
      <c r="J27" s="10">
        <f t="shared" si="3"/>
        <v>181980440383.78055</v>
      </c>
      <c r="K27" s="11">
        <f t="shared" si="4"/>
        <v>2.1419999999999995E-2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20315184.035472222</v>
      </c>
      <c r="D28" s="11">
        <v>2.1190000000000001E-2</v>
      </c>
      <c r="E28" s="10">
        <f t="shared" si="2"/>
        <v>421546.18602968752</v>
      </c>
      <c r="F28" s="3"/>
      <c r="G28" s="28"/>
      <c r="H28" s="10"/>
      <c r="I28" s="10">
        <f t="shared" si="5"/>
        <v>8770</v>
      </c>
      <c r="J28" s="10">
        <f t="shared" si="3"/>
        <v>178164163991.09137</v>
      </c>
      <c r="K28" s="11">
        <f t="shared" si="4"/>
        <v>2.1190000000000042E-2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19893637.849442534</v>
      </c>
      <c r="D29" s="11">
        <v>2.1680000000000001E-2</v>
      </c>
      <c r="E29" s="10">
        <f t="shared" si="2"/>
        <v>422142.02937897667</v>
      </c>
      <c r="F29" s="3"/>
      <c r="G29" s="28"/>
      <c r="H29" s="10"/>
      <c r="I29" s="10">
        <f t="shared" si="5"/>
        <v>8770</v>
      </c>
      <c r="J29" s="10">
        <f t="shared" si="3"/>
        <v>174467203939.61102</v>
      </c>
      <c r="K29" s="11">
        <f t="shared" si="4"/>
        <v>2.1679999999999922E-2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19471495.820063557</v>
      </c>
      <c r="D30" s="11">
        <v>2.2040000000000001E-2</v>
      </c>
      <c r="E30" s="10">
        <f t="shared" si="2"/>
        <v>419897.23286192492</v>
      </c>
      <c r="F30" s="3"/>
      <c r="G30" s="28"/>
      <c r="H30" s="10"/>
      <c r="I30" s="10">
        <f t="shared" si="5"/>
        <v>8770</v>
      </c>
      <c r="J30" s="10">
        <f t="shared" si="3"/>
        <v>170765018341.9574</v>
      </c>
      <c r="K30" s="11">
        <f t="shared" si="4"/>
        <v>2.204000000000006E-2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19051598.587201633</v>
      </c>
      <c r="D31" s="11">
        <v>2.2450000000000001E-2</v>
      </c>
      <c r="E31" s="10">
        <f t="shared" si="2"/>
        <v>418317.16786412895</v>
      </c>
      <c r="F31" s="3"/>
      <c r="G31" s="28"/>
      <c r="H31" s="10"/>
      <c r="I31" s="10">
        <f t="shared" si="5"/>
        <v>8770</v>
      </c>
      <c r="J31" s="10">
        <f t="shared" si="3"/>
        <v>167082519609.75833</v>
      </c>
      <c r="K31" s="11">
        <f t="shared" si="4"/>
        <v>2.2450000000000303E-2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18633281.419337504</v>
      </c>
      <c r="D32" s="11">
        <v>2.2839999999999999E-2</v>
      </c>
      <c r="E32" s="10">
        <f t="shared" si="2"/>
        <v>416080.86075795814</v>
      </c>
      <c r="F32" s="3"/>
      <c r="G32" s="28"/>
      <c r="H32" s="10"/>
      <c r="I32" s="10">
        <f t="shared" si="5"/>
        <v>8770</v>
      </c>
      <c r="J32" s="10">
        <f t="shared" si="3"/>
        <v>163413878047.5899</v>
      </c>
      <c r="K32" s="11">
        <f t="shared" si="4"/>
        <v>2.2839999999999971E-2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18217200.558579545</v>
      </c>
      <c r="D33" s="11">
        <v>2.325E-2</v>
      </c>
      <c r="E33" s="10">
        <f t="shared" si="2"/>
        <v>413926.13045392185</v>
      </c>
      <c r="F33" s="3"/>
      <c r="G33" s="28"/>
      <c r="H33" s="10"/>
      <c r="I33" s="10">
        <f t="shared" si="5"/>
        <v>8770</v>
      </c>
      <c r="J33" s="10">
        <f t="shared" si="3"/>
        <v>159764848898.74261</v>
      </c>
      <c r="K33" s="11">
        <f t="shared" si="4"/>
        <v>2.3250000000000215E-2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17803274.428125624</v>
      </c>
      <c r="D34" s="11">
        <v>2.349E-2</v>
      </c>
      <c r="E34" s="10">
        <f t="shared" si="2"/>
        <v>408600.88160770759</v>
      </c>
      <c r="F34" s="3"/>
      <c r="G34" s="28"/>
      <c r="H34" s="10"/>
      <c r="I34" s="10">
        <f t="shared" si="5"/>
        <v>8770</v>
      </c>
      <c r="J34" s="10">
        <f t="shared" ref="J34:J65" si="6">IF(I34="","",I34*C34)</f>
        <v>156134716734.66171</v>
      </c>
      <c r="K34" s="11">
        <f t="shared" ref="K34:K65" si="7">IFERROR(J34/J35-1,"")</f>
        <v>2.3490000000000011E-2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17394673.546517916</v>
      </c>
      <c r="D35" s="11">
        <v>2.3539999999999998E-2</v>
      </c>
      <c r="E35" s="10">
        <f t="shared" si="2"/>
        <v>400053.35920924321</v>
      </c>
      <c r="F35" s="3"/>
      <c r="G35" s="28"/>
      <c r="H35" s="10"/>
      <c r="I35" s="10">
        <f t="shared" ref="I35:I66" si="8">IF(H35&lt;&gt;"",H35,I34/(1+IF(G34="",0,G34)/100))</f>
        <v>8770</v>
      </c>
      <c r="J35" s="10">
        <f t="shared" si="6"/>
        <v>152551287002.96213</v>
      </c>
      <c r="K35" s="11">
        <f t="shared" si="7"/>
        <v>2.3539999999999894E-2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16994620.187308673</v>
      </c>
      <c r="D36" s="11">
        <v>2.3640000000000001E-2</v>
      </c>
      <c r="E36" s="10">
        <f t="shared" si="2"/>
        <v>392474.71887380257</v>
      </c>
      <c r="F36" s="3"/>
      <c r="G36" s="28"/>
      <c r="H36" s="10"/>
      <c r="I36" s="10">
        <f t="shared" si="8"/>
        <v>8770</v>
      </c>
      <c r="J36" s="10">
        <f t="shared" si="6"/>
        <v>149042819042.69705</v>
      </c>
      <c r="K36" s="11">
        <f t="shared" si="7"/>
        <v>2.3640000000000105E-2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16602145.46843487</v>
      </c>
      <c r="D37" s="11">
        <v>2.3689999999999999E-2</v>
      </c>
      <c r="E37" s="10">
        <f t="shared" si="2"/>
        <v>384203.0557563547</v>
      </c>
      <c r="F37" s="3"/>
      <c r="G37" s="28"/>
      <c r="H37" s="10"/>
      <c r="I37" s="10">
        <f t="shared" si="8"/>
        <v>8770</v>
      </c>
      <c r="J37" s="10">
        <f t="shared" si="6"/>
        <v>145600815758.1738</v>
      </c>
      <c r="K37" s="11">
        <f t="shared" si="7"/>
        <v>2.3689999999999989E-2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16217942.412678516</v>
      </c>
      <c r="D38" s="11">
        <v>2.385E-2</v>
      </c>
      <c r="E38" s="10">
        <f t="shared" si="2"/>
        <v>377787.69013271667</v>
      </c>
      <c r="F38" s="3"/>
      <c r="G38" s="28"/>
      <c r="H38" s="10"/>
      <c r="I38" s="10">
        <f t="shared" si="8"/>
        <v>8770</v>
      </c>
      <c r="J38" s="10">
        <f t="shared" si="6"/>
        <v>142231354959.19058</v>
      </c>
      <c r="K38" s="11">
        <f t="shared" si="7"/>
        <v>2.3849999999999927E-2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15840154.722545799</v>
      </c>
      <c r="D39" s="11">
        <v>2.4060000000000002E-2</v>
      </c>
      <c r="E39" s="10">
        <f t="shared" si="2"/>
        <v>372159.95412812941</v>
      </c>
      <c r="F39" s="3"/>
      <c r="G39" s="28"/>
      <c r="H39" s="10"/>
      <c r="I39" s="10">
        <f t="shared" si="8"/>
        <v>8770</v>
      </c>
      <c r="J39" s="10">
        <f t="shared" si="6"/>
        <v>138918156916.72665</v>
      </c>
      <c r="K39" s="11">
        <f t="shared" si="7"/>
        <v>2.405999999999997E-2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15467994.768417669</v>
      </c>
      <c r="D40" s="11">
        <v>2.4510000000000001E-2</v>
      </c>
      <c r="E40" s="10">
        <f t="shared" si="2"/>
        <v>370050.61129117012</v>
      </c>
      <c r="F40" s="3"/>
      <c r="G40" s="28"/>
      <c r="H40" s="10"/>
      <c r="I40" s="10">
        <f t="shared" si="8"/>
        <v>8770</v>
      </c>
      <c r="J40" s="10">
        <f t="shared" si="6"/>
        <v>135654314119.02296</v>
      </c>
      <c r="K40" s="11">
        <f t="shared" si="7"/>
        <v>2.4510000000000032E-2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15097944.157126499</v>
      </c>
      <c r="D41" s="11">
        <v>2.5080000000000002E-2</v>
      </c>
      <c r="E41" s="10">
        <f t="shared" si="2"/>
        <v>369392.08594522625</v>
      </c>
      <c r="F41" s="3"/>
      <c r="G41" s="28"/>
      <c r="H41" s="10"/>
      <c r="I41" s="10">
        <f t="shared" si="8"/>
        <v>8770</v>
      </c>
      <c r="J41" s="10">
        <f t="shared" si="6"/>
        <v>132408970257.9994</v>
      </c>
      <c r="K41" s="11">
        <f t="shared" si="7"/>
        <v>2.5079999999999991E-2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14728552.071181273</v>
      </c>
      <c r="D42" s="11">
        <v>2.5700000000000001E-2</v>
      </c>
      <c r="E42" s="10">
        <f t="shared" si="2"/>
        <v>369039.47375388443</v>
      </c>
      <c r="F42" s="3"/>
      <c r="G42" s="28"/>
      <c r="H42" s="10"/>
      <c r="I42" s="10">
        <f t="shared" si="8"/>
        <v>8770</v>
      </c>
      <c r="J42" s="10">
        <f t="shared" si="6"/>
        <v>129169401664.25977</v>
      </c>
      <c r="K42" s="11">
        <f t="shared" si="7"/>
        <v>2.5700000000000056E-2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14359512.597427389</v>
      </c>
      <c r="D43" s="11">
        <v>2.631E-2</v>
      </c>
      <c r="E43" s="10">
        <f t="shared" si="2"/>
        <v>368113.70486336015</v>
      </c>
      <c r="F43" s="3"/>
      <c r="G43" s="28"/>
      <c r="H43" s="10"/>
      <c r="I43" s="10">
        <f t="shared" si="8"/>
        <v>8770</v>
      </c>
      <c r="J43" s="10">
        <f t="shared" si="6"/>
        <v>125932925479.4382</v>
      </c>
      <c r="K43" s="11">
        <f t="shared" si="7"/>
        <v>2.6310000000000056E-2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13991398.892564029</v>
      </c>
      <c r="D44" s="11">
        <v>2.681E-2</v>
      </c>
      <c r="E44" s="10">
        <f t="shared" si="2"/>
        <v>365315.30108748563</v>
      </c>
      <c r="F44" s="3"/>
      <c r="G44" s="28"/>
      <c r="H44" s="10"/>
      <c r="I44" s="10">
        <f t="shared" si="8"/>
        <v>8770</v>
      </c>
      <c r="J44" s="10">
        <f t="shared" si="6"/>
        <v>122704568287.78653</v>
      </c>
      <c r="K44" s="11">
        <f t="shared" si="7"/>
        <v>2.681E-2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13626083.591476543</v>
      </c>
      <c r="D45" s="11">
        <v>2.742E-2</v>
      </c>
      <c r="E45" s="10">
        <f t="shared" si="2"/>
        <v>363655.77084180526</v>
      </c>
      <c r="F45" s="3"/>
      <c r="G45" s="28"/>
      <c r="H45" s="10"/>
      <c r="I45" s="10">
        <f t="shared" si="8"/>
        <v>8770</v>
      </c>
      <c r="J45" s="10">
        <f t="shared" si="6"/>
        <v>119500753097.24928</v>
      </c>
      <c r="K45" s="11">
        <f t="shared" si="7"/>
        <v>2.7420000000000222E-2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13262427.820634738</v>
      </c>
      <c r="D46" s="11">
        <v>2.7910000000000001E-2</v>
      </c>
      <c r="E46" s="10">
        <f t="shared" si="2"/>
        <v>360103.86169403605</v>
      </c>
      <c r="F46" s="3"/>
      <c r="G46" s="28"/>
      <c r="H46" s="10"/>
      <c r="I46" s="10">
        <f t="shared" si="8"/>
        <v>8770</v>
      </c>
      <c r="J46" s="10">
        <f t="shared" si="6"/>
        <v>116311491986.96664</v>
      </c>
      <c r="K46" s="11">
        <f t="shared" si="7"/>
        <v>2.7910000000000101E-2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12902323.958940702</v>
      </c>
      <c r="D47" s="11">
        <v>2.8160000000000001E-2</v>
      </c>
      <c r="E47" s="10">
        <f t="shared" si="2"/>
        <v>353378.30948857218</v>
      </c>
      <c r="F47" s="3"/>
      <c r="G47" s="28"/>
      <c r="H47" s="10"/>
      <c r="I47" s="10">
        <f t="shared" si="8"/>
        <v>8770</v>
      </c>
      <c r="J47" s="10">
        <f t="shared" si="6"/>
        <v>113153381119.90996</v>
      </c>
      <c r="K47" s="11">
        <f t="shared" si="7"/>
        <v>2.8159999999999963E-2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12548945.649452129</v>
      </c>
      <c r="D48" s="11">
        <v>2.8400000000000002E-2</v>
      </c>
      <c r="E48" s="10">
        <f t="shared" si="2"/>
        <v>346548.09066942893</v>
      </c>
      <c r="F48" s="3"/>
      <c r="G48" s="28"/>
      <c r="H48" s="10"/>
      <c r="I48" s="10">
        <f t="shared" si="8"/>
        <v>8770</v>
      </c>
      <c r="J48" s="10">
        <f t="shared" si="6"/>
        <v>110054253345.69518</v>
      </c>
      <c r="K48" s="11">
        <f t="shared" si="7"/>
        <v>2.8399999999999981E-2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12202397.5587827</v>
      </c>
      <c r="D49" s="11">
        <v>2.8760000000000001E-2</v>
      </c>
      <c r="E49" s="10">
        <f t="shared" si="2"/>
        <v>341130.05345327221</v>
      </c>
      <c r="F49" s="3"/>
      <c r="G49" s="28"/>
      <c r="H49" s="10"/>
      <c r="I49" s="10">
        <f t="shared" si="8"/>
        <v>8770</v>
      </c>
      <c r="J49" s="10">
        <f t="shared" si="6"/>
        <v>107015026590.52428</v>
      </c>
      <c r="K49" s="11">
        <f t="shared" si="7"/>
        <v>2.8759999999999675E-2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11861267.505329428</v>
      </c>
      <c r="D50" s="11">
        <v>2.9190000000000001E-2</v>
      </c>
      <c r="E50" s="10">
        <f t="shared" si="2"/>
        <v>336410.57383045554</v>
      </c>
      <c r="F50" s="3"/>
      <c r="G50" s="28"/>
      <c r="H50" s="10"/>
      <c r="I50" s="10">
        <f t="shared" si="8"/>
        <v>8770</v>
      </c>
      <c r="J50" s="10">
        <f t="shared" si="6"/>
        <v>104023316021.73909</v>
      </c>
      <c r="K50" s="11">
        <f t="shared" si="7"/>
        <v>2.9190000000000049E-2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11524856.931498973</v>
      </c>
      <c r="D51" s="11">
        <v>2.963E-2</v>
      </c>
      <c r="E51" s="10">
        <f t="shared" si="2"/>
        <v>331654.58551160619</v>
      </c>
      <c r="F51" s="3"/>
      <c r="G51" s="28"/>
      <c r="H51" s="10"/>
      <c r="I51" s="10">
        <f t="shared" si="8"/>
        <v>8770</v>
      </c>
      <c r="J51" s="10">
        <f t="shared" si="6"/>
        <v>101072995289.24599</v>
      </c>
      <c r="K51" s="11">
        <f t="shared" si="7"/>
        <v>2.9630000000000045E-2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11193202.345987367</v>
      </c>
      <c r="D52" s="11">
        <v>2.9909999999999999E-2</v>
      </c>
      <c r="E52" s="10">
        <f t="shared" si="2"/>
        <v>325065.95932506956</v>
      </c>
      <c r="F52" s="3"/>
      <c r="G52" s="28"/>
      <c r="H52" s="10"/>
      <c r="I52" s="10">
        <f t="shared" si="8"/>
        <v>8770</v>
      </c>
      <c r="J52" s="10">
        <f t="shared" si="6"/>
        <v>98164384574.309204</v>
      </c>
      <c r="K52" s="11">
        <f t="shared" si="7"/>
        <v>2.9909999999999881E-2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10868136.386662297</v>
      </c>
      <c r="D53" s="11">
        <v>3.023E-2</v>
      </c>
      <c r="E53" s="10">
        <f t="shared" si="2"/>
        <v>318903.31573415734</v>
      </c>
      <c r="F53" s="3"/>
      <c r="G53" s="28"/>
      <c r="H53" s="10"/>
      <c r="I53" s="10">
        <f t="shared" si="8"/>
        <v>8770</v>
      </c>
      <c r="J53" s="10">
        <f t="shared" si="6"/>
        <v>95313556111.028351</v>
      </c>
      <c r="K53" s="11">
        <f t="shared" si="7"/>
        <v>3.0230000000000201E-2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10549233.07092814</v>
      </c>
      <c r="D54" s="11">
        <v>3.0429999999999999E-2</v>
      </c>
      <c r="E54" s="10">
        <f t="shared" si="2"/>
        <v>311533.20686348714</v>
      </c>
      <c r="F54" s="3"/>
      <c r="G54" s="28"/>
      <c r="H54" s="10"/>
      <c r="I54" s="10">
        <f t="shared" si="8"/>
        <v>8770</v>
      </c>
      <c r="J54" s="10">
        <f t="shared" si="6"/>
        <v>92516774032.03978</v>
      </c>
      <c r="K54" s="11">
        <f t="shared" si="7"/>
        <v>3.0429999999999957E-2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10237699.864064652</v>
      </c>
      <c r="D55" s="11">
        <v>3.0249999999999999E-2</v>
      </c>
      <c r="E55" s="10">
        <f t="shared" si="2"/>
        <v>300597.35101961344</v>
      </c>
      <c r="F55" s="3"/>
      <c r="G55" s="28"/>
      <c r="H55" s="10"/>
      <c r="I55" s="10">
        <f t="shared" si="8"/>
        <v>8770</v>
      </c>
      <c r="J55" s="10">
        <f t="shared" si="6"/>
        <v>89784627807.847</v>
      </c>
      <c r="K55" s="11">
        <f t="shared" si="7"/>
        <v>3.025000000000011E-2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9937102.513045039</v>
      </c>
      <c r="D56" s="11">
        <v>2.9929999999999998E-2</v>
      </c>
      <c r="E56" s="10">
        <f t="shared" si="2"/>
        <v>288774.45866751857</v>
      </c>
      <c r="F56" s="3"/>
      <c r="G56" s="28"/>
      <c r="H56" s="10"/>
      <c r="I56" s="10">
        <f t="shared" si="8"/>
        <v>8770</v>
      </c>
      <c r="J56" s="10">
        <f t="shared" si="6"/>
        <v>87148389039.404999</v>
      </c>
      <c r="K56" s="11">
        <f t="shared" si="7"/>
        <v>2.9930000000000012E-2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9648328.0543775205</v>
      </c>
      <c r="D57" s="11">
        <v>2.9329999999999998E-2</v>
      </c>
      <c r="E57" s="10">
        <f t="shared" si="2"/>
        <v>274921.99958700687</v>
      </c>
      <c r="F57" s="3"/>
      <c r="G57" s="28"/>
      <c r="H57" s="10"/>
      <c r="I57" s="10">
        <f t="shared" si="8"/>
        <v>8770</v>
      </c>
      <c r="J57" s="10">
        <f t="shared" si="6"/>
        <v>84615837036.890854</v>
      </c>
      <c r="K57" s="11">
        <f t="shared" si="7"/>
        <v>2.9330000000000078E-2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9373406.0547905136</v>
      </c>
      <c r="D58" s="11">
        <v>2.87E-2</v>
      </c>
      <c r="E58" s="10">
        <f t="shared" si="2"/>
        <v>261511.3772455398</v>
      </c>
      <c r="F58" s="3"/>
      <c r="G58" s="28"/>
      <c r="H58" s="10"/>
      <c r="I58" s="10">
        <f t="shared" si="8"/>
        <v>8770</v>
      </c>
      <c r="J58" s="10">
        <f t="shared" si="6"/>
        <v>82204771100.512802</v>
      </c>
      <c r="K58" s="11">
        <f t="shared" si="7"/>
        <v>2.8699999999999726E-2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9111894.6775449738</v>
      </c>
      <c r="D59" s="11">
        <v>2.8119999999999999E-2</v>
      </c>
      <c r="E59" s="10">
        <f t="shared" si="2"/>
        <v>249218.45536762662</v>
      </c>
      <c r="F59" s="3"/>
      <c r="G59" s="28"/>
      <c r="H59" s="10"/>
      <c r="I59" s="10">
        <f t="shared" si="8"/>
        <v>8770</v>
      </c>
      <c r="J59" s="10">
        <f t="shared" si="6"/>
        <v>79911316322.069427</v>
      </c>
      <c r="K59" s="11">
        <f t="shared" si="7"/>
        <v>2.8120000000000145E-2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8862676.2221773472</v>
      </c>
      <c r="D60" s="11">
        <v>2.768E-2</v>
      </c>
      <c r="E60" s="10">
        <f t="shared" si="2"/>
        <v>238711.34772484377</v>
      </c>
      <c r="F60" s="3"/>
      <c r="G60" s="28"/>
      <c r="H60" s="10"/>
      <c r="I60" s="10">
        <f t="shared" si="8"/>
        <v>8770</v>
      </c>
      <c r="J60" s="10">
        <f t="shared" si="6"/>
        <v>77725670468.495331</v>
      </c>
      <c r="K60" s="11">
        <f t="shared" si="7"/>
        <v>2.7679999999999705E-2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8623964.8744525034</v>
      </c>
      <c r="D61" s="11">
        <v>2.7300000000000001E-2</v>
      </c>
      <c r="E61" s="10">
        <f t="shared" si="2"/>
        <v>229177.69013195112</v>
      </c>
      <c r="F61" s="3"/>
      <c r="G61" s="28"/>
      <c r="H61" s="10"/>
      <c r="I61" s="10">
        <f t="shared" si="8"/>
        <v>8770</v>
      </c>
      <c r="J61" s="10">
        <f t="shared" si="6"/>
        <v>75632171948.948456</v>
      </c>
      <c r="K61" s="11">
        <f t="shared" si="7"/>
        <v>2.7300000000000102E-2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8394787.1843205523</v>
      </c>
      <c r="D62" s="11">
        <v>2.6929999999999999E-2</v>
      </c>
      <c r="E62" s="10">
        <f t="shared" si="2"/>
        <v>220143.16348120198</v>
      </c>
      <c r="F62" s="3"/>
      <c r="G62" s="28"/>
      <c r="H62" s="10"/>
      <c r="I62" s="10">
        <f t="shared" si="8"/>
        <v>8770</v>
      </c>
      <c r="J62" s="10">
        <f t="shared" si="6"/>
        <v>73622283606.491241</v>
      </c>
      <c r="K62" s="11">
        <f t="shared" si="7"/>
        <v>2.6929999999999676E-2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8174644.0208393503</v>
      </c>
      <c r="D63" s="11">
        <v>2.664E-2</v>
      </c>
      <c r="E63" s="10">
        <f t="shared" si="2"/>
        <v>212121.59736145101</v>
      </c>
      <c r="F63" s="3"/>
      <c r="G63" s="28"/>
      <c r="H63" s="10"/>
      <c r="I63" s="10">
        <f t="shared" si="8"/>
        <v>8770</v>
      </c>
      <c r="J63" s="10">
        <f t="shared" si="6"/>
        <v>71691628062.761108</v>
      </c>
      <c r="K63" s="11">
        <f t="shared" si="7"/>
        <v>2.6639999999999997E-2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7962522.4234778993</v>
      </c>
      <c r="D64" s="11">
        <v>2.6280000000000001E-2</v>
      </c>
      <c r="E64" s="10">
        <f t="shared" si="2"/>
        <v>203896.68442237936</v>
      </c>
      <c r="F64" s="3"/>
      <c r="G64" s="28"/>
      <c r="H64" s="10"/>
      <c r="I64" s="10">
        <f t="shared" si="8"/>
        <v>8770</v>
      </c>
      <c r="J64" s="10">
        <f t="shared" si="6"/>
        <v>69831321653.901184</v>
      </c>
      <c r="K64" s="11">
        <f t="shared" si="7"/>
        <v>2.6280000000000081E-2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7758625.7390555199</v>
      </c>
      <c r="D65" s="11">
        <v>2.554E-2</v>
      </c>
      <c r="E65" s="10">
        <f t="shared" si="2"/>
        <v>193220.45105551928</v>
      </c>
      <c r="F65" s="3"/>
      <c r="G65" s="28"/>
      <c r="H65" s="10"/>
      <c r="I65" s="10">
        <f t="shared" si="8"/>
        <v>8770</v>
      </c>
      <c r="J65" s="10">
        <f t="shared" si="6"/>
        <v>68043147731.516907</v>
      </c>
      <c r="K65" s="11">
        <f t="shared" si="7"/>
        <v>2.5539999999999896E-2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7565405.2880000006</v>
      </c>
      <c r="D66" s="11">
        <v>2.4719999999999999E-2</v>
      </c>
      <c r="E66" s="10">
        <f t="shared" si="2"/>
        <v>182505.28800000064</v>
      </c>
      <c r="F66" s="24">
        <f>SUM(F2)</f>
        <v>33245174</v>
      </c>
      <c r="G66" s="28"/>
      <c r="H66" s="10"/>
      <c r="I66" s="10">
        <f t="shared" si="8"/>
        <v>8770</v>
      </c>
      <c r="J66" s="10">
        <f t="shared" ref="J66:J67" si="9">IF(I66="","",I66*C66)</f>
        <v>66348604375.760002</v>
      </c>
      <c r="K66" s="11">
        <f t="shared" ref="K66" si="10">IFERROR(J66/J67-1,"")</f>
        <v>2.4720000000000075E-2</v>
      </c>
    </row>
    <row r="67" spans="1:11" ht="22.5" customHeight="1">
      <c r="A67" s="3">
        <f t="shared" si="0"/>
        <v>1950</v>
      </c>
      <c r="B67" s="3">
        <v>1700</v>
      </c>
      <c r="C67" s="10">
        <v>7382900</v>
      </c>
      <c r="D67" s="11">
        <v>2.3810000000000001E-2</v>
      </c>
      <c r="E67" s="3" t="s">
        <v>72</v>
      </c>
      <c r="F67" s="10">
        <f>SUM(C2)</f>
        <v>33245957.230227757</v>
      </c>
      <c r="G67" s="28"/>
      <c r="H67" s="10"/>
      <c r="I67" s="10">
        <f t="shared" ref="I67" si="11">IF(H67&lt;&gt;"",H67,I66/(1+IF(G66="",0,G66)/100))</f>
        <v>8770</v>
      </c>
      <c r="J67" s="10">
        <f t="shared" si="9"/>
        <v>64748033000</v>
      </c>
      <c r="K67" s="11"/>
    </row>
  </sheetData>
  <dataValidations count="1">
    <dataValidation type="custom" allowBlank="1" showDropDown="1" sqref="D2:D67" xr:uid="{00000000-0002-0000-6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10232177.744382663</v>
      </c>
      <c r="D2" s="11">
        <v>7.8600000000000007E-3</v>
      </c>
      <c r="E2" s="10">
        <f t="shared" ref="E2:E66" si="2">SUM(C2-C3)</f>
        <v>79797.707093095407</v>
      </c>
      <c r="F2" s="15">
        <v>10233103</v>
      </c>
      <c r="G2" s="28"/>
      <c r="H2" s="10"/>
      <c r="I2" s="10">
        <f>IF(H2&lt;&gt;"",H2,3635)</f>
        <v>3635</v>
      </c>
      <c r="J2" s="10">
        <f t="shared" ref="J2:J33" si="3">IF(I2="","",I2*C2)</f>
        <v>37193966100.830978</v>
      </c>
      <c r="K2" s="11">
        <f t="shared" ref="K2:K33" si="4">IFERROR(J2/J3-1,"")</f>
        <v>7.8599999999999781E-3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10152380.037289567</v>
      </c>
      <c r="D3" s="11">
        <v>8.1499999999999993E-3</v>
      </c>
      <c r="E3" s="10">
        <f t="shared" si="2"/>
        <v>82073.002334881574</v>
      </c>
      <c r="F3" s="3"/>
      <c r="G3" s="28"/>
      <c r="H3" s="10"/>
      <c r="I3" s="10">
        <f t="shared" ref="I3:I34" si="5">IF(H3&lt;&gt;"",H3,I2/(1+IF(G2="",0,G2)/100))</f>
        <v>3635</v>
      </c>
      <c r="J3" s="10">
        <f t="shared" si="3"/>
        <v>36903901435.547577</v>
      </c>
      <c r="K3" s="11">
        <f t="shared" si="4"/>
        <v>8.1500000000001016E-3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10070307.034954686</v>
      </c>
      <c r="D4" s="11">
        <v>8.4499999999999992E-3</v>
      </c>
      <c r="E4" s="10">
        <f t="shared" si="2"/>
        <v>84381.074366966262</v>
      </c>
      <c r="F4" s="3"/>
      <c r="G4" s="28"/>
      <c r="H4" s="10"/>
      <c r="I4" s="10">
        <f t="shared" si="5"/>
        <v>3635</v>
      </c>
      <c r="J4" s="10">
        <f t="shared" si="3"/>
        <v>36605566072.06028</v>
      </c>
      <c r="K4" s="11">
        <f t="shared" si="4"/>
        <v>8.4500000000000686E-3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9985925.9605877195</v>
      </c>
      <c r="D5" s="11">
        <v>8.5400000000000007E-3</v>
      </c>
      <c r="E5" s="10">
        <f t="shared" si="2"/>
        <v>84557.685072897002</v>
      </c>
      <c r="F5" s="3"/>
      <c r="G5" s="28"/>
      <c r="H5" s="10"/>
      <c r="I5" s="10">
        <f t="shared" si="5"/>
        <v>3635</v>
      </c>
      <c r="J5" s="10">
        <f t="shared" si="3"/>
        <v>36298840866.736359</v>
      </c>
      <c r="K5" s="11">
        <f t="shared" si="4"/>
        <v>8.539999999999992E-3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9901368.2755148225</v>
      </c>
      <c r="D6" s="11">
        <v>8.2900000000000005E-3</v>
      </c>
      <c r="E6" s="10">
        <f t="shared" si="2"/>
        <v>81407.475035969168</v>
      </c>
      <c r="F6" s="3"/>
      <c r="G6" s="28"/>
      <c r="H6" s="10"/>
      <c r="I6" s="10">
        <f t="shared" si="5"/>
        <v>3635</v>
      </c>
      <c r="J6" s="10">
        <f t="shared" si="3"/>
        <v>35991473681.496376</v>
      </c>
      <c r="K6" s="11">
        <f t="shared" si="4"/>
        <v>8.2899999999999086E-3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9819960.8004788533</v>
      </c>
      <c r="D7" s="11">
        <v>7.7799999999999996E-3</v>
      </c>
      <c r="E7" s="10">
        <f t="shared" si="2"/>
        <v>75809.497139975429</v>
      </c>
      <c r="F7" s="3"/>
      <c r="G7" s="28"/>
      <c r="H7" s="10"/>
      <c r="I7" s="10">
        <f t="shared" si="5"/>
        <v>3635</v>
      </c>
      <c r="J7" s="10">
        <f t="shared" si="3"/>
        <v>35695557509.740631</v>
      </c>
      <c r="K7" s="11">
        <f t="shared" si="4"/>
        <v>7.7799999999998981E-3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9744151.3033388779</v>
      </c>
      <c r="D8" s="11">
        <v>7.1199999999999996E-3</v>
      </c>
      <c r="E8" s="10">
        <f t="shared" si="2"/>
        <v>68887.875605462119</v>
      </c>
      <c r="F8" s="3"/>
      <c r="G8" s="28"/>
      <c r="H8" s="10"/>
      <c r="I8" s="10">
        <f t="shared" si="5"/>
        <v>3635</v>
      </c>
      <c r="J8" s="10">
        <f t="shared" si="3"/>
        <v>35419989987.636818</v>
      </c>
      <c r="K8" s="11">
        <f t="shared" si="4"/>
        <v>7.1200000000000152E-3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9675263.4277334157</v>
      </c>
      <c r="D9" s="11">
        <v>3.98E-3</v>
      </c>
      <c r="E9" s="10">
        <f t="shared" si="2"/>
        <v>38354.895956473425</v>
      </c>
      <c r="F9" s="3"/>
      <c r="G9" s="28"/>
      <c r="H9" s="10"/>
      <c r="I9" s="10">
        <f t="shared" si="5"/>
        <v>3635</v>
      </c>
      <c r="J9" s="10">
        <f t="shared" si="3"/>
        <v>35169582559.810966</v>
      </c>
      <c r="K9" s="11">
        <f t="shared" si="4"/>
        <v>3.9800000000000946E-3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9636908.5317769423</v>
      </c>
      <c r="D10" s="11">
        <v>7.0400000000000003E-3</v>
      </c>
      <c r="E10" s="10">
        <f t="shared" si="2"/>
        <v>67369.554400727153</v>
      </c>
      <c r="F10" s="3"/>
      <c r="G10" s="28"/>
      <c r="H10" s="10"/>
      <c r="I10" s="10">
        <f t="shared" si="5"/>
        <v>3635</v>
      </c>
      <c r="J10" s="10">
        <f t="shared" si="3"/>
        <v>35030162513.009186</v>
      </c>
      <c r="K10" s="11">
        <f t="shared" si="4"/>
        <v>7.0399999999999352E-3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9569538.9773762152</v>
      </c>
      <c r="D11" s="11">
        <v>7.1399999999999996E-3</v>
      </c>
      <c r="E11" s="10">
        <f t="shared" si="2"/>
        <v>67842.115593129769</v>
      </c>
      <c r="F11" s="3"/>
      <c r="G11" s="28"/>
      <c r="H11" s="10"/>
      <c r="I11" s="10">
        <f t="shared" si="5"/>
        <v>3635</v>
      </c>
      <c r="J11" s="10">
        <f t="shared" si="3"/>
        <v>34785274182.762543</v>
      </c>
      <c r="K11" s="11">
        <f t="shared" si="4"/>
        <v>7.1399999999999242E-3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9501696.8617830854</v>
      </c>
      <c r="D12" s="11">
        <v>7.43E-3</v>
      </c>
      <c r="E12" s="10">
        <f t="shared" si="2"/>
        <v>70076.936048209667</v>
      </c>
      <c r="F12" s="3"/>
      <c r="G12" s="28"/>
      <c r="H12" s="10"/>
      <c r="I12" s="10">
        <f t="shared" si="5"/>
        <v>3635</v>
      </c>
      <c r="J12" s="10">
        <f t="shared" si="3"/>
        <v>34538668092.581512</v>
      </c>
      <c r="K12" s="11">
        <f t="shared" si="4"/>
        <v>7.4299999999998256E-3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9431619.9257348757</v>
      </c>
      <c r="D13" s="11">
        <v>8.2199999999999999E-3</v>
      </c>
      <c r="E13" s="10">
        <f t="shared" si="2"/>
        <v>76895.832050088793</v>
      </c>
      <c r="F13" s="3"/>
      <c r="G13" s="28"/>
      <c r="H13" s="10"/>
      <c r="I13" s="10">
        <f t="shared" si="5"/>
        <v>3635</v>
      </c>
      <c r="J13" s="10">
        <f t="shared" si="3"/>
        <v>34283938430.046272</v>
      </c>
      <c r="K13" s="11">
        <f t="shared" si="4"/>
        <v>8.2199999999998941E-3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9354724.0936847869</v>
      </c>
      <c r="D14" s="11">
        <v>8.9200000000000008E-3</v>
      </c>
      <c r="E14" s="10">
        <f t="shared" si="2"/>
        <v>82706.39784687385</v>
      </c>
      <c r="F14" s="3"/>
      <c r="G14" s="28"/>
      <c r="H14" s="10"/>
      <c r="I14" s="10">
        <f t="shared" si="5"/>
        <v>3635</v>
      </c>
      <c r="J14" s="10">
        <f t="shared" si="3"/>
        <v>34004422080.544201</v>
      </c>
      <c r="K14" s="11">
        <f t="shared" si="4"/>
        <v>8.920000000000039E-3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9272017.6958379131</v>
      </c>
      <c r="D15" s="11">
        <v>9.7900000000000001E-3</v>
      </c>
      <c r="E15" s="10">
        <f t="shared" si="2"/>
        <v>89893.000764766708</v>
      </c>
      <c r="F15" s="3"/>
      <c r="G15" s="28"/>
      <c r="H15" s="10"/>
      <c r="I15" s="10">
        <f t="shared" si="5"/>
        <v>3635</v>
      </c>
      <c r="J15" s="10">
        <f t="shared" si="3"/>
        <v>33703784324.370815</v>
      </c>
      <c r="K15" s="11">
        <f t="shared" si="4"/>
        <v>9.7900000000001874E-3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9182124.6950731464</v>
      </c>
      <c r="D16" s="11">
        <v>1.0279999999999999E-2</v>
      </c>
      <c r="E16" s="10">
        <f t="shared" si="2"/>
        <v>93431.763338236138</v>
      </c>
      <c r="F16" s="3"/>
      <c r="G16" s="28"/>
      <c r="H16" s="10"/>
      <c r="I16" s="10">
        <f t="shared" si="5"/>
        <v>3635</v>
      </c>
      <c r="J16" s="10">
        <f t="shared" si="3"/>
        <v>33377023266.590885</v>
      </c>
      <c r="K16" s="11">
        <f t="shared" si="4"/>
        <v>1.0280000000000067E-2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9088692.9317349102</v>
      </c>
      <c r="D17" s="11">
        <v>1.082E-2</v>
      </c>
      <c r="E17" s="10">
        <f t="shared" si="2"/>
        <v>97287.012050980702</v>
      </c>
      <c r="F17" s="3"/>
      <c r="G17" s="28"/>
      <c r="H17" s="10"/>
      <c r="I17" s="10">
        <f t="shared" si="5"/>
        <v>3635</v>
      </c>
      <c r="J17" s="10">
        <f t="shared" si="3"/>
        <v>33037398806.8564</v>
      </c>
      <c r="K17" s="11">
        <f t="shared" si="4"/>
        <v>1.0820000000000052E-2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8991405.9196839295</v>
      </c>
      <c r="D18" s="11">
        <v>1.1520000000000001E-2</v>
      </c>
      <c r="E18" s="10">
        <f t="shared" si="2"/>
        <v>102401.33284043707</v>
      </c>
      <c r="F18" s="3"/>
      <c r="G18" s="28"/>
      <c r="H18" s="10"/>
      <c r="I18" s="10">
        <f t="shared" si="5"/>
        <v>3635</v>
      </c>
      <c r="J18" s="10">
        <f t="shared" si="3"/>
        <v>32683760518.051083</v>
      </c>
      <c r="K18" s="11">
        <f t="shared" si="4"/>
        <v>1.1519999999999975E-2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8889004.5868434925</v>
      </c>
      <c r="D19" s="11">
        <v>1.2290000000000001E-2</v>
      </c>
      <c r="E19" s="10">
        <f t="shared" si="2"/>
        <v>107919.53528366983</v>
      </c>
      <c r="F19" s="3"/>
      <c r="G19" s="28"/>
      <c r="H19" s="10"/>
      <c r="I19" s="10">
        <f t="shared" si="5"/>
        <v>3635</v>
      </c>
      <c r="J19" s="10">
        <f t="shared" si="3"/>
        <v>32311531673.176094</v>
      </c>
      <c r="K19" s="11">
        <f t="shared" si="4"/>
        <v>1.2289999999999912E-2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8781085.0515598226</v>
      </c>
      <c r="D20" s="11">
        <v>1.268E-2</v>
      </c>
      <c r="E20" s="10">
        <f t="shared" si="2"/>
        <v>109949.99254826643</v>
      </c>
      <c r="F20" s="3"/>
      <c r="G20" s="28"/>
      <c r="H20" s="10"/>
      <c r="I20" s="10">
        <f t="shared" si="5"/>
        <v>3635</v>
      </c>
      <c r="J20" s="10">
        <f t="shared" si="3"/>
        <v>31919244162.419956</v>
      </c>
      <c r="K20" s="11">
        <f t="shared" si="4"/>
        <v>1.2680000000000025E-2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8671135.0590115562</v>
      </c>
      <c r="D21" s="11">
        <v>1.2829999999999999E-2</v>
      </c>
      <c r="E21" s="10">
        <f t="shared" si="2"/>
        <v>109841.39767494798</v>
      </c>
      <c r="F21" s="3"/>
      <c r="G21" s="28"/>
      <c r="H21" s="10"/>
      <c r="I21" s="10">
        <f t="shared" si="5"/>
        <v>3635</v>
      </c>
      <c r="J21" s="10">
        <f t="shared" si="3"/>
        <v>31519575939.507008</v>
      </c>
      <c r="K21" s="11">
        <f t="shared" si="4"/>
        <v>1.2829999999999897E-2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8561293.6613366082</v>
      </c>
      <c r="D22" s="11">
        <v>1.2800000000000001E-2</v>
      </c>
      <c r="E22" s="10">
        <f t="shared" si="2"/>
        <v>108199.60393474251</v>
      </c>
      <c r="F22" s="3"/>
      <c r="G22" s="28"/>
      <c r="H22" s="10"/>
      <c r="I22" s="10">
        <f t="shared" si="5"/>
        <v>3635</v>
      </c>
      <c r="J22" s="10">
        <f t="shared" si="3"/>
        <v>31120302458.958572</v>
      </c>
      <c r="K22" s="11">
        <f t="shared" si="4"/>
        <v>1.2799999999999923E-2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8453094.0574018657</v>
      </c>
      <c r="D23" s="11">
        <v>1.32E-2</v>
      </c>
      <c r="E23" s="10">
        <f t="shared" si="2"/>
        <v>110127.1630060263</v>
      </c>
      <c r="F23" s="3"/>
      <c r="G23" s="28"/>
      <c r="H23" s="10"/>
      <c r="I23" s="10">
        <f t="shared" si="5"/>
        <v>3635</v>
      </c>
      <c r="J23" s="10">
        <f t="shared" si="3"/>
        <v>30726996898.655781</v>
      </c>
      <c r="K23" s="11">
        <f t="shared" si="4"/>
        <v>1.3200000000000101E-2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8342966.8943958394</v>
      </c>
      <c r="D24" s="11">
        <v>1.3259999999999999E-2</v>
      </c>
      <c r="E24" s="10">
        <f t="shared" si="2"/>
        <v>109180.01403360348</v>
      </c>
      <c r="F24" s="3"/>
      <c r="G24" s="28"/>
      <c r="H24" s="10"/>
      <c r="I24" s="10">
        <f t="shared" si="5"/>
        <v>3635</v>
      </c>
      <c r="J24" s="10">
        <f t="shared" si="3"/>
        <v>30326684661.128876</v>
      </c>
      <c r="K24" s="11">
        <f t="shared" si="4"/>
        <v>1.326000000000005E-2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8233786.8803622359</v>
      </c>
      <c r="D25" s="11">
        <v>1.3520000000000001E-2</v>
      </c>
      <c r="E25" s="10">
        <f t="shared" si="2"/>
        <v>109835.8183582928</v>
      </c>
      <c r="F25" s="3"/>
      <c r="G25" s="28"/>
      <c r="H25" s="10"/>
      <c r="I25" s="10">
        <f t="shared" si="5"/>
        <v>3635</v>
      </c>
      <c r="J25" s="10">
        <f t="shared" si="3"/>
        <v>29929815310.116726</v>
      </c>
      <c r="K25" s="11">
        <f t="shared" si="4"/>
        <v>1.3519999999999754E-2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8123951.0620039431</v>
      </c>
      <c r="D26" s="11">
        <v>1.383E-2</v>
      </c>
      <c r="E26" s="10">
        <f t="shared" si="2"/>
        <v>110821.58072607312</v>
      </c>
      <c r="F26" s="3"/>
      <c r="G26" s="28"/>
      <c r="H26" s="10"/>
      <c r="I26" s="10">
        <f t="shared" si="5"/>
        <v>3635</v>
      </c>
      <c r="J26" s="10">
        <f t="shared" si="3"/>
        <v>29530562110.384335</v>
      </c>
      <c r="K26" s="11">
        <f t="shared" si="4"/>
        <v>1.3830000000000009E-2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8013129.48127787</v>
      </c>
      <c r="D27" s="11">
        <v>1.495E-2</v>
      </c>
      <c r="E27" s="10">
        <f t="shared" si="2"/>
        <v>118031.71165584959</v>
      </c>
      <c r="F27" s="3"/>
      <c r="G27" s="28"/>
      <c r="H27" s="10"/>
      <c r="I27" s="10">
        <f t="shared" si="5"/>
        <v>3635</v>
      </c>
      <c r="J27" s="10">
        <f t="shared" si="3"/>
        <v>29127725664.445057</v>
      </c>
      <c r="K27" s="11">
        <f t="shared" si="4"/>
        <v>1.4950000000000019E-2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7895097.7696220204</v>
      </c>
      <c r="D28" s="11">
        <v>1.5559999999999999E-2</v>
      </c>
      <c r="E28" s="10">
        <f t="shared" si="2"/>
        <v>120965.49814419542</v>
      </c>
      <c r="F28" s="3"/>
      <c r="G28" s="28"/>
      <c r="H28" s="10"/>
      <c r="I28" s="10">
        <f t="shared" si="5"/>
        <v>3635</v>
      </c>
      <c r="J28" s="10">
        <f t="shared" si="3"/>
        <v>28698680392.576046</v>
      </c>
      <c r="K28" s="11">
        <f t="shared" si="4"/>
        <v>1.5560000000000018E-2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7774132.271477825</v>
      </c>
      <c r="D29" s="11">
        <v>1.5990000000000001E-2</v>
      </c>
      <c r="E29" s="10">
        <f t="shared" si="2"/>
        <v>122351.96706752013</v>
      </c>
      <c r="F29" s="3"/>
      <c r="G29" s="28"/>
      <c r="H29" s="10"/>
      <c r="I29" s="10">
        <f t="shared" si="5"/>
        <v>3635</v>
      </c>
      <c r="J29" s="10">
        <f t="shared" si="3"/>
        <v>28258970806.821896</v>
      </c>
      <c r="K29" s="11">
        <f t="shared" si="4"/>
        <v>1.5989999999999949E-2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7651780.3044103049</v>
      </c>
      <c r="D30" s="11">
        <v>1.6889999999999999E-2</v>
      </c>
      <c r="E30" s="10">
        <f t="shared" si="2"/>
        <v>127091.98570296727</v>
      </c>
      <c r="F30" s="3"/>
      <c r="G30" s="28"/>
      <c r="H30" s="10"/>
      <c r="I30" s="10">
        <f t="shared" si="5"/>
        <v>3635</v>
      </c>
      <c r="J30" s="10">
        <f t="shared" si="3"/>
        <v>27814221406.53146</v>
      </c>
      <c r="K30" s="11">
        <f t="shared" si="4"/>
        <v>1.6890000000000072E-2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7524688.3187073376</v>
      </c>
      <c r="D31" s="11">
        <v>1.8010000000000002E-2</v>
      </c>
      <c r="E31" s="10">
        <f t="shared" si="2"/>
        <v>133122.10746448394</v>
      </c>
      <c r="F31" s="3"/>
      <c r="G31" s="28"/>
      <c r="H31" s="10"/>
      <c r="I31" s="10">
        <f t="shared" si="5"/>
        <v>3635</v>
      </c>
      <c r="J31" s="10">
        <f t="shared" si="3"/>
        <v>27352242038.501171</v>
      </c>
      <c r="K31" s="11">
        <f t="shared" si="4"/>
        <v>1.8009999999999859E-2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7391566.2112428537</v>
      </c>
      <c r="D32" s="11">
        <v>1.9439999999999999E-2</v>
      </c>
      <c r="E32" s="10">
        <f t="shared" si="2"/>
        <v>140951.9414056344</v>
      </c>
      <c r="F32" s="3"/>
      <c r="G32" s="28"/>
      <c r="H32" s="10"/>
      <c r="I32" s="10">
        <f t="shared" si="5"/>
        <v>3635</v>
      </c>
      <c r="J32" s="10">
        <f t="shared" si="3"/>
        <v>26868343177.867775</v>
      </c>
      <c r="K32" s="11">
        <f t="shared" si="4"/>
        <v>1.9439999999999902E-2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7250614.2698372193</v>
      </c>
      <c r="D33" s="11">
        <v>2.0480000000000002E-2</v>
      </c>
      <c r="E33" s="10">
        <f t="shared" si="2"/>
        <v>145512.48456242774</v>
      </c>
      <c r="F33" s="3"/>
      <c r="G33" s="28"/>
      <c r="H33" s="10"/>
      <c r="I33" s="10">
        <f t="shared" si="5"/>
        <v>3635</v>
      </c>
      <c r="J33" s="10">
        <f t="shared" si="3"/>
        <v>26355982870.858292</v>
      </c>
      <c r="K33" s="11">
        <f t="shared" si="4"/>
        <v>2.0480000000000054E-2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7105101.7852747915</v>
      </c>
      <c r="D34" s="11">
        <v>2.0990000000000002E-2</v>
      </c>
      <c r="E34" s="10">
        <f t="shared" si="2"/>
        <v>146070.07558636088</v>
      </c>
      <c r="F34" s="3"/>
      <c r="G34" s="28"/>
      <c r="H34" s="10"/>
      <c r="I34" s="10">
        <f t="shared" si="5"/>
        <v>3635</v>
      </c>
      <c r="J34" s="10">
        <f t="shared" ref="J34:J65" si="6">IF(I34="","",I34*C34)</f>
        <v>25827044989.473866</v>
      </c>
      <c r="K34" s="11">
        <f t="shared" ref="K34:K65" si="7">IFERROR(J34/J35-1,"")</f>
        <v>2.0990000000000064E-2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6959031.7096884307</v>
      </c>
      <c r="D35" s="11">
        <v>1.8020000000000001E-2</v>
      </c>
      <c r="E35" s="10">
        <f t="shared" si="2"/>
        <v>123182.0115602687</v>
      </c>
      <c r="F35" s="3"/>
      <c r="G35" s="28"/>
      <c r="H35" s="10"/>
      <c r="I35" s="10">
        <f t="shared" ref="I35:I66" si="8">IF(H35&lt;&gt;"",H35,I34/(1+IF(G34="",0,G34)/100))</f>
        <v>3635</v>
      </c>
      <c r="J35" s="10">
        <f t="shared" si="6"/>
        <v>25296080264.717445</v>
      </c>
      <c r="K35" s="11">
        <f t="shared" si="7"/>
        <v>1.8019999999999925E-2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6835849.698128162</v>
      </c>
      <c r="D36" s="11">
        <v>1.8519999999999998E-2</v>
      </c>
      <c r="E36" s="10">
        <f t="shared" si="2"/>
        <v>124297.93858670816</v>
      </c>
      <c r="F36" s="3"/>
      <c r="G36" s="28"/>
      <c r="H36" s="10"/>
      <c r="I36" s="10">
        <f t="shared" si="8"/>
        <v>3635</v>
      </c>
      <c r="J36" s="10">
        <f t="shared" si="6"/>
        <v>24848313652.695869</v>
      </c>
      <c r="K36" s="11">
        <f t="shared" si="7"/>
        <v>1.8520000000000092E-2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6711551.7595414538</v>
      </c>
      <c r="D37" s="11">
        <v>1.915E-2</v>
      </c>
      <c r="E37" s="10">
        <f t="shared" si="2"/>
        <v>126111.18696484249</v>
      </c>
      <c r="F37" s="3"/>
      <c r="G37" s="28"/>
      <c r="H37" s="10"/>
      <c r="I37" s="10">
        <f t="shared" si="8"/>
        <v>3635</v>
      </c>
      <c r="J37" s="10">
        <f t="shared" si="6"/>
        <v>24396490645.933186</v>
      </c>
      <c r="K37" s="11">
        <f t="shared" si="7"/>
        <v>1.915E-2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6585440.5725766113</v>
      </c>
      <c r="D38" s="11">
        <v>1.9179999999999999E-2</v>
      </c>
      <c r="E38" s="10">
        <f t="shared" si="2"/>
        <v>123931.73941994458</v>
      </c>
      <c r="F38" s="3"/>
      <c r="G38" s="28"/>
      <c r="H38" s="10"/>
      <c r="I38" s="10">
        <f t="shared" si="8"/>
        <v>3635</v>
      </c>
      <c r="J38" s="10">
        <f t="shared" si="6"/>
        <v>23938076481.315983</v>
      </c>
      <c r="K38" s="11">
        <f t="shared" si="7"/>
        <v>1.9179999999999975E-2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6461508.8331566667</v>
      </c>
      <c r="D39" s="11">
        <v>1.9449999999999999E-2</v>
      </c>
      <c r="E39" s="10">
        <f t="shared" si="2"/>
        <v>123278.57845396735</v>
      </c>
      <c r="F39" s="3"/>
      <c r="G39" s="28"/>
      <c r="H39" s="10"/>
      <c r="I39" s="10">
        <f t="shared" si="8"/>
        <v>3635</v>
      </c>
      <c r="J39" s="10">
        <f t="shared" si="6"/>
        <v>23487584608.524483</v>
      </c>
      <c r="K39" s="11">
        <f t="shared" si="7"/>
        <v>1.9449999999999967E-2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6338230.2547026994</v>
      </c>
      <c r="D40" s="11">
        <v>1.9519999999999999E-2</v>
      </c>
      <c r="E40" s="10">
        <f t="shared" si="2"/>
        <v>121353.43551062886</v>
      </c>
      <c r="F40" s="3"/>
      <c r="G40" s="28"/>
      <c r="H40" s="10"/>
      <c r="I40" s="10">
        <f t="shared" si="8"/>
        <v>3635</v>
      </c>
      <c r="J40" s="10">
        <f t="shared" si="6"/>
        <v>23039466975.844311</v>
      </c>
      <c r="K40" s="11">
        <f t="shared" si="7"/>
        <v>1.9519999999999982E-2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6216876.8191920705</v>
      </c>
      <c r="D41" s="11">
        <v>1.8929999999999999E-2</v>
      </c>
      <c r="E41" s="10">
        <f t="shared" si="2"/>
        <v>115499.0805917047</v>
      </c>
      <c r="F41" s="3"/>
      <c r="G41" s="28"/>
      <c r="H41" s="10"/>
      <c r="I41" s="10">
        <f t="shared" si="8"/>
        <v>3635</v>
      </c>
      <c r="J41" s="10">
        <f t="shared" si="6"/>
        <v>22598347237.763176</v>
      </c>
      <c r="K41" s="11">
        <f t="shared" si="7"/>
        <v>1.8930000000000113E-2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6101377.7386003658</v>
      </c>
      <c r="D42" s="11">
        <v>1.9290000000000002E-2</v>
      </c>
      <c r="E42" s="10">
        <f t="shared" si="2"/>
        <v>115468.19509423338</v>
      </c>
      <c r="F42" s="3"/>
      <c r="G42" s="28"/>
      <c r="H42" s="10"/>
      <c r="I42" s="10">
        <f t="shared" si="8"/>
        <v>3635</v>
      </c>
      <c r="J42" s="10">
        <f t="shared" si="6"/>
        <v>22178508079.812328</v>
      </c>
      <c r="K42" s="11">
        <f t="shared" si="7"/>
        <v>1.9290000000000029E-2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5985909.5435061324</v>
      </c>
      <c r="D43" s="11">
        <v>1.941E-2</v>
      </c>
      <c r="E43" s="10">
        <f t="shared" si="2"/>
        <v>113974.26377949398</v>
      </c>
      <c r="F43" s="3"/>
      <c r="G43" s="28"/>
      <c r="H43" s="10"/>
      <c r="I43" s="10">
        <f t="shared" si="8"/>
        <v>3635</v>
      </c>
      <c r="J43" s="10">
        <f t="shared" si="6"/>
        <v>21758781190.644791</v>
      </c>
      <c r="K43" s="11">
        <f t="shared" si="7"/>
        <v>1.9409999999999927E-2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5871935.2797266385</v>
      </c>
      <c r="D44" s="11">
        <v>1.9599999999999999E-2</v>
      </c>
      <c r="E44" s="10">
        <f t="shared" si="2"/>
        <v>112877.53185822163</v>
      </c>
      <c r="F44" s="3"/>
      <c r="G44" s="28"/>
      <c r="H44" s="10"/>
      <c r="I44" s="10">
        <f t="shared" si="8"/>
        <v>3635</v>
      </c>
      <c r="J44" s="10">
        <f t="shared" si="6"/>
        <v>21344484741.806332</v>
      </c>
      <c r="K44" s="11">
        <f t="shared" si="7"/>
        <v>1.9600000000000284E-2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5759057.7478684168</v>
      </c>
      <c r="D45" s="11">
        <v>2.206E-2</v>
      </c>
      <c r="E45" s="10">
        <f t="shared" si="2"/>
        <v>124302.69643462915</v>
      </c>
      <c r="F45" s="3"/>
      <c r="G45" s="28"/>
      <c r="H45" s="10"/>
      <c r="I45" s="10">
        <f t="shared" si="8"/>
        <v>3635</v>
      </c>
      <c r="J45" s="10">
        <f t="shared" si="6"/>
        <v>20934174913.501694</v>
      </c>
      <c r="K45" s="11">
        <f t="shared" si="7"/>
        <v>2.2059999999999969E-2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5634755.0514337877</v>
      </c>
      <c r="D46" s="11">
        <v>2.2120000000000001E-2</v>
      </c>
      <c r="E46" s="10">
        <f t="shared" si="2"/>
        <v>121943.3938654121</v>
      </c>
      <c r="F46" s="3"/>
      <c r="G46" s="28"/>
      <c r="H46" s="10"/>
      <c r="I46" s="10">
        <f t="shared" si="8"/>
        <v>3635</v>
      </c>
      <c r="J46" s="10">
        <f t="shared" si="6"/>
        <v>20482334611.961819</v>
      </c>
      <c r="K46" s="11">
        <f t="shared" si="7"/>
        <v>2.212000000000014E-2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5512811.6575683756</v>
      </c>
      <c r="D47" s="11">
        <v>2.256E-2</v>
      </c>
      <c r="E47" s="10">
        <f t="shared" si="2"/>
        <v>121625.16722220927</v>
      </c>
      <c r="F47" s="3"/>
      <c r="G47" s="28"/>
      <c r="H47" s="10"/>
      <c r="I47" s="10">
        <f t="shared" si="8"/>
        <v>3635</v>
      </c>
      <c r="J47" s="10">
        <f t="shared" si="6"/>
        <v>20039070375.261044</v>
      </c>
      <c r="K47" s="11">
        <f t="shared" si="7"/>
        <v>2.2559999999999913E-2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5391186.4903461663</v>
      </c>
      <c r="D48" s="11">
        <v>2.266E-2</v>
      </c>
      <c r="E48" s="10">
        <f t="shared" si="2"/>
        <v>119457.38160409499</v>
      </c>
      <c r="F48" s="3"/>
      <c r="G48" s="28"/>
      <c r="H48" s="10"/>
      <c r="I48" s="10">
        <f t="shared" si="8"/>
        <v>3635</v>
      </c>
      <c r="J48" s="10">
        <f t="shared" si="6"/>
        <v>19596962892.408314</v>
      </c>
      <c r="K48" s="11">
        <f t="shared" si="7"/>
        <v>2.2659999999999902E-2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5271729.1087420713</v>
      </c>
      <c r="D49" s="11">
        <v>2.264E-2</v>
      </c>
      <c r="E49" s="10">
        <f t="shared" si="2"/>
        <v>116709.64075522218</v>
      </c>
      <c r="F49" s="3"/>
      <c r="G49" s="28"/>
      <c r="H49" s="10"/>
      <c r="I49" s="10">
        <f t="shared" si="8"/>
        <v>3635</v>
      </c>
      <c r="J49" s="10">
        <f t="shared" si="6"/>
        <v>19162735310.277428</v>
      </c>
      <c r="K49" s="11">
        <f t="shared" si="7"/>
        <v>2.2639999999999771E-2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5155019.4679868491</v>
      </c>
      <c r="D50" s="11">
        <v>2.2749999999999999E-2</v>
      </c>
      <c r="E50" s="10">
        <f t="shared" si="2"/>
        <v>114667.99598797504</v>
      </c>
      <c r="F50" s="3"/>
      <c r="G50" s="28"/>
      <c r="H50" s="10"/>
      <c r="I50" s="10">
        <f t="shared" si="8"/>
        <v>3635</v>
      </c>
      <c r="J50" s="10">
        <f t="shared" si="6"/>
        <v>18738495766.132198</v>
      </c>
      <c r="K50" s="11">
        <f t="shared" si="7"/>
        <v>2.275000000000027E-2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5040351.4719988741</v>
      </c>
      <c r="D51" s="11">
        <v>2.2620000000000001E-2</v>
      </c>
      <c r="E51" s="10">
        <f t="shared" si="2"/>
        <v>111490.82777240314</v>
      </c>
      <c r="F51" s="3"/>
      <c r="G51" s="28"/>
      <c r="H51" s="10"/>
      <c r="I51" s="10">
        <f t="shared" si="8"/>
        <v>3635</v>
      </c>
      <c r="J51" s="10">
        <f t="shared" si="6"/>
        <v>18321677600.715908</v>
      </c>
      <c r="K51" s="11">
        <f t="shared" si="7"/>
        <v>2.2620000000000084E-2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4928860.644226471</v>
      </c>
      <c r="D52" s="11">
        <v>2.2749999999999999E-2</v>
      </c>
      <c r="E52" s="10">
        <f t="shared" si="2"/>
        <v>109637.33038978465</v>
      </c>
      <c r="F52" s="3"/>
      <c r="G52" s="28"/>
      <c r="H52" s="10"/>
      <c r="I52" s="10">
        <f t="shared" si="8"/>
        <v>3635</v>
      </c>
      <c r="J52" s="10">
        <f t="shared" si="6"/>
        <v>17916408441.763222</v>
      </c>
      <c r="K52" s="11">
        <f t="shared" si="7"/>
        <v>2.2749999999999826E-2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4819223.3138366863</v>
      </c>
      <c r="D53" s="11">
        <v>2.2409999999999999E-2</v>
      </c>
      <c r="E53" s="10">
        <f t="shared" si="2"/>
        <v>105631.59051953722</v>
      </c>
      <c r="F53" s="3"/>
      <c r="G53" s="28"/>
      <c r="H53" s="10"/>
      <c r="I53" s="10">
        <f t="shared" si="8"/>
        <v>3635</v>
      </c>
      <c r="J53" s="10">
        <f t="shared" si="6"/>
        <v>17517876745.796356</v>
      </c>
      <c r="K53" s="11">
        <f t="shared" si="7"/>
        <v>2.2410000000000041E-2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4713591.7233171491</v>
      </c>
      <c r="D54" s="11">
        <v>2.222E-2</v>
      </c>
      <c r="E54" s="10">
        <f t="shared" si="2"/>
        <v>102459.36108871549</v>
      </c>
      <c r="F54" s="3"/>
      <c r="G54" s="28"/>
      <c r="H54" s="10"/>
      <c r="I54" s="10">
        <f t="shared" si="8"/>
        <v>3635</v>
      </c>
      <c r="J54" s="10">
        <f t="shared" si="6"/>
        <v>17133905914.257837</v>
      </c>
      <c r="K54" s="11">
        <f t="shared" si="7"/>
        <v>2.2219999999999906E-2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4611132.3622284336</v>
      </c>
      <c r="D55" s="11">
        <v>2.2089999999999999E-2</v>
      </c>
      <c r="E55" s="10">
        <f t="shared" si="2"/>
        <v>99658.458532639779</v>
      </c>
      <c r="F55" s="3"/>
      <c r="G55" s="28"/>
      <c r="H55" s="10"/>
      <c r="I55" s="10">
        <f t="shared" si="8"/>
        <v>3635</v>
      </c>
      <c r="J55" s="10">
        <f t="shared" si="6"/>
        <v>16761466136.700356</v>
      </c>
      <c r="K55" s="11">
        <f t="shared" si="7"/>
        <v>2.2089999999999943E-2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4511473.9036957938</v>
      </c>
      <c r="D56" s="11">
        <v>2.1919999999999999E-2</v>
      </c>
      <c r="E56" s="10">
        <f t="shared" si="2"/>
        <v>96770.302928811871</v>
      </c>
      <c r="F56" s="3"/>
      <c r="G56" s="28"/>
      <c r="H56" s="10"/>
      <c r="I56" s="10">
        <f t="shared" si="8"/>
        <v>3635</v>
      </c>
      <c r="J56" s="10">
        <f t="shared" si="6"/>
        <v>16399207639.93421</v>
      </c>
      <c r="K56" s="11">
        <f t="shared" si="7"/>
        <v>2.191999999999994E-2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4414703.600766982</v>
      </c>
      <c r="D57" s="11">
        <v>2.181E-2</v>
      </c>
      <c r="E57" s="10">
        <f t="shared" si="2"/>
        <v>94229.539281009696</v>
      </c>
      <c r="F57" s="3"/>
      <c r="G57" s="28"/>
      <c r="H57" s="10"/>
      <c r="I57" s="10">
        <f t="shared" si="8"/>
        <v>3635</v>
      </c>
      <c r="J57" s="10">
        <f t="shared" si="6"/>
        <v>16047447588.787979</v>
      </c>
      <c r="K57" s="11">
        <f t="shared" si="7"/>
        <v>2.1810000000000107E-2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4320474.0614859723</v>
      </c>
      <c r="D58" s="11">
        <v>2.1569999999999999E-2</v>
      </c>
      <c r="E58" s="10">
        <f t="shared" si="2"/>
        <v>91224.904320068657</v>
      </c>
      <c r="F58" s="3"/>
      <c r="G58" s="28"/>
      <c r="H58" s="10"/>
      <c r="I58" s="10">
        <f t="shared" si="8"/>
        <v>3635</v>
      </c>
      <c r="J58" s="10">
        <f t="shared" si="6"/>
        <v>15704923213.501509</v>
      </c>
      <c r="K58" s="11">
        <f t="shared" si="7"/>
        <v>2.1570000000000089E-2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4229249.1571659036</v>
      </c>
      <c r="D59" s="11">
        <v>2.0969999999999999E-2</v>
      </c>
      <c r="E59" s="10">
        <f t="shared" si="2"/>
        <v>86865.779431098606</v>
      </c>
      <c r="F59" s="3"/>
      <c r="G59" s="28"/>
      <c r="H59" s="10"/>
      <c r="I59" s="10">
        <f t="shared" si="8"/>
        <v>3635</v>
      </c>
      <c r="J59" s="10">
        <f t="shared" si="6"/>
        <v>15373320686.298059</v>
      </c>
      <c r="K59" s="11">
        <f t="shared" si="7"/>
        <v>2.0969999999999933E-2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4142383.377734805</v>
      </c>
      <c r="D60" s="11">
        <v>2.1139999999999999E-2</v>
      </c>
      <c r="E60" s="10">
        <f t="shared" si="2"/>
        <v>85757.079935477581</v>
      </c>
      <c r="F60" s="3"/>
      <c r="G60" s="28"/>
      <c r="H60" s="10"/>
      <c r="I60" s="10">
        <f t="shared" si="8"/>
        <v>3635</v>
      </c>
      <c r="J60" s="10">
        <f t="shared" si="6"/>
        <v>15057563578.066015</v>
      </c>
      <c r="K60" s="11">
        <f t="shared" si="7"/>
        <v>2.1139999999999937E-2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4056626.2977993274</v>
      </c>
      <c r="D61" s="11">
        <v>2.085E-2</v>
      </c>
      <c r="E61" s="10">
        <f t="shared" si="2"/>
        <v>82853.169720444828</v>
      </c>
      <c r="F61" s="3"/>
      <c r="G61" s="28"/>
      <c r="H61" s="10"/>
      <c r="I61" s="10">
        <f t="shared" si="8"/>
        <v>3635</v>
      </c>
      <c r="J61" s="10">
        <f t="shared" si="6"/>
        <v>14745836592.500555</v>
      </c>
      <c r="K61" s="11">
        <f t="shared" si="7"/>
        <v>2.0850000000000035E-2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3973773.1280788826</v>
      </c>
      <c r="D62" s="11">
        <v>2.053E-2</v>
      </c>
      <c r="E62" s="10">
        <f t="shared" si="2"/>
        <v>79940.386190958787</v>
      </c>
      <c r="F62" s="3"/>
      <c r="G62" s="28"/>
      <c r="H62" s="10"/>
      <c r="I62" s="10">
        <f t="shared" si="8"/>
        <v>3635</v>
      </c>
      <c r="J62" s="10">
        <f t="shared" si="6"/>
        <v>14444665320.566738</v>
      </c>
      <c r="K62" s="11">
        <f t="shared" si="7"/>
        <v>2.0529999999999937E-2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3893832.7418879238</v>
      </c>
      <c r="D63" s="11">
        <v>2.017E-2</v>
      </c>
      <c r="E63" s="10">
        <f t="shared" si="2"/>
        <v>76985.802762166597</v>
      </c>
      <c r="F63" s="3"/>
      <c r="G63" s="28"/>
      <c r="H63" s="10"/>
      <c r="I63" s="10">
        <f t="shared" si="8"/>
        <v>3635</v>
      </c>
      <c r="J63" s="10">
        <f t="shared" si="6"/>
        <v>14154082016.762604</v>
      </c>
      <c r="K63" s="11">
        <f t="shared" si="7"/>
        <v>2.0170000000000021E-2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3816846.9391257572</v>
      </c>
      <c r="D64" s="11">
        <v>1.9550000000000001E-2</v>
      </c>
      <c r="E64" s="10">
        <f t="shared" si="2"/>
        <v>73188.522053757217</v>
      </c>
      <c r="F64" s="3"/>
      <c r="G64" s="28"/>
      <c r="H64" s="10"/>
      <c r="I64" s="10">
        <f t="shared" si="8"/>
        <v>3635</v>
      </c>
      <c r="J64" s="10">
        <f t="shared" si="6"/>
        <v>13874238623.722128</v>
      </c>
      <c r="K64" s="11">
        <f t="shared" si="7"/>
        <v>1.9549999999999956E-2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3743658.417072</v>
      </c>
      <c r="D65" s="11">
        <v>1.9359999999999999E-2</v>
      </c>
      <c r="E65" s="10">
        <f t="shared" si="2"/>
        <v>71100.717072000261</v>
      </c>
      <c r="F65" s="3"/>
      <c r="G65" s="28"/>
      <c r="H65" s="10"/>
      <c r="I65" s="10">
        <f t="shared" si="8"/>
        <v>3635</v>
      </c>
      <c r="J65" s="10">
        <f t="shared" si="6"/>
        <v>13608198346.056721</v>
      </c>
      <c r="K65" s="11">
        <f t="shared" si="7"/>
        <v>1.9360000000000266E-2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3672557.6999999997</v>
      </c>
      <c r="D66" s="11">
        <v>1.874E-2</v>
      </c>
      <c r="E66" s="10">
        <f t="shared" si="2"/>
        <v>67557.699999999721</v>
      </c>
      <c r="F66" s="24">
        <f>SUM(F2)</f>
        <v>10233103</v>
      </c>
      <c r="G66" s="28"/>
      <c r="H66" s="10"/>
      <c r="I66" s="10">
        <f t="shared" si="8"/>
        <v>3635</v>
      </c>
      <c r="J66" s="10">
        <f t="shared" ref="J66:J67" si="9">IF(I66="","",I66*C66)</f>
        <v>13349747239.499998</v>
      </c>
      <c r="K66" s="11">
        <f t="shared" ref="K66" si="10">IFERROR(J66/J67-1,"")</f>
        <v>1.8739999999999757E-2</v>
      </c>
    </row>
    <row r="67" spans="1:11" ht="22.5" customHeight="1">
      <c r="A67" s="3">
        <f t="shared" si="0"/>
        <v>1950</v>
      </c>
      <c r="B67" s="3">
        <v>1700</v>
      </c>
      <c r="C67" s="10">
        <v>3605000</v>
      </c>
      <c r="D67" s="11">
        <v>1.8489999999999999E-2</v>
      </c>
      <c r="E67" s="3" t="s">
        <v>72</v>
      </c>
      <c r="F67" s="10">
        <f>SUM(C2)</f>
        <v>10232177.744382663</v>
      </c>
      <c r="G67" s="28"/>
      <c r="H67" s="10"/>
      <c r="I67" s="10">
        <f t="shared" ref="I67" si="11">IF(H67&lt;&gt;"",H67,I66/(1+IF(G66="",0,G66)/100))</f>
        <v>3635</v>
      </c>
      <c r="J67" s="10">
        <f t="shared" si="9"/>
        <v>13104175000</v>
      </c>
      <c r="K67" s="11"/>
    </row>
  </sheetData>
  <dataValidations count="1">
    <dataValidation type="custom" allowBlank="1" showDropDown="1" sqref="D2:D67" xr:uid="{00000000-0002-0000-6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22386516.167493358</v>
      </c>
      <c r="D2" s="11">
        <v>2.4199999999999999E-2</v>
      </c>
      <c r="E2" s="10">
        <f t="shared" ref="E2:E66" si="2">SUM(C2-C3)</f>
        <v>528953.02797631174</v>
      </c>
      <c r="F2" s="15">
        <v>22386666</v>
      </c>
      <c r="G2" s="28"/>
      <c r="H2" s="10"/>
      <c r="I2" s="10">
        <f>IF(H2&lt;&gt;"",H2,1512)</f>
        <v>1512</v>
      </c>
      <c r="J2" s="10">
        <f t="shared" ref="J2:J33" si="3">IF(I2="","",I2*C2)</f>
        <v>33848412445.249958</v>
      </c>
      <c r="K2" s="11">
        <f t="shared" ref="K2:K33" si="4">IFERROR(J2/J3-1,"")</f>
        <v>2.4199999999999999E-2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21857563.139517047</v>
      </c>
      <c r="D3" s="11">
        <v>2.4199999999999999E-2</v>
      </c>
      <c r="E3" s="10">
        <f t="shared" si="2"/>
        <v>516454.82130083069</v>
      </c>
      <c r="F3" s="3"/>
      <c r="G3" s="28"/>
      <c r="H3" s="10"/>
      <c r="I3" s="10">
        <f t="shared" ref="I3:I34" si="5">IF(H3&lt;&gt;"",H3,I2/(1+IF(G2="",0,G2)/100))</f>
        <v>1512</v>
      </c>
      <c r="J3" s="10">
        <f t="shared" si="3"/>
        <v>33048635466.949776</v>
      </c>
      <c r="K3" s="11">
        <f t="shared" si="4"/>
        <v>2.4199999999999999E-2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21341108.318216216</v>
      </c>
      <c r="D4" s="11">
        <v>2.4299999999999999E-2</v>
      </c>
      <c r="E4" s="10">
        <f t="shared" si="2"/>
        <v>506286.17800708115</v>
      </c>
      <c r="F4" s="3"/>
      <c r="G4" s="28"/>
      <c r="H4" s="10"/>
      <c r="I4" s="10">
        <f t="shared" si="5"/>
        <v>1512</v>
      </c>
      <c r="J4" s="10">
        <f t="shared" si="3"/>
        <v>32267755777.142918</v>
      </c>
      <c r="K4" s="11">
        <f t="shared" si="4"/>
        <v>2.4299999999999988E-2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20834822.140209135</v>
      </c>
      <c r="D5" s="11">
        <v>2.8000000000000001E-2</v>
      </c>
      <c r="E5" s="10">
        <f t="shared" si="2"/>
        <v>567485.42794343829</v>
      </c>
      <c r="F5" s="3"/>
      <c r="G5" s="28"/>
      <c r="H5" s="10"/>
      <c r="I5" s="10">
        <f t="shared" si="5"/>
        <v>1512</v>
      </c>
      <c r="J5" s="10">
        <f t="shared" si="3"/>
        <v>31502251075.996212</v>
      </c>
      <c r="K5" s="11">
        <f t="shared" si="4"/>
        <v>2.8000000000000025E-2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20267336.712265696</v>
      </c>
      <c r="D6" s="11">
        <v>3.2500000000000001E-2</v>
      </c>
      <c r="E6" s="10">
        <f t="shared" si="2"/>
        <v>637954.90861853212</v>
      </c>
      <c r="F6" s="3"/>
      <c r="G6" s="28"/>
      <c r="H6" s="10"/>
      <c r="I6" s="10">
        <f t="shared" si="5"/>
        <v>1512</v>
      </c>
      <c r="J6" s="10">
        <f t="shared" si="3"/>
        <v>30644213108.945732</v>
      </c>
      <c r="K6" s="11">
        <f t="shared" si="4"/>
        <v>3.2499999999999973E-2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19629381.803647164</v>
      </c>
      <c r="D7" s="11">
        <v>4.1399999999999999E-2</v>
      </c>
      <c r="E7" s="10">
        <f t="shared" si="2"/>
        <v>780349.91998367012</v>
      </c>
      <c r="F7" s="3"/>
      <c r="G7" s="28"/>
      <c r="H7" s="10"/>
      <c r="I7" s="10">
        <f t="shared" si="5"/>
        <v>1512</v>
      </c>
      <c r="J7" s="10">
        <f t="shared" si="3"/>
        <v>29679625287.114513</v>
      </c>
      <c r="K7" s="11">
        <f t="shared" si="4"/>
        <v>4.1400000000000103E-2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18849031.883663494</v>
      </c>
      <c r="D8" s="11">
        <v>0.04</v>
      </c>
      <c r="E8" s="10">
        <f t="shared" si="2"/>
        <v>724962.76475628838</v>
      </c>
      <c r="F8" s="3"/>
      <c r="G8" s="28"/>
      <c r="H8" s="10"/>
      <c r="I8" s="10">
        <f t="shared" si="5"/>
        <v>1512</v>
      </c>
      <c r="J8" s="10">
        <f t="shared" si="3"/>
        <v>28499736208.099205</v>
      </c>
      <c r="K8" s="11">
        <f t="shared" si="4"/>
        <v>4.0000000000000036E-2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18124069.118907206</v>
      </c>
      <c r="D9" s="11">
        <v>3.2899999999999999E-2</v>
      </c>
      <c r="E9" s="10">
        <f t="shared" si="2"/>
        <v>577289.06381260976</v>
      </c>
      <c r="F9" s="3"/>
      <c r="G9" s="28"/>
      <c r="H9" s="10"/>
      <c r="I9" s="10">
        <f t="shared" si="5"/>
        <v>1512</v>
      </c>
      <c r="J9" s="10">
        <f t="shared" si="3"/>
        <v>27403592507.787697</v>
      </c>
      <c r="K9" s="11">
        <f t="shared" si="4"/>
        <v>3.2899999999999929E-2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17546780.055094596</v>
      </c>
      <c r="D10" s="11">
        <v>3.6600000000000001E-2</v>
      </c>
      <c r="E10" s="10">
        <f t="shared" si="2"/>
        <v>619537.09243340045</v>
      </c>
      <c r="F10" s="3"/>
      <c r="G10" s="28"/>
      <c r="H10" s="10"/>
      <c r="I10" s="10">
        <f t="shared" si="5"/>
        <v>1512</v>
      </c>
      <c r="J10" s="10">
        <f t="shared" si="3"/>
        <v>26530731443.303028</v>
      </c>
      <c r="K10" s="11">
        <f t="shared" si="4"/>
        <v>3.6599999999999966E-2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16927242.962661196</v>
      </c>
      <c r="D11" s="11">
        <v>3.7400000000000003E-2</v>
      </c>
      <c r="E11" s="10">
        <f t="shared" si="2"/>
        <v>610255.33719252981</v>
      </c>
      <c r="F11" s="3"/>
      <c r="G11" s="28"/>
      <c r="H11" s="10"/>
      <c r="I11" s="10">
        <f t="shared" si="5"/>
        <v>1512</v>
      </c>
      <c r="J11" s="10">
        <f t="shared" si="3"/>
        <v>25593991359.543728</v>
      </c>
      <c r="K11" s="11">
        <f t="shared" si="4"/>
        <v>3.74000000000001E-2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16316987.625468666</v>
      </c>
      <c r="D12" s="11">
        <v>3.5999999999999997E-2</v>
      </c>
      <c r="E12" s="10">
        <f t="shared" si="2"/>
        <v>566999.56999698095</v>
      </c>
      <c r="F12" s="3"/>
      <c r="G12" s="28"/>
      <c r="H12" s="10"/>
      <c r="I12" s="10">
        <f t="shared" si="5"/>
        <v>1512</v>
      </c>
      <c r="J12" s="10">
        <f t="shared" si="3"/>
        <v>24671285289.708622</v>
      </c>
      <c r="K12" s="11">
        <f t="shared" si="4"/>
        <v>3.6000000000000032E-2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15749988.055471685</v>
      </c>
      <c r="D13" s="11">
        <v>3.4200000000000001E-2</v>
      </c>
      <c r="E13" s="10">
        <f t="shared" si="2"/>
        <v>520836.9672182668</v>
      </c>
      <c r="F13" s="3"/>
      <c r="G13" s="28"/>
      <c r="H13" s="10"/>
      <c r="I13" s="10">
        <f t="shared" si="5"/>
        <v>1512</v>
      </c>
      <c r="J13" s="10">
        <f t="shared" si="3"/>
        <v>23813981939.873188</v>
      </c>
      <c r="K13" s="11">
        <f t="shared" si="4"/>
        <v>3.4200000000000008E-2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15229151.088253418</v>
      </c>
      <c r="D14" s="11">
        <v>2.8000000000000001E-2</v>
      </c>
      <c r="E14" s="10">
        <f t="shared" si="2"/>
        <v>414801.78061390668</v>
      </c>
      <c r="F14" s="3"/>
      <c r="G14" s="28"/>
      <c r="H14" s="10"/>
      <c r="I14" s="10">
        <f t="shared" si="5"/>
        <v>1512</v>
      </c>
      <c r="J14" s="10">
        <f t="shared" si="3"/>
        <v>23026476445.439167</v>
      </c>
      <c r="K14" s="11">
        <f t="shared" si="4"/>
        <v>2.8000000000000025E-2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14814349.307639511</v>
      </c>
      <c r="D15" s="11">
        <v>2.3599999999999999E-2</v>
      </c>
      <c r="E15" s="10">
        <f t="shared" si="2"/>
        <v>341557.87774549983</v>
      </c>
      <c r="F15" s="3"/>
      <c r="G15" s="28"/>
      <c r="H15" s="10"/>
      <c r="I15" s="10">
        <f t="shared" si="5"/>
        <v>1512</v>
      </c>
      <c r="J15" s="10">
        <f t="shared" si="3"/>
        <v>22399296153.15094</v>
      </c>
      <c r="K15" s="11">
        <f t="shared" si="4"/>
        <v>2.3600000000000065E-2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14472791.429894011</v>
      </c>
      <c r="D16" s="11">
        <v>3.7699999999999997E-2</v>
      </c>
      <c r="E16" s="10">
        <f t="shared" si="2"/>
        <v>525801.519617429</v>
      </c>
      <c r="F16" s="3"/>
      <c r="G16" s="28"/>
      <c r="H16" s="10"/>
      <c r="I16" s="10">
        <f t="shared" si="5"/>
        <v>1512</v>
      </c>
      <c r="J16" s="10">
        <f t="shared" si="3"/>
        <v>21882860641.999744</v>
      </c>
      <c r="K16" s="11">
        <f t="shared" si="4"/>
        <v>3.7700000000000067E-2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13946989.910276582</v>
      </c>
      <c r="D17" s="11">
        <v>3.8300000000000001E-2</v>
      </c>
      <c r="E17" s="10">
        <f t="shared" si="2"/>
        <v>514465.67809264548</v>
      </c>
      <c r="F17" s="3"/>
      <c r="G17" s="28"/>
      <c r="H17" s="10"/>
      <c r="I17" s="10">
        <f t="shared" si="5"/>
        <v>1512</v>
      </c>
      <c r="J17" s="10">
        <f t="shared" si="3"/>
        <v>21087848744.338192</v>
      </c>
      <c r="K17" s="11">
        <f t="shared" si="4"/>
        <v>3.8300000000000001E-2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13432524.232183937</v>
      </c>
      <c r="D18" s="11">
        <v>2.7E-2</v>
      </c>
      <c r="E18" s="10">
        <f t="shared" si="2"/>
        <v>353143.28555887565</v>
      </c>
      <c r="F18" s="3"/>
      <c r="G18" s="28"/>
      <c r="H18" s="10"/>
      <c r="I18" s="10">
        <f t="shared" si="5"/>
        <v>1512</v>
      </c>
      <c r="J18" s="10">
        <f t="shared" si="3"/>
        <v>20309976639.062111</v>
      </c>
      <c r="K18" s="11">
        <f t="shared" si="4"/>
        <v>2.6999999999999913E-2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13079380.946625061</v>
      </c>
      <c r="D19" s="11">
        <v>2.1999999999999999E-2</v>
      </c>
      <c r="E19" s="10">
        <f t="shared" si="2"/>
        <v>281552.23172774166</v>
      </c>
      <c r="F19" s="3"/>
      <c r="G19" s="28"/>
      <c r="H19" s="10"/>
      <c r="I19" s="10">
        <f t="shared" si="5"/>
        <v>1512</v>
      </c>
      <c r="J19" s="10">
        <f t="shared" si="3"/>
        <v>19776023991.297092</v>
      </c>
      <c r="K19" s="11">
        <f t="shared" si="4"/>
        <v>2.200000000000002E-2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12797828.71489732</v>
      </c>
      <c r="D20" s="11">
        <v>2.1399999999999999E-2</v>
      </c>
      <c r="E20" s="10">
        <f t="shared" si="2"/>
        <v>268135.43616487458</v>
      </c>
      <c r="F20" s="3"/>
      <c r="G20" s="28"/>
      <c r="H20" s="10"/>
      <c r="I20" s="10">
        <f t="shared" si="5"/>
        <v>1512</v>
      </c>
      <c r="J20" s="10">
        <f t="shared" si="3"/>
        <v>19350317016.924747</v>
      </c>
      <c r="K20" s="11">
        <f t="shared" si="4"/>
        <v>2.1399999999999864E-2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12529693.278732445</v>
      </c>
      <c r="D21" s="11">
        <v>2.7699999999999999E-2</v>
      </c>
      <c r="E21" s="10">
        <f t="shared" si="2"/>
        <v>337717.7228966523</v>
      </c>
      <c r="F21" s="3"/>
      <c r="G21" s="28"/>
      <c r="H21" s="10"/>
      <c r="I21" s="10">
        <f t="shared" si="5"/>
        <v>1512</v>
      </c>
      <c r="J21" s="10">
        <f t="shared" si="3"/>
        <v>18944896237.443459</v>
      </c>
      <c r="K21" s="11">
        <f t="shared" si="4"/>
        <v>2.770000000000028E-2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12191975.555835793</v>
      </c>
      <c r="D22" s="11">
        <v>2.81E-2</v>
      </c>
      <c r="E22" s="10">
        <f t="shared" si="2"/>
        <v>333230.72961675562</v>
      </c>
      <c r="F22" s="3"/>
      <c r="G22" s="28"/>
      <c r="H22" s="10"/>
      <c r="I22" s="10">
        <f t="shared" si="5"/>
        <v>1512</v>
      </c>
      <c r="J22" s="10">
        <f t="shared" si="3"/>
        <v>18434267040.423717</v>
      </c>
      <c r="K22" s="11">
        <f t="shared" si="4"/>
        <v>2.8100000000000014E-2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11858744.826219037</v>
      </c>
      <c r="D23" s="11">
        <v>2.9600000000000001E-2</v>
      </c>
      <c r="E23" s="10">
        <f t="shared" si="2"/>
        <v>340927.39593636803</v>
      </c>
      <c r="F23" s="3"/>
      <c r="G23" s="28"/>
      <c r="H23" s="10"/>
      <c r="I23" s="10">
        <f t="shared" si="5"/>
        <v>1512</v>
      </c>
      <c r="J23" s="10">
        <f t="shared" si="3"/>
        <v>17930422177.243183</v>
      </c>
      <c r="K23" s="11">
        <f t="shared" si="4"/>
        <v>2.9600000000000071E-2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11517817.430282669</v>
      </c>
      <c r="D24" s="11">
        <v>2.9600000000000001E-2</v>
      </c>
      <c r="E24" s="10">
        <f t="shared" si="2"/>
        <v>331126.06442926079</v>
      </c>
      <c r="F24" s="3"/>
      <c r="G24" s="28"/>
      <c r="H24" s="10"/>
      <c r="I24" s="10">
        <f t="shared" si="5"/>
        <v>1512</v>
      </c>
      <c r="J24" s="10">
        <f t="shared" si="3"/>
        <v>17414939954.587395</v>
      </c>
      <c r="K24" s="11">
        <f t="shared" si="4"/>
        <v>2.9600000000000071E-2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11186691.365853408</v>
      </c>
      <c r="D25" s="11">
        <v>2.8299999999999999E-2</v>
      </c>
      <c r="E25" s="10">
        <f t="shared" si="2"/>
        <v>307870.62691204064</v>
      </c>
      <c r="F25" s="3"/>
      <c r="G25" s="28"/>
      <c r="H25" s="10"/>
      <c r="I25" s="10">
        <f t="shared" si="5"/>
        <v>1512</v>
      </c>
      <c r="J25" s="10">
        <f t="shared" si="3"/>
        <v>16914277345.170353</v>
      </c>
      <c r="K25" s="11">
        <f t="shared" si="4"/>
        <v>2.8299999999999992E-2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10878820.738941368</v>
      </c>
      <c r="D26" s="11">
        <v>2.8400000000000002E-2</v>
      </c>
      <c r="E26" s="10">
        <f t="shared" si="2"/>
        <v>300426.39924731106</v>
      </c>
      <c r="F26" s="3"/>
      <c r="G26" s="28"/>
      <c r="H26" s="10"/>
      <c r="I26" s="10">
        <f t="shared" si="5"/>
        <v>1512</v>
      </c>
      <c r="J26" s="10">
        <f t="shared" si="3"/>
        <v>16448776957.279348</v>
      </c>
      <c r="K26" s="11">
        <f t="shared" si="4"/>
        <v>2.8399999999999981E-2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10578394.339694057</v>
      </c>
      <c r="D27" s="11">
        <v>2.8500000000000001E-2</v>
      </c>
      <c r="E27" s="10">
        <f t="shared" si="2"/>
        <v>293130.03274796344</v>
      </c>
      <c r="F27" s="3"/>
      <c r="G27" s="28"/>
      <c r="H27" s="10"/>
      <c r="I27" s="10">
        <f t="shared" si="5"/>
        <v>1512</v>
      </c>
      <c r="J27" s="10">
        <f t="shared" si="3"/>
        <v>15994532241.617414</v>
      </c>
      <c r="K27" s="11">
        <f t="shared" si="4"/>
        <v>2.849999999999997E-2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10285264.306946093</v>
      </c>
      <c r="D28" s="11">
        <v>2.8899999999999999E-2</v>
      </c>
      <c r="E28" s="10">
        <f t="shared" si="2"/>
        <v>288895.07092112117</v>
      </c>
      <c r="F28" s="3"/>
      <c r="G28" s="28"/>
      <c r="H28" s="10"/>
      <c r="I28" s="10">
        <f t="shared" si="5"/>
        <v>1512</v>
      </c>
      <c r="J28" s="10">
        <f t="shared" si="3"/>
        <v>15551319632.102493</v>
      </c>
      <c r="K28" s="11">
        <f t="shared" si="4"/>
        <v>2.8899999999999926E-2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9996369.2360249721</v>
      </c>
      <c r="D29" s="11">
        <v>2.9000000000000001E-2</v>
      </c>
      <c r="E29" s="10">
        <f t="shared" si="2"/>
        <v>281724.69178301655</v>
      </c>
      <c r="F29" s="3"/>
      <c r="G29" s="28"/>
      <c r="H29" s="10"/>
      <c r="I29" s="10">
        <f t="shared" si="5"/>
        <v>1512</v>
      </c>
      <c r="J29" s="10">
        <f t="shared" si="3"/>
        <v>15114510284.869759</v>
      </c>
      <c r="K29" s="11">
        <f t="shared" si="4"/>
        <v>2.8999999999999915E-2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9714644.5442419555</v>
      </c>
      <c r="D30" s="11">
        <v>2.92E-2</v>
      </c>
      <c r="E30" s="10">
        <f t="shared" si="2"/>
        <v>275619.5304040648</v>
      </c>
      <c r="F30" s="3"/>
      <c r="G30" s="28"/>
      <c r="H30" s="10"/>
      <c r="I30" s="10">
        <f t="shared" si="5"/>
        <v>1512</v>
      </c>
      <c r="J30" s="10">
        <f t="shared" si="3"/>
        <v>14688542550.893837</v>
      </c>
      <c r="K30" s="11">
        <f t="shared" si="4"/>
        <v>2.9199999999999893E-2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9439025.0138378907</v>
      </c>
      <c r="D31" s="11">
        <v>2.93E-2</v>
      </c>
      <c r="E31" s="10">
        <f t="shared" si="2"/>
        <v>268690.79267993011</v>
      </c>
      <c r="F31" s="3"/>
      <c r="G31" s="28"/>
      <c r="H31" s="10"/>
      <c r="I31" s="10">
        <f t="shared" si="5"/>
        <v>1512</v>
      </c>
      <c r="J31" s="10">
        <f t="shared" si="3"/>
        <v>14271805820.922892</v>
      </c>
      <c r="K31" s="11">
        <f t="shared" si="4"/>
        <v>2.9300000000000326E-2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9170334.2211579606</v>
      </c>
      <c r="D32" s="11">
        <v>2.9499999999999998E-2</v>
      </c>
      <c r="E32" s="10">
        <f t="shared" si="2"/>
        <v>262773.05441880599</v>
      </c>
      <c r="F32" s="3"/>
      <c r="G32" s="28"/>
      <c r="H32" s="10"/>
      <c r="I32" s="10">
        <f t="shared" si="5"/>
        <v>1512</v>
      </c>
      <c r="J32" s="10">
        <f t="shared" si="3"/>
        <v>13865545342.390837</v>
      </c>
      <c r="K32" s="11">
        <f t="shared" si="4"/>
        <v>2.9500000000000082E-2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8907561.1667391546</v>
      </c>
      <c r="D33" s="11">
        <v>2.4899999999999999E-2</v>
      </c>
      <c r="E33" s="10">
        <f t="shared" si="2"/>
        <v>216409.6722136829</v>
      </c>
      <c r="F33" s="3"/>
      <c r="G33" s="28"/>
      <c r="H33" s="10"/>
      <c r="I33" s="10">
        <f t="shared" si="5"/>
        <v>1512</v>
      </c>
      <c r="J33" s="10">
        <f t="shared" si="3"/>
        <v>13468232484.109602</v>
      </c>
      <c r="K33" s="11">
        <f t="shared" si="4"/>
        <v>2.4899999999999922E-2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8691151.4945254717</v>
      </c>
      <c r="D34" s="11">
        <v>2.07E-2</v>
      </c>
      <c r="E34" s="10">
        <f t="shared" si="2"/>
        <v>176258.28934719041</v>
      </c>
      <c r="F34" s="3"/>
      <c r="G34" s="28"/>
      <c r="H34" s="10"/>
      <c r="I34" s="10">
        <f t="shared" si="5"/>
        <v>1512</v>
      </c>
      <c r="J34" s="10">
        <f t="shared" ref="J34:J65" si="6">IF(I34="","",I34*C34)</f>
        <v>13141021059.722513</v>
      </c>
      <c r="K34" s="11">
        <f t="shared" ref="K34:K65" si="7">IFERROR(J34/J35-1,"")</f>
        <v>2.0699999999999941E-2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8514893.2051782813</v>
      </c>
      <c r="D35" s="11">
        <v>2.1499999999999998E-2</v>
      </c>
      <c r="E35" s="10">
        <f t="shared" si="2"/>
        <v>179217.03760287166</v>
      </c>
      <c r="F35" s="3"/>
      <c r="G35" s="28"/>
      <c r="H35" s="10"/>
      <c r="I35" s="10">
        <f t="shared" ref="I35:I66" si="8">IF(H35&lt;&gt;"",H35,I34/(1+IF(G34="",0,G34)/100))</f>
        <v>1512</v>
      </c>
      <c r="J35" s="10">
        <f t="shared" si="6"/>
        <v>12874518526.229561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8335676.1675754096</v>
      </c>
      <c r="D36" s="11">
        <v>2.1999999999999999E-2</v>
      </c>
      <c r="E36" s="10">
        <f t="shared" si="2"/>
        <v>179437.25605348218</v>
      </c>
      <c r="F36" s="3"/>
      <c r="G36" s="28"/>
      <c r="H36" s="10"/>
      <c r="I36" s="10">
        <f t="shared" si="8"/>
        <v>1512</v>
      </c>
      <c r="J36" s="10">
        <f t="shared" si="6"/>
        <v>12603542365.37402</v>
      </c>
      <c r="K36" s="11">
        <f t="shared" si="7"/>
        <v>2.200000000000002E-2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8156238.9115219275</v>
      </c>
      <c r="D37" s="11">
        <v>2.24E-2</v>
      </c>
      <c r="E37" s="10">
        <f t="shared" si="2"/>
        <v>178696.94015853945</v>
      </c>
      <c r="F37" s="3"/>
      <c r="G37" s="28"/>
      <c r="H37" s="10"/>
      <c r="I37" s="10">
        <f t="shared" si="8"/>
        <v>1512</v>
      </c>
      <c r="J37" s="10">
        <f t="shared" si="6"/>
        <v>12332233234.221155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7977541.971363388</v>
      </c>
      <c r="D38" s="11">
        <v>2.29E-2</v>
      </c>
      <c r="E38" s="10">
        <f t="shared" si="2"/>
        <v>178595.86581701133</v>
      </c>
      <c r="F38" s="3"/>
      <c r="G38" s="28"/>
      <c r="H38" s="10"/>
      <c r="I38" s="10">
        <f t="shared" si="8"/>
        <v>1512</v>
      </c>
      <c r="J38" s="10">
        <f t="shared" si="6"/>
        <v>12062043460.701443</v>
      </c>
      <c r="K38" s="11">
        <f t="shared" si="7"/>
        <v>2.289999999999992E-2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7798946.1055463767</v>
      </c>
      <c r="D39" s="11">
        <v>2.35E-2</v>
      </c>
      <c r="E39" s="10">
        <f t="shared" si="2"/>
        <v>179067.15533008333</v>
      </c>
      <c r="F39" s="3"/>
      <c r="G39" s="28"/>
      <c r="H39" s="10"/>
      <c r="I39" s="10">
        <f t="shared" si="8"/>
        <v>1512</v>
      </c>
      <c r="J39" s="10">
        <f t="shared" si="6"/>
        <v>11792006511.586121</v>
      </c>
      <c r="K39" s="11">
        <f t="shared" si="7"/>
        <v>2.3500000000000076E-2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7619878.9502162933</v>
      </c>
      <c r="D40" s="11">
        <v>2.3900000000000001E-2</v>
      </c>
      <c r="E40" s="10">
        <f t="shared" si="2"/>
        <v>177864.15363821667</v>
      </c>
      <c r="F40" s="3"/>
      <c r="G40" s="28"/>
      <c r="H40" s="10"/>
      <c r="I40" s="10">
        <f t="shared" si="8"/>
        <v>1512</v>
      </c>
      <c r="J40" s="10">
        <f t="shared" si="6"/>
        <v>11521256972.727036</v>
      </c>
      <c r="K40" s="11">
        <f t="shared" si="7"/>
        <v>2.3900000000000032E-2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7442014.7965780767</v>
      </c>
      <c r="D41" s="11">
        <v>2.4400000000000002E-2</v>
      </c>
      <c r="E41" s="10">
        <f t="shared" si="2"/>
        <v>177260.01663071569</v>
      </c>
      <c r="F41" s="3"/>
      <c r="G41" s="28"/>
      <c r="H41" s="10"/>
      <c r="I41" s="10">
        <f t="shared" si="8"/>
        <v>1512</v>
      </c>
      <c r="J41" s="10">
        <f t="shared" si="6"/>
        <v>11252326372.426052</v>
      </c>
      <c r="K41" s="11">
        <f t="shared" si="7"/>
        <v>2.4400000000000199E-2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7264754.779947361</v>
      </c>
      <c r="D42" s="11">
        <v>2.7900000000000001E-2</v>
      </c>
      <c r="E42" s="10">
        <f t="shared" si="2"/>
        <v>197185.19151720125</v>
      </c>
      <c r="F42" s="3"/>
      <c r="G42" s="28"/>
      <c r="H42" s="10"/>
      <c r="I42" s="10">
        <f t="shared" si="8"/>
        <v>1512</v>
      </c>
      <c r="J42" s="10">
        <f t="shared" si="6"/>
        <v>10984309227.280409</v>
      </c>
      <c r="K42" s="11">
        <f t="shared" si="7"/>
        <v>2.7899999999999814E-2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7067569.5884301597</v>
      </c>
      <c r="D43" s="11">
        <v>3.1199999999999999E-2</v>
      </c>
      <c r="E43" s="10">
        <f t="shared" si="2"/>
        <v>213836.47319532651</v>
      </c>
      <c r="F43" s="3"/>
      <c r="G43" s="28"/>
      <c r="H43" s="10"/>
      <c r="I43" s="10">
        <f t="shared" si="8"/>
        <v>1512</v>
      </c>
      <c r="J43" s="10">
        <f t="shared" si="6"/>
        <v>10686165217.706402</v>
      </c>
      <c r="K43" s="11">
        <f t="shared" si="7"/>
        <v>3.1200000000000117E-2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6853733.1152348332</v>
      </c>
      <c r="D44" s="11">
        <v>3.1300000000000001E-2</v>
      </c>
      <c r="E44" s="10">
        <f t="shared" si="2"/>
        <v>208011.09910486825</v>
      </c>
      <c r="F44" s="3"/>
      <c r="G44" s="28"/>
      <c r="H44" s="10"/>
      <c r="I44" s="10">
        <f t="shared" si="8"/>
        <v>1512</v>
      </c>
      <c r="J44" s="10">
        <f t="shared" si="6"/>
        <v>10362844470.235067</v>
      </c>
      <c r="K44" s="11">
        <f t="shared" si="7"/>
        <v>3.1299999999999883E-2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6645722.016129965</v>
      </c>
      <c r="D45" s="11">
        <v>3.1E-2</v>
      </c>
      <c r="E45" s="10">
        <f t="shared" si="2"/>
        <v>199822.87342388742</v>
      </c>
      <c r="F45" s="3"/>
      <c r="G45" s="28"/>
      <c r="H45" s="10"/>
      <c r="I45" s="10">
        <f t="shared" si="8"/>
        <v>1512</v>
      </c>
      <c r="J45" s="10">
        <f t="shared" si="6"/>
        <v>10048331688.388508</v>
      </c>
      <c r="K45" s="11">
        <f t="shared" si="7"/>
        <v>3.0999999999999917E-2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6445899.1427060775</v>
      </c>
      <c r="D46" s="11">
        <v>3.0599999999999999E-2</v>
      </c>
      <c r="E46" s="10">
        <f t="shared" si="2"/>
        <v>191388.03975044191</v>
      </c>
      <c r="F46" s="3"/>
      <c r="G46" s="28"/>
      <c r="H46" s="10"/>
      <c r="I46" s="10">
        <f t="shared" si="8"/>
        <v>1512</v>
      </c>
      <c r="J46" s="10">
        <f t="shared" si="6"/>
        <v>9746199503.7715893</v>
      </c>
      <c r="K46" s="11">
        <f t="shared" si="7"/>
        <v>3.0599999999999961E-2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6254511.1029556356</v>
      </c>
      <c r="D47" s="11">
        <v>3.0099999999999998E-2</v>
      </c>
      <c r="E47" s="10">
        <f t="shared" si="2"/>
        <v>182759.71672552638</v>
      </c>
      <c r="F47" s="3"/>
      <c r="G47" s="28"/>
      <c r="H47" s="10"/>
      <c r="I47" s="10">
        <f t="shared" si="8"/>
        <v>1512</v>
      </c>
      <c r="J47" s="10">
        <f t="shared" si="6"/>
        <v>9456820787.6689205</v>
      </c>
      <c r="K47" s="11">
        <f t="shared" si="7"/>
        <v>3.0100000000000016E-2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6071751.3862301093</v>
      </c>
      <c r="D48" s="11">
        <v>2.9700000000000001E-2</v>
      </c>
      <c r="E48" s="10">
        <f t="shared" si="2"/>
        <v>175129.66511705797</v>
      </c>
      <c r="F48" s="3"/>
      <c r="G48" s="28"/>
      <c r="H48" s="10"/>
      <c r="I48" s="10">
        <f t="shared" si="8"/>
        <v>1512</v>
      </c>
      <c r="J48" s="10">
        <f t="shared" si="6"/>
        <v>9180488095.9799252</v>
      </c>
      <c r="K48" s="11">
        <f t="shared" si="7"/>
        <v>2.970000000000006E-2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5896621.7211130513</v>
      </c>
      <c r="D49" s="11">
        <v>2.92E-2</v>
      </c>
      <c r="E49" s="10">
        <f t="shared" si="2"/>
        <v>167296.30223134533</v>
      </c>
      <c r="F49" s="3"/>
      <c r="G49" s="28"/>
      <c r="H49" s="10"/>
      <c r="I49" s="10">
        <f t="shared" si="8"/>
        <v>1512</v>
      </c>
      <c r="J49" s="10">
        <f t="shared" si="6"/>
        <v>8915692042.3229332</v>
      </c>
      <c r="K49" s="11">
        <f t="shared" si="7"/>
        <v>2.9199999999999893E-2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5729325.418881706</v>
      </c>
      <c r="D50" s="11">
        <v>2.87E-2</v>
      </c>
      <c r="E50" s="10">
        <f t="shared" si="2"/>
        <v>159844.11346544605</v>
      </c>
      <c r="F50" s="3"/>
      <c r="G50" s="28"/>
      <c r="H50" s="10"/>
      <c r="I50" s="10">
        <f t="shared" si="8"/>
        <v>1512</v>
      </c>
      <c r="J50" s="10">
        <f t="shared" si="6"/>
        <v>8662740033.3491402</v>
      </c>
      <c r="K50" s="11">
        <f t="shared" si="7"/>
        <v>2.8699999999999948E-2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5569481.3054162599</v>
      </c>
      <c r="D51" s="11">
        <v>2.8299999999999999E-2</v>
      </c>
      <c r="E51" s="10">
        <f t="shared" si="2"/>
        <v>153278.53830913175</v>
      </c>
      <c r="F51" s="3"/>
      <c r="G51" s="28"/>
      <c r="H51" s="10"/>
      <c r="I51" s="10">
        <f t="shared" si="8"/>
        <v>1512</v>
      </c>
      <c r="J51" s="10">
        <f t="shared" si="6"/>
        <v>8421055733.7893848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5416202.7671071282</v>
      </c>
      <c r="D52" s="11">
        <v>2.7799999999999998E-2</v>
      </c>
      <c r="E52" s="10">
        <f t="shared" si="2"/>
        <v>146497.79813736025</v>
      </c>
      <c r="F52" s="3"/>
      <c r="G52" s="28"/>
      <c r="H52" s="10"/>
      <c r="I52" s="10">
        <f t="shared" si="8"/>
        <v>1512</v>
      </c>
      <c r="J52" s="10">
        <f t="shared" si="6"/>
        <v>8189298583.8659782</v>
      </c>
      <c r="K52" s="11">
        <f t="shared" si="7"/>
        <v>2.7800000000000269E-2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5269704.9689697679</v>
      </c>
      <c r="D53" s="11">
        <v>2.7199999999999998E-2</v>
      </c>
      <c r="E53" s="10">
        <f t="shared" si="2"/>
        <v>139540.47425620817</v>
      </c>
      <c r="F53" s="3"/>
      <c r="G53" s="28"/>
      <c r="H53" s="10"/>
      <c r="I53" s="10">
        <f t="shared" si="8"/>
        <v>1512</v>
      </c>
      <c r="J53" s="10">
        <f t="shared" si="6"/>
        <v>7967793913.0822887</v>
      </c>
      <c r="K53" s="11">
        <f t="shared" si="7"/>
        <v>2.7199999999999891E-2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5130164.4947135597</v>
      </c>
      <c r="D54" s="11">
        <v>2.6700000000000002E-2</v>
      </c>
      <c r="E54" s="10">
        <f t="shared" si="2"/>
        <v>133413.25801972486</v>
      </c>
      <c r="F54" s="3"/>
      <c r="G54" s="28"/>
      <c r="H54" s="10"/>
      <c r="I54" s="10">
        <f t="shared" si="8"/>
        <v>1512</v>
      </c>
      <c r="J54" s="10">
        <f t="shared" si="6"/>
        <v>7756808716.0069027</v>
      </c>
      <c r="K54" s="11">
        <f t="shared" si="7"/>
        <v>2.6699999999999946E-2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4996751.2366938349</v>
      </c>
      <c r="D55" s="11">
        <v>2.6200000000000001E-2</v>
      </c>
      <c r="E55" s="10">
        <f t="shared" si="2"/>
        <v>127572.48333792482</v>
      </c>
      <c r="F55" s="3"/>
      <c r="G55" s="28"/>
      <c r="H55" s="10"/>
      <c r="I55" s="10">
        <f t="shared" si="8"/>
        <v>1512</v>
      </c>
      <c r="J55" s="10">
        <f t="shared" si="6"/>
        <v>7555087869.8810787</v>
      </c>
      <c r="K55" s="11">
        <f t="shared" si="7"/>
        <v>2.6200000000000001E-2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4869178.7533559101</v>
      </c>
      <c r="D56" s="11">
        <v>2.58E-2</v>
      </c>
      <c r="E56" s="10">
        <f t="shared" si="2"/>
        <v>122465.20943320636</v>
      </c>
      <c r="F56" s="3"/>
      <c r="G56" s="28"/>
      <c r="H56" s="10"/>
      <c r="I56" s="10">
        <f t="shared" si="8"/>
        <v>1512</v>
      </c>
      <c r="J56" s="10">
        <f t="shared" si="6"/>
        <v>7362198275.0741358</v>
      </c>
      <c r="K56" s="11">
        <f t="shared" si="7"/>
        <v>2.5800000000000045E-2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4746713.5439227037</v>
      </c>
      <c r="D57" s="11">
        <v>2.5000000000000001E-2</v>
      </c>
      <c r="E57" s="10">
        <f t="shared" si="2"/>
        <v>115773.50107128546</v>
      </c>
      <c r="F57" s="3"/>
      <c r="G57" s="28"/>
      <c r="H57" s="10"/>
      <c r="I57" s="10">
        <f t="shared" si="8"/>
        <v>1512</v>
      </c>
      <c r="J57" s="10">
        <f t="shared" si="6"/>
        <v>7177030878.411128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4630940.0428514183</v>
      </c>
      <c r="D58" s="11">
        <v>2.5000000000000001E-2</v>
      </c>
      <c r="E58" s="10">
        <f t="shared" si="2"/>
        <v>112949.75714271702</v>
      </c>
      <c r="F58" s="3"/>
      <c r="G58" s="28"/>
      <c r="H58" s="10"/>
      <c r="I58" s="10">
        <f t="shared" si="8"/>
        <v>1512</v>
      </c>
      <c r="J58" s="10">
        <f t="shared" si="6"/>
        <v>7001981344.7913446</v>
      </c>
      <c r="K58" s="11">
        <f t="shared" si="7"/>
        <v>2.4999999999999911E-2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4517990.2857087012</v>
      </c>
      <c r="D59" s="11">
        <v>2.4E-2</v>
      </c>
      <c r="E59" s="10">
        <f t="shared" si="2"/>
        <v>105890.39732129779</v>
      </c>
      <c r="F59" s="3"/>
      <c r="G59" s="28"/>
      <c r="H59" s="10"/>
      <c r="I59" s="10">
        <f t="shared" si="8"/>
        <v>1512</v>
      </c>
      <c r="J59" s="10">
        <f t="shared" si="6"/>
        <v>6831201311.9915562</v>
      </c>
      <c r="K59" s="11">
        <f t="shared" si="7"/>
        <v>2.4000000000000021E-2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4412099.8883874035</v>
      </c>
      <c r="D60" s="11">
        <v>2.3E-2</v>
      </c>
      <c r="E60" s="10">
        <f t="shared" si="2"/>
        <v>99196.771684173495</v>
      </c>
      <c r="F60" s="3"/>
      <c r="G60" s="28"/>
      <c r="H60" s="10"/>
      <c r="I60" s="10">
        <f t="shared" si="8"/>
        <v>1512</v>
      </c>
      <c r="J60" s="10">
        <f t="shared" si="6"/>
        <v>6671095031.2417536</v>
      </c>
      <c r="K60" s="11">
        <f t="shared" si="7"/>
        <v>2.2999999999999687E-2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4312903.11670323</v>
      </c>
      <c r="D61" s="11">
        <v>2.1999999999999999E-2</v>
      </c>
      <c r="E61" s="10">
        <f t="shared" si="2"/>
        <v>92841.3586765863</v>
      </c>
      <c r="F61" s="3"/>
      <c r="G61" s="28"/>
      <c r="H61" s="10"/>
      <c r="I61" s="10">
        <f t="shared" si="8"/>
        <v>1512</v>
      </c>
      <c r="J61" s="10">
        <f t="shared" si="6"/>
        <v>6521109512.4552841</v>
      </c>
      <c r="K61" s="11">
        <f t="shared" si="7"/>
        <v>2.2000000000000242E-2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4220061.7580266437</v>
      </c>
      <c r="D62" s="11">
        <v>2.1000000000000001E-2</v>
      </c>
      <c r="E62" s="10">
        <f t="shared" si="2"/>
        <v>86798.527834044304</v>
      </c>
      <c r="F62" s="3"/>
      <c r="G62" s="28"/>
      <c r="H62" s="10"/>
      <c r="I62" s="10">
        <f t="shared" si="8"/>
        <v>1512</v>
      </c>
      <c r="J62" s="10">
        <f t="shared" si="6"/>
        <v>6380733378.1362848</v>
      </c>
      <c r="K62" s="11">
        <f t="shared" si="7"/>
        <v>2.0999999999999908E-2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4133263.2301925994</v>
      </c>
      <c r="D63" s="11">
        <v>2.1000000000000001E-2</v>
      </c>
      <c r="E63" s="10">
        <f t="shared" si="2"/>
        <v>85013.249592599459</v>
      </c>
      <c r="F63" s="3"/>
      <c r="G63" s="28"/>
      <c r="H63" s="10"/>
      <c r="I63" s="10">
        <f t="shared" si="8"/>
        <v>1512</v>
      </c>
      <c r="J63" s="10">
        <f t="shared" si="6"/>
        <v>6249494004.0512104</v>
      </c>
      <c r="K63" s="11">
        <f t="shared" si="7"/>
        <v>2.0999999999999908E-2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4048249.9805999999</v>
      </c>
      <c r="D64" s="11">
        <v>0.02</v>
      </c>
      <c r="E64" s="10">
        <f t="shared" si="2"/>
        <v>79377.450600000098</v>
      </c>
      <c r="F64" s="3"/>
      <c r="G64" s="28"/>
      <c r="H64" s="10"/>
      <c r="I64" s="10">
        <f t="shared" si="8"/>
        <v>1512</v>
      </c>
      <c r="J64" s="10">
        <f t="shared" si="6"/>
        <v>6120953970.6672001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3968872.53</v>
      </c>
      <c r="D65" s="11">
        <v>0.02</v>
      </c>
      <c r="E65" s="10">
        <f t="shared" si="2"/>
        <v>77821.030000000261</v>
      </c>
      <c r="F65" s="3"/>
      <c r="G65" s="28"/>
      <c r="H65" s="10"/>
      <c r="I65" s="10">
        <f t="shared" si="8"/>
        <v>1512</v>
      </c>
      <c r="J65" s="10">
        <f t="shared" si="6"/>
        <v>6000935265.3599997</v>
      </c>
      <c r="K65" s="11">
        <f t="shared" si="7"/>
        <v>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3891051.4999999995</v>
      </c>
      <c r="D66" s="11">
        <v>1.9E-2</v>
      </c>
      <c r="E66" s="10">
        <f t="shared" si="2"/>
        <v>72551.499999999534</v>
      </c>
      <c r="F66" s="24">
        <f>SUM(F2)</f>
        <v>22386666</v>
      </c>
      <c r="G66" s="28"/>
      <c r="H66" s="10"/>
      <c r="I66" s="10">
        <f t="shared" si="8"/>
        <v>1512</v>
      </c>
      <c r="J66" s="10">
        <f t="shared" ref="J66:J67" si="9">IF(I66="","",I66*C66)</f>
        <v>5883269867.999999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3818500</v>
      </c>
      <c r="D67" s="11">
        <v>1.9E-2</v>
      </c>
      <c r="E67" s="3" t="s">
        <v>72</v>
      </c>
      <c r="F67" s="10">
        <f>SUM(C2)</f>
        <v>22386516.167493358</v>
      </c>
      <c r="G67" s="28"/>
      <c r="H67" s="10"/>
      <c r="I67" s="10">
        <f t="shared" ref="I67" si="11">IF(H67&lt;&gt;"",H67,I66/(1+IF(G66="",0,G66)/100))</f>
        <v>1512</v>
      </c>
      <c r="J67" s="10">
        <f t="shared" si="9"/>
        <v>5773572000</v>
      </c>
      <c r="K67" s="11"/>
    </row>
  </sheetData>
  <dataValidations count="1">
    <dataValidation type="custom" allowBlank="1" showDropDown="1" sqref="D2:D67" xr:uid="{00000000-0002-0000-6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190.93664881743518</v>
      </c>
      <c r="D2" s="11">
        <v>0.01</v>
      </c>
      <c r="E2" s="10">
        <f t="shared" ref="E2:E66" si="2">SUM(C2-C3)</f>
        <v>1.8904618694795658</v>
      </c>
      <c r="F2" s="15">
        <v>30421695</v>
      </c>
      <c r="G2" s="28"/>
      <c r="H2" s="10"/>
      <c r="I2" s="10">
        <f>IF(H2&lt;&gt;"",H2,1087)</f>
        <v>1087</v>
      </c>
      <c r="J2" s="10">
        <f t="shared" ref="J2:J33" si="3">IF(I2="","",I2*C2)</f>
        <v>207548.13726455203</v>
      </c>
      <c r="K2" s="11">
        <f t="shared" ref="K2:K33" si="4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189.04618694795562</v>
      </c>
      <c r="D3" s="11">
        <v>0.01</v>
      </c>
      <c r="E3" s="10">
        <f t="shared" si="2"/>
        <v>1.8717444252272912</v>
      </c>
      <c r="F3" s="3"/>
      <c r="G3" s="28"/>
      <c r="H3" s="10"/>
      <c r="I3" s="10">
        <f t="shared" ref="I3:I34" si="5">IF(H3&lt;&gt;"",H3,I2/(1+IF(G2="",0,G2)/100))</f>
        <v>1087</v>
      </c>
      <c r="J3" s="10">
        <f t="shared" si="3"/>
        <v>205493.20521242777</v>
      </c>
      <c r="K3" s="11">
        <f t="shared" si="4"/>
        <v>1.0000000000000009E-2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187.17444252272833</v>
      </c>
      <c r="D4" s="11">
        <v>0.01</v>
      </c>
      <c r="E4" s="10">
        <f t="shared" si="2"/>
        <v>1.853212302205236</v>
      </c>
      <c r="F4" s="3"/>
      <c r="G4" s="28"/>
      <c r="H4" s="10"/>
      <c r="I4" s="10">
        <f t="shared" si="5"/>
        <v>1087</v>
      </c>
      <c r="J4" s="10">
        <f t="shared" si="3"/>
        <v>203458.6190222057</v>
      </c>
      <c r="K4" s="11">
        <f t="shared" si="4"/>
        <v>1.0000000000000231E-2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185.32123022052309</v>
      </c>
      <c r="D5" s="11">
        <v>0.01</v>
      </c>
      <c r="E5" s="10">
        <f t="shared" si="2"/>
        <v>1.834863665549733</v>
      </c>
      <c r="F5" s="3"/>
      <c r="G5" s="28"/>
      <c r="H5" s="10"/>
      <c r="I5" s="10">
        <f t="shared" si="5"/>
        <v>1087</v>
      </c>
      <c r="J5" s="10">
        <f t="shared" si="3"/>
        <v>201444.17724970859</v>
      </c>
      <c r="K5" s="11">
        <f t="shared" si="4"/>
        <v>1.0000000000000009E-2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183.48636655497336</v>
      </c>
      <c r="D6" s="11">
        <v>0.01</v>
      </c>
      <c r="E6" s="10">
        <f t="shared" si="2"/>
        <v>1.8166966985641011</v>
      </c>
      <c r="F6" s="3"/>
      <c r="G6" s="28"/>
      <c r="H6" s="10"/>
      <c r="I6" s="10">
        <f t="shared" si="5"/>
        <v>1087</v>
      </c>
      <c r="J6" s="10">
        <f t="shared" si="3"/>
        <v>199449.68044525603</v>
      </c>
      <c r="K6" s="11">
        <f t="shared" si="4"/>
        <v>1.0000000000000009E-2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181.66966985640926</v>
      </c>
      <c r="D7" s="11">
        <v>0.01</v>
      </c>
      <c r="E7" s="10">
        <f t="shared" si="2"/>
        <v>1.7987096025387075</v>
      </c>
      <c r="F7" s="3"/>
      <c r="G7" s="28"/>
      <c r="H7" s="10"/>
      <c r="I7" s="10">
        <f t="shared" si="5"/>
        <v>1087</v>
      </c>
      <c r="J7" s="10">
        <f t="shared" si="3"/>
        <v>197474.93113391686</v>
      </c>
      <c r="K7" s="11">
        <f t="shared" si="4"/>
        <v>1.0000000000000009E-2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179.87096025387055</v>
      </c>
      <c r="D8" s="11">
        <v>0.01</v>
      </c>
      <c r="E8" s="10">
        <f t="shared" si="2"/>
        <v>1.7809005965729909</v>
      </c>
      <c r="F8" s="3"/>
      <c r="G8" s="28"/>
      <c r="H8" s="10"/>
      <c r="I8" s="10">
        <f t="shared" si="5"/>
        <v>1087</v>
      </c>
      <c r="J8" s="10">
        <f t="shared" si="3"/>
        <v>195519.73379595729</v>
      </c>
      <c r="K8" s="11">
        <f t="shared" si="4"/>
        <v>1.0000000000000231E-2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178.09005965729756</v>
      </c>
      <c r="D9" s="11">
        <v>0.01</v>
      </c>
      <c r="E9" s="10">
        <f t="shared" si="2"/>
        <v>1.7632679173989914</v>
      </c>
      <c r="F9" s="3"/>
      <c r="G9" s="28"/>
      <c r="H9" s="10"/>
      <c r="I9" s="10">
        <f t="shared" si="5"/>
        <v>1087</v>
      </c>
      <c r="J9" s="10">
        <f t="shared" si="3"/>
        <v>193583.89484748244</v>
      </c>
      <c r="K9" s="11">
        <f t="shared" si="4"/>
        <v>1.0000000000000009E-2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176.32679173989857</v>
      </c>
      <c r="D10" s="11">
        <v>0.01</v>
      </c>
      <c r="E10" s="10">
        <f t="shared" si="2"/>
        <v>1.7458098192069258</v>
      </c>
      <c r="F10" s="3"/>
      <c r="G10" s="28"/>
      <c r="H10" s="10"/>
      <c r="I10" s="10">
        <f t="shared" si="5"/>
        <v>1087</v>
      </c>
      <c r="J10" s="10">
        <f t="shared" si="3"/>
        <v>191667.22262126976</v>
      </c>
      <c r="K10" s="11">
        <f t="shared" si="4"/>
        <v>1.0000000000000009E-2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174.58098192069164</v>
      </c>
      <c r="D11" s="11">
        <v>0.01</v>
      </c>
      <c r="E11" s="10">
        <f t="shared" si="2"/>
        <v>1.7285245734721855</v>
      </c>
      <c r="F11" s="3"/>
      <c r="G11" s="28"/>
      <c r="H11" s="10"/>
      <c r="I11" s="10">
        <f t="shared" si="5"/>
        <v>1087</v>
      </c>
      <c r="J11" s="10">
        <f t="shared" si="3"/>
        <v>189769.52734779182</v>
      </c>
      <c r="K11" s="11">
        <f t="shared" si="4"/>
        <v>1.0000000000000009E-2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172.85245734721946</v>
      </c>
      <c r="D12" s="11">
        <v>0.01</v>
      </c>
      <c r="E12" s="10">
        <f t="shared" si="2"/>
        <v>1.7114104687843508</v>
      </c>
      <c r="F12" s="3"/>
      <c r="G12" s="28"/>
      <c r="H12" s="10"/>
      <c r="I12" s="10">
        <f t="shared" si="5"/>
        <v>1087</v>
      </c>
      <c r="J12" s="10">
        <f t="shared" si="3"/>
        <v>187890.62113642754</v>
      </c>
      <c r="K12" s="11">
        <f t="shared" si="4"/>
        <v>1.0000000000000009E-2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171.14104687843511</v>
      </c>
      <c r="D13" s="11">
        <v>0.01</v>
      </c>
      <c r="E13" s="10">
        <f t="shared" si="2"/>
        <v>1.6944658106775705</v>
      </c>
      <c r="F13" s="3"/>
      <c r="G13" s="28"/>
      <c r="H13" s="10"/>
      <c r="I13" s="10">
        <f t="shared" si="5"/>
        <v>1087</v>
      </c>
      <c r="J13" s="10">
        <f t="shared" si="3"/>
        <v>186030.31795685895</v>
      </c>
      <c r="K13" s="11">
        <f t="shared" si="4"/>
        <v>1.0000000000000009E-2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169.44658106775753</v>
      </c>
      <c r="D14" s="11">
        <v>0.01</v>
      </c>
      <c r="E14" s="10">
        <f t="shared" si="2"/>
        <v>1.6776889214629591</v>
      </c>
      <c r="F14" s="3"/>
      <c r="G14" s="28"/>
      <c r="H14" s="10"/>
      <c r="I14" s="10">
        <f t="shared" si="5"/>
        <v>1087</v>
      </c>
      <c r="J14" s="10">
        <f t="shared" si="3"/>
        <v>184188.43362065245</v>
      </c>
      <c r="K14" s="11">
        <f t="shared" si="4"/>
        <v>1.0000000000000231E-2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167.76889214629458</v>
      </c>
      <c r="D15" s="11">
        <v>0.01</v>
      </c>
      <c r="E15" s="10">
        <f t="shared" si="2"/>
        <v>1.6610781400623296</v>
      </c>
      <c r="F15" s="3"/>
      <c r="G15" s="28"/>
      <c r="H15" s="10"/>
      <c r="I15" s="10">
        <f t="shared" si="5"/>
        <v>1087</v>
      </c>
      <c r="J15" s="10">
        <f t="shared" si="3"/>
        <v>182364.7857630222</v>
      </c>
      <c r="K15" s="11">
        <f t="shared" si="4"/>
        <v>1.0000000000000009E-2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166.10781400623225</v>
      </c>
      <c r="D16" s="11">
        <v>0.01</v>
      </c>
      <c r="E16" s="10">
        <f t="shared" si="2"/>
        <v>1.6446318218438876</v>
      </c>
      <c r="F16" s="3"/>
      <c r="G16" s="28"/>
      <c r="H16" s="10"/>
      <c r="I16" s="10">
        <f t="shared" si="5"/>
        <v>1087</v>
      </c>
      <c r="J16" s="10">
        <f t="shared" si="3"/>
        <v>180559.19382477444</v>
      </c>
      <c r="K16" s="11">
        <f t="shared" si="4"/>
        <v>1.0000000000000009E-2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164.46318218438836</v>
      </c>
      <c r="D17" s="11">
        <v>0.01</v>
      </c>
      <c r="E17" s="10">
        <f t="shared" si="2"/>
        <v>1.6283483384592898</v>
      </c>
      <c r="F17" s="3"/>
      <c r="G17" s="28"/>
      <c r="H17" s="10"/>
      <c r="I17" s="10">
        <f t="shared" si="5"/>
        <v>1087</v>
      </c>
      <c r="J17" s="10">
        <f t="shared" si="3"/>
        <v>178771.47903443014</v>
      </c>
      <c r="K17" s="11">
        <f t="shared" si="4"/>
        <v>1.0000000000000009E-2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162.83483384592907</v>
      </c>
      <c r="D18" s="11">
        <v>0.01</v>
      </c>
      <c r="E18" s="10">
        <f t="shared" si="2"/>
        <v>1.6122260776824646</v>
      </c>
      <c r="F18" s="3"/>
      <c r="G18" s="28"/>
      <c r="H18" s="10"/>
      <c r="I18" s="10">
        <f t="shared" si="5"/>
        <v>1087</v>
      </c>
      <c r="J18" s="10">
        <f t="shared" si="3"/>
        <v>177001.4643905249</v>
      </c>
      <c r="K18" s="11">
        <f t="shared" si="4"/>
        <v>1.0000000000000009E-2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161.2226077682466</v>
      </c>
      <c r="D19" s="11">
        <v>0.01</v>
      </c>
      <c r="E19" s="10">
        <f t="shared" si="2"/>
        <v>1.5962634432499669</v>
      </c>
      <c r="F19" s="3"/>
      <c r="G19" s="28"/>
      <c r="H19" s="10"/>
      <c r="I19" s="10">
        <f t="shared" si="5"/>
        <v>1087</v>
      </c>
      <c r="J19" s="10">
        <f t="shared" si="3"/>
        <v>175248.97464408405</v>
      </c>
      <c r="K19" s="11">
        <f t="shared" si="4"/>
        <v>1.0000000000000009E-2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159.62634432499664</v>
      </c>
      <c r="D20" s="11">
        <v>0.01</v>
      </c>
      <c r="E20" s="10">
        <f t="shared" si="2"/>
        <v>1.5804588547029255</v>
      </c>
      <c r="F20" s="3"/>
      <c r="G20" s="28"/>
      <c r="H20" s="10"/>
      <c r="I20" s="10">
        <f t="shared" si="5"/>
        <v>1087</v>
      </c>
      <c r="J20" s="10">
        <f t="shared" si="3"/>
        <v>173513.83628127133</v>
      </c>
      <c r="K20" s="11">
        <f t="shared" si="4"/>
        <v>9.9999999999997868E-3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158.04588547029371</v>
      </c>
      <c r="D21" s="11">
        <v>0.01</v>
      </c>
      <c r="E21" s="10">
        <f t="shared" si="2"/>
        <v>1.5648107472306378</v>
      </c>
      <c r="F21" s="3"/>
      <c r="G21" s="28"/>
      <c r="H21" s="10"/>
      <c r="I21" s="10">
        <f t="shared" si="5"/>
        <v>1087</v>
      </c>
      <c r="J21" s="10">
        <f t="shared" si="3"/>
        <v>171795.87750620928</v>
      </c>
      <c r="K21" s="11">
        <f t="shared" si="4"/>
        <v>1.0000000000000009E-2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156.48107472306307</v>
      </c>
      <c r="D22" s="11">
        <v>0.01</v>
      </c>
      <c r="E22" s="10">
        <f t="shared" si="2"/>
        <v>1.5493175715154734</v>
      </c>
      <c r="F22" s="3"/>
      <c r="G22" s="28"/>
      <c r="H22" s="10"/>
      <c r="I22" s="10">
        <f t="shared" si="5"/>
        <v>1087</v>
      </c>
      <c r="J22" s="10">
        <f t="shared" si="3"/>
        <v>170094.92822396956</v>
      </c>
      <c r="K22" s="11">
        <f t="shared" si="4"/>
        <v>1.0000000000000009E-2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154.9317571515476</v>
      </c>
      <c r="D23" s="11">
        <v>0.01</v>
      </c>
      <c r="E23" s="10">
        <f t="shared" si="2"/>
        <v>1.5339777935796803</v>
      </c>
      <c r="F23" s="3"/>
      <c r="G23" s="28"/>
      <c r="H23" s="10"/>
      <c r="I23" s="10">
        <f t="shared" si="5"/>
        <v>1087</v>
      </c>
      <c r="J23" s="10">
        <f t="shared" si="3"/>
        <v>168410.82002373223</v>
      </c>
      <c r="K23" s="11">
        <f t="shared" si="4"/>
        <v>1.0000000000000009E-2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153.39777935796792</v>
      </c>
      <c r="D24" s="11">
        <v>0.01</v>
      </c>
      <c r="E24" s="10">
        <f t="shared" si="2"/>
        <v>1.5187898946333576</v>
      </c>
      <c r="F24" s="3"/>
      <c r="G24" s="28"/>
      <c r="H24" s="10"/>
      <c r="I24" s="10">
        <f t="shared" si="5"/>
        <v>1087</v>
      </c>
      <c r="J24" s="10">
        <f t="shared" si="3"/>
        <v>166743.38616211113</v>
      </c>
      <c r="K24" s="11">
        <f t="shared" si="4"/>
        <v>1.0000000000000231E-2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151.87898946333456</v>
      </c>
      <c r="D25" s="11">
        <v>0.01</v>
      </c>
      <c r="E25" s="10">
        <f t="shared" si="2"/>
        <v>1.5037523709241043</v>
      </c>
      <c r="F25" s="3"/>
      <c r="G25" s="28"/>
      <c r="H25" s="10"/>
      <c r="I25" s="10">
        <f t="shared" si="5"/>
        <v>1087</v>
      </c>
      <c r="J25" s="10">
        <f t="shared" si="3"/>
        <v>165092.46154664466</v>
      </c>
      <c r="K25" s="11">
        <f t="shared" si="4"/>
        <v>1.0000000000000009E-2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150.37523709241046</v>
      </c>
      <c r="D26" s="11">
        <v>0.01</v>
      </c>
      <c r="E26" s="10">
        <f t="shared" si="2"/>
        <v>1.4888637335882322</v>
      </c>
      <c r="F26" s="3"/>
      <c r="G26" s="28"/>
      <c r="H26" s="10"/>
      <c r="I26" s="10">
        <f t="shared" si="5"/>
        <v>1087</v>
      </c>
      <c r="J26" s="10">
        <f t="shared" si="3"/>
        <v>163457.88271945016</v>
      </c>
      <c r="K26" s="11">
        <f t="shared" si="4"/>
        <v>1.0000000000000009E-2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148.88637335882223</v>
      </c>
      <c r="D27" s="11">
        <v>0.01</v>
      </c>
      <c r="E27" s="10">
        <f t="shared" si="2"/>
        <v>1.4741225085031999</v>
      </c>
      <c r="F27" s="3"/>
      <c r="G27" s="28"/>
      <c r="H27" s="10"/>
      <c r="I27" s="10">
        <f t="shared" si="5"/>
        <v>1087</v>
      </c>
      <c r="J27" s="10">
        <f t="shared" si="3"/>
        <v>161839.48784103975</v>
      </c>
      <c r="K27" s="11">
        <f t="shared" si="4"/>
        <v>1.0000000000000009E-2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147.41225085031903</v>
      </c>
      <c r="D28" s="11">
        <v>0.01</v>
      </c>
      <c r="E28" s="10">
        <f t="shared" si="2"/>
        <v>1.4595272361417813</v>
      </c>
      <c r="F28" s="3"/>
      <c r="G28" s="28"/>
      <c r="H28" s="10"/>
      <c r="I28" s="10">
        <f t="shared" si="5"/>
        <v>1087</v>
      </c>
      <c r="J28" s="10">
        <f t="shared" si="3"/>
        <v>160237.11667429679</v>
      </c>
      <c r="K28" s="11">
        <f t="shared" si="4"/>
        <v>1.0000000000000231E-2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145.95272361417724</v>
      </c>
      <c r="D29" s="11">
        <v>0.01</v>
      </c>
      <c r="E29" s="10">
        <f t="shared" si="2"/>
        <v>1.4450764714275124</v>
      </c>
      <c r="F29" s="3"/>
      <c r="G29" s="28"/>
      <c r="H29" s="10"/>
      <c r="I29" s="10">
        <f t="shared" si="5"/>
        <v>1087</v>
      </c>
      <c r="J29" s="10">
        <f t="shared" si="3"/>
        <v>158650.61056861066</v>
      </c>
      <c r="K29" s="11">
        <f t="shared" si="4"/>
        <v>1.0000000000000009E-2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144.50764714274973</v>
      </c>
      <c r="D30" s="11">
        <v>0.01</v>
      </c>
      <c r="E30" s="10">
        <f t="shared" si="2"/>
        <v>1.4307687835915885</v>
      </c>
      <c r="F30" s="3"/>
      <c r="G30" s="28"/>
      <c r="H30" s="10"/>
      <c r="I30" s="10">
        <f t="shared" si="5"/>
        <v>1087</v>
      </c>
      <c r="J30" s="10">
        <f t="shared" si="3"/>
        <v>157079.81244416896</v>
      </c>
      <c r="K30" s="11">
        <f t="shared" si="4"/>
        <v>1.0000000000000009E-2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143.07687835915814</v>
      </c>
      <c r="D31" s="11">
        <v>0.01</v>
      </c>
      <c r="E31" s="10">
        <f t="shared" si="2"/>
        <v>1.4166027560312671</v>
      </c>
      <c r="F31" s="3"/>
      <c r="G31" s="28"/>
      <c r="H31" s="10"/>
      <c r="I31" s="10">
        <f t="shared" si="5"/>
        <v>1087</v>
      </c>
      <c r="J31" s="10">
        <f t="shared" si="3"/>
        <v>155524.56677640491</v>
      </c>
      <c r="K31" s="11">
        <f t="shared" si="4"/>
        <v>1.0000000000000231E-2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141.66027560312688</v>
      </c>
      <c r="D32" s="11">
        <v>0.01</v>
      </c>
      <c r="E32" s="10">
        <f t="shared" si="2"/>
        <v>1.4025769861695778</v>
      </c>
      <c r="F32" s="3"/>
      <c r="G32" s="28"/>
      <c r="H32" s="10"/>
      <c r="I32" s="10">
        <f t="shared" si="5"/>
        <v>1087</v>
      </c>
      <c r="J32" s="10">
        <f t="shared" si="3"/>
        <v>153984.7195805989</v>
      </c>
      <c r="K32" s="11">
        <f t="shared" si="4"/>
        <v>1.0000000000000009E-2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140.2576986169573</v>
      </c>
      <c r="D33" s="11">
        <v>0.01</v>
      </c>
      <c r="E33" s="10">
        <f t="shared" si="2"/>
        <v>1.3886900853163979</v>
      </c>
      <c r="F33" s="3"/>
      <c r="G33" s="28"/>
      <c r="H33" s="10"/>
      <c r="I33" s="10">
        <f t="shared" si="5"/>
        <v>1087</v>
      </c>
      <c r="J33" s="10">
        <f t="shared" si="3"/>
        <v>152460.11839663258</v>
      </c>
      <c r="K33" s="11">
        <f t="shared" si="4"/>
        <v>9.9999999999997868E-3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138.8690085316409</v>
      </c>
      <c r="D34" s="11">
        <v>0.01</v>
      </c>
      <c r="E34" s="10">
        <f t="shared" si="2"/>
        <v>1.3749406785310896</v>
      </c>
      <c r="F34" s="3"/>
      <c r="G34" s="28"/>
      <c r="H34" s="10"/>
      <c r="I34" s="10">
        <f t="shared" si="5"/>
        <v>1087</v>
      </c>
      <c r="J34" s="10">
        <f t="shared" ref="J34:J65" si="6">IF(I34="","",I34*C34)</f>
        <v>150950.61227389367</v>
      </c>
      <c r="K34" s="11">
        <f t="shared" ref="K34:K65" si="7">IFERROR(J34/J35-1,"")</f>
        <v>1.0000000000000009E-2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137.49406785310981</v>
      </c>
      <c r="D35" s="11">
        <v>0.01</v>
      </c>
      <c r="E35" s="10">
        <f t="shared" si="2"/>
        <v>1.3613274044862465</v>
      </c>
      <c r="F35" s="3"/>
      <c r="G35" s="28"/>
      <c r="H35" s="10"/>
      <c r="I35" s="10">
        <f t="shared" ref="I35:I66" si="8">IF(H35&lt;&gt;"",H35,I34/(1+IF(G34="",0,G34)/100))</f>
        <v>1087</v>
      </c>
      <c r="J35" s="10">
        <f t="shared" si="6"/>
        <v>149456.05175633036</v>
      </c>
      <c r="K35" s="11">
        <f t="shared" si="7"/>
        <v>1.0000000000000009E-2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136.13274044862357</v>
      </c>
      <c r="D36" s="11">
        <v>0.01</v>
      </c>
      <c r="E36" s="10">
        <f t="shared" si="2"/>
        <v>1.3478489153329178</v>
      </c>
      <c r="F36" s="3"/>
      <c r="G36" s="28"/>
      <c r="H36" s="10"/>
      <c r="I36" s="10">
        <f t="shared" si="8"/>
        <v>1087</v>
      </c>
      <c r="J36" s="10">
        <f t="shared" si="6"/>
        <v>147976.28886765381</v>
      </c>
      <c r="K36" s="11">
        <f t="shared" si="7"/>
        <v>1.0000000000000009E-2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134.78489153329065</v>
      </c>
      <c r="D37" s="11">
        <v>0.01</v>
      </c>
      <c r="E37" s="10">
        <f t="shared" si="2"/>
        <v>1.3345038765672257</v>
      </c>
      <c r="F37" s="3"/>
      <c r="G37" s="28"/>
      <c r="H37" s="10"/>
      <c r="I37" s="10">
        <f t="shared" si="8"/>
        <v>1087</v>
      </c>
      <c r="J37" s="10">
        <f t="shared" si="6"/>
        <v>146511.17709668694</v>
      </c>
      <c r="K37" s="11">
        <f t="shared" si="7"/>
        <v>1.0000000000000009E-2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133.45038765672342</v>
      </c>
      <c r="D38" s="11">
        <v>0.01</v>
      </c>
      <c r="E38" s="10">
        <f t="shared" si="2"/>
        <v>1.3212909668982604</v>
      </c>
      <c r="F38" s="3"/>
      <c r="G38" s="28"/>
      <c r="H38" s="10"/>
      <c r="I38" s="10">
        <f t="shared" si="8"/>
        <v>1087</v>
      </c>
      <c r="J38" s="10">
        <f t="shared" si="6"/>
        <v>145060.57138285835</v>
      </c>
      <c r="K38" s="11">
        <f t="shared" si="7"/>
        <v>1.0000000000000009E-2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132.12909668982516</v>
      </c>
      <c r="D39" s="11">
        <v>0.01</v>
      </c>
      <c r="E39" s="10">
        <f t="shared" si="2"/>
        <v>1.3082088781170853</v>
      </c>
      <c r="F39" s="3"/>
      <c r="G39" s="28"/>
      <c r="H39" s="10"/>
      <c r="I39" s="10">
        <f t="shared" si="8"/>
        <v>1087</v>
      </c>
      <c r="J39" s="10">
        <f t="shared" si="6"/>
        <v>143624.32810183996</v>
      </c>
      <c r="K39" s="11">
        <f t="shared" si="7"/>
        <v>1.0000000000000231E-2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130.82088781170808</v>
      </c>
      <c r="D40" s="11">
        <v>0.01</v>
      </c>
      <c r="E40" s="10">
        <f t="shared" si="2"/>
        <v>1.2952563149674177</v>
      </c>
      <c r="F40" s="3"/>
      <c r="G40" s="28"/>
      <c r="H40" s="10"/>
      <c r="I40" s="10">
        <f t="shared" si="8"/>
        <v>1087</v>
      </c>
      <c r="J40" s="10">
        <f t="shared" si="6"/>
        <v>142202.30505132666</v>
      </c>
      <c r="K40" s="11">
        <f t="shared" si="7"/>
        <v>1.0000000000000009E-2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129.52563149674066</v>
      </c>
      <c r="D41" s="11">
        <v>0.01</v>
      </c>
      <c r="E41" s="10">
        <f t="shared" si="2"/>
        <v>1.282431995017248</v>
      </c>
      <c r="F41" s="3"/>
      <c r="G41" s="28"/>
      <c r="H41" s="10"/>
      <c r="I41" s="10">
        <f t="shared" si="8"/>
        <v>1087</v>
      </c>
      <c r="J41" s="10">
        <f t="shared" si="6"/>
        <v>140794.36143695709</v>
      </c>
      <c r="K41" s="11">
        <f t="shared" si="7"/>
        <v>1.0000000000000009E-2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128.24319950172341</v>
      </c>
      <c r="D42" s="11">
        <v>0.01</v>
      </c>
      <c r="E42" s="10">
        <f t="shared" si="2"/>
        <v>1.269734648531923</v>
      </c>
      <c r="F42" s="3"/>
      <c r="G42" s="28"/>
      <c r="H42" s="10"/>
      <c r="I42" s="10">
        <f t="shared" si="8"/>
        <v>1087</v>
      </c>
      <c r="J42" s="10">
        <f t="shared" si="6"/>
        <v>139400.35785837335</v>
      </c>
      <c r="K42" s="11">
        <f t="shared" si="7"/>
        <v>1.0000000000000009E-2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126.97346485319149</v>
      </c>
      <c r="D43" s="11">
        <v>0.01</v>
      </c>
      <c r="E43" s="10">
        <f t="shared" si="2"/>
        <v>1.2571630183484359</v>
      </c>
      <c r="F43" s="3"/>
      <c r="G43" s="28"/>
      <c r="H43" s="10"/>
      <c r="I43" s="10">
        <f t="shared" si="8"/>
        <v>1087</v>
      </c>
      <c r="J43" s="10">
        <f t="shared" si="6"/>
        <v>138020.15629541915</v>
      </c>
      <c r="K43" s="11">
        <f t="shared" si="7"/>
        <v>1.0000000000000009E-2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125.71630183484305</v>
      </c>
      <c r="D44" s="11">
        <v>0.01</v>
      </c>
      <c r="E44" s="10">
        <f t="shared" si="2"/>
        <v>1.2447158597509258</v>
      </c>
      <c r="F44" s="3"/>
      <c r="G44" s="28"/>
      <c r="H44" s="10"/>
      <c r="I44" s="10">
        <f t="shared" si="8"/>
        <v>1087</v>
      </c>
      <c r="J44" s="10">
        <f t="shared" si="6"/>
        <v>136653.62009447441</v>
      </c>
      <c r="K44" s="11">
        <f t="shared" si="7"/>
        <v>1.0000000000000009E-2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124.47158597509213</v>
      </c>
      <c r="D45" s="11">
        <v>0.01</v>
      </c>
      <c r="E45" s="10">
        <f t="shared" si="2"/>
        <v>1.2323919403474548</v>
      </c>
      <c r="F45" s="3"/>
      <c r="G45" s="28"/>
      <c r="H45" s="10"/>
      <c r="I45" s="10">
        <f t="shared" si="8"/>
        <v>1087</v>
      </c>
      <c r="J45" s="10">
        <f t="shared" si="6"/>
        <v>135300.61395492515</v>
      </c>
      <c r="K45" s="11">
        <f t="shared" si="7"/>
        <v>1.0000000000000231E-2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123.23919403474467</v>
      </c>
      <c r="D46" s="11">
        <v>0.01</v>
      </c>
      <c r="E46" s="10">
        <f t="shared" si="2"/>
        <v>1.2201900399479655</v>
      </c>
      <c r="F46" s="3"/>
      <c r="G46" s="28"/>
      <c r="H46" s="10"/>
      <c r="I46" s="10">
        <f t="shared" si="8"/>
        <v>1087</v>
      </c>
      <c r="J46" s="10">
        <f t="shared" si="6"/>
        <v>133961.00391576745</v>
      </c>
      <c r="K46" s="11">
        <f t="shared" si="7"/>
        <v>9.9999999999997868E-3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122.01900399479671</v>
      </c>
      <c r="D47" s="11">
        <v>0.01</v>
      </c>
      <c r="E47" s="10">
        <f t="shared" si="2"/>
        <v>1.2081089504435312</v>
      </c>
      <c r="F47" s="3"/>
      <c r="G47" s="28"/>
      <c r="H47" s="10"/>
      <c r="I47" s="10">
        <f t="shared" si="8"/>
        <v>1087</v>
      </c>
      <c r="J47" s="10">
        <f t="shared" si="6"/>
        <v>132634.65734234403</v>
      </c>
      <c r="K47" s="11">
        <f t="shared" si="7"/>
        <v>1.0000000000000009E-2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120.81089504435317</v>
      </c>
      <c r="D48" s="11">
        <v>0.01</v>
      </c>
      <c r="E48" s="10">
        <f t="shared" si="2"/>
        <v>1.1961474756866721</v>
      </c>
      <c r="F48" s="3"/>
      <c r="G48" s="28"/>
      <c r="H48" s="10"/>
      <c r="I48" s="10">
        <f t="shared" si="8"/>
        <v>1087</v>
      </c>
      <c r="J48" s="10">
        <f t="shared" si="6"/>
        <v>131321.44291321191</v>
      </c>
      <c r="K48" s="11">
        <f t="shared" si="7"/>
        <v>1.0000000000000231E-2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119.6147475686665</v>
      </c>
      <c r="D49" s="11">
        <v>0.01</v>
      </c>
      <c r="E49" s="10">
        <f t="shared" si="2"/>
        <v>1.1843044313729365</v>
      </c>
      <c r="F49" s="3"/>
      <c r="G49" s="28"/>
      <c r="H49" s="10"/>
      <c r="I49" s="10">
        <f t="shared" si="8"/>
        <v>1087</v>
      </c>
      <c r="J49" s="10">
        <f t="shared" si="6"/>
        <v>130021.23060714049</v>
      </c>
      <c r="K49" s="11">
        <f t="shared" si="7"/>
        <v>1.0000000000000009E-2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118.43044313729357</v>
      </c>
      <c r="D50" s="11">
        <v>0.01</v>
      </c>
      <c r="E50" s="10">
        <f t="shared" si="2"/>
        <v>1.1725786449237035</v>
      </c>
      <c r="F50" s="3"/>
      <c r="G50" s="28"/>
      <c r="H50" s="10"/>
      <c r="I50" s="10">
        <f t="shared" si="8"/>
        <v>1087</v>
      </c>
      <c r="J50" s="10">
        <f t="shared" si="6"/>
        <v>128733.8916902381</v>
      </c>
      <c r="K50" s="11">
        <f t="shared" si="7"/>
        <v>1.0000000000000009E-2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117.25786449236986</v>
      </c>
      <c r="D51" s="11">
        <v>0.01</v>
      </c>
      <c r="E51" s="10">
        <f t="shared" si="2"/>
        <v>1.1609689553699951</v>
      </c>
      <c r="F51" s="3"/>
      <c r="G51" s="28"/>
      <c r="H51" s="10"/>
      <c r="I51" s="10">
        <f t="shared" si="8"/>
        <v>1087</v>
      </c>
      <c r="J51" s="10">
        <f t="shared" si="6"/>
        <v>127459.29870320603</v>
      </c>
      <c r="K51" s="11">
        <f t="shared" si="7"/>
        <v>1.0000000000000009E-2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116.09689553699987</v>
      </c>
      <c r="D52" s="11">
        <v>0.01</v>
      </c>
      <c r="E52" s="10">
        <f t="shared" si="2"/>
        <v>1.1494742132376246</v>
      </c>
      <c r="F52" s="3"/>
      <c r="G52" s="28"/>
      <c r="H52" s="10"/>
      <c r="I52" s="10">
        <f t="shared" si="8"/>
        <v>1087</v>
      </c>
      <c r="J52" s="10">
        <f t="shared" si="6"/>
        <v>126197.32544871885</v>
      </c>
      <c r="K52" s="11">
        <f t="shared" si="7"/>
        <v>1.0000000000000009E-2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114.94742132376224</v>
      </c>
      <c r="D53" s="11">
        <v>0.01</v>
      </c>
      <c r="E53" s="10">
        <f t="shared" si="2"/>
        <v>1.1380932804332957</v>
      </c>
      <c r="F53" s="3"/>
      <c r="G53" s="28"/>
      <c r="H53" s="10"/>
      <c r="I53" s="10">
        <f t="shared" si="8"/>
        <v>1087</v>
      </c>
      <c r="J53" s="10">
        <f t="shared" si="6"/>
        <v>124947.84697892956</v>
      </c>
      <c r="K53" s="11">
        <f t="shared" si="7"/>
        <v>1.0000000000000231E-2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113.80932804332895</v>
      </c>
      <c r="D54" s="11">
        <v>0.01</v>
      </c>
      <c r="E54" s="10">
        <f t="shared" si="2"/>
        <v>1.1268250301319682</v>
      </c>
      <c r="F54" s="3"/>
      <c r="G54" s="28"/>
      <c r="H54" s="10"/>
      <c r="I54" s="10">
        <f t="shared" si="8"/>
        <v>1087</v>
      </c>
      <c r="J54" s="10">
        <f t="shared" si="6"/>
        <v>123710.73958309856</v>
      </c>
      <c r="K54" s="11">
        <f t="shared" si="7"/>
        <v>1.0000000000000009E-2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112.68250301319698</v>
      </c>
      <c r="D55" s="11">
        <v>0.01</v>
      </c>
      <c r="E55" s="10">
        <f t="shared" si="2"/>
        <v>1.1156683466653163</v>
      </c>
      <c r="F55" s="3"/>
      <c r="G55" s="28"/>
      <c r="H55" s="10"/>
      <c r="I55" s="10">
        <f t="shared" si="8"/>
        <v>1087</v>
      </c>
      <c r="J55" s="10">
        <f t="shared" si="6"/>
        <v>122485.88077534511</v>
      </c>
      <c r="K55" s="11">
        <f t="shared" si="7"/>
        <v>1.0000000000000009E-2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111.56683466653166</v>
      </c>
      <c r="D56" s="11">
        <v>0.01</v>
      </c>
      <c r="E56" s="10">
        <f t="shared" si="2"/>
        <v>1.1046221254112112</v>
      </c>
      <c r="F56" s="3"/>
      <c r="G56" s="28"/>
      <c r="H56" s="10"/>
      <c r="I56" s="10">
        <f t="shared" si="8"/>
        <v>1087</v>
      </c>
      <c r="J56" s="10">
        <f t="shared" si="6"/>
        <v>121273.14928251991</v>
      </c>
      <c r="K56" s="11">
        <f t="shared" si="7"/>
        <v>1.0000000000000009E-2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110.46221254112045</v>
      </c>
      <c r="D57" s="11">
        <v>0.01</v>
      </c>
      <c r="E57" s="10">
        <f t="shared" si="2"/>
        <v>1.0936852726843682</v>
      </c>
      <c r="F57" s="3"/>
      <c r="G57" s="28"/>
      <c r="H57" s="10"/>
      <c r="I57" s="10">
        <f t="shared" si="8"/>
        <v>1087</v>
      </c>
      <c r="J57" s="10">
        <f t="shared" si="6"/>
        <v>120072.42503219793</v>
      </c>
      <c r="K57" s="11">
        <f t="shared" si="7"/>
        <v>1.0000000000000231E-2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109.36852726843608</v>
      </c>
      <c r="D58" s="11">
        <v>0.01</v>
      </c>
      <c r="E58" s="10">
        <f t="shared" si="2"/>
        <v>1.0828567056280747</v>
      </c>
      <c r="F58" s="3"/>
      <c r="G58" s="28"/>
      <c r="H58" s="10"/>
      <c r="I58" s="10">
        <f t="shared" si="8"/>
        <v>1087</v>
      </c>
      <c r="J58" s="10">
        <f t="shared" si="6"/>
        <v>118883.58914079002</v>
      </c>
      <c r="K58" s="11">
        <f t="shared" si="7"/>
        <v>1.0000000000000009E-2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108.28567056280801</v>
      </c>
      <c r="D59" s="11">
        <v>0.01</v>
      </c>
      <c r="E59" s="10">
        <f t="shared" si="2"/>
        <v>1.0721353521070114</v>
      </c>
      <c r="F59" s="3"/>
      <c r="G59" s="28"/>
      <c r="H59" s="10"/>
      <c r="I59" s="10">
        <f t="shared" si="8"/>
        <v>1087</v>
      </c>
      <c r="J59" s="10">
        <f t="shared" si="6"/>
        <v>117706.52390177231</v>
      </c>
      <c r="K59" s="11">
        <f t="shared" si="7"/>
        <v>1.0000000000000009E-2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107.213535210701</v>
      </c>
      <c r="D60" s="11">
        <v>0.01</v>
      </c>
      <c r="E60" s="10">
        <f t="shared" si="2"/>
        <v>1.0615201506009981</v>
      </c>
      <c r="F60" s="3"/>
      <c r="G60" s="28"/>
      <c r="H60" s="10"/>
      <c r="I60" s="10">
        <f t="shared" si="8"/>
        <v>1087</v>
      </c>
      <c r="J60" s="10">
        <f t="shared" si="6"/>
        <v>116541.11277403198</v>
      </c>
      <c r="K60" s="11">
        <f t="shared" si="7"/>
        <v>1.0000000000000009E-2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106.1520150601</v>
      </c>
      <c r="D61" s="11">
        <v>0.01</v>
      </c>
      <c r="E61" s="10">
        <f t="shared" si="2"/>
        <v>1.0510100501000039</v>
      </c>
      <c r="F61" s="3"/>
      <c r="G61" s="28"/>
      <c r="H61" s="10"/>
      <c r="I61" s="10">
        <f t="shared" si="8"/>
        <v>1087</v>
      </c>
      <c r="J61" s="10">
        <f t="shared" si="6"/>
        <v>115387.2403703287</v>
      </c>
      <c r="K61" s="11">
        <f t="shared" si="7"/>
        <v>1.0000000000000009E-2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105.10100500999999</v>
      </c>
      <c r="D62" s="11">
        <v>0.01</v>
      </c>
      <c r="E62" s="10">
        <f t="shared" si="2"/>
        <v>1.0406040099999956</v>
      </c>
      <c r="F62" s="3"/>
      <c r="G62" s="28"/>
      <c r="H62" s="10"/>
      <c r="I62" s="10">
        <f t="shared" si="8"/>
        <v>1087</v>
      </c>
      <c r="J62" s="10">
        <f t="shared" si="6"/>
        <v>114244.79244587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104.060401</v>
      </c>
      <c r="D63" s="11">
        <v>0.01</v>
      </c>
      <c r="E63" s="10">
        <f t="shared" si="2"/>
        <v>1.0303009999999944</v>
      </c>
      <c r="F63" s="3"/>
      <c r="G63" s="28"/>
      <c r="H63" s="10"/>
      <c r="I63" s="10">
        <f t="shared" si="8"/>
        <v>1087</v>
      </c>
      <c r="J63" s="10">
        <f t="shared" si="6"/>
        <v>113113.655887</v>
      </c>
      <c r="K63" s="11">
        <f t="shared" si="7"/>
        <v>1.0000000000000009E-2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103.0301</v>
      </c>
      <c r="D64" s="11">
        <v>0.01</v>
      </c>
      <c r="E64" s="10">
        <f t="shared" si="2"/>
        <v>1.0200999999999993</v>
      </c>
      <c r="F64" s="3"/>
      <c r="G64" s="28"/>
      <c r="H64" s="10"/>
      <c r="I64" s="10">
        <f t="shared" si="8"/>
        <v>1087</v>
      </c>
      <c r="J64" s="10">
        <f t="shared" si="6"/>
        <v>111993.7187</v>
      </c>
      <c r="K64" s="11">
        <f t="shared" si="7"/>
        <v>9.9999999999997868E-3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102.01</v>
      </c>
      <c r="D65" s="11">
        <v>0.01</v>
      </c>
      <c r="E65" s="10">
        <f t="shared" si="2"/>
        <v>1.0100000000000051</v>
      </c>
      <c r="F65" s="3"/>
      <c r="G65" s="28"/>
      <c r="H65" s="10"/>
      <c r="I65" s="10">
        <f t="shared" si="8"/>
        <v>1087</v>
      </c>
      <c r="J65" s="10">
        <f t="shared" si="6"/>
        <v>110884.87000000001</v>
      </c>
      <c r="K65" s="11">
        <f t="shared" si="7"/>
        <v>1.0000000000000009E-2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</v>
      </c>
      <c r="D66" s="11">
        <v>0.01</v>
      </c>
      <c r="E66" s="10">
        <f t="shared" si="2"/>
        <v>1</v>
      </c>
      <c r="F66" s="24">
        <f>SUM(F2)</f>
        <v>30421695</v>
      </c>
      <c r="G66" s="28"/>
      <c r="H66" s="10"/>
      <c r="I66" s="10">
        <f t="shared" si="8"/>
        <v>1087</v>
      </c>
      <c r="J66" s="10">
        <f t="shared" ref="J66:J67" si="9">IF(I66="","",I66*C66)</f>
        <v>109787</v>
      </c>
      <c r="K66" s="11">
        <f t="shared" ref="K66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100</v>
      </c>
      <c r="D67" s="11">
        <v>0.01</v>
      </c>
      <c r="E67" s="3" t="s">
        <v>72</v>
      </c>
      <c r="F67" s="10">
        <f>SUM(C2)</f>
        <v>190.93664881743518</v>
      </c>
      <c r="G67" s="28"/>
      <c r="H67" s="10"/>
      <c r="I67" s="10">
        <f t="shared" ref="I67" si="11">IF(H67&lt;&gt;"",H67,I66/(1+IF(G66="",0,G66)/100))</f>
        <v>1087</v>
      </c>
      <c r="J67" s="10">
        <f t="shared" si="9"/>
        <v>108700</v>
      </c>
      <c r="K67" s="11"/>
    </row>
  </sheetData>
  <dataValidations count="1">
    <dataValidation type="custom" allowBlank="1" showDropDown="1" sqref="D2:D67" xr:uid="{00000000-0002-0000-6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21611932.671386287</v>
      </c>
      <c r="D2" s="11">
        <v>3.1199999999999999E-2</v>
      </c>
      <c r="E2" s="10">
        <f t="shared" ref="E2:E66" si="2">SUM(C2-C3)</f>
        <v>653890.90316839516</v>
      </c>
      <c r="F2" s="15">
        <v>21611863</v>
      </c>
      <c r="G2" s="28"/>
      <c r="H2" s="10"/>
      <c r="I2" s="10">
        <f>IF(H2&lt;&gt;"",H2,3651)</f>
        <v>3651</v>
      </c>
      <c r="J2" s="10">
        <f t="shared" ref="J2:J33" si="3">IF(I2="","",I2*C2)</f>
        <v>78905166183.231339</v>
      </c>
      <c r="K2" s="11">
        <f t="shared" ref="K2:K33" si="4">IFERROR(J2/J3-1,"")</f>
        <v>3.1199999999999894E-2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20958041.768217891</v>
      </c>
      <c r="D3" s="11">
        <v>3.1699999999999999E-2</v>
      </c>
      <c r="E3" s="10">
        <f t="shared" si="2"/>
        <v>643956.50291025266</v>
      </c>
      <c r="F3" s="3"/>
      <c r="G3" s="28"/>
      <c r="H3" s="10"/>
      <c r="I3" s="10">
        <f t="shared" ref="I3:I34" si="5">IF(H3&lt;&gt;"",H3,I2/(1+IF(G2="",0,G2)/100))</f>
        <v>3651</v>
      </c>
      <c r="J3" s="10">
        <f t="shared" si="3"/>
        <v>76517810495.763519</v>
      </c>
      <c r="K3" s="11">
        <f t="shared" si="4"/>
        <v>3.1700000000000061E-2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20314085.265307639</v>
      </c>
      <c r="D4" s="11">
        <v>3.2000000000000001E-2</v>
      </c>
      <c r="E4" s="10">
        <f t="shared" si="2"/>
        <v>629894.1167537272</v>
      </c>
      <c r="F4" s="3"/>
      <c r="G4" s="28"/>
      <c r="H4" s="10"/>
      <c r="I4" s="10">
        <f t="shared" si="5"/>
        <v>3651</v>
      </c>
      <c r="J4" s="10">
        <f t="shared" si="3"/>
        <v>74166725303.638184</v>
      </c>
      <c r="K4" s="11">
        <f t="shared" si="4"/>
        <v>3.2000000000000028E-2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19684191.148553912</v>
      </c>
      <c r="D5" s="11">
        <v>3.2399999999999998E-2</v>
      </c>
      <c r="E5" s="10">
        <f t="shared" si="2"/>
        <v>617752.60869153962</v>
      </c>
      <c r="F5" s="3"/>
      <c r="G5" s="28"/>
      <c r="H5" s="10"/>
      <c r="I5" s="10">
        <f t="shared" si="5"/>
        <v>3651</v>
      </c>
      <c r="J5" s="10">
        <f t="shared" si="3"/>
        <v>71866981883.370331</v>
      </c>
      <c r="K5" s="11">
        <f t="shared" si="4"/>
        <v>3.2399999999999984E-2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19066438.539862372</v>
      </c>
      <c r="D6" s="11">
        <v>3.3300000000000003E-2</v>
      </c>
      <c r="E6" s="10">
        <f t="shared" si="2"/>
        <v>614451.17911295593</v>
      </c>
      <c r="F6" s="3"/>
      <c r="G6" s="28"/>
      <c r="H6" s="10"/>
      <c r="I6" s="10">
        <f t="shared" si="5"/>
        <v>3651</v>
      </c>
      <c r="J6" s="10">
        <f t="shared" si="3"/>
        <v>69611567109.037521</v>
      </c>
      <c r="K6" s="11">
        <f t="shared" si="4"/>
        <v>3.3300000000000107E-2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18451987.360749416</v>
      </c>
      <c r="D7" s="11">
        <v>3.4599999999999999E-2</v>
      </c>
      <c r="E7" s="10">
        <f t="shared" si="2"/>
        <v>617087.53400534391</v>
      </c>
      <c r="F7" s="3"/>
      <c r="G7" s="28"/>
      <c r="H7" s="10"/>
      <c r="I7" s="10">
        <f t="shared" si="5"/>
        <v>3651</v>
      </c>
      <c r="J7" s="10">
        <f t="shared" si="3"/>
        <v>67368205854.096115</v>
      </c>
      <c r="K7" s="11">
        <f t="shared" si="4"/>
        <v>3.4599999999999964E-2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17834899.826744072</v>
      </c>
      <c r="D8" s="11">
        <v>3.5400000000000001E-2</v>
      </c>
      <c r="E8" s="10">
        <f t="shared" si="2"/>
        <v>609769.60968393087</v>
      </c>
      <c r="F8" s="3"/>
      <c r="G8" s="28"/>
      <c r="H8" s="10"/>
      <c r="I8" s="10">
        <f t="shared" si="5"/>
        <v>3651</v>
      </c>
      <c r="J8" s="10">
        <f t="shared" si="3"/>
        <v>65115219267.442604</v>
      </c>
      <c r="K8" s="11">
        <f t="shared" si="4"/>
        <v>3.5400000000000098E-2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17225130.217060141</v>
      </c>
      <c r="D9" s="11">
        <v>3.5700000000000003E-2</v>
      </c>
      <c r="E9" s="10">
        <f t="shared" si="2"/>
        <v>593740.60900747962</v>
      </c>
      <c r="F9" s="3"/>
      <c r="G9" s="28"/>
      <c r="H9" s="10"/>
      <c r="I9" s="10">
        <f t="shared" si="5"/>
        <v>3651</v>
      </c>
      <c r="J9" s="10">
        <f t="shared" si="3"/>
        <v>62888950422.486572</v>
      </c>
      <c r="K9" s="11">
        <f t="shared" si="4"/>
        <v>3.5699999999999843E-2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16631389.608052662</v>
      </c>
      <c r="D10" s="11">
        <v>3.5299999999999998E-2</v>
      </c>
      <c r="E10" s="10">
        <f t="shared" si="2"/>
        <v>567070.46572419256</v>
      </c>
      <c r="F10" s="3"/>
      <c r="G10" s="28"/>
      <c r="H10" s="10"/>
      <c r="I10" s="10">
        <f t="shared" si="5"/>
        <v>3651</v>
      </c>
      <c r="J10" s="10">
        <f t="shared" si="3"/>
        <v>60721203459.000267</v>
      </c>
      <c r="K10" s="11">
        <f t="shared" si="4"/>
        <v>3.5299999999999887E-2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16064319.142328469</v>
      </c>
      <c r="D11" s="11">
        <v>3.44E-2</v>
      </c>
      <c r="E11" s="10">
        <f t="shared" si="2"/>
        <v>534234.89800473675</v>
      </c>
      <c r="F11" s="3"/>
      <c r="G11" s="28"/>
      <c r="H11" s="10"/>
      <c r="I11" s="10">
        <f t="shared" si="5"/>
        <v>3651</v>
      </c>
      <c r="J11" s="10">
        <f t="shared" si="3"/>
        <v>58650829188.641243</v>
      </c>
      <c r="K11" s="11">
        <f t="shared" si="4"/>
        <v>3.4399999999999986E-2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15530084.244323732</v>
      </c>
      <c r="D12" s="11">
        <v>3.3000000000000002E-2</v>
      </c>
      <c r="E12" s="10">
        <f t="shared" si="2"/>
        <v>496120.79386513308</v>
      </c>
      <c r="F12" s="3"/>
      <c r="G12" s="28"/>
      <c r="H12" s="10"/>
      <c r="I12" s="10">
        <f t="shared" si="5"/>
        <v>3651</v>
      </c>
      <c r="J12" s="10">
        <f t="shared" si="3"/>
        <v>56700337576.025948</v>
      </c>
      <c r="K12" s="11">
        <f t="shared" si="4"/>
        <v>3.2999999999999918E-2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15033963.450458599</v>
      </c>
      <c r="D13" s="11">
        <v>3.1800000000000002E-2</v>
      </c>
      <c r="E13" s="10">
        <f t="shared" si="2"/>
        <v>463345.64617618173</v>
      </c>
      <c r="F13" s="3"/>
      <c r="G13" s="28"/>
      <c r="H13" s="10"/>
      <c r="I13" s="10">
        <f t="shared" si="5"/>
        <v>3651</v>
      </c>
      <c r="J13" s="10">
        <f t="shared" si="3"/>
        <v>54889000557.624344</v>
      </c>
      <c r="K13" s="11">
        <f t="shared" si="4"/>
        <v>3.180000000000005E-2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14570617.804282418</v>
      </c>
      <c r="D14" s="11">
        <v>3.1E-2</v>
      </c>
      <c r="E14" s="10">
        <f t="shared" si="2"/>
        <v>438107.80982808396</v>
      </c>
      <c r="F14" s="3"/>
      <c r="G14" s="28"/>
      <c r="H14" s="10"/>
      <c r="I14" s="10">
        <f t="shared" si="5"/>
        <v>3651</v>
      </c>
      <c r="J14" s="10">
        <f t="shared" si="3"/>
        <v>53197325603.435104</v>
      </c>
      <c r="K14" s="11">
        <f t="shared" si="4"/>
        <v>3.0999999999999917E-2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14132509.994454334</v>
      </c>
      <c r="D15" s="11">
        <v>3.0800000000000001E-2</v>
      </c>
      <c r="E15" s="10">
        <f t="shared" si="2"/>
        <v>422275.23072292656</v>
      </c>
      <c r="F15" s="3"/>
      <c r="G15" s="28"/>
      <c r="H15" s="10"/>
      <c r="I15" s="10">
        <f t="shared" si="5"/>
        <v>3651</v>
      </c>
      <c r="J15" s="10">
        <f t="shared" si="3"/>
        <v>51597793989.752769</v>
      </c>
      <c r="K15" s="11">
        <f t="shared" si="4"/>
        <v>3.0799999999999939E-2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13710234.763731407</v>
      </c>
      <c r="D16" s="11">
        <v>3.0200000000000001E-2</v>
      </c>
      <c r="E16" s="10">
        <f t="shared" si="2"/>
        <v>401911.36659356207</v>
      </c>
      <c r="F16" s="3"/>
      <c r="G16" s="28"/>
      <c r="H16" s="10"/>
      <c r="I16" s="10">
        <f t="shared" si="5"/>
        <v>3651</v>
      </c>
      <c r="J16" s="10">
        <f t="shared" si="3"/>
        <v>50056067122.383369</v>
      </c>
      <c r="K16" s="11">
        <f t="shared" si="4"/>
        <v>3.0200000000000005E-2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13308323.397137845</v>
      </c>
      <c r="D17" s="11">
        <v>2.81E-2</v>
      </c>
      <c r="E17" s="10">
        <f t="shared" si="2"/>
        <v>363742.71710881591</v>
      </c>
      <c r="F17" s="3"/>
      <c r="G17" s="28"/>
      <c r="H17" s="10"/>
      <c r="I17" s="10">
        <f t="shared" si="5"/>
        <v>3651</v>
      </c>
      <c r="J17" s="10">
        <f t="shared" si="3"/>
        <v>48588688722.950272</v>
      </c>
      <c r="K17" s="11">
        <f t="shared" si="4"/>
        <v>2.8100000000000014E-2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12944580.680029029</v>
      </c>
      <c r="D18" s="11">
        <v>2.6800000000000001E-2</v>
      </c>
      <c r="E18" s="10">
        <f t="shared" si="2"/>
        <v>337860.11124345288</v>
      </c>
      <c r="F18" s="3"/>
      <c r="G18" s="28"/>
      <c r="H18" s="10"/>
      <c r="I18" s="10">
        <f t="shared" si="5"/>
        <v>3651</v>
      </c>
      <c r="J18" s="10">
        <f t="shared" si="3"/>
        <v>47260664062.785988</v>
      </c>
      <c r="K18" s="11">
        <f t="shared" si="4"/>
        <v>2.6799999999999935E-2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12606720.568785576</v>
      </c>
      <c r="D19" s="11">
        <v>2.6200000000000001E-2</v>
      </c>
      <c r="E19" s="10">
        <f t="shared" si="2"/>
        <v>321863.26145213656</v>
      </c>
      <c r="F19" s="3"/>
      <c r="G19" s="28"/>
      <c r="H19" s="10"/>
      <c r="I19" s="10">
        <f t="shared" si="5"/>
        <v>3651</v>
      </c>
      <c r="J19" s="10">
        <f t="shared" si="3"/>
        <v>46027136796.636139</v>
      </c>
      <c r="K19" s="11">
        <f t="shared" si="4"/>
        <v>2.6200000000000001E-2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12284857.30733344</v>
      </c>
      <c r="D20" s="11">
        <v>2.5499999999999998E-2</v>
      </c>
      <c r="E20" s="10">
        <f t="shared" si="2"/>
        <v>305474.26751536131</v>
      </c>
      <c r="F20" s="3"/>
      <c r="G20" s="28"/>
      <c r="H20" s="10"/>
      <c r="I20" s="10">
        <f t="shared" si="5"/>
        <v>3651</v>
      </c>
      <c r="J20" s="10">
        <f t="shared" si="3"/>
        <v>44852014029.074387</v>
      </c>
      <c r="K20" s="11">
        <f t="shared" si="4"/>
        <v>2.5500000000000078E-2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11979383.039818078</v>
      </c>
      <c r="D21" s="11">
        <v>2.4500000000000001E-2</v>
      </c>
      <c r="E21" s="10">
        <f t="shared" si="2"/>
        <v>286476.21715523861</v>
      </c>
      <c r="F21" s="3"/>
      <c r="G21" s="28"/>
      <c r="H21" s="10"/>
      <c r="I21" s="10">
        <f t="shared" si="5"/>
        <v>3651</v>
      </c>
      <c r="J21" s="10">
        <f t="shared" si="3"/>
        <v>43736727478.375801</v>
      </c>
      <c r="K21" s="11">
        <f t="shared" si="4"/>
        <v>2.4499999999999744E-2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11692906.82266284</v>
      </c>
      <c r="D22" s="11">
        <v>2.41E-2</v>
      </c>
      <c r="E22" s="10">
        <f t="shared" si="2"/>
        <v>275167.51726020314</v>
      </c>
      <c r="F22" s="3"/>
      <c r="G22" s="28"/>
      <c r="H22" s="10"/>
      <c r="I22" s="10">
        <f t="shared" si="5"/>
        <v>3651</v>
      </c>
      <c r="J22" s="10">
        <f t="shared" si="3"/>
        <v>42690802809.54203</v>
      </c>
      <c r="K22" s="11">
        <f t="shared" si="4"/>
        <v>2.410000000000001E-2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11417739.305402637</v>
      </c>
      <c r="D23" s="11">
        <v>2.3900000000000001E-2</v>
      </c>
      <c r="E23" s="10">
        <f t="shared" si="2"/>
        <v>266514.27815130726</v>
      </c>
      <c r="F23" s="3"/>
      <c r="G23" s="28"/>
      <c r="H23" s="10"/>
      <c r="I23" s="10">
        <f t="shared" si="5"/>
        <v>3651</v>
      </c>
      <c r="J23" s="10">
        <f t="shared" si="3"/>
        <v>41686166204.025024</v>
      </c>
      <c r="K23" s="11">
        <f t="shared" si="4"/>
        <v>2.3900000000000032E-2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11151225.027251329</v>
      </c>
      <c r="D24" s="11">
        <v>2.3800000000000002E-2</v>
      </c>
      <c r="E24" s="10">
        <f t="shared" si="2"/>
        <v>259229.49369855598</v>
      </c>
      <c r="F24" s="3"/>
      <c r="G24" s="28"/>
      <c r="H24" s="10"/>
      <c r="I24" s="10">
        <f t="shared" si="5"/>
        <v>3651</v>
      </c>
      <c r="J24" s="10">
        <f t="shared" si="3"/>
        <v>40713122574.494606</v>
      </c>
      <c r="K24" s="11">
        <f t="shared" si="4"/>
        <v>2.3800000000000043E-2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10891995.533552773</v>
      </c>
      <c r="D25" s="11">
        <v>2.41E-2</v>
      </c>
      <c r="E25" s="10">
        <f t="shared" si="2"/>
        <v>256319.78552741185</v>
      </c>
      <c r="F25" s="3"/>
      <c r="G25" s="28"/>
      <c r="H25" s="10"/>
      <c r="I25" s="10">
        <f t="shared" si="5"/>
        <v>3651</v>
      </c>
      <c r="J25" s="10">
        <f t="shared" si="3"/>
        <v>39766675693.001175</v>
      </c>
      <c r="K25" s="11">
        <f t="shared" si="4"/>
        <v>2.410000000000001E-2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10635675.748025361</v>
      </c>
      <c r="D26" s="11">
        <v>2.4799999999999999E-2</v>
      </c>
      <c r="E26" s="10">
        <f t="shared" si="2"/>
        <v>257381.69257516414</v>
      </c>
      <c r="F26" s="3"/>
      <c r="G26" s="28"/>
      <c r="H26" s="10"/>
      <c r="I26" s="10">
        <f t="shared" si="5"/>
        <v>3651</v>
      </c>
      <c r="J26" s="10">
        <f t="shared" si="3"/>
        <v>38830852156.040596</v>
      </c>
      <c r="K26" s="11">
        <f t="shared" si="4"/>
        <v>2.4799999999999933E-2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10378294.055450197</v>
      </c>
      <c r="D27" s="11">
        <v>2.5600000000000001E-2</v>
      </c>
      <c r="E27" s="10">
        <f t="shared" si="2"/>
        <v>259052.58172730729</v>
      </c>
      <c r="F27" s="3"/>
      <c r="G27" s="28"/>
      <c r="H27" s="10"/>
      <c r="I27" s="10">
        <f t="shared" si="5"/>
        <v>3651</v>
      </c>
      <c r="J27" s="10">
        <f t="shared" si="3"/>
        <v>37891151596.448669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10119241.47372289</v>
      </c>
      <c r="D28" s="11">
        <v>2.64E-2</v>
      </c>
      <c r="E28" s="10">
        <f t="shared" si="2"/>
        <v>260276.67079723626</v>
      </c>
      <c r="F28" s="3"/>
      <c r="G28" s="28"/>
      <c r="H28" s="10"/>
      <c r="I28" s="10">
        <f t="shared" si="5"/>
        <v>3651</v>
      </c>
      <c r="J28" s="10">
        <f t="shared" si="3"/>
        <v>36945350620.562271</v>
      </c>
      <c r="K28" s="11">
        <f t="shared" si="4"/>
        <v>2.6399999999999979E-2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9858964.8029256538</v>
      </c>
      <c r="D29" s="11">
        <v>2.75E-2</v>
      </c>
      <c r="E29" s="10">
        <f t="shared" si="2"/>
        <v>263865.23803450726</v>
      </c>
      <c r="F29" s="3"/>
      <c r="G29" s="28"/>
      <c r="H29" s="10"/>
      <c r="I29" s="10">
        <f t="shared" si="5"/>
        <v>3651</v>
      </c>
      <c r="J29" s="10">
        <f t="shared" si="3"/>
        <v>35995080495.48156</v>
      </c>
      <c r="K29" s="11">
        <f t="shared" si="4"/>
        <v>2.7499999999999858E-2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9595099.5648911465</v>
      </c>
      <c r="D30" s="11">
        <v>2.8899999999999999E-2</v>
      </c>
      <c r="E30" s="10">
        <f t="shared" si="2"/>
        <v>269509.55139017664</v>
      </c>
      <c r="F30" s="3"/>
      <c r="G30" s="28"/>
      <c r="H30" s="10"/>
      <c r="I30" s="10">
        <f t="shared" si="5"/>
        <v>3651</v>
      </c>
      <c r="J30" s="10">
        <f t="shared" si="3"/>
        <v>35031708511.41758</v>
      </c>
      <c r="K30" s="11">
        <f t="shared" si="4"/>
        <v>2.8899999999999926E-2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9325590.0135009699</v>
      </c>
      <c r="D31" s="11">
        <v>2.9899999999999999E-2</v>
      </c>
      <c r="E31" s="10">
        <f t="shared" si="2"/>
        <v>270740.01495647989</v>
      </c>
      <c r="F31" s="3"/>
      <c r="G31" s="28"/>
      <c r="H31" s="10"/>
      <c r="I31" s="10">
        <f t="shared" si="5"/>
        <v>3651</v>
      </c>
      <c r="J31" s="10">
        <f t="shared" si="3"/>
        <v>34047729139.292042</v>
      </c>
      <c r="K31" s="11">
        <f t="shared" si="4"/>
        <v>2.9900000000000038E-2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9054849.99854449</v>
      </c>
      <c r="D32" s="11">
        <v>0.03</v>
      </c>
      <c r="E32" s="10">
        <f t="shared" si="2"/>
        <v>263733.49510323815</v>
      </c>
      <c r="F32" s="3"/>
      <c r="G32" s="28"/>
      <c r="H32" s="10"/>
      <c r="I32" s="10">
        <f t="shared" si="5"/>
        <v>3651</v>
      </c>
      <c r="J32" s="10">
        <f t="shared" si="3"/>
        <v>33059257344.685932</v>
      </c>
      <c r="K32" s="11">
        <f t="shared" si="4"/>
        <v>3.0000000000000027E-2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8791116.5034412518</v>
      </c>
      <c r="D33" s="11">
        <v>3.0800000000000001E-2</v>
      </c>
      <c r="E33" s="10">
        <f t="shared" si="2"/>
        <v>262675.96847690083</v>
      </c>
      <c r="F33" s="3"/>
      <c r="G33" s="28"/>
      <c r="H33" s="10"/>
      <c r="I33" s="10">
        <f t="shared" si="5"/>
        <v>3651</v>
      </c>
      <c r="J33" s="10">
        <f t="shared" si="3"/>
        <v>32096366354.064011</v>
      </c>
      <c r="K33" s="11">
        <f t="shared" si="4"/>
        <v>3.0799999999999939E-2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8528440.534964351</v>
      </c>
      <c r="D34" s="11">
        <v>3.2199999999999999E-2</v>
      </c>
      <c r="E34" s="10">
        <f t="shared" si="2"/>
        <v>266049.00719419867</v>
      </c>
      <c r="F34" s="3"/>
      <c r="G34" s="28"/>
      <c r="H34" s="10"/>
      <c r="I34" s="10">
        <f t="shared" si="5"/>
        <v>3651</v>
      </c>
      <c r="J34" s="10">
        <f t="shared" ref="J34:J65" si="6">IF(I34="","",I34*C34)</f>
        <v>31137336393.154846</v>
      </c>
      <c r="K34" s="11">
        <f t="shared" ref="K34:K65" si="7">IFERROR(J34/J35-1,"")</f>
        <v>3.2200000000000006E-2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8262391.5277701523</v>
      </c>
      <c r="D35" s="11">
        <v>3.2099999999999997E-2</v>
      </c>
      <c r="E35" s="10">
        <f t="shared" si="2"/>
        <v>256973.90566943306</v>
      </c>
      <c r="F35" s="3"/>
      <c r="G35" s="28"/>
      <c r="H35" s="10"/>
      <c r="I35" s="10">
        <f t="shared" ref="I35:I66" si="8">IF(H35&lt;&gt;"",H35,I34/(1+IF(G34="",0,G34)/100))</f>
        <v>3651</v>
      </c>
      <c r="J35" s="10">
        <f t="shared" si="6"/>
        <v>30165991467.888824</v>
      </c>
      <c r="K35" s="11">
        <f t="shared" si="7"/>
        <v>3.2100000000000017E-2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8005417.6221007193</v>
      </c>
      <c r="D36" s="11">
        <v>3.0599999999999999E-2</v>
      </c>
      <c r="E36" s="10">
        <f t="shared" si="2"/>
        <v>237692.39203986153</v>
      </c>
      <c r="F36" s="3"/>
      <c r="G36" s="28"/>
      <c r="H36" s="10"/>
      <c r="I36" s="10">
        <f t="shared" si="8"/>
        <v>3651</v>
      </c>
      <c r="J36" s="10">
        <f t="shared" si="6"/>
        <v>29227779738.289726</v>
      </c>
      <c r="K36" s="11">
        <f t="shared" si="7"/>
        <v>3.0599999999999961E-2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7767725.2300608577</v>
      </c>
      <c r="D37" s="11">
        <v>2.9899999999999999E-2</v>
      </c>
      <c r="E37" s="10">
        <f t="shared" si="2"/>
        <v>225512.17048142571</v>
      </c>
      <c r="F37" s="3"/>
      <c r="G37" s="28"/>
      <c r="H37" s="10"/>
      <c r="I37" s="10">
        <f t="shared" si="8"/>
        <v>3651</v>
      </c>
      <c r="J37" s="10">
        <f t="shared" si="6"/>
        <v>28359964814.95219</v>
      </c>
      <c r="K37" s="11">
        <f t="shared" si="7"/>
        <v>2.9900000000000038E-2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7542213.059579432</v>
      </c>
      <c r="D38" s="11">
        <v>0.03</v>
      </c>
      <c r="E38" s="10">
        <f t="shared" si="2"/>
        <v>219676.10853143968</v>
      </c>
      <c r="F38" s="3"/>
      <c r="G38" s="28"/>
      <c r="H38" s="10"/>
      <c r="I38" s="10">
        <f t="shared" si="8"/>
        <v>3651</v>
      </c>
      <c r="J38" s="10">
        <f t="shared" si="6"/>
        <v>27536619880.524506</v>
      </c>
      <c r="K38" s="11">
        <f t="shared" si="7"/>
        <v>3.0000000000000027E-2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7322536.9510479923</v>
      </c>
      <c r="D39" s="11">
        <v>3.0300000000000001E-2</v>
      </c>
      <c r="E39" s="10">
        <f t="shared" si="2"/>
        <v>215347.83035693876</v>
      </c>
      <c r="F39" s="3"/>
      <c r="G39" s="28"/>
      <c r="H39" s="10"/>
      <c r="I39" s="10">
        <f t="shared" si="8"/>
        <v>3651</v>
      </c>
      <c r="J39" s="10">
        <f t="shared" si="6"/>
        <v>26734582408.276218</v>
      </c>
      <c r="K39" s="11">
        <f t="shared" si="7"/>
        <v>3.0299999999999994E-2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7107189.1206910536</v>
      </c>
      <c r="D40" s="11">
        <v>3.04E-2</v>
      </c>
      <c r="E40" s="10">
        <f t="shared" si="2"/>
        <v>209684.15107628889</v>
      </c>
      <c r="F40" s="3"/>
      <c r="G40" s="28"/>
      <c r="H40" s="10"/>
      <c r="I40" s="10">
        <f t="shared" si="8"/>
        <v>3651</v>
      </c>
      <c r="J40" s="10">
        <f t="shared" si="6"/>
        <v>25948347479.643036</v>
      </c>
      <c r="K40" s="11">
        <f t="shared" si="7"/>
        <v>3.0399999999999983E-2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6897504.9696147647</v>
      </c>
      <c r="D41" s="11">
        <v>3.0300000000000001E-2</v>
      </c>
      <c r="E41" s="10">
        <f t="shared" si="2"/>
        <v>202848.10305670928</v>
      </c>
      <c r="F41" s="3"/>
      <c r="G41" s="28"/>
      <c r="H41" s="10"/>
      <c r="I41" s="10">
        <f t="shared" si="8"/>
        <v>3651</v>
      </c>
      <c r="J41" s="10">
        <f t="shared" si="6"/>
        <v>25182790644.063507</v>
      </c>
      <c r="K41" s="11">
        <f t="shared" si="7"/>
        <v>3.0300000000000216E-2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6694656.8665580554</v>
      </c>
      <c r="D42" s="11">
        <v>0.03</v>
      </c>
      <c r="E42" s="10">
        <f t="shared" si="2"/>
        <v>194990.00582207926</v>
      </c>
      <c r="F42" s="3"/>
      <c r="G42" s="28"/>
      <c r="H42" s="10"/>
      <c r="I42" s="10">
        <f t="shared" si="8"/>
        <v>3651</v>
      </c>
      <c r="J42" s="10">
        <f t="shared" si="6"/>
        <v>24442192219.803459</v>
      </c>
      <c r="K42" s="11">
        <f t="shared" si="7"/>
        <v>2.9999999999999805E-2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6499666.8607359761</v>
      </c>
      <c r="D43" s="11">
        <v>2.93E-2</v>
      </c>
      <c r="E43" s="10">
        <f t="shared" si="2"/>
        <v>185019.17712966539</v>
      </c>
      <c r="F43" s="3"/>
      <c r="G43" s="28"/>
      <c r="H43" s="10"/>
      <c r="I43" s="10">
        <f t="shared" si="8"/>
        <v>3651</v>
      </c>
      <c r="J43" s="10">
        <f t="shared" si="6"/>
        <v>23730283708.54705</v>
      </c>
      <c r="K43" s="11">
        <f t="shared" si="7"/>
        <v>2.9300000000000104E-2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6314647.6836063107</v>
      </c>
      <c r="D44" s="11">
        <v>2.8799999999999999E-2</v>
      </c>
      <c r="E44" s="10">
        <f t="shared" si="2"/>
        <v>176770.85272925906</v>
      </c>
      <c r="F44" s="3"/>
      <c r="G44" s="28"/>
      <c r="H44" s="10"/>
      <c r="I44" s="10">
        <f t="shared" si="8"/>
        <v>3651</v>
      </c>
      <c r="J44" s="10">
        <f t="shared" si="6"/>
        <v>23054778692.846642</v>
      </c>
      <c r="K44" s="11">
        <f t="shared" si="7"/>
        <v>2.8799999999999937E-2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6137876.8308770517</v>
      </c>
      <c r="D45" s="11">
        <v>2.81E-2</v>
      </c>
      <c r="E45" s="10">
        <f t="shared" si="2"/>
        <v>167760.2752141282</v>
      </c>
      <c r="F45" s="3"/>
      <c r="G45" s="28"/>
      <c r="H45" s="10"/>
      <c r="I45" s="10">
        <f t="shared" si="8"/>
        <v>3651</v>
      </c>
      <c r="J45" s="10">
        <f t="shared" si="6"/>
        <v>22409388309.532116</v>
      </c>
      <c r="K45" s="11">
        <f t="shared" si="7"/>
        <v>2.8100000000000014E-2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5970116.5556629235</v>
      </c>
      <c r="D46" s="11">
        <v>2.76E-2</v>
      </c>
      <c r="E46" s="10">
        <f t="shared" si="2"/>
        <v>160349.56883641239</v>
      </c>
      <c r="F46" s="3"/>
      <c r="G46" s="28"/>
      <c r="H46" s="10"/>
      <c r="I46" s="10">
        <f t="shared" si="8"/>
        <v>3651</v>
      </c>
      <c r="J46" s="10">
        <f t="shared" si="6"/>
        <v>21796895544.725334</v>
      </c>
      <c r="K46" s="11">
        <f t="shared" si="7"/>
        <v>2.7600000000000291E-2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5809766.9868265111</v>
      </c>
      <c r="D47" s="11">
        <v>2.93E-2</v>
      </c>
      <c r="E47" s="10">
        <f t="shared" si="2"/>
        <v>165380.52337901201</v>
      </c>
      <c r="F47" s="3"/>
      <c r="G47" s="28"/>
      <c r="H47" s="10"/>
      <c r="I47" s="10">
        <f t="shared" si="8"/>
        <v>3651</v>
      </c>
      <c r="J47" s="10">
        <f t="shared" si="6"/>
        <v>21211459268.903591</v>
      </c>
      <c r="K47" s="11">
        <f t="shared" si="7"/>
        <v>2.9300000000000104E-2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5644386.4634474991</v>
      </c>
      <c r="D48" s="11">
        <v>3.1800000000000002E-2</v>
      </c>
      <c r="E48" s="10">
        <f t="shared" si="2"/>
        <v>173959.57505100872</v>
      </c>
      <c r="F48" s="3"/>
      <c r="G48" s="28"/>
      <c r="H48" s="10"/>
      <c r="I48" s="10">
        <f t="shared" si="8"/>
        <v>3651</v>
      </c>
      <c r="J48" s="10">
        <f t="shared" si="6"/>
        <v>20607654978.046818</v>
      </c>
      <c r="K48" s="11">
        <f t="shared" si="7"/>
        <v>3.180000000000005E-2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5470426.8883964904</v>
      </c>
      <c r="D49" s="11">
        <v>3.2300000000000002E-2</v>
      </c>
      <c r="E49" s="10">
        <f t="shared" si="2"/>
        <v>171166.12273099553</v>
      </c>
      <c r="F49" s="3"/>
      <c r="G49" s="28"/>
      <c r="H49" s="10"/>
      <c r="I49" s="10">
        <f t="shared" si="8"/>
        <v>3651</v>
      </c>
      <c r="J49" s="10">
        <f t="shared" si="6"/>
        <v>19972528569.535587</v>
      </c>
      <c r="K49" s="11">
        <f t="shared" si="7"/>
        <v>3.2299999999999995E-2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5299260.7656654948</v>
      </c>
      <c r="D50" s="11">
        <v>3.2099999999999997E-2</v>
      </c>
      <c r="E50" s="10">
        <f t="shared" si="2"/>
        <v>164815.68702438008</v>
      </c>
      <c r="F50" s="3"/>
      <c r="G50" s="28"/>
      <c r="H50" s="10"/>
      <c r="I50" s="10">
        <f t="shared" si="8"/>
        <v>3651</v>
      </c>
      <c r="J50" s="10">
        <f t="shared" si="6"/>
        <v>19347601055.444721</v>
      </c>
      <c r="K50" s="11">
        <f t="shared" si="7"/>
        <v>3.2100000000000017E-2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5134445.0786411148</v>
      </c>
      <c r="D51" s="11">
        <v>3.2000000000000001E-2</v>
      </c>
      <c r="E51" s="10">
        <f t="shared" si="2"/>
        <v>159207.59933770914</v>
      </c>
      <c r="F51" s="3"/>
      <c r="G51" s="28"/>
      <c r="H51" s="10"/>
      <c r="I51" s="10">
        <f t="shared" si="8"/>
        <v>3651</v>
      </c>
      <c r="J51" s="10">
        <f t="shared" si="6"/>
        <v>18745858982.11871</v>
      </c>
      <c r="K51" s="11">
        <f t="shared" si="7"/>
        <v>3.2000000000000028E-2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4975237.4793034056</v>
      </c>
      <c r="D52" s="11">
        <v>3.1699999999999999E-2</v>
      </c>
      <c r="E52" s="10">
        <f t="shared" si="2"/>
        <v>152869.07831144519</v>
      </c>
      <c r="F52" s="3"/>
      <c r="G52" s="28"/>
      <c r="H52" s="10"/>
      <c r="I52" s="10">
        <f t="shared" si="8"/>
        <v>3651</v>
      </c>
      <c r="J52" s="10">
        <f t="shared" si="6"/>
        <v>18164592036.936733</v>
      </c>
      <c r="K52" s="11">
        <f t="shared" si="7"/>
        <v>3.1699999999999839E-2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4822368.4009919604</v>
      </c>
      <c r="D53" s="11">
        <v>3.1600000000000003E-2</v>
      </c>
      <c r="E53" s="10">
        <f t="shared" si="2"/>
        <v>147718.92348909099</v>
      </c>
      <c r="F53" s="3"/>
      <c r="G53" s="28"/>
      <c r="H53" s="10"/>
      <c r="I53" s="10">
        <f t="shared" si="8"/>
        <v>3651</v>
      </c>
      <c r="J53" s="10">
        <f t="shared" si="6"/>
        <v>17606467032.021648</v>
      </c>
      <c r="K53" s="11">
        <f t="shared" si="7"/>
        <v>3.1600000000000072E-2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4674649.4775028694</v>
      </c>
      <c r="D54" s="11">
        <v>3.1600000000000003E-2</v>
      </c>
      <c r="E54" s="10">
        <f t="shared" si="2"/>
        <v>143193.99330078624</v>
      </c>
      <c r="F54" s="3"/>
      <c r="G54" s="28"/>
      <c r="H54" s="10"/>
      <c r="I54" s="10">
        <f t="shared" si="8"/>
        <v>3651</v>
      </c>
      <c r="J54" s="10">
        <f t="shared" si="6"/>
        <v>17067145242.362976</v>
      </c>
      <c r="K54" s="11">
        <f t="shared" si="7"/>
        <v>3.1600000000000072E-2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4531455.4842020832</v>
      </c>
      <c r="D55" s="11">
        <v>3.15E-2</v>
      </c>
      <c r="E55" s="10">
        <f t="shared" si="2"/>
        <v>138381.82040946744</v>
      </c>
      <c r="F55" s="3"/>
      <c r="G55" s="28"/>
      <c r="H55" s="10"/>
      <c r="I55" s="10">
        <f t="shared" si="8"/>
        <v>3651</v>
      </c>
      <c r="J55" s="10">
        <f t="shared" si="6"/>
        <v>16544343972.821806</v>
      </c>
      <c r="K55" s="11">
        <f t="shared" si="7"/>
        <v>3.1500000000000083E-2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4393073.6637926158</v>
      </c>
      <c r="D56" s="11">
        <v>3.1300000000000001E-2</v>
      </c>
      <c r="E56" s="10">
        <f t="shared" si="2"/>
        <v>133329.97738457192</v>
      </c>
      <c r="F56" s="3"/>
      <c r="G56" s="28"/>
      <c r="H56" s="10"/>
      <c r="I56" s="10">
        <f t="shared" si="8"/>
        <v>3651</v>
      </c>
      <c r="J56" s="10">
        <f t="shared" si="6"/>
        <v>16039111946.50684</v>
      </c>
      <c r="K56" s="11">
        <f t="shared" si="7"/>
        <v>3.1300000000000106E-2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4259743.6864080438</v>
      </c>
      <c r="D57" s="11">
        <v>0.03</v>
      </c>
      <c r="E57" s="10">
        <f t="shared" si="2"/>
        <v>124070.20445848722</v>
      </c>
      <c r="F57" s="3"/>
      <c r="G57" s="28"/>
      <c r="H57" s="10"/>
      <c r="I57" s="10">
        <f t="shared" si="8"/>
        <v>3651</v>
      </c>
      <c r="J57" s="10">
        <f t="shared" si="6"/>
        <v>15552324199.075768</v>
      </c>
      <c r="K57" s="11">
        <f t="shared" si="7"/>
        <v>3.0000000000000027E-2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4135673.4819495566</v>
      </c>
      <c r="D58" s="11">
        <v>0.03</v>
      </c>
      <c r="E58" s="10">
        <f t="shared" si="2"/>
        <v>120456.50918299705</v>
      </c>
      <c r="F58" s="3"/>
      <c r="G58" s="28"/>
      <c r="H58" s="10"/>
      <c r="I58" s="10">
        <f t="shared" si="8"/>
        <v>3651</v>
      </c>
      <c r="J58" s="10">
        <f t="shared" si="6"/>
        <v>15099343882.597832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4015216.9727665596</v>
      </c>
      <c r="D59" s="11">
        <v>2.9000000000000001E-2</v>
      </c>
      <c r="E59" s="10">
        <f t="shared" si="2"/>
        <v>113159.66201188508</v>
      </c>
      <c r="F59" s="3"/>
      <c r="G59" s="28"/>
      <c r="H59" s="10"/>
      <c r="I59" s="10">
        <f t="shared" si="8"/>
        <v>3651</v>
      </c>
      <c r="J59" s="10">
        <f t="shared" si="6"/>
        <v>14659557167.570709</v>
      </c>
      <c r="K59" s="11">
        <f t="shared" si="7"/>
        <v>2.8999999999999915E-2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3902057.3107546745</v>
      </c>
      <c r="D60" s="11">
        <v>2.8000000000000001E-2</v>
      </c>
      <c r="E60" s="10">
        <f t="shared" si="2"/>
        <v>106281.71663534129</v>
      </c>
      <c r="F60" s="3"/>
      <c r="G60" s="28"/>
      <c r="H60" s="10"/>
      <c r="I60" s="10">
        <f t="shared" si="8"/>
        <v>3651</v>
      </c>
      <c r="J60" s="10">
        <f t="shared" si="6"/>
        <v>14246411241.565317</v>
      </c>
      <c r="K60" s="11">
        <f t="shared" si="7"/>
        <v>2.8000000000000025E-2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3795775.5941193332</v>
      </c>
      <c r="D61" s="11">
        <v>2.7E-2</v>
      </c>
      <c r="E61" s="10">
        <f t="shared" si="2"/>
        <v>99791.568686681334</v>
      </c>
      <c r="F61" s="3"/>
      <c r="G61" s="28"/>
      <c r="H61" s="10"/>
      <c r="I61" s="10">
        <f t="shared" si="8"/>
        <v>3651</v>
      </c>
      <c r="J61" s="10">
        <f t="shared" si="6"/>
        <v>13858376694.129686</v>
      </c>
      <c r="K61" s="11">
        <f t="shared" si="7"/>
        <v>2.6999999999999913E-2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3695984.0254326519</v>
      </c>
      <c r="D62" s="11">
        <v>2.5999999999999999E-2</v>
      </c>
      <c r="E62" s="10">
        <f t="shared" si="2"/>
        <v>93660.413899852894</v>
      </c>
      <c r="F62" s="3"/>
      <c r="G62" s="28"/>
      <c r="H62" s="10"/>
      <c r="I62" s="10">
        <f t="shared" si="8"/>
        <v>3651</v>
      </c>
      <c r="J62" s="10">
        <f t="shared" si="6"/>
        <v>13494037676.854612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3602323.611532799</v>
      </c>
      <c r="D63" s="11">
        <v>2.5000000000000001E-2</v>
      </c>
      <c r="E63" s="10">
        <f t="shared" si="2"/>
        <v>87861.5515007996</v>
      </c>
      <c r="F63" s="3"/>
      <c r="G63" s="28"/>
      <c r="H63" s="10"/>
      <c r="I63" s="10">
        <f t="shared" si="8"/>
        <v>3651</v>
      </c>
      <c r="J63" s="10">
        <f t="shared" si="6"/>
        <v>13152083505.706249</v>
      </c>
      <c r="K63" s="11">
        <f t="shared" si="7"/>
        <v>2.4999999999999911E-2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3514462.0600319994</v>
      </c>
      <c r="D64" s="11">
        <v>2.4E-2</v>
      </c>
      <c r="E64" s="10">
        <f t="shared" si="2"/>
        <v>82370.204532000236</v>
      </c>
      <c r="F64" s="3"/>
      <c r="G64" s="28"/>
      <c r="H64" s="10"/>
      <c r="I64" s="10">
        <f t="shared" si="8"/>
        <v>3651</v>
      </c>
      <c r="J64" s="10">
        <f t="shared" si="6"/>
        <v>12831300981.17683</v>
      </c>
      <c r="K64" s="11">
        <f t="shared" si="7"/>
        <v>2.4000000000000243E-2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3432091.8554999991</v>
      </c>
      <c r="D65" s="11">
        <v>2.3E-2</v>
      </c>
      <c r="E65" s="10">
        <f t="shared" si="2"/>
        <v>77163.355499999598</v>
      </c>
      <c r="F65" s="3"/>
      <c r="G65" s="28"/>
      <c r="H65" s="10"/>
      <c r="I65" s="10">
        <f t="shared" si="8"/>
        <v>3651</v>
      </c>
      <c r="J65" s="10">
        <f t="shared" si="6"/>
        <v>12530567364.430496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3354928.4999999995</v>
      </c>
      <c r="D66" s="11">
        <v>2.3E-2</v>
      </c>
      <c r="E66" s="10">
        <f t="shared" si="2"/>
        <v>75428.499999999534</v>
      </c>
      <c r="F66" s="24">
        <f>SUM(F2)</f>
        <v>21611863</v>
      </c>
      <c r="G66" s="28"/>
      <c r="H66" s="10"/>
      <c r="I66" s="10">
        <f t="shared" si="8"/>
        <v>3651</v>
      </c>
      <c r="J66" s="10">
        <f t="shared" ref="J66:J67" si="9">IF(I66="","",I66*C66)</f>
        <v>12248843953.499998</v>
      </c>
      <c r="K66" s="11">
        <f t="shared" ref="K66" si="10">IFERROR(J66/J67-1,"")</f>
        <v>2.2999999999999909E-2</v>
      </c>
    </row>
    <row r="67" spans="1:11" ht="22.5" customHeight="1">
      <c r="A67" s="3">
        <f t="shared" si="0"/>
        <v>1950</v>
      </c>
      <c r="B67" s="3">
        <v>1700</v>
      </c>
      <c r="C67" s="10">
        <v>3279500</v>
      </c>
      <c r="D67" s="11">
        <v>2.1999999999999999E-2</v>
      </c>
      <c r="E67" s="3" t="s">
        <v>72</v>
      </c>
      <c r="F67" s="10">
        <f>SUM(C2)</f>
        <v>21611932.671386287</v>
      </c>
      <c r="G67" s="28"/>
      <c r="H67" s="10"/>
      <c r="I67" s="10">
        <f t="shared" ref="I67" si="11">IF(H67&lt;&gt;"",H67,I66/(1+IF(G66="",0,G66)/100))</f>
        <v>3651</v>
      </c>
      <c r="J67" s="10">
        <f t="shared" si="9"/>
        <v>11973454500</v>
      </c>
      <c r="K67" s="11"/>
    </row>
  </sheetData>
  <dataValidations count="1">
    <dataValidation type="custom" allowBlank="1" showDropDown="1" sqref="D2:D67" xr:uid="{00000000-0002-0000-6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31490291.99996132</v>
      </c>
      <c r="D2" s="11">
        <v>1.7100000000000001E-2</v>
      </c>
      <c r="E2" s="10">
        <f t="shared" ref="E2:E66" si="2">SUM(C2-C3)</f>
        <v>529430.72775473073</v>
      </c>
      <c r="F2" s="15">
        <v>31491757</v>
      </c>
      <c r="G2" s="28"/>
      <c r="H2" s="10"/>
      <c r="I2" s="10">
        <f>IF(H2&lt;&gt;"",H2,8056)</f>
        <v>8056</v>
      </c>
      <c r="J2" s="10">
        <f t="shared" ref="J2:J33" si="3">IF(I2="","",I2*C2)</f>
        <v>253685792351.68839</v>
      </c>
      <c r="K2" s="11">
        <f t="shared" ref="K2:K33" si="4">IFERROR(J2/J3-1,"")</f>
        <v>1.7099999999999893E-2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30960861.27220659</v>
      </c>
      <c r="D3" s="11">
        <v>1.66E-2</v>
      </c>
      <c r="E3" s="10">
        <f t="shared" si="2"/>
        <v>505558.03375824168</v>
      </c>
      <c r="F3" s="3"/>
      <c r="G3" s="28"/>
      <c r="H3" s="10"/>
      <c r="I3" s="10">
        <f t="shared" ref="I3:I34" si="5">IF(H3&lt;&gt;"",H3,I2/(1+IF(G2="",0,G2)/100))</f>
        <v>8056</v>
      </c>
      <c r="J3" s="10">
        <f t="shared" si="3"/>
        <v>249420698408.89627</v>
      </c>
      <c r="K3" s="11">
        <f t="shared" si="4"/>
        <v>1.6599999999999948E-2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30455303.238448348</v>
      </c>
      <c r="D4" s="11">
        <v>1.6500000000000001E-2</v>
      </c>
      <c r="E4" s="10">
        <f t="shared" si="2"/>
        <v>494355.63544948027</v>
      </c>
      <c r="F4" s="3"/>
      <c r="G4" s="28"/>
      <c r="H4" s="10"/>
      <c r="I4" s="10">
        <f t="shared" si="5"/>
        <v>8056</v>
      </c>
      <c r="J4" s="10">
        <f t="shared" si="3"/>
        <v>245347922888.93988</v>
      </c>
      <c r="K4" s="11">
        <f t="shared" si="4"/>
        <v>1.6499999999999959E-2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29960947.602998868</v>
      </c>
      <c r="D5" s="11">
        <v>1.47E-2</v>
      </c>
      <c r="E5" s="10">
        <f t="shared" si="2"/>
        <v>434045.4614803195</v>
      </c>
      <c r="F5" s="3"/>
      <c r="G5" s="28"/>
      <c r="H5" s="10"/>
      <c r="I5" s="10">
        <f t="shared" si="5"/>
        <v>8056</v>
      </c>
      <c r="J5" s="10">
        <f t="shared" si="3"/>
        <v>241365393889.75888</v>
      </c>
      <c r="K5" s="11">
        <f t="shared" si="4"/>
        <v>1.4699999999999935E-2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29526902.141518548</v>
      </c>
      <c r="D6" s="11">
        <v>1.24E-2</v>
      </c>
      <c r="E6" s="10">
        <f t="shared" si="2"/>
        <v>361649.1372528933</v>
      </c>
      <c r="F6" s="3"/>
      <c r="G6" s="28"/>
      <c r="H6" s="10"/>
      <c r="I6" s="10">
        <f t="shared" si="5"/>
        <v>8056</v>
      </c>
      <c r="J6" s="10">
        <f t="shared" si="3"/>
        <v>237868723652.07343</v>
      </c>
      <c r="K6" s="11">
        <f t="shared" si="4"/>
        <v>1.2399999999999967E-2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29165253.004265655</v>
      </c>
      <c r="D7" s="11">
        <v>1.18E-2</v>
      </c>
      <c r="E7" s="10">
        <f t="shared" si="2"/>
        <v>340136.37621104717</v>
      </c>
      <c r="F7" s="3"/>
      <c r="G7" s="28"/>
      <c r="H7" s="10"/>
      <c r="I7" s="10">
        <f t="shared" si="5"/>
        <v>8056</v>
      </c>
      <c r="J7" s="10">
        <f t="shared" si="3"/>
        <v>234955278202.36411</v>
      </c>
      <c r="K7" s="11">
        <f t="shared" si="4"/>
        <v>1.1800000000000033E-2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28825116.628054608</v>
      </c>
      <c r="D8" s="11">
        <v>1.1900000000000001E-2</v>
      </c>
      <c r="E8" s="10">
        <f t="shared" si="2"/>
        <v>338984.96676929668</v>
      </c>
      <c r="F8" s="3"/>
      <c r="G8" s="28"/>
      <c r="H8" s="10"/>
      <c r="I8" s="10">
        <f t="shared" si="5"/>
        <v>8056</v>
      </c>
      <c r="J8" s="10">
        <f t="shared" si="3"/>
        <v>232215139555.60791</v>
      </c>
      <c r="K8" s="11">
        <f t="shared" si="4"/>
        <v>1.1900000000000022E-2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28486131.661285311</v>
      </c>
      <c r="D9" s="11">
        <v>1.15E-2</v>
      </c>
      <c r="E9" s="10">
        <f t="shared" si="2"/>
        <v>323866.05447828397</v>
      </c>
      <c r="F9" s="3"/>
      <c r="G9" s="28"/>
      <c r="H9" s="10"/>
      <c r="I9" s="10">
        <f t="shared" si="5"/>
        <v>8056</v>
      </c>
      <c r="J9" s="10">
        <f t="shared" si="3"/>
        <v>229484276663.31445</v>
      </c>
      <c r="K9" s="11">
        <f t="shared" si="4"/>
        <v>1.1500000000000066E-2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28162265.606807027</v>
      </c>
      <c r="D10" s="11">
        <v>1.06E-2</v>
      </c>
      <c r="E10" s="10">
        <f t="shared" si="2"/>
        <v>295388.89316460863</v>
      </c>
      <c r="F10" s="3"/>
      <c r="G10" s="28"/>
      <c r="H10" s="10"/>
      <c r="I10" s="10">
        <f t="shared" si="5"/>
        <v>8056</v>
      </c>
      <c r="J10" s="10">
        <f t="shared" si="3"/>
        <v>226875211728.43741</v>
      </c>
      <c r="K10" s="11">
        <f t="shared" si="4"/>
        <v>1.0599999999999943E-2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27866876.713642418</v>
      </c>
      <c r="D11" s="11">
        <v>1.0200000000000001E-2</v>
      </c>
      <c r="E11" s="10">
        <f t="shared" si="2"/>
        <v>281372.14658399671</v>
      </c>
      <c r="F11" s="3"/>
      <c r="G11" s="28"/>
      <c r="H11" s="10"/>
      <c r="I11" s="10">
        <f t="shared" si="5"/>
        <v>8056</v>
      </c>
      <c r="J11" s="10">
        <f t="shared" si="3"/>
        <v>224495558805.10333</v>
      </c>
      <c r="K11" s="11">
        <f t="shared" si="4"/>
        <v>1.0199999999999987E-2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27585504.567058422</v>
      </c>
      <c r="D12" s="11">
        <v>1.01E-2</v>
      </c>
      <c r="E12" s="10">
        <f t="shared" si="2"/>
        <v>275827.73599375412</v>
      </c>
      <c r="F12" s="3"/>
      <c r="G12" s="28"/>
      <c r="H12" s="10"/>
      <c r="I12" s="10">
        <f t="shared" si="5"/>
        <v>8056</v>
      </c>
      <c r="J12" s="10">
        <f t="shared" si="3"/>
        <v>222228824792.22266</v>
      </c>
      <c r="K12" s="11">
        <f t="shared" si="4"/>
        <v>1.0099999999999998E-2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27309676.831064668</v>
      </c>
      <c r="D13" s="11">
        <v>1.01E-2</v>
      </c>
      <c r="E13" s="10">
        <f t="shared" si="2"/>
        <v>273069.7317035459</v>
      </c>
      <c r="F13" s="3"/>
      <c r="G13" s="28"/>
      <c r="H13" s="10"/>
      <c r="I13" s="10">
        <f t="shared" si="5"/>
        <v>8056</v>
      </c>
      <c r="J13" s="10">
        <f t="shared" si="3"/>
        <v>220006756551.05698</v>
      </c>
      <c r="K13" s="11">
        <f t="shared" si="4"/>
        <v>1.0099999999999998E-2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27036607.099361122</v>
      </c>
      <c r="D14" s="11">
        <v>0.01</v>
      </c>
      <c r="E14" s="10">
        <f t="shared" si="2"/>
        <v>267689.17920159549</v>
      </c>
      <c r="F14" s="3"/>
      <c r="G14" s="28"/>
      <c r="H14" s="10"/>
      <c r="I14" s="10">
        <f t="shared" si="5"/>
        <v>8056</v>
      </c>
      <c r="J14" s="10">
        <f t="shared" si="3"/>
        <v>217806906792.45319</v>
      </c>
      <c r="K14" s="11">
        <f t="shared" si="4"/>
        <v>1.0000000000000009E-2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26768917.920159526</v>
      </c>
      <c r="D15" s="11">
        <v>9.4999999999999998E-3</v>
      </c>
      <c r="E15" s="10">
        <f t="shared" si="2"/>
        <v>251911.56041755155</v>
      </c>
      <c r="F15" s="3"/>
      <c r="G15" s="28"/>
      <c r="H15" s="10"/>
      <c r="I15" s="10">
        <f t="shared" si="5"/>
        <v>8056</v>
      </c>
      <c r="J15" s="10">
        <f t="shared" si="3"/>
        <v>215650402764.80515</v>
      </c>
      <c r="K15" s="11">
        <f t="shared" si="4"/>
        <v>9.5000000000000639E-3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26517006.359741975</v>
      </c>
      <c r="D16" s="11">
        <v>8.6E-3</v>
      </c>
      <c r="E16" s="10">
        <f t="shared" si="2"/>
        <v>226101.77939101681</v>
      </c>
      <c r="F16" s="3"/>
      <c r="G16" s="28"/>
      <c r="H16" s="10"/>
      <c r="I16" s="10">
        <f t="shared" si="5"/>
        <v>8056</v>
      </c>
      <c r="J16" s="10">
        <f t="shared" si="3"/>
        <v>213621003234.08136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26290904.580350958</v>
      </c>
      <c r="D17" s="11">
        <v>9.1000000000000004E-3</v>
      </c>
      <c r="E17" s="10">
        <f t="shared" si="2"/>
        <v>237089.71527221799</v>
      </c>
      <c r="F17" s="3"/>
      <c r="G17" s="28"/>
      <c r="H17" s="10"/>
      <c r="I17" s="10">
        <f t="shared" si="5"/>
        <v>8056</v>
      </c>
      <c r="J17" s="10">
        <f t="shared" si="3"/>
        <v>211799527299.30731</v>
      </c>
      <c r="K17" s="11">
        <f t="shared" si="4"/>
        <v>9.099999999999886E-3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26053814.86507874</v>
      </c>
      <c r="D18" s="11">
        <v>1.09E-2</v>
      </c>
      <c r="E18" s="10">
        <f t="shared" si="2"/>
        <v>280924.50492566451</v>
      </c>
      <c r="F18" s="3"/>
      <c r="G18" s="28"/>
      <c r="H18" s="10"/>
      <c r="I18" s="10">
        <f t="shared" si="5"/>
        <v>8056</v>
      </c>
      <c r="J18" s="10">
        <f t="shared" si="3"/>
        <v>209889532553.07434</v>
      </c>
      <c r="K18" s="11">
        <f t="shared" si="4"/>
        <v>1.089999999999991E-2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25772890.360153075</v>
      </c>
      <c r="D19" s="11">
        <v>1.21E-2</v>
      </c>
      <c r="E19" s="10">
        <f t="shared" si="2"/>
        <v>308123.67686775327</v>
      </c>
      <c r="F19" s="3"/>
      <c r="G19" s="28"/>
      <c r="H19" s="10"/>
      <c r="I19" s="10">
        <f t="shared" si="5"/>
        <v>8056</v>
      </c>
      <c r="J19" s="10">
        <f t="shared" si="3"/>
        <v>207626404741.39319</v>
      </c>
      <c r="K19" s="11">
        <f t="shared" si="4"/>
        <v>1.2100000000000222E-2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25464766.683285322</v>
      </c>
      <c r="D20" s="11">
        <v>1.2E-2</v>
      </c>
      <c r="E20" s="10">
        <f t="shared" si="2"/>
        <v>301953.75513777137</v>
      </c>
      <c r="F20" s="3"/>
      <c r="G20" s="28"/>
      <c r="H20" s="10"/>
      <c r="I20" s="10">
        <f t="shared" si="5"/>
        <v>8056</v>
      </c>
      <c r="J20" s="10">
        <f t="shared" si="3"/>
        <v>205144160400.54654</v>
      </c>
      <c r="K20" s="11">
        <f t="shared" si="4"/>
        <v>1.2000000000000011E-2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25162812.928147551</v>
      </c>
      <c r="D21" s="11">
        <v>1.2999999999999999E-2</v>
      </c>
      <c r="E21" s="10">
        <f t="shared" si="2"/>
        <v>322918.62592884153</v>
      </c>
      <c r="F21" s="3"/>
      <c r="G21" s="28"/>
      <c r="H21" s="10"/>
      <c r="I21" s="10">
        <f t="shared" si="5"/>
        <v>8056</v>
      </c>
      <c r="J21" s="10">
        <f t="shared" si="3"/>
        <v>202711620949.15668</v>
      </c>
      <c r="K21" s="11">
        <f t="shared" si="4"/>
        <v>1.2999999999999901E-2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24839894.302218709</v>
      </c>
      <c r="D22" s="11">
        <v>1.21E-2</v>
      </c>
      <c r="E22" s="10">
        <f t="shared" si="2"/>
        <v>296969.39142065495</v>
      </c>
      <c r="F22" s="3"/>
      <c r="G22" s="28"/>
      <c r="H22" s="10"/>
      <c r="I22" s="10">
        <f t="shared" si="5"/>
        <v>8056</v>
      </c>
      <c r="J22" s="10">
        <f t="shared" si="3"/>
        <v>200110188498.67392</v>
      </c>
      <c r="K22" s="11">
        <f t="shared" si="4"/>
        <v>1.21E-2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24542924.910798054</v>
      </c>
      <c r="D23" s="11">
        <v>1.6199999999999999E-2</v>
      </c>
      <c r="E23" s="10">
        <f t="shared" si="2"/>
        <v>391257.01983362436</v>
      </c>
      <c r="F23" s="3"/>
      <c r="G23" s="28"/>
      <c r="H23" s="10"/>
      <c r="I23" s="10">
        <f t="shared" si="5"/>
        <v>8056</v>
      </c>
      <c r="J23" s="10">
        <f t="shared" si="3"/>
        <v>197717803081.38913</v>
      </c>
      <c r="K23" s="11">
        <f t="shared" si="4"/>
        <v>1.6200000000000214E-2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24151667.89096443</v>
      </c>
      <c r="D24" s="11">
        <v>1.9900000000000001E-2</v>
      </c>
      <c r="E24" s="10">
        <f t="shared" si="2"/>
        <v>471240.50498107076</v>
      </c>
      <c r="F24" s="3"/>
      <c r="G24" s="28"/>
      <c r="H24" s="10"/>
      <c r="I24" s="10">
        <f t="shared" si="5"/>
        <v>8056</v>
      </c>
      <c r="J24" s="10">
        <f t="shared" si="3"/>
        <v>194565836529.60944</v>
      </c>
      <c r="K24" s="11">
        <f t="shared" si="4"/>
        <v>1.9900000000000029E-2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23680427.385983359</v>
      </c>
      <c r="D25" s="11">
        <v>1.7999999999999999E-2</v>
      </c>
      <c r="E25" s="10">
        <f t="shared" si="2"/>
        <v>418710.89680520818</v>
      </c>
      <c r="F25" s="3"/>
      <c r="G25" s="28"/>
      <c r="H25" s="10"/>
      <c r="I25" s="10">
        <f t="shared" si="5"/>
        <v>8056</v>
      </c>
      <c r="J25" s="10">
        <f t="shared" si="3"/>
        <v>190769523021.48193</v>
      </c>
      <c r="K25" s="11">
        <f t="shared" si="4"/>
        <v>1.8000000000000016E-2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23261716.489178151</v>
      </c>
      <c r="D26" s="11">
        <v>2.2800000000000001E-2</v>
      </c>
      <c r="E26" s="10">
        <f t="shared" si="2"/>
        <v>518544.32533560693</v>
      </c>
      <c r="F26" s="3"/>
      <c r="G26" s="28"/>
      <c r="H26" s="10"/>
      <c r="I26" s="10">
        <f t="shared" si="5"/>
        <v>8056</v>
      </c>
      <c r="J26" s="10">
        <f t="shared" si="3"/>
        <v>187396388036.81918</v>
      </c>
      <c r="K26" s="11">
        <f t="shared" si="4"/>
        <v>2.2799999999999931E-2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22743172.163842544</v>
      </c>
      <c r="D27" s="11">
        <v>2.7799999999999998E-2</v>
      </c>
      <c r="E27" s="10">
        <f t="shared" si="2"/>
        <v>615158.77228529379</v>
      </c>
      <c r="F27" s="3"/>
      <c r="G27" s="28"/>
      <c r="H27" s="10"/>
      <c r="I27" s="10">
        <f t="shared" si="5"/>
        <v>8056</v>
      </c>
      <c r="J27" s="10">
        <f t="shared" si="3"/>
        <v>183218994951.91553</v>
      </c>
      <c r="K27" s="11">
        <f t="shared" si="4"/>
        <v>2.7800000000000047E-2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22128013.39155725</v>
      </c>
      <c r="D28" s="11">
        <v>2.9399999999999999E-2</v>
      </c>
      <c r="E28" s="10">
        <f t="shared" si="2"/>
        <v>631983.28512899205</v>
      </c>
      <c r="F28" s="3"/>
      <c r="G28" s="28"/>
      <c r="H28" s="10"/>
      <c r="I28" s="10">
        <f t="shared" si="5"/>
        <v>8056</v>
      </c>
      <c r="J28" s="10">
        <f t="shared" si="3"/>
        <v>178263275882.38519</v>
      </c>
      <c r="K28" s="11">
        <f t="shared" si="4"/>
        <v>2.9399999999999871E-2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21496030.106428258</v>
      </c>
      <c r="D29" s="11">
        <v>3.0499999999999999E-2</v>
      </c>
      <c r="E29" s="10">
        <f t="shared" si="2"/>
        <v>636224.0836934112</v>
      </c>
      <c r="F29" s="3"/>
      <c r="G29" s="28"/>
      <c r="H29" s="10"/>
      <c r="I29" s="10">
        <f t="shared" si="5"/>
        <v>8056</v>
      </c>
      <c r="J29" s="10">
        <f t="shared" si="3"/>
        <v>173172018537.38605</v>
      </c>
      <c r="K29" s="11">
        <f t="shared" si="4"/>
        <v>3.0499999999999972E-2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20859806.022734847</v>
      </c>
      <c r="D30" s="11">
        <v>3.1199999999999999E-2</v>
      </c>
      <c r="E30" s="10">
        <f t="shared" si="2"/>
        <v>631134.54995085672</v>
      </c>
      <c r="F30" s="3"/>
      <c r="G30" s="28"/>
      <c r="H30" s="10"/>
      <c r="I30" s="10">
        <f t="shared" si="5"/>
        <v>8056</v>
      </c>
      <c r="J30" s="10">
        <f t="shared" si="3"/>
        <v>168046597319.15192</v>
      </c>
      <c r="K30" s="11">
        <f t="shared" si="4"/>
        <v>3.1199999999999672E-2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20228671.47278399</v>
      </c>
      <c r="D31" s="11">
        <v>3.2000000000000001E-2</v>
      </c>
      <c r="E31" s="10">
        <f t="shared" si="2"/>
        <v>627245.62706306949</v>
      </c>
      <c r="F31" s="3"/>
      <c r="G31" s="28"/>
      <c r="H31" s="10"/>
      <c r="I31" s="10">
        <f t="shared" si="5"/>
        <v>8056</v>
      </c>
      <c r="J31" s="10">
        <f t="shared" si="3"/>
        <v>162962177384.74783</v>
      </c>
      <c r="K31" s="11">
        <f t="shared" si="4"/>
        <v>3.2000000000000028E-2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19601425.845720921</v>
      </c>
      <c r="D32" s="11">
        <v>3.3300000000000003E-2</v>
      </c>
      <c r="E32" s="10">
        <f t="shared" si="2"/>
        <v>631692.132645417</v>
      </c>
      <c r="F32" s="3"/>
      <c r="G32" s="28"/>
      <c r="H32" s="10"/>
      <c r="I32" s="10">
        <f t="shared" si="5"/>
        <v>8056</v>
      </c>
      <c r="J32" s="10">
        <f t="shared" si="3"/>
        <v>157909086613.12775</v>
      </c>
      <c r="K32" s="11">
        <f t="shared" si="4"/>
        <v>3.3300000000000329E-2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18969733.713075504</v>
      </c>
      <c r="D33" s="11">
        <v>3.4599999999999999E-2</v>
      </c>
      <c r="E33" s="10">
        <f t="shared" si="2"/>
        <v>634402.46131104976</v>
      </c>
      <c r="F33" s="3"/>
      <c r="G33" s="28"/>
      <c r="H33" s="10"/>
      <c r="I33" s="10">
        <f t="shared" si="5"/>
        <v>8056</v>
      </c>
      <c r="J33" s="10">
        <f t="shared" si="3"/>
        <v>152820174792.53625</v>
      </c>
      <c r="K33" s="11">
        <f t="shared" si="4"/>
        <v>3.4599999999999964E-2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18335331.251764454</v>
      </c>
      <c r="D34" s="11">
        <v>3.49E-2</v>
      </c>
      <c r="E34" s="10">
        <f t="shared" si="2"/>
        <v>618323.56815787032</v>
      </c>
      <c r="F34" s="3"/>
      <c r="G34" s="28"/>
      <c r="H34" s="10"/>
      <c r="I34" s="10">
        <f t="shared" si="5"/>
        <v>8056</v>
      </c>
      <c r="J34" s="10">
        <f t="shared" ref="J34:J65" si="6">IF(I34="","",I34*C34)</f>
        <v>147709428564.21445</v>
      </c>
      <c r="K34" s="11">
        <f t="shared" ref="K34:K65" si="7">IFERROR(J34/J35-1,"")</f>
        <v>3.4899999999999931E-2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17717007.683606584</v>
      </c>
      <c r="D35" s="11">
        <v>3.4599999999999999E-2</v>
      </c>
      <c r="E35" s="10">
        <f t="shared" si="2"/>
        <v>592507.69945175573</v>
      </c>
      <c r="F35" s="3"/>
      <c r="G35" s="28"/>
      <c r="H35" s="10"/>
      <c r="I35" s="10">
        <f t="shared" ref="I35:I66" si="8">IF(H35&lt;&gt;"",H35,I34/(1+IF(G34="",0,G34)/100))</f>
        <v>8056</v>
      </c>
      <c r="J35" s="10">
        <f t="shared" si="6"/>
        <v>142728213899.13464</v>
      </c>
      <c r="K35" s="11">
        <f t="shared" si="7"/>
        <v>3.4599999999999964E-2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17124499.984154828</v>
      </c>
      <c r="D36" s="11">
        <v>3.4000000000000002E-2</v>
      </c>
      <c r="E36" s="10">
        <f t="shared" si="2"/>
        <v>563088.0072159227</v>
      </c>
      <c r="F36" s="3"/>
      <c r="G36" s="28"/>
      <c r="H36" s="10"/>
      <c r="I36" s="10">
        <f t="shared" si="8"/>
        <v>8056</v>
      </c>
      <c r="J36" s="10">
        <f t="shared" si="6"/>
        <v>137954971872.35129</v>
      </c>
      <c r="K36" s="11">
        <f t="shared" si="7"/>
        <v>3.400000000000003E-2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16561411.976938905</v>
      </c>
      <c r="D37" s="11">
        <v>3.04E-2</v>
      </c>
      <c r="E37" s="10">
        <f t="shared" si="2"/>
        <v>488613.08627614751</v>
      </c>
      <c r="F37" s="3"/>
      <c r="G37" s="28"/>
      <c r="H37" s="10"/>
      <c r="I37" s="10">
        <f t="shared" si="8"/>
        <v>8056</v>
      </c>
      <c r="J37" s="10">
        <f t="shared" si="6"/>
        <v>133418734886.21982</v>
      </c>
      <c r="K37" s="11">
        <f t="shared" si="7"/>
        <v>3.0399999999999983E-2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16072798.890662758</v>
      </c>
      <c r="D38" s="11">
        <v>2.7099999999999999E-2</v>
      </c>
      <c r="E38" s="10">
        <f t="shared" si="2"/>
        <v>424080.27449806221</v>
      </c>
      <c r="F38" s="3"/>
      <c r="G38" s="28"/>
      <c r="H38" s="10"/>
      <c r="I38" s="10">
        <f t="shared" si="8"/>
        <v>8056</v>
      </c>
      <c r="J38" s="10">
        <f t="shared" si="6"/>
        <v>129482467863.17917</v>
      </c>
      <c r="K38" s="11">
        <f t="shared" si="7"/>
        <v>2.7099999999999902E-2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15648718.616164695</v>
      </c>
      <c r="D39" s="11">
        <v>2.7300000000000001E-2</v>
      </c>
      <c r="E39" s="10">
        <f t="shared" si="2"/>
        <v>415857.1188759841</v>
      </c>
      <c r="F39" s="3"/>
      <c r="G39" s="28"/>
      <c r="H39" s="10"/>
      <c r="I39" s="10">
        <f t="shared" si="8"/>
        <v>8056</v>
      </c>
      <c r="J39" s="10">
        <f t="shared" si="6"/>
        <v>126066077171.82278</v>
      </c>
      <c r="K39" s="11">
        <f t="shared" si="7"/>
        <v>2.7300000000000102E-2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15232861.497288711</v>
      </c>
      <c r="D40" s="11">
        <v>2.7E-2</v>
      </c>
      <c r="E40" s="10">
        <f t="shared" si="2"/>
        <v>400474.45026951656</v>
      </c>
      <c r="F40" s="3"/>
      <c r="G40" s="28"/>
      <c r="H40" s="10"/>
      <c r="I40" s="10">
        <f t="shared" si="8"/>
        <v>8056</v>
      </c>
      <c r="J40" s="10">
        <f t="shared" si="6"/>
        <v>122715932222.15785</v>
      </c>
      <c r="K40" s="11">
        <f t="shared" si="7"/>
        <v>2.6999999999999913E-2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14832387.047019195</v>
      </c>
      <c r="D41" s="11">
        <v>2.7099999999999999E-2</v>
      </c>
      <c r="E41" s="10">
        <f t="shared" si="2"/>
        <v>391352.04846092686</v>
      </c>
      <c r="F41" s="3"/>
      <c r="G41" s="28"/>
      <c r="H41" s="10"/>
      <c r="I41" s="10">
        <f t="shared" si="8"/>
        <v>8056</v>
      </c>
      <c r="J41" s="10">
        <f t="shared" si="6"/>
        <v>119489710050.78664</v>
      </c>
      <c r="K41" s="11">
        <f t="shared" si="7"/>
        <v>2.7099999999999902E-2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14441034.998558268</v>
      </c>
      <c r="D42" s="11">
        <v>2.7699999999999999E-2</v>
      </c>
      <c r="E42" s="10">
        <f t="shared" si="2"/>
        <v>389234.86373461597</v>
      </c>
      <c r="F42" s="3"/>
      <c r="G42" s="28"/>
      <c r="H42" s="10"/>
      <c r="I42" s="10">
        <f t="shared" si="8"/>
        <v>8056</v>
      </c>
      <c r="J42" s="10">
        <f t="shared" si="6"/>
        <v>116336977948.38541</v>
      </c>
      <c r="K42" s="11">
        <f t="shared" si="7"/>
        <v>2.7700000000000058E-2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14051800.134823652</v>
      </c>
      <c r="D43" s="11">
        <v>2.8199999999999999E-2</v>
      </c>
      <c r="E43" s="10">
        <f t="shared" si="2"/>
        <v>385392.68994556181</v>
      </c>
      <c r="F43" s="3"/>
      <c r="G43" s="28"/>
      <c r="H43" s="10"/>
      <c r="I43" s="10">
        <f t="shared" si="8"/>
        <v>8056</v>
      </c>
      <c r="J43" s="10">
        <f t="shared" si="6"/>
        <v>113201301886.13934</v>
      </c>
      <c r="K43" s="11">
        <f t="shared" si="7"/>
        <v>2.8200000000000003E-2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13666407.44487809</v>
      </c>
      <c r="D44" s="11">
        <v>2.86E-2</v>
      </c>
      <c r="E44" s="10">
        <f t="shared" si="2"/>
        <v>379991.49613407813</v>
      </c>
      <c r="F44" s="3"/>
      <c r="G44" s="28"/>
      <c r="H44" s="10"/>
      <c r="I44" s="10">
        <f t="shared" si="8"/>
        <v>8056</v>
      </c>
      <c r="J44" s="10">
        <f t="shared" si="6"/>
        <v>110096578375.9379</v>
      </c>
      <c r="K44" s="11">
        <f t="shared" si="7"/>
        <v>2.8599999999999959E-2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13286415.948744012</v>
      </c>
      <c r="D45" s="11">
        <v>2.87E-2</v>
      </c>
      <c r="E45" s="10">
        <f t="shared" si="2"/>
        <v>370681.5764838662</v>
      </c>
      <c r="F45" s="3"/>
      <c r="G45" s="28"/>
      <c r="H45" s="10"/>
      <c r="I45" s="10">
        <f t="shared" si="8"/>
        <v>8056</v>
      </c>
      <c r="J45" s="10">
        <f t="shared" si="6"/>
        <v>107035366883.08176</v>
      </c>
      <c r="K45" s="11">
        <f t="shared" si="7"/>
        <v>2.8699999999999948E-2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12915734.372260146</v>
      </c>
      <c r="D46" s="11">
        <v>2.93E-2</v>
      </c>
      <c r="E46" s="10">
        <f t="shared" si="2"/>
        <v>367658.6195542831</v>
      </c>
      <c r="F46" s="3"/>
      <c r="G46" s="28"/>
      <c r="H46" s="10"/>
      <c r="I46" s="10">
        <f t="shared" si="8"/>
        <v>8056</v>
      </c>
      <c r="J46" s="10">
        <f t="shared" si="6"/>
        <v>104049156102.92773</v>
      </c>
      <c r="K46" s="11">
        <f t="shared" si="7"/>
        <v>2.9300000000000104E-2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12548075.752705863</v>
      </c>
      <c r="D47" s="11">
        <v>3.0300000000000001E-2</v>
      </c>
      <c r="E47" s="10">
        <f t="shared" si="2"/>
        <v>369025.23081334308</v>
      </c>
      <c r="F47" s="3"/>
      <c r="G47" s="28"/>
      <c r="H47" s="10"/>
      <c r="I47" s="10">
        <f t="shared" si="8"/>
        <v>8056</v>
      </c>
      <c r="J47" s="10">
        <f t="shared" si="6"/>
        <v>101087298263.79843</v>
      </c>
      <c r="K47" s="11">
        <f t="shared" si="7"/>
        <v>3.0299999999999994E-2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12179050.52189252</v>
      </c>
      <c r="D48" s="11">
        <v>3.09E-2</v>
      </c>
      <c r="E48" s="10">
        <f t="shared" si="2"/>
        <v>365052.53771120124</v>
      </c>
      <c r="F48" s="3"/>
      <c r="G48" s="28"/>
      <c r="H48" s="10"/>
      <c r="I48" s="10">
        <f t="shared" si="8"/>
        <v>8056</v>
      </c>
      <c r="J48" s="10">
        <f t="shared" si="6"/>
        <v>98114431004.366135</v>
      </c>
      <c r="K48" s="11">
        <f t="shared" si="7"/>
        <v>3.0899999999999928E-2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11813997.984181318</v>
      </c>
      <c r="D49" s="11">
        <v>3.1199999999999999E-2</v>
      </c>
      <c r="E49" s="10">
        <f t="shared" si="2"/>
        <v>357444.469653273</v>
      </c>
      <c r="F49" s="3"/>
      <c r="G49" s="28"/>
      <c r="H49" s="10"/>
      <c r="I49" s="10">
        <f t="shared" si="8"/>
        <v>8056</v>
      </c>
      <c r="J49" s="10">
        <f t="shared" si="6"/>
        <v>95173567760.564697</v>
      </c>
      <c r="K49" s="11">
        <f t="shared" si="7"/>
        <v>3.1199999999999894E-2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11456553.514528045</v>
      </c>
      <c r="D50" s="11">
        <v>3.1199999999999999E-2</v>
      </c>
      <c r="E50" s="10">
        <f t="shared" si="2"/>
        <v>346629.62534258515</v>
      </c>
      <c r="F50" s="3"/>
      <c r="G50" s="28"/>
      <c r="H50" s="10"/>
      <c r="I50" s="10">
        <f t="shared" si="8"/>
        <v>8056</v>
      </c>
      <c r="J50" s="10">
        <f t="shared" si="6"/>
        <v>92293995113.037933</v>
      </c>
      <c r="K50" s="11">
        <f t="shared" si="7"/>
        <v>3.1199999999999894E-2</v>
      </c>
      <c r="L50" t="s">
        <v>135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11109923.88918546</v>
      </c>
      <c r="D51" s="11">
        <v>3.1E-2</v>
      </c>
      <c r="E51" s="10">
        <f t="shared" si="2"/>
        <v>334052.02770586684</v>
      </c>
      <c r="F51" s="3"/>
      <c r="G51" s="28"/>
      <c r="H51" s="10"/>
      <c r="I51" s="10">
        <f t="shared" si="8"/>
        <v>8056</v>
      </c>
      <c r="J51" s="10">
        <f t="shared" si="6"/>
        <v>89501546851.278061</v>
      </c>
      <c r="K51" s="11">
        <f t="shared" si="7"/>
        <v>3.0999999999999917E-2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10775871.861479593</v>
      </c>
      <c r="D52" s="11">
        <v>3.0700000000000002E-2</v>
      </c>
      <c r="E52" s="10">
        <f t="shared" si="2"/>
        <v>320965.62156536616</v>
      </c>
      <c r="F52" s="3"/>
      <c r="G52" s="28"/>
      <c r="H52" s="10"/>
      <c r="I52" s="10">
        <f t="shared" si="8"/>
        <v>8056</v>
      </c>
      <c r="J52" s="10">
        <f t="shared" si="6"/>
        <v>86810423716.079605</v>
      </c>
      <c r="K52" s="11">
        <f t="shared" si="7"/>
        <v>3.069999999999995E-2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10454906.239914227</v>
      </c>
      <c r="D53" s="11">
        <v>3.0499999999999999E-2</v>
      </c>
      <c r="E53" s="10">
        <f t="shared" si="2"/>
        <v>309436.81738707796</v>
      </c>
      <c r="F53" s="3"/>
      <c r="G53" s="28"/>
      <c r="H53" s="10"/>
      <c r="I53" s="10">
        <f t="shared" si="8"/>
        <v>8056</v>
      </c>
      <c r="J53" s="10">
        <f t="shared" si="6"/>
        <v>84224724668.749008</v>
      </c>
      <c r="K53" s="11">
        <f t="shared" si="7"/>
        <v>3.0499999999999972E-2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10145469.422527149</v>
      </c>
      <c r="D54" s="11">
        <v>3.0300000000000001E-2</v>
      </c>
      <c r="E54" s="10">
        <f t="shared" si="2"/>
        <v>298367.19742072374</v>
      </c>
      <c r="F54" s="3"/>
      <c r="G54" s="28"/>
      <c r="H54" s="10"/>
      <c r="I54" s="10">
        <f t="shared" si="8"/>
        <v>8056</v>
      </c>
      <c r="J54" s="10">
        <f t="shared" si="6"/>
        <v>81731901667.878708</v>
      </c>
      <c r="K54" s="11">
        <f t="shared" si="7"/>
        <v>3.0299999999999772E-2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9847102.2251064256</v>
      </c>
      <c r="D55" s="11">
        <v>2.9700000000000001E-2</v>
      </c>
      <c r="E55" s="10">
        <f t="shared" si="2"/>
        <v>284023.43992003612</v>
      </c>
      <c r="F55" s="3"/>
      <c r="G55" s="28"/>
      <c r="H55" s="10"/>
      <c r="I55" s="10">
        <f t="shared" si="8"/>
        <v>8056</v>
      </c>
      <c r="J55" s="10">
        <f t="shared" si="6"/>
        <v>79328255525.457367</v>
      </c>
      <c r="K55" s="11">
        <f t="shared" si="7"/>
        <v>2.970000000000006E-2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9563078.7851863895</v>
      </c>
      <c r="D56" s="11">
        <v>2.81E-2</v>
      </c>
      <c r="E56" s="10">
        <f t="shared" si="2"/>
        <v>261377.79774704576</v>
      </c>
      <c r="F56" s="3"/>
      <c r="G56" s="28"/>
      <c r="H56" s="10"/>
      <c r="I56" s="10">
        <f t="shared" si="8"/>
        <v>8056</v>
      </c>
      <c r="J56" s="10">
        <f t="shared" si="6"/>
        <v>77040162693.461548</v>
      </c>
      <c r="K56" s="11">
        <f t="shared" si="7"/>
        <v>2.8100000000000014E-2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9301700.9874393437</v>
      </c>
      <c r="D57" s="11">
        <v>2.8000000000000001E-2</v>
      </c>
      <c r="E57" s="10">
        <f t="shared" si="2"/>
        <v>253353.72339328937</v>
      </c>
      <c r="F57" s="3"/>
      <c r="G57" s="28"/>
      <c r="H57" s="10"/>
      <c r="I57" s="10">
        <f t="shared" si="8"/>
        <v>8056</v>
      </c>
      <c r="J57" s="10">
        <f t="shared" si="6"/>
        <v>74934503154.811356</v>
      </c>
      <c r="K57" s="11">
        <f t="shared" si="7"/>
        <v>2.8000000000000025E-2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9048347.2640460543</v>
      </c>
      <c r="D58" s="11">
        <v>2.7E-2</v>
      </c>
      <c r="E58" s="10">
        <f t="shared" si="2"/>
        <v>237882.54735077173</v>
      </c>
      <c r="F58" s="3"/>
      <c r="G58" s="28"/>
      <c r="H58" s="10"/>
      <c r="I58" s="10">
        <f t="shared" si="8"/>
        <v>8056</v>
      </c>
      <c r="J58" s="10">
        <f t="shared" si="6"/>
        <v>72893485559.155014</v>
      </c>
      <c r="K58" s="11">
        <f t="shared" si="7"/>
        <v>2.6999999999999913E-2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8810464.7166952826</v>
      </c>
      <c r="D59" s="11">
        <v>2.7E-2</v>
      </c>
      <c r="E59" s="10">
        <f t="shared" si="2"/>
        <v>231628.57580406219</v>
      </c>
      <c r="F59" s="3"/>
      <c r="G59" s="28"/>
      <c r="H59" s="10"/>
      <c r="I59" s="10">
        <f t="shared" si="8"/>
        <v>8056</v>
      </c>
      <c r="J59" s="10">
        <f t="shared" si="6"/>
        <v>70977103757.697189</v>
      </c>
      <c r="K59" s="11">
        <f t="shared" si="7"/>
        <v>2.6999999999999913E-2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8578836.1408912204</v>
      </c>
      <c r="D60" s="11">
        <v>2.5999999999999999E-2</v>
      </c>
      <c r="E60" s="10">
        <f t="shared" si="2"/>
        <v>217397.40707911551</v>
      </c>
      <c r="F60" s="3"/>
      <c r="G60" s="28"/>
      <c r="H60" s="10"/>
      <c r="I60" s="10">
        <f t="shared" si="8"/>
        <v>8056</v>
      </c>
      <c r="J60" s="10">
        <f t="shared" si="6"/>
        <v>69111103951.019669</v>
      </c>
      <c r="K60" s="11">
        <f t="shared" si="7"/>
        <v>2.6000000000000023E-2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8361438.7338121049</v>
      </c>
      <c r="D61" s="11">
        <v>2.5999999999999999E-2</v>
      </c>
      <c r="E61" s="10">
        <f t="shared" si="2"/>
        <v>211888.31099328957</v>
      </c>
      <c r="F61" s="3"/>
      <c r="G61" s="28"/>
      <c r="H61" s="10"/>
      <c r="I61" s="10">
        <f t="shared" si="8"/>
        <v>8056</v>
      </c>
      <c r="J61" s="10">
        <f t="shared" si="6"/>
        <v>67359750439.590317</v>
      </c>
      <c r="K61" s="11">
        <f t="shared" si="7"/>
        <v>2.6000000000000023E-2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8149550.4228188153</v>
      </c>
      <c r="D62" s="11">
        <v>2.5000000000000001E-2</v>
      </c>
      <c r="E62" s="10">
        <f t="shared" si="2"/>
        <v>198769.52250777557</v>
      </c>
      <c r="F62" s="3"/>
      <c r="G62" s="28"/>
      <c r="H62" s="10"/>
      <c r="I62" s="10">
        <f t="shared" si="8"/>
        <v>8056</v>
      </c>
      <c r="J62" s="10">
        <f t="shared" si="6"/>
        <v>65652778206.228378</v>
      </c>
      <c r="K62" s="11">
        <f t="shared" si="7"/>
        <v>2.4999999999999911E-2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7950780.9003110398</v>
      </c>
      <c r="D63" s="11">
        <v>2.5000000000000001E-2</v>
      </c>
      <c r="E63" s="10">
        <f t="shared" si="2"/>
        <v>193921.48537343927</v>
      </c>
      <c r="F63" s="3"/>
      <c r="G63" s="28"/>
      <c r="H63" s="10"/>
      <c r="I63" s="10">
        <f t="shared" si="8"/>
        <v>8056</v>
      </c>
      <c r="J63" s="10">
        <f t="shared" si="6"/>
        <v>64051490932.905739</v>
      </c>
      <c r="K63" s="11">
        <f t="shared" si="7"/>
        <v>2.4999999999999911E-2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7756859.4149376005</v>
      </c>
      <c r="D64" s="11">
        <v>2.4E-2</v>
      </c>
      <c r="E64" s="10">
        <f t="shared" si="2"/>
        <v>181801.39253760036</v>
      </c>
      <c r="F64" s="3"/>
      <c r="G64" s="28"/>
      <c r="H64" s="10"/>
      <c r="I64" s="10">
        <f t="shared" si="8"/>
        <v>8056</v>
      </c>
      <c r="J64" s="10">
        <f t="shared" si="6"/>
        <v>62489259446.737312</v>
      </c>
      <c r="K64" s="11">
        <f t="shared" si="7"/>
        <v>2.4000000000000021E-2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7575058.0224000001</v>
      </c>
      <c r="D65" s="11">
        <v>2.4E-2</v>
      </c>
      <c r="E65" s="10">
        <f t="shared" si="2"/>
        <v>177540.42240000051</v>
      </c>
      <c r="F65" s="3"/>
      <c r="G65" s="28"/>
      <c r="H65" s="10"/>
      <c r="I65" s="10">
        <f t="shared" si="8"/>
        <v>8056</v>
      </c>
      <c r="J65" s="10">
        <f t="shared" si="6"/>
        <v>61024667428.454399</v>
      </c>
      <c r="K65" s="11">
        <f t="shared" si="7"/>
        <v>2.4000000000000021E-2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7397517.5999999996</v>
      </c>
      <c r="D66" s="11">
        <v>2.3E-2</v>
      </c>
      <c r="E66" s="10">
        <f t="shared" si="2"/>
        <v>166317.59999999963</v>
      </c>
      <c r="F66" s="24">
        <f>SUM(F2)</f>
        <v>31491757</v>
      </c>
      <c r="G66" s="28"/>
      <c r="H66" s="10"/>
      <c r="I66" s="10">
        <f t="shared" si="8"/>
        <v>8056</v>
      </c>
      <c r="J66" s="10">
        <f t="shared" ref="J66:J67" si="9">IF(I66="","",I66*C66)</f>
        <v>59594401785.599998</v>
      </c>
      <c r="K66" s="11">
        <f t="shared" ref="K66" si="10">IFERROR(J66/J67-1,"")</f>
        <v>2.2999999999999909E-2</v>
      </c>
    </row>
    <row r="67" spans="1:11" ht="22.5" customHeight="1">
      <c r="A67" s="3">
        <f t="shared" si="0"/>
        <v>1950</v>
      </c>
      <c r="B67" s="3">
        <v>1700</v>
      </c>
      <c r="C67" s="10">
        <v>7231200</v>
      </c>
      <c r="D67" s="11">
        <v>2.1999999999999999E-2</v>
      </c>
      <c r="E67" s="3" t="s">
        <v>72</v>
      </c>
      <c r="F67" s="10">
        <f>SUM(C2)</f>
        <v>31490291.99996132</v>
      </c>
      <c r="G67" s="28"/>
      <c r="H67" s="10"/>
      <c r="I67" s="10">
        <f t="shared" ref="I67" si="11">IF(H67&lt;&gt;"",H67,I66/(1+IF(G66="",0,G66)/100))</f>
        <v>8056</v>
      </c>
      <c r="J67" s="10">
        <f t="shared" si="9"/>
        <v>58254547200</v>
      </c>
      <c r="K67" s="11"/>
    </row>
  </sheetData>
  <dataValidations count="1">
    <dataValidation type="custom" allowBlank="1" showDropDown="1" sqref="D2:D67" xr:uid="{00000000-0002-0000-6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7896970.9998418577</v>
      </c>
      <c r="D2" s="11">
        <v>1.9599999999999999E-2</v>
      </c>
      <c r="E2" s="10">
        <f t="shared" ref="E2:E66" si="2">SUM(C2-C3)</f>
        <v>151805.24872195069</v>
      </c>
      <c r="F2" s="15">
        <v>7898975</v>
      </c>
      <c r="G2" s="28"/>
      <c r="H2" s="10"/>
      <c r="I2" s="10">
        <f>IF(H2&lt;&gt;"",H2,1754)</f>
        <v>1754</v>
      </c>
      <c r="J2" s="10">
        <f t="shared" ref="J2:J33" si="3">IF(I2="","",I2*C2)</f>
        <v>13851287133.722618</v>
      </c>
      <c r="K2" s="11">
        <f t="shared" ref="K2:K33" si="4">IFERROR(J2/J3-1,"")</f>
        <v>1.9600000000000062E-2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7745165.751119907</v>
      </c>
      <c r="D3" s="11">
        <v>2.9899999999999999E-2</v>
      </c>
      <c r="E3" s="10">
        <f t="shared" si="2"/>
        <v>224857.22493298911</v>
      </c>
      <c r="F3" s="3"/>
      <c r="G3" s="28"/>
      <c r="H3" s="10"/>
      <c r="I3" s="10">
        <f t="shared" ref="I3:I34" si="5">IF(H3&lt;&gt;"",H3,I2/(1+IF(G2="",0,G2)/100))</f>
        <v>1754</v>
      </c>
      <c r="J3" s="10">
        <f t="shared" si="3"/>
        <v>13585020727.464317</v>
      </c>
      <c r="K3" s="11">
        <f t="shared" si="4"/>
        <v>2.9900000000000038E-2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7520308.5261869179</v>
      </c>
      <c r="D4" s="11">
        <v>2.2499999999999999E-2</v>
      </c>
      <c r="E4" s="10">
        <f t="shared" si="2"/>
        <v>165483.56170093454</v>
      </c>
      <c r="F4" s="3"/>
      <c r="G4" s="28"/>
      <c r="H4" s="10"/>
      <c r="I4" s="10">
        <f t="shared" si="5"/>
        <v>1754</v>
      </c>
      <c r="J4" s="10">
        <f t="shared" si="3"/>
        <v>13190621154.931854</v>
      </c>
      <c r="K4" s="11">
        <f t="shared" si="4"/>
        <v>2.2499999999999964E-2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7354824.9644859834</v>
      </c>
      <c r="D5" s="11">
        <v>2.7E-2</v>
      </c>
      <c r="E5" s="10">
        <f t="shared" si="2"/>
        <v>193359.5657654535</v>
      </c>
      <c r="F5" s="3"/>
      <c r="G5" s="28"/>
      <c r="H5" s="10"/>
      <c r="I5" s="10">
        <f t="shared" si="5"/>
        <v>1754</v>
      </c>
      <c r="J5" s="10">
        <f t="shared" si="3"/>
        <v>12900362987.708414</v>
      </c>
      <c r="K5" s="11">
        <f t="shared" si="4"/>
        <v>2.6999999999999691E-2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7161465.3987205299</v>
      </c>
      <c r="D6" s="11">
        <v>1.0800000000000001E-2</v>
      </c>
      <c r="E6" s="10">
        <f t="shared" si="2"/>
        <v>76517.437976039946</v>
      </c>
      <c r="F6" s="3"/>
      <c r="G6" s="28"/>
      <c r="H6" s="10"/>
      <c r="I6" s="10">
        <f t="shared" si="5"/>
        <v>1754</v>
      </c>
      <c r="J6" s="10">
        <f t="shared" si="3"/>
        <v>12561210309.35581</v>
      </c>
      <c r="K6" s="11">
        <f t="shared" si="4"/>
        <v>1.0799999999999921E-2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7084947.9607444899</v>
      </c>
      <c r="D7" s="11">
        <v>9.7999999999999997E-3</v>
      </c>
      <c r="E7" s="10">
        <f t="shared" si="2"/>
        <v>68758.655194391496</v>
      </c>
      <c r="F7" s="3"/>
      <c r="G7" s="28"/>
      <c r="H7" s="10"/>
      <c r="I7" s="10">
        <f t="shared" si="5"/>
        <v>1754</v>
      </c>
      <c r="J7" s="10">
        <f t="shared" si="3"/>
        <v>12426998723.145836</v>
      </c>
      <c r="K7" s="11">
        <f t="shared" si="4"/>
        <v>9.800000000000253E-3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7016189.3055500984</v>
      </c>
      <c r="D8" s="11">
        <v>1.35E-2</v>
      </c>
      <c r="E8" s="10">
        <f t="shared" si="2"/>
        <v>93456.887641763315</v>
      </c>
      <c r="F8" s="3"/>
      <c r="G8" s="28"/>
      <c r="H8" s="10"/>
      <c r="I8" s="10">
        <f t="shared" si="5"/>
        <v>1754</v>
      </c>
      <c r="J8" s="10">
        <f t="shared" si="3"/>
        <v>12306396041.934872</v>
      </c>
      <c r="K8" s="11">
        <f t="shared" si="4"/>
        <v>1.3500000000000068E-2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6922732.4179083351</v>
      </c>
      <c r="D9" s="11">
        <v>1.66E-2</v>
      </c>
      <c r="E9" s="10">
        <f t="shared" si="2"/>
        <v>113040.879536964</v>
      </c>
      <c r="F9" s="3"/>
      <c r="G9" s="28"/>
      <c r="H9" s="10"/>
      <c r="I9" s="10">
        <f t="shared" si="5"/>
        <v>1754</v>
      </c>
      <c r="J9" s="10">
        <f t="shared" si="3"/>
        <v>12142472661.011219</v>
      </c>
      <c r="K9" s="11">
        <f t="shared" si="4"/>
        <v>1.6599999999999948E-2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6809691.5383713711</v>
      </c>
      <c r="D10" s="11">
        <v>1.9400000000000001E-2</v>
      </c>
      <c r="E10" s="10">
        <f t="shared" si="2"/>
        <v>129593.89429508056</v>
      </c>
      <c r="F10" s="3"/>
      <c r="G10" s="28"/>
      <c r="H10" s="10"/>
      <c r="I10" s="10">
        <f t="shared" si="5"/>
        <v>1754</v>
      </c>
      <c r="J10" s="10">
        <f t="shared" si="3"/>
        <v>11944198958.303385</v>
      </c>
      <c r="K10" s="11">
        <f t="shared" si="4"/>
        <v>1.9400000000000084E-2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6680097.6440762905</v>
      </c>
      <c r="D11" s="11">
        <v>1.55E-2</v>
      </c>
      <c r="E11" s="10">
        <f t="shared" si="2"/>
        <v>101961.11618235614</v>
      </c>
      <c r="F11" s="3"/>
      <c r="G11" s="28"/>
      <c r="H11" s="10"/>
      <c r="I11" s="10">
        <f t="shared" si="5"/>
        <v>1754</v>
      </c>
      <c r="J11" s="10">
        <f t="shared" si="3"/>
        <v>11716891267.709814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6578136.5278939344</v>
      </c>
      <c r="D12" s="11">
        <v>1.6199999999999999E-2</v>
      </c>
      <c r="E12" s="10">
        <f t="shared" si="2"/>
        <v>104866.96688829176</v>
      </c>
      <c r="F12" s="3"/>
      <c r="G12" s="28"/>
      <c r="H12" s="10"/>
      <c r="I12" s="10">
        <f t="shared" si="5"/>
        <v>1754</v>
      </c>
      <c r="J12" s="10">
        <f t="shared" si="3"/>
        <v>11538051469.925961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6473269.5610056426</v>
      </c>
      <c r="D13" s="11">
        <v>1.38E-2</v>
      </c>
      <c r="E13" s="10">
        <f t="shared" si="2"/>
        <v>88115.131132253446</v>
      </c>
      <c r="F13" s="3"/>
      <c r="G13" s="28"/>
      <c r="H13" s="10"/>
      <c r="I13" s="10">
        <f t="shared" si="5"/>
        <v>1754</v>
      </c>
      <c r="J13" s="10">
        <f t="shared" si="3"/>
        <v>11354114810.003897</v>
      </c>
      <c r="K13" s="11">
        <f t="shared" si="4"/>
        <v>1.3800000000000034E-2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6385154.4298733892</v>
      </c>
      <c r="D14" s="11">
        <v>1.3899999999999999E-2</v>
      </c>
      <c r="E14" s="10">
        <f t="shared" si="2"/>
        <v>87536.883889180608</v>
      </c>
      <c r="F14" s="3"/>
      <c r="G14" s="28"/>
      <c r="H14" s="10"/>
      <c r="I14" s="10">
        <f t="shared" si="5"/>
        <v>1754</v>
      </c>
      <c r="J14" s="10">
        <f t="shared" si="3"/>
        <v>11199560869.997925</v>
      </c>
      <c r="K14" s="11">
        <f t="shared" si="4"/>
        <v>1.3900000000000023E-2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6297617.5459842086</v>
      </c>
      <c r="D15" s="11">
        <v>1.66E-2</v>
      </c>
      <c r="E15" s="10">
        <f t="shared" si="2"/>
        <v>102833.41654863022</v>
      </c>
      <c r="F15" s="3"/>
      <c r="G15" s="28"/>
      <c r="H15" s="10"/>
      <c r="I15" s="10">
        <f t="shared" si="5"/>
        <v>1754</v>
      </c>
      <c r="J15" s="10">
        <f t="shared" si="3"/>
        <v>11046021175.656301</v>
      </c>
      <c r="K15" s="11">
        <f t="shared" si="4"/>
        <v>1.6599999999999948E-2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6194784.1294355784</v>
      </c>
      <c r="D16" s="11">
        <v>1.7299999999999999E-2</v>
      </c>
      <c r="E16" s="10">
        <f t="shared" si="2"/>
        <v>105347.25787794776</v>
      </c>
      <c r="F16" s="3"/>
      <c r="G16" s="28"/>
      <c r="H16" s="10"/>
      <c r="I16" s="10">
        <f t="shared" si="5"/>
        <v>1754</v>
      </c>
      <c r="J16" s="10">
        <f t="shared" si="3"/>
        <v>10865651363.030005</v>
      </c>
      <c r="K16" s="11">
        <f t="shared" si="4"/>
        <v>1.7300000000000093E-2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6089436.8715576306</v>
      </c>
      <c r="D17" s="11">
        <v>1.7500000000000002E-2</v>
      </c>
      <c r="E17" s="10">
        <f t="shared" si="2"/>
        <v>104732.32948624995</v>
      </c>
      <c r="F17" s="3"/>
      <c r="G17" s="28"/>
      <c r="H17" s="10"/>
      <c r="I17" s="10">
        <f t="shared" si="5"/>
        <v>1754</v>
      </c>
      <c r="J17" s="10">
        <f t="shared" si="3"/>
        <v>10680872272.712084</v>
      </c>
      <c r="K17" s="11">
        <f t="shared" si="4"/>
        <v>1.7500000000000071E-2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5984704.5420713807</v>
      </c>
      <c r="D18" s="11">
        <v>1.7600000000000001E-2</v>
      </c>
      <c r="E18" s="10">
        <f t="shared" si="2"/>
        <v>103509.04082199</v>
      </c>
      <c r="F18" s="3"/>
      <c r="G18" s="28"/>
      <c r="H18" s="10"/>
      <c r="I18" s="10">
        <f t="shared" si="5"/>
        <v>1754</v>
      </c>
      <c r="J18" s="10">
        <f t="shared" si="3"/>
        <v>10497171766.793201</v>
      </c>
      <c r="K18" s="11">
        <f t="shared" si="4"/>
        <v>1.760000000000006E-2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5881195.5012493907</v>
      </c>
      <c r="D19" s="11">
        <v>1.8100000000000002E-2</v>
      </c>
      <c r="E19" s="10">
        <f t="shared" si="2"/>
        <v>104557.15408369899</v>
      </c>
      <c r="F19" s="3"/>
      <c r="G19" s="28"/>
      <c r="H19" s="10"/>
      <c r="I19" s="10">
        <f t="shared" si="5"/>
        <v>1754</v>
      </c>
      <c r="J19" s="10">
        <f t="shared" si="3"/>
        <v>10315616909.191431</v>
      </c>
      <c r="K19" s="11">
        <f t="shared" si="4"/>
        <v>1.8100000000000005E-2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5776638.3471656917</v>
      </c>
      <c r="D20" s="11">
        <v>1.8499999999999999E-2</v>
      </c>
      <c r="E20" s="10">
        <f t="shared" si="2"/>
        <v>104926.66609972063</v>
      </c>
      <c r="F20" s="3"/>
      <c r="G20" s="28"/>
      <c r="H20" s="10"/>
      <c r="I20" s="10">
        <f t="shared" si="5"/>
        <v>1754</v>
      </c>
      <c r="J20" s="10">
        <f t="shared" si="3"/>
        <v>10132223660.928623</v>
      </c>
      <c r="K20" s="11">
        <f t="shared" si="4"/>
        <v>1.8499999999999961E-2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5671711.681065971</v>
      </c>
      <c r="D21" s="11">
        <v>1.8100000000000002E-2</v>
      </c>
      <c r="E21" s="10">
        <f t="shared" si="2"/>
        <v>100832.90583173931</v>
      </c>
      <c r="F21" s="3"/>
      <c r="G21" s="28"/>
      <c r="H21" s="10"/>
      <c r="I21" s="10">
        <f t="shared" si="5"/>
        <v>1754</v>
      </c>
      <c r="J21" s="10">
        <f t="shared" si="3"/>
        <v>9948182288.5897141</v>
      </c>
      <c r="K21" s="11">
        <f t="shared" si="4"/>
        <v>1.8100000000000005E-2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5570878.7752342317</v>
      </c>
      <c r="D22" s="11">
        <v>1.7899999999999999E-2</v>
      </c>
      <c r="E22" s="10">
        <f t="shared" si="2"/>
        <v>97965.153823256493</v>
      </c>
      <c r="F22" s="3"/>
      <c r="G22" s="28"/>
      <c r="H22" s="10"/>
      <c r="I22" s="10">
        <f t="shared" si="5"/>
        <v>1754</v>
      </c>
      <c r="J22" s="10">
        <f t="shared" si="3"/>
        <v>9771321371.7608433</v>
      </c>
      <c r="K22" s="11">
        <f t="shared" si="4"/>
        <v>1.7900000000000027E-2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5472913.6214109752</v>
      </c>
      <c r="D23" s="11">
        <v>1.9400000000000001E-2</v>
      </c>
      <c r="E23" s="10">
        <f t="shared" si="2"/>
        <v>104153.9378608726</v>
      </c>
      <c r="F23" s="3"/>
      <c r="G23" s="28"/>
      <c r="H23" s="10"/>
      <c r="I23" s="10">
        <f t="shared" si="5"/>
        <v>1754</v>
      </c>
      <c r="J23" s="10">
        <f t="shared" si="3"/>
        <v>9599490491.9548512</v>
      </c>
      <c r="K23" s="11">
        <f t="shared" si="4"/>
        <v>1.9400000000000084E-2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5368759.6835501026</v>
      </c>
      <c r="D24" s="11">
        <v>2.12E-2</v>
      </c>
      <c r="E24" s="10">
        <f t="shared" si="2"/>
        <v>111454.86221236084</v>
      </c>
      <c r="F24" s="3"/>
      <c r="G24" s="28"/>
      <c r="H24" s="10"/>
      <c r="I24" s="10">
        <f t="shared" si="5"/>
        <v>1754</v>
      </c>
      <c r="J24" s="10">
        <f t="shared" si="3"/>
        <v>9416804484.9468803</v>
      </c>
      <c r="K24" s="11">
        <f t="shared" si="4"/>
        <v>2.1200000000000108E-2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5257304.8213377418</v>
      </c>
      <c r="D25" s="11">
        <v>2.0299999999999999E-2</v>
      </c>
      <c r="E25" s="10">
        <f t="shared" si="2"/>
        <v>104599.90970612224</v>
      </c>
      <c r="F25" s="3"/>
      <c r="G25" s="28"/>
      <c r="H25" s="10"/>
      <c r="I25" s="10">
        <f t="shared" si="5"/>
        <v>1754</v>
      </c>
      <c r="J25" s="10">
        <f t="shared" si="3"/>
        <v>9221312656.6264</v>
      </c>
      <c r="K25" s="11">
        <f t="shared" si="4"/>
        <v>2.0299999999999985E-2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5152704.9116316196</v>
      </c>
      <c r="D26" s="11">
        <v>1.9599999999999999E-2</v>
      </c>
      <c r="E26" s="10">
        <f t="shared" si="2"/>
        <v>99051.604813632555</v>
      </c>
      <c r="F26" s="3"/>
      <c r="G26" s="28"/>
      <c r="H26" s="10"/>
      <c r="I26" s="10">
        <f t="shared" si="5"/>
        <v>1754</v>
      </c>
      <c r="J26" s="10">
        <f t="shared" si="3"/>
        <v>9037844415.0018616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5053653.306817987</v>
      </c>
      <c r="D27" s="11">
        <v>2.0199999999999999E-2</v>
      </c>
      <c r="E27" s="10">
        <f t="shared" si="2"/>
        <v>100062.53361862712</v>
      </c>
      <c r="F27" s="3"/>
      <c r="G27" s="28"/>
      <c r="H27" s="10"/>
      <c r="I27" s="10">
        <f t="shared" si="5"/>
        <v>1754</v>
      </c>
      <c r="J27" s="10">
        <f t="shared" si="3"/>
        <v>8864107900.1587486</v>
      </c>
      <c r="K27" s="11">
        <f t="shared" si="4"/>
        <v>2.0199999999999996E-2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4953590.7731993599</v>
      </c>
      <c r="D28" s="11">
        <v>2.0199999999999999E-2</v>
      </c>
      <c r="E28" s="10">
        <f t="shared" si="2"/>
        <v>98081.291529726237</v>
      </c>
      <c r="F28" s="3"/>
      <c r="G28" s="28"/>
      <c r="H28" s="10"/>
      <c r="I28" s="10">
        <f t="shared" si="5"/>
        <v>1754</v>
      </c>
      <c r="J28" s="10">
        <f t="shared" si="3"/>
        <v>8688598216.1916771</v>
      </c>
      <c r="K28" s="11">
        <f t="shared" si="4"/>
        <v>2.0199999999999996E-2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4855509.4816696336</v>
      </c>
      <c r="D29" s="11">
        <v>2.5499999999999998E-2</v>
      </c>
      <c r="E29" s="10">
        <f t="shared" si="2"/>
        <v>120736.70578505751</v>
      </c>
      <c r="F29" s="3"/>
      <c r="G29" s="28"/>
      <c r="H29" s="10"/>
      <c r="I29" s="10">
        <f t="shared" si="5"/>
        <v>1754</v>
      </c>
      <c r="J29" s="10">
        <f t="shared" si="3"/>
        <v>8516563630.8485374</v>
      </c>
      <c r="K29" s="11">
        <f t="shared" si="4"/>
        <v>2.5500000000000078E-2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4734772.7758845761</v>
      </c>
      <c r="D30" s="11">
        <v>2.5499999999999998E-2</v>
      </c>
      <c r="E30" s="10">
        <f t="shared" si="2"/>
        <v>117734.47663096711</v>
      </c>
      <c r="F30" s="3"/>
      <c r="G30" s="28"/>
      <c r="H30" s="10"/>
      <c r="I30" s="10">
        <f t="shared" si="5"/>
        <v>1754</v>
      </c>
      <c r="J30" s="10">
        <f t="shared" si="3"/>
        <v>8304791448.9015465</v>
      </c>
      <c r="K30" s="11">
        <f t="shared" si="4"/>
        <v>2.5500000000000078E-2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4617038.299253609</v>
      </c>
      <c r="D31" s="11">
        <v>2.0299999999999999E-2</v>
      </c>
      <c r="E31" s="10">
        <f t="shared" si="2"/>
        <v>91861.097201654688</v>
      </c>
      <c r="F31" s="3"/>
      <c r="G31" s="28"/>
      <c r="H31" s="10"/>
      <c r="I31" s="10">
        <f t="shared" si="5"/>
        <v>1754</v>
      </c>
      <c r="J31" s="10">
        <f t="shared" si="3"/>
        <v>8098285176.89083</v>
      </c>
      <c r="K31" s="11">
        <f t="shared" si="4"/>
        <v>2.0299999999999985E-2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4525177.2020519543</v>
      </c>
      <c r="D32" s="11">
        <v>1.8499999999999999E-2</v>
      </c>
      <c r="E32" s="10">
        <f t="shared" si="2"/>
        <v>82195.167636682279</v>
      </c>
      <c r="F32" s="3"/>
      <c r="G32" s="28"/>
      <c r="H32" s="10"/>
      <c r="I32" s="10">
        <f t="shared" si="5"/>
        <v>1754</v>
      </c>
      <c r="J32" s="10">
        <f t="shared" si="3"/>
        <v>7937160812.399128</v>
      </c>
      <c r="K32" s="11">
        <f t="shared" si="4"/>
        <v>1.8499999999999961E-2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4442982.0344152721</v>
      </c>
      <c r="D33" s="11">
        <v>1.2999999999999999E-2</v>
      </c>
      <c r="E33" s="10">
        <f t="shared" si="2"/>
        <v>57017.538447579369</v>
      </c>
      <c r="F33" s="3"/>
      <c r="G33" s="28"/>
      <c r="H33" s="10"/>
      <c r="I33" s="10">
        <f t="shared" si="5"/>
        <v>1754</v>
      </c>
      <c r="J33" s="10">
        <f t="shared" si="3"/>
        <v>7792990488.3643875</v>
      </c>
      <c r="K33" s="11">
        <f t="shared" si="4"/>
        <v>1.2999999999999901E-2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4385964.4959676927</v>
      </c>
      <c r="D34" s="11">
        <v>1.52E-2</v>
      </c>
      <c r="E34" s="10">
        <f t="shared" si="2"/>
        <v>65668.499151605181</v>
      </c>
      <c r="F34" s="3"/>
      <c r="G34" s="28"/>
      <c r="H34" s="10"/>
      <c r="I34" s="10">
        <f t="shared" si="5"/>
        <v>1754</v>
      </c>
      <c r="J34" s="10">
        <f t="shared" ref="J34:J65" si="6">IF(I34="","",I34*C34)</f>
        <v>7692981725.9273329</v>
      </c>
      <c r="K34" s="11">
        <f t="shared" ref="K34:K65" si="7">IFERROR(J34/J35-1,"")</f>
        <v>1.5200000000000102E-2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4320295.9968160875</v>
      </c>
      <c r="D35" s="11">
        <v>2.1600000000000001E-2</v>
      </c>
      <c r="E35" s="10">
        <f t="shared" si="2"/>
        <v>91345.334310129285</v>
      </c>
      <c r="F35" s="3"/>
      <c r="G35" s="28"/>
      <c r="H35" s="10"/>
      <c r="I35" s="10">
        <f t="shared" ref="I35:I66" si="8">IF(H35&lt;&gt;"",H35,I34/(1+IF(G34="",0,G34)/100))</f>
        <v>1754</v>
      </c>
      <c r="J35" s="10">
        <f t="shared" si="6"/>
        <v>7577799178.4154177</v>
      </c>
      <c r="K35" s="11">
        <f t="shared" si="7"/>
        <v>2.1600000000000064E-2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4228950.6625059582</v>
      </c>
      <c r="D36" s="11">
        <v>2.1299999999999999E-2</v>
      </c>
      <c r="E36" s="10">
        <f t="shared" si="2"/>
        <v>88198.031050012447</v>
      </c>
      <c r="F36" s="3"/>
      <c r="G36" s="28"/>
      <c r="H36" s="10"/>
      <c r="I36" s="10">
        <f t="shared" si="8"/>
        <v>1754</v>
      </c>
      <c r="J36" s="10">
        <f t="shared" si="6"/>
        <v>7417579462.0354509</v>
      </c>
      <c r="K36" s="11">
        <f t="shared" si="7"/>
        <v>2.1300000000000319E-2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4140752.6314559458</v>
      </c>
      <c r="D37" s="11">
        <v>2.1000000000000001E-2</v>
      </c>
      <c r="E37" s="10">
        <f t="shared" si="2"/>
        <v>85167.292125930078</v>
      </c>
      <c r="F37" s="3"/>
      <c r="G37" s="28"/>
      <c r="H37" s="10"/>
      <c r="I37" s="10">
        <f t="shared" si="8"/>
        <v>1754</v>
      </c>
      <c r="J37" s="10">
        <f t="shared" si="6"/>
        <v>7262880115.5737286</v>
      </c>
      <c r="K37" s="11">
        <f t="shared" si="7"/>
        <v>2.0999999999999908E-2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4055585.3393300157</v>
      </c>
      <c r="D38" s="11">
        <v>2.1700000000000001E-2</v>
      </c>
      <c r="E38" s="10">
        <f t="shared" si="2"/>
        <v>86137.0283483034</v>
      </c>
      <c r="F38" s="3"/>
      <c r="G38" s="28"/>
      <c r="H38" s="10"/>
      <c r="I38" s="10">
        <f t="shared" si="8"/>
        <v>1754</v>
      </c>
      <c r="J38" s="10">
        <f t="shared" si="6"/>
        <v>7113496685.1848478</v>
      </c>
      <c r="K38" s="11">
        <f t="shared" si="7"/>
        <v>2.1700000000000053E-2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3969448.3109817123</v>
      </c>
      <c r="D39" s="11">
        <v>1.2999999999999999E-2</v>
      </c>
      <c r="E39" s="10">
        <f t="shared" si="2"/>
        <v>50940.600239646621</v>
      </c>
      <c r="F39" s="3"/>
      <c r="G39" s="28"/>
      <c r="H39" s="10"/>
      <c r="I39" s="10">
        <f t="shared" si="8"/>
        <v>1754</v>
      </c>
      <c r="J39" s="10">
        <f t="shared" si="6"/>
        <v>6962412337.4619236</v>
      </c>
      <c r="K39" s="11">
        <f t="shared" si="7"/>
        <v>1.2999999999999901E-2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3918507.7107420657</v>
      </c>
      <c r="D40" s="11">
        <v>1.23E-2</v>
      </c>
      <c r="E40" s="10">
        <f t="shared" si="2"/>
        <v>47612.017032626085</v>
      </c>
      <c r="F40" s="3"/>
      <c r="G40" s="28"/>
      <c r="H40" s="10"/>
      <c r="I40" s="10">
        <f t="shared" si="8"/>
        <v>1754</v>
      </c>
      <c r="J40" s="10">
        <f t="shared" si="6"/>
        <v>6873062524.6415834</v>
      </c>
      <c r="K40" s="11">
        <f t="shared" si="7"/>
        <v>1.2299999999999978E-2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3870895.6937094396</v>
      </c>
      <c r="D41" s="11">
        <v>2.18E-2</v>
      </c>
      <c r="E41" s="10">
        <f t="shared" si="2"/>
        <v>82585.169429306872</v>
      </c>
      <c r="F41" s="3"/>
      <c r="G41" s="28"/>
      <c r="H41" s="10"/>
      <c r="I41" s="10">
        <f t="shared" si="8"/>
        <v>1754</v>
      </c>
      <c r="J41" s="10">
        <f t="shared" si="6"/>
        <v>6789551046.7663574</v>
      </c>
      <c r="K41" s="11">
        <f t="shared" si="7"/>
        <v>2.1800000000000042E-2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3788310.5242801327</v>
      </c>
      <c r="D42" s="11">
        <v>2.3900000000000001E-2</v>
      </c>
      <c r="E42" s="10">
        <f t="shared" si="2"/>
        <v>88427.211183021311</v>
      </c>
      <c r="F42" s="3"/>
      <c r="G42" s="28"/>
      <c r="H42" s="10"/>
      <c r="I42" s="10">
        <f t="shared" si="8"/>
        <v>1754</v>
      </c>
      <c r="J42" s="10">
        <f t="shared" si="6"/>
        <v>6644696659.5873528</v>
      </c>
      <c r="K42" s="11">
        <f t="shared" si="7"/>
        <v>2.3900000000000032E-2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3699883.3130971114</v>
      </c>
      <c r="D43" s="11">
        <v>2.4899999999999999E-2</v>
      </c>
      <c r="E43" s="10">
        <f t="shared" si="2"/>
        <v>89888.861836391501</v>
      </c>
      <c r="F43" s="3"/>
      <c r="G43" s="28"/>
      <c r="H43" s="10"/>
      <c r="I43" s="10">
        <f t="shared" si="8"/>
        <v>1754</v>
      </c>
      <c r="J43" s="10">
        <f t="shared" si="6"/>
        <v>6489595331.1723337</v>
      </c>
      <c r="K43" s="11">
        <f t="shared" si="7"/>
        <v>2.4899999999999922E-2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3609994.4512607199</v>
      </c>
      <c r="D44" s="11">
        <v>2.5600000000000001E-2</v>
      </c>
      <c r="E44" s="10">
        <f t="shared" si="2"/>
        <v>90109.065866102464</v>
      </c>
      <c r="F44" s="3"/>
      <c r="G44" s="28"/>
      <c r="H44" s="10"/>
      <c r="I44" s="10">
        <f t="shared" si="8"/>
        <v>1754</v>
      </c>
      <c r="J44" s="10">
        <f t="shared" si="6"/>
        <v>6331930267.5113029</v>
      </c>
      <c r="K44" s="11">
        <f t="shared" si="7"/>
        <v>2.5600000000000067E-2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3519885.3853946174</v>
      </c>
      <c r="D45" s="11">
        <v>2.4899999999999999E-2</v>
      </c>
      <c r="E45" s="10">
        <f t="shared" si="2"/>
        <v>85515.802611304447</v>
      </c>
      <c r="F45" s="3"/>
      <c r="G45" s="28"/>
      <c r="H45" s="10"/>
      <c r="I45" s="10">
        <f t="shared" si="8"/>
        <v>1754</v>
      </c>
      <c r="J45" s="10">
        <f t="shared" si="6"/>
        <v>6173878965.9821587</v>
      </c>
      <c r="K45" s="11">
        <f t="shared" si="7"/>
        <v>2.4899999999999922E-2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3434369.582783313</v>
      </c>
      <c r="D46" s="11">
        <v>2.46E-2</v>
      </c>
      <c r="E46" s="10">
        <f t="shared" si="2"/>
        <v>82457.048347129952</v>
      </c>
      <c r="F46" s="3"/>
      <c r="G46" s="28"/>
      <c r="H46" s="10"/>
      <c r="I46" s="10">
        <f t="shared" si="8"/>
        <v>1754</v>
      </c>
      <c r="J46" s="10">
        <f t="shared" si="6"/>
        <v>6023884248.201931</v>
      </c>
      <c r="K46" s="11">
        <f t="shared" si="7"/>
        <v>2.4599999999999955E-2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3351912.5344361831</v>
      </c>
      <c r="D47" s="11">
        <v>2.69E-2</v>
      </c>
      <c r="E47" s="10">
        <f t="shared" si="2"/>
        <v>87804.505965851713</v>
      </c>
      <c r="F47" s="3"/>
      <c r="G47" s="28"/>
      <c r="H47" s="10"/>
      <c r="I47" s="10">
        <f t="shared" si="8"/>
        <v>1754</v>
      </c>
      <c r="J47" s="10">
        <f t="shared" si="6"/>
        <v>5879254585.4010649</v>
      </c>
      <c r="K47" s="11">
        <f t="shared" si="7"/>
        <v>2.6899999999999924E-2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3264108.0284703313</v>
      </c>
      <c r="D48" s="11">
        <v>2.6700000000000002E-2</v>
      </c>
      <c r="E48" s="10">
        <f t="shared" si="2"/>
        <v>84885.248232353944</v>
      </c>
      <c r="F48" s="3"/>
      <c r="G48" s="28"/>
      <c r="H48" s="10"/>
      <c r="I48" s="10">
        <f t="shared" si="8"/>
        <v>1754</v>
      </c>
      <c r="J48" s="10">
        <f t="shared" si="6"/>
        <v>5725245481.9369612</v>
      </c>
      <c r="K48" s="11">
        <f t="shared" si="7"/>
        <v>2.6699999999999946E-2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3179222.7802379774</v>
      </c>
      <c r="D49" s="11">
        <v>2.69E-2</v>
      </c>
      <c r="E49" s="10">
        <f t="shared" si="2"/>
        <v>83280.838239752222</v>
      </c>
      <c r="F49" s="3"/>
      <c r="G49" s="28"/>
      <c r="H49" s="10"/>
      <c r="I49" s="10">
        <f t="shared" si="8"/>
        <v>1754</v>
      </c>
      <c r="J49" s="10">
        <f t="shared" si="6"/>
        <v>5576356756.5374126</v>
      </c>
      <c r="K49" s="11">
        <f t="shared" si="7"/>
        <v>2.6900000000000146E-2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3095941.9419982252</v>
      </c>
      <c r="D50" s="11">
        <v>2.81E-2</v>
      </c>
      <c r="E50" s="10">
        <f t="shared" si="2"/>
        <v>84618.197228042409</v>
      </c>
      <c r="F50" s="3"/>
      <c r="G50" s="28"/>
      <c r="H50" s="10"/>
      <c r="I50" s="10">
        <f t="shared" si="8"/>
        <v>1754</v>
      </c>
      <c r="J50" s="10">
        <f t="shared" si="6"/>
        <v>5430282166.2648869</v>
      </c>
      <c r="K50" s="11">
        <f t="shared" si="7"/>
        <v>2.8100000000000014E-2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3011323.7447701828</v>
      </c>
      <c r="D51" s="11">
        <v>2.8299999999999999E-2</v>
      </c>
      <c r="E51" s="10">
        <f t="shared" si="2"/>
        <v>82875.09673927445</v>
      </c>
      <c r="F51" s="3"/>
      <c r="G51" s="28"/>
      <c r="H51" s="10"/>
      <c r="I51" s="10">
        <f t="shared" si="8"/>
        <v>1754</v>
      </c>
      <c r="J51" s="10">
        <f t="shared" si="6"/>
        <v>5281861848.3269005</v>
      </c>
      <c r="K51" s="11">
        <f t="shared" si="7"/>
        <v>2.829999999999977E-2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2928448.6480309083</v>
      </c>
      <c r="D52" s="11">
        <v>3.0099999999999998E-2</v>
      </c>
      <c r="E52" s="10">
        <f t="shared" si="2"/>
        <v>85570.628391156439</v>
      </c>
      <c r="F52" s="3"/>
      <c r="G52" s="28"/>
      <c r="H52" s="10"/>
      <c r="I52" s="10">
        <f t="shared" si="8"/>
        <v>1754</v>
      </c>
      <c r="J52" s="10">
        <f t="shared" si="6"/>
        <v>5136498928.6462135</v>
      </c>
      <c r="K52" s="11">
        <f t="shared" si="7"/>
        <v>3.0100000000000016E-2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2842878.0196397519</v>
      </c>
      <c r="D53" s="11">
        <v>3.1300000000000001E-2</v>
      </c>
      <c r="E53" s="10">
        <f t="shared" si="2"/>
        <v>86281.47194291139</v>
      </c>
      <c r="F53" s="3"/>
      <c r="G53" s="28"/>
      <c r="H53" s="10"/>
      <c r="I53" s="10">
        <f t="shared" si="8"/>
        <v>1754</v>
      </c>
      <c r="J53" s="10">
        <f t="shared" si="6"/>
        <v>4986408046.4481249</v>
      </c>
      <c r="K53" s="11">
        <f t="shared" si="7"/>
        <v>3.1300000000000106E-2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2756596.5476968405</v>
      </c>
      <c r="D54" s="11">
        <v>3.1699999999999999E-2</v>
      </c>
      <c r="E54" s="10">
        <f t="shared" si="2"/>
        <v>84699.147583590355</v>
      </c>
      <c r="F54" s="3"/>
      <c r="G54" s="28"/>
      <c r="H54" s="10"/>
      <c r="I54" s="10">
        <f t="shared" si="8"/>
        <v>1754</v>
      </c>
      <c r="J54" s="10">
        <f t="shared" si="6"/>
        <v>4835070344.6602583</v>
      </c>
      <c r="K54" s="11">
        <f t="shared" si="7"/>
        <v>3.1700000000000284E-2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2671897.4001132501</v>
      </c>
      <c r="D55" s="11">
        <v>3.0599999999999999E-2</v>
      </c>
      <c r="E55" s="10">
        <f t="shared" si="2"/>
        <v>79332.486360824201</v>
      </c>
      <c r="F55" s="3"/>
      <c r="G55" s="28"/>
      <c r="H55" s="10"/>
      <c r="I55" s="10">
        <f t="shared" si="8"/>
        <v>1754</v>
      </c>
      <c r="J55" s="10">
        <f t="shared" si="6"/>
        <v>4686508039.7986403</v>
      </c>
      <c r="K55" s="11">
        <f t="shared" si="7"/>
        <v>3.0599999999999961E-2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2592564.9137524259</v>
      </c>
      <c r="D56" s="11">
        <v>0.03</v>
      </c>
      <c r="E56" s="10">
        <f t="shared" si="2"/>
        <v>75511.599429682363</v>
      </c>
      <c r="F56" s="3"/>
      <c r="G56" s="28"/>
      <c r="H56" s="10"/>
      <c r="I56" s="10">
        <f t="shared" si="8"/>
        <v>1754</v>
      </c>
      <c r="J56" s="10">
        <f t="shared" si="6"/>
        <v>4547358858.721755</v>
      </c>
      <c r="K56" s="11">
        <f t="shared" si="7"/>
        <v>3.0000000000000027E-2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2517053.3143227436</v>
      </c>
      <c r="D57" s="11">
        <v>2.8000000000000001E-2</v>
      </c>
      <c r="E57" s="10">
        <f t="shared" si="2"/>
        <v>68557.872374549508</v>
      </c>
      <c r="F57" s="3"/>
      <c r="G57" s="28"/>
      <c r="H57" s="10"/>
      <c r="I57" s="10">
        <f t="shared" si="8"/>
        <v>1754</v>
      </c>
      <c r="J57" s="10">
        <f t="shared" si="6"/>
        <v>4414911513.3220921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2448495.4419481941</v>
      </c>
      <c r="D58" s="11">
        <v>2.5000000000000001E-2</v>
      </c>
      <c r="E58" s="10">
        <f t="shared" si="2"/>
        <v>59719.401023126673</v>
      </c>
      <c r="F58" s="3"/>
      <c r="G58" s="28"/>
      <c r="H58" s="10"/>
      <c r="I58" s="10">
        <f t="shared" si="8"/>
        <v>1754</v>
      </c>
      <c r="J58" s="10">
        <f t="shared" si="6"/>
        <v>4294661005.1771326</v>
      </c>
      <c r="K58" s="11">
        <f t="shared" si="7"/>
        <v>2.5000000000000133E-2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2388776.0409250674</v>
      </c>
      <c r="D59" s="11">
        <v>2.9000000000000001E-2</v>
      </c>
      <c r="E59" s="10">
        <f t="shared" si="2"/>
        <v>67322.162475050427</v>
      </c>
      <c r="F59" s="3"/>
      <c r="G59" s="28"/>
      <c r="H59" s="10"/>
      <c r="I59" s="10">
        <f t="shared" si="8"/>
        <v>1754</v>
      </c>
      <c r="J59" s="10">
        <f t="shared" si="6"/>
        <v>4189913175.782568</v>
      </c>
      <c r="K59" s="11">
        <f t="shared" si="7"/>
        <v>2.8999999999999915E-2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2321453.878450017</v>
      </c>
      <c r="D60" s="11">
        <v>2.9000000000000001E-2</v>
      </c>
      <c r="E60" s="10">
        <f t="shared" si="2"/>
        <v>65424.842055442277</v>
      </c>
      <c r="F60" s="3"/>
      <c r="G60" s="28"/>
      <c r="H60" s="10"/>
      <c r="I60" s="10">
        <f t="shared" si="8"/>
        <v>1754</v>
      </c>
      <c r="J60" s="10">
        <f t="shared" si="6"/>
        <v>4071830102.8013296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2256029.0363945747</v>
      </c>
      <c r="D61" s="11">
        <v>2.8000000000000001E-2</v>
      </c>
      <c r="E61" s="10">
        <f t="shared" si="2"/>
        <v>61448.261691681109</v>
      </c>
      <c r="F61" s="3"/>
      <c r="G61" s="28"/>
      <c r="H61" s="10"/>
      <c r="I61" s="10">
        <f t="shared" si="8"/>
        <v>1754</v>
      </c>
      <c r="J61" s="10">
        <f t="shared" si="6"/>
        <v>3957074929.8360839</v>
      </c>
      <c r="K61" s="11">
        <f t="shared" si="7"/>
        <v>2.8000000000000025E-2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2194580.7747028936</v>
      </c>
      <c r="D62" s="11">
        <v>2.7E-2</v>
      </c>
      <c r="E62" s="10">
        <f t="shared" si="2"/>
        <v>57695.891837369185</v>
      </c>
      <c r="F62" s="3"/>
      <c r="G62" s="28"/>
      <c r="H62" s="10"/>
      <c r="I62" s="10">
        <f t="shared" si="8"/>
        <v>1754</v>
      </c>
      <c r="J62" s="10">
        <f t="shared" si="6"/>
        <v>3849294678.8288755</v>
      </c>
      <c r="K62" s="11">
        <f t="shared" si="7"/>
        <v>2.7000000000000135E-2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2136884.8828655244</v>
      </c>
      <c r="D63" s="11">
        <v>2.7E-2</v>
      </c>
      <c r="E63" s="10">
        <f t="shared" si="2"/>
        <v>56179.05729052471</v>
      </c>
      <c r="F63" s="3"/>
      <c r="G63" s="28"/>
      <c r="H63" s="10"/>
      <c r="I63" s="10">
        <f t="shared" si="8"/>
        <v>1754</v>
      </c>
      <c r="J63" s="10">
        <f t="shared" si="6"/>
        <v>3748096084.5461297</v>
      </c>
      <c r="K63" s="11">
        <f t="shared" si="7"/>
        <v>2.6999999999999913E-2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2080705.8255749997</v>
      </c>
      <c r="D64" s="11">
        <v>2.7E-2</v>
      </c>
      <c r="E64" s="10">
        <f t="shared" si="2"/>
        <v>54702.100574999815</v>
      </c>
      <c r="F64" s="3"/>
      <c r="G64" s="28"/>
      <c r="H64" s="10"/>
      <c r="I64" s="10">
        <f t="shared" si="8"/>
        <v>1754</v>
      </c>
      <c r="J64" s="10">
        <f t="shared" si="6"/>
        <v>3649558018.0585494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2026003.7249999999</v>
      </c>
      <c r="D65" s="11">
        <v>2.5999999999999999E-2</v>
      </c>
      <c r="E65" s="10">
        <f t="shared" si="2"/>
        <v>51341.225000000093</v>
      </c>
      <c r="F65" s="3"/>
      <c r="G65" s="28"/>
      <c r="H65" s="10"/>
      <c r="I65" s="10">
        <f t="shared" si="8"/>
        <v>1754</v>
      </c>
      <c r="J65" s="10">
        <f t="shared" si="6"/>
        <v>3553610533.6499996</v>
      </c>
      <c r="K65" s="11">
        <f t="shared" si="7"/>
        <v>2.6000000000000023E-2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1974662.4999999998</v>
      </c>
      <c r="D66" s="11">
        <v>2.5000000000000001E-2</v>
      </c>
      <c r="E66" s="10">
        <f t="shared" si="2"/>
        <v>48162.499999999767</v>
      </c>
      <c r="F66" s="24">
        <f>SUM(F2)</f>
        <v>7898975</v>
      </c>
      <c r="G66" s="28"/>
      <c r="H66" s="10"/>
      <c r="I66" s="10">
        <f t="shared" si="8"/>
        <v>1754</v>
      </c>
      <c r="J66" s="10">
        <f t="shared" ref="J66:J67" si="9">IF(I66="","",I66*C66)</f>
        <v>3463558024.9999995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1926500</v>
      </c>
      <c r="D67" s="11">
        <v>0.01</v>
      </c>
      <c r="E67" s="3" t="s">
        <v>72</v>
      </c>
      <c r="F67" s="10">
        <f>SUM(C2)</f>
        <v>7896970.9998418577</v>
      </c>
      <c r="G67" s="28"/>
      <c r="H67" s="10"/>
      <c r="I67" s="10">
        <f t="shared" ref="I67" si="11">IF(H67&lt;&gt;"",H67,I66/(1+IF(G66="",0,G66)/100))</f>
        <v>1754</v>
      </c>
      <c r="J67" s="10">
        <f t="shared" si="9"/>
        <v>3379081000</v>
      </c>
      <c r="K67" s="11"/>
    </row>
  </sheetData>
  <dataValidations count="1">
    <dataValidation type="custom" allowBlank="1" showDropDown="1" sqref="D2:D67" xr:uid="{00000000-0002-0000-6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3191757.8986496688</v>
      </c>
      <c r="D2" s="11">
        <v>-4.1000000000000003E-3</v>
      </c>
      <c r="E2" s="10">
        <f t="shared" ref="E2:E66" si="2">SUM(C2-C3)</f>
        <v>-13140.081719513517</v>
      </c>
      <c r="F2" s="15">
        <v>3123402</v>
      </c>
      <c r="G2" s="28"/>
      <c r="H2" s="10"/>
      <c r="I2" s="10">
        <f>IF(H2&lt;&gt;"",H2,14841)</f>
        <v>14841</v>
      </c>
      <c r="J2" s="10">
        <f t="shared" ref="J2:J33" si="3">IF(I2="","",I2*C2)</f>
        <v>47368878973.859734</v>
      </c>
      <c r="K2" s="11">
        <f t="shared" ref="K2:K33" si="4">IFERROR(J2/J3-1,"")</f>
        <v>-4.0999999999999925E-3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3204897.9803691823</v>
      </c>
      <c r="D3" s="11">
        <v>-5.4000000000000003E-3</v>
      </c>
      <c r="E3" s="10">
        <f t="shared" si="2"/>
        <v>-17400.411315095145</v>
      </c>
      <c r="F3" s="3"/>
      <c r="G3" s="28"/>
      <c r="H3" s="10"/>
      <c r="I3" s="10">
        <f t="shared" ref="I3:I34" si="5">IF(H3&lt;&gt;"",H3,I2/(1+IF(G2="",0,G2)/100))</f>
        <v>14841</v>
      </c>
      <c r="J3" s="10">
        <f t="shared" si="3"/>
        <v>47563890926.659035</v>
      </c>
      <c r="K3" s="11">
        <f t="shared" si="4"/>
        <v>-5.3999999999999604E-3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3222298.3916842774</v>
      </c>
      <c r="D4" s="11">
        <v>-5.4999999999999997E-3</v>
      </c>
      <c r="E4" s="10">
        <f t="shared" si="2"/>
        <v>-17820.654755418189</v>
      </c>
      <c r="F4" s="3"/>
      <c r="G4" s="28"/>
      <c r="H4" s="10"/>
      <c r="I4" s="10">
        <f t="shared" si="5"/>
        <v>14841</v>
      </c>
      <c r="J4" s="10">
        <f t="shared" si="3"/>
        <v>47822130430.986359</v>
      </c>
      <c r="K4" s="11">
        <f t="shared" si="4"/>
        <v>-5.5000000000000604E-3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3240119.0464396956</v>
      </c>
      <c r="D5" s="11">
        <v>-4.1000000000000003E-3</v>
      </c>
      <c r="E5" s="10">
        <f t="shared" si="2"/>
        <v>-13339.178723167628</v>
      </c>
      <c r="F5" s="3"/>
      <c r="G5" s="28"/>
      <c r="H5" s="10"/>
      <c r="I5" s="10">
        <f t="shared" si="5"/>
        <v>14841</v>
      </c>
      <c r="J5" s="10">
        <f t="shared" si="3"/>
        <v>48086606768.211525</v>
      </c>
      <c r="K5" s="11">
        <f t="shared" si="4"/>
        <v>-4.0999999999998815E-3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3253458.2251628633</v>
      </c>
      <c r="D6" s="11">
        <v>-1.5E-3</v>
      </c>
      <c r="E6" s="10">
        <f t="shared" si="2"/>
        <v>-4887.5186156677082</v>
      </c>
      <c r="F6" s="3"/>
      <c r="G6" s="28"/>
      <c r="H6" s="10"/>
      <c r="I6" s="10">
        <f t="shared" si="5"/>
        <v>14841</v>
      </c>
      <c r="J6" s="10">
        <f t="shared" si="3"/>
        <v>48284573519.642052</v>
      </c>
      <c r="K6" s="11">
        <f t="shared" si="4"/>
        <v>-1.4999999999999458E-3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3258345.743778531</v>
      </c>
      <c r="D7" s="11">
        <v>5.0000000000000001E-4</v>
      </c>
      <c r="E7" s="10">
        <f t="shared" si="2"/>
        <v>1628.3586925426498</v>
      </c>
      <c r="F7" s="3"/>
      <c r="G7" s="28"/>
      <c r="H7" s="10"/>
      <c r="I7" s="10">
        <f t="shared" si="5"/>
        <v>14841</v>
      </c>
      <c r="J7" s="10">
        <f t="shared" si="3"/>
        <v>48357109183.417175</v>
      </c>
      <c r="K7" s="11">
        <f t="shared" si="4"/>
        <v>4.9999999999994493E-4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3256717.3850859883</v>
      </c>
      <c r="D8" s="11">
        <v>1E-3</v>
      </c>
      <c r="E8" s="10">
        <f t="shared" si="2"/>
        <v>3253.4639211646281</v>
      </c>
      <c r="F8" s="3"/>
      <c r="G8" s="28"/>
      <c r="H8" s="10"/>
      <c r="I8" s="10">
        <f t="shared" si="5"/>
        <v>14841</v>
      </c>
      <c r="J8" s="10">
        <f t="shared" si="3"/>
        <v>48332942712.06115</v>
      </c>
      <c r="K8" s="11">
        <f t="shared" si="4"/>
        <v>9.9999999999988987E-4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3253463.9211648237</v>
      </c>
      <c r="D9" s="11">
        <v>1.4E-3</v>
      </c>
      <c r="E9" s="10">
        <f t="shared" si="2"/>
        <v>4548.4816153696738</v>
      </c>
      <c r="F9" s="3"/>
      <c r="G9" s="28"/>
      <c r="H9" s="10"/>
      <c r="I9" s="10">
        <f t="shared" si="5"/>
        <v>14841</v>
      </c>
      <c r="J9" s="10">
        <f t="shared" si="3"/>
        <v>48284658054.007149</v>
      </c>
      <c r="K9" s="11">
        <f t="shared" si="4"/>
        <v>1.4000000000000679E-3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3248915.439549454</v>
      </c>
      <c r="D10" s="11">
        <v>2E-3</v>
      </c>
      <c r="E10" s="10">
        <f t="shared" si="2"/>
        <v>6484.861156785395</v>
      </c>
      <c r="F10" s="3"/>
      <c r="G10" s="28"/>
      <c r="H10" s="10"/>
      <c r="I10" s="10">
        <f t="shared" si="5"/>
        <v>14841</v>
      </c>
      <c r="J10" s="10">
        <f t="shared" si="3"/>
        <v>48217154038.353447</v>
      </c>
      <c r="K10" s="11">
        <f t="shared" si="4"/>
        <v>2.0000000000000018E-3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3242430.5783926686</v>
      </c>
      <c r="D11" s="11">
        <v>1.8E-3</v>
      </c>
      <c r="E11" s="10">
        <f t="shared" si="2"/>
        <v>5825.8884419114329</v>
      </c>
      <c r="F11" s="3"/>
      <c r="G11" s="28"/>
      <c r="H11" s="10"/>
      <c r="I11" s="10">
        <f t="shared" si="5"/>
        <v>14841</v>
      </c>
      <c r="J11" s="10">
        <f t="shared" si="3"/>
        <v>48120912213.925598</v>
      </c>
      <c r="K11" s="11">
        <f t="shared" si="4"/>
        <v>1.8000000000000238E-3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3236604.6899507572</v>
      </c>
      <c r="D12" s="11">
        <v>1.9E-3</v>
      </c>
      <c r="E12" s="10">
        <f t="shared" si="2"/>
        <v>6137.8869257476181</v>
      </c>
      <c r="F12" s="3"/>
      <c r="G12" s="28"/>
      <c r="H12" s="10"/>
      <c r="I12" s="10">
        <f t="shared" si="5"/>
        <v>14841</v>
      </c>
      <c r="J12" s="10">
        <f t="shared" si="3"/>
        <v>48034450203.559189</v>
      </c>
      <c r="K12" s="11">
        <f t="shared" si="4"/>
        <v>1.9000000000000128E-3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3230466.8030250096</v>
      </c>
      <c r="D13" s="11">
        <v>2.3999999999999998E-3</v>
      </c>
      <c r="E13" s="10">
        <f t="shared" si="2"/>
        <v>7734.557389525231</v>
      </c>
      <c r="F13" s="3"/>
      <c r="G13" s="28"/>
      <c r="H13" s="10"/>
      <c r="I13" s="10">
        <f t="shared" si="5"/>
        <v>14841</v>
      </c>
      <c r="J13" s="10">
        <f t="shared" si="3"/>
        <v>47943357823.694168</v>
      </c>
      <c r="K13" s="11">
        <f t="shared" si="4"/>
        <v>2.3999999999999577E-3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3222732.2456354843</v>
      </c>
      <c r="D14" s="11">
        <v>3.8E-3</v>
      </c>
      <c r="E14" s="10">
        <f t="shared" si="2"/>
        <v>12200.022448112257</v>
      </c>
      <c r="F14" s="3"/>
      <c r="G14" s="28"/>
      <c r="H14" s="10"/>
      <c r="I14" s="10">
        <f t="shared" si="5"/>
        <v>14841</v>
      </c>
      <c r="J14" s="10">
        <f t="shared" si="3"/>
        <v>47828569257.476227</v>
      </c>
      <c r="K14" s="11">
        <f t="shared" si="4"/>
        <v>3.8000000000000256E-3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3210532.2231873721</v>
      </c>
      <c r="D15" s="11">
        <v>5.4999999999999997E-3</v>
      </c>
      <c r="E15" s="10">
        <f t="shared" si="2"/>
        <v>17561.339858309831</v>
      </c>
      <c r="F15" s="3"/>
      <c r="G15" s="28"/>
      <c r="H15" s="10"/>
      <c r="I15" s="10">
        <f t="shared" si="5"/>
        <v>14841</v>
      </c>
      <c r="J15" s="10">
        <f t="shared" si="3"/>
        <v>47647508724.323792</v>
      </c>
      <c r="K15" s="11">
        <f t="shared" si="4"/>
        <v>5.5000000000000604E-3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3192970.8833290623</v>
      </c>
      <c r="D16" s="11">
        <v>7.1000000000000004E-3</v>
      </c>
      <c r="E16" s="10">
        <f t="shared" si="2"/>
        <v>22510.270352136344</v>
      </c>
      <c r="F16" s="3"/>
      <c r="G16" s="28"/>
      <c r="H16" s="10"/>
      <c r="I16" s="10">
        <f t="shared" si="5"/>
        <v>14841</v>
      </c>
      <c r="J16" s="10">
        <f t="shared" si="3"/>
        <v>47386880879.48661</v>
      </c>
      <c r="K16" s="11">
        <f t="shared" si="4"/>
        <v>7.0999999999998842E-3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3170460.6129769259</v>
      </c>
      <c r="D17" s="11">
        <v>7.0000000000000001E-3</v>
      </c>
      <c r="E17" s="10">
        <f t="shared" si="2"/>
        <v>22038.951629431918</v>
      </c>
      <c r="F17" s="3"/>
      <c r="G17" s="28"/>
      <c r="H17" s="10"/>
      <c r="I17" s="10">
        <f t="shared" si="5"/>
        <v>14841</v>
      </c>
      <c r="J17" s="10">
        <f t="shared" si="3"/>
        <v>47052805957.190559</v>
      </c>
      <c r="K17" s="11">
        <f t="shared" si="4"/>
        <v>6.9999999999998952E-3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3148421.661347494</v>
      </c>
      <c r="D18" s="11">
        <v>5.7000000000000002E-3</v>
      </c>
      <c r="E18" s="10">
        <f t="shared" si="2"/>
        <v>17844.291010918561</v>
      </c>
      <c r="F18" s="3"/>
      <c r="G18" s="28"/>
      <c r="H18" s="10"/>
      <c r="I18" s="10">
        <f t="shared" si="5"/>
        <v>14841</v>
      </c>
      <c r="J18" s="10">
        <f t="shared" si="3"/>
        <v>46725725876.058159</v>
      </c>
      <c r="K18" s="11">
        <f t="shared" si="4"/>
        <v>5.7000000000000384E-3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3130577.3703365754</v>
      </c>
      <c r="D19" s="11">
        <v>5.1000000000000004E-3</v>
      </c>
      <c r="E19" s="10">
        <f t="shared" si="2"/>
        <v>15884.931438381318</v>
      </c>
      <c r="F19" s="3"/>
      <c r="G19" s="28"/>
      <c r="H19" s="10"/>
      <c r="I19" s="10">
        <f t="shared" si="5"/>
        <v>14841</v>
      </c>
      <c r="J19" s="10">
        <f t="shared" si="3"/>
        <v>46460898753.165115</v>
      </c>
      <c r="K19" s="11">
        <f t="shared" si="4"/>
        <v>5.1000000000003265E-3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3114692.4388981941</v>
      </c>
      <c r="D20" s="11">
        <v>4.4999999999999997E-3</v>
      </c>
      <c r="E20" s="10">
        <f t="shared" si="2"/>
        <v>13953.326008005533</v>
      </c>
      <c r="F20" s="3"/>
      <c r="G20" s="28"/>
      <c r="H20" s="10"/>
      <c r="I20" s="10">
        <f t="shared" si="5"/>
        <v>14841</v>
      </c>
      <c r="J20" s="10">
        <f t="shared" si="3"/>
        <v>46225150485.688095</v>
      </c>
      <c r="K20" s="11">
        <f t="shared" si="4"/>
        <v>4.4999999999997264E-3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3100739.1128901886</v>
      </c>
      <c r="D21" s="11">
        <v>3.8E-3</v>
      </c>
      <c r="E21" s="10">
        <f t="shared" si="2"/>
        <v>11738.203455850482</v>
      </c>
      <c r="F21" s="3"/>
      <c r="G21" s="28"/>
      <c r="H21" s="10"/>
      <c r="I21" s="10">
        <f t="shared" si="5"/>
        <v>14841</v>
      </c>
      <c r="J21" s="10">
        <f t="shared" si="3"/>
        <v>46018069174.40329</v>
      </c>
      <c r="K21" s="11">
        <f t="shared" si="4"/>
        <v>3.8000000000000256E-3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3089000.9094343381</v>
      </c>
      <c r="D22" s="11">
        <v>3.5000000000000001E-3</v>
      </c>
      <c r="E22" s="10">
        <f t="shared" si="2"/>
        <v>10773.794900867157</v>
      </c>
      <c r="F22" s="3"/>
      <c r="G22" s="28"/>
      <c r="H22" s="10"/>
      <c r="I22" s="10">
        <f t="shared" si="5"/>
        <v>14841</v>
      </c>
      <c r="J22" s="10">
        <f t="shared" si="3"/>
        <v>45843862496.915009</v>
      </c>
      <c r="K22" s="11">
        <f t="shared" si="4"/>
        <v>3.4999999999998366E-3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3078227.1145334709</v>
      </c>
      <c r="D23" s="11">
        <v>2.7000000000000001E-3</v>
      </c>
      <c r="E23" s="10">
        <f t="shared" si="2"/>
        <v>8288.8333591702394</v>
      </c>
      <c r="F23" s="3"/>
      <c r="G23" s="28"/>
      <c r="H23" s="10"/>
      <c r="I23" s="10">
        <f t="shared" si="5"/>
        <v>14841</v>
      </c>
      <c r="J23" s="10">
        <f t="shared" si="3"/>
        <v>45683968606.791245</v>
      </c>
      <c r="K23" s="11">
        <f t="shared" si="4"/>
        <v>2.6999999999999247E-3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3069938.2811743007</v>
      </c>
      <c r="D24" s="11">
        <v>1.1999999999999999E-3</v>
      </c>
      <c r="E24" s="10">
        <f t="shared" si="2"/>
        <v>3679.5105247795582</v>
      </c>
      <c r="F24" s="3"/>
      <c r="G24" s="28"/>
      <c r="H24" s="10"/>
      <c r="I24" s="10">
        <f t="shared" si="5"/>
        <v>14841</v>
      </c>
      <c r="J24" s="10">
        <f t="shared" si="3"/>
        <v>45560954030.907799</v>
      </c>
      <c r="K24" s="11">
        <f t="shared" si="4"/>
        <v>1.2000000000000899E-3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3066258.7706495211</v>
      </c>
      <c r="D25" s="11">
        <v>-8.0000000000000004E-4</v>
      </c>
      <c r="E25" s="10">
        <f t="shared" si="2"/>
        <v>-2454.970993314404</v>
      </c>
      <c r="F25" s="3"/>
      <c r="G25" s="28"/>
      <c r="H25" s="10"/>
      <c r="I25" s="10">
        <f t="shared" si="5"/>
        <v>14841</v>
      </c>
      <c r="J25" s="10">
        <f t="shared" si="3"/>
        <v>45506346415.209541</v>
      </c>
      <c r="K25" s="11">
        <f t="shared" si="4"/>
        <v>-8.0000000000002292E-4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3068713.7416428356</v>
      </c>
      <c r="D26" s="11">
        <v>-2.3E-3</v>
      </c>
      <c r="E26" s="10">
        <f t="shared" si="2"/>
        <v>-7074.3125245850533</v>
      </c>
      <c r="F26" s="3"/>
      <c r="G26" s="28"/>
      <c r="H26" s="10"/>
      <c r="I26" s="10">
        <f t="shared" si="5"/>
        <v>14841</v>
      </c>
      <c r="J26" s="10">
        <f t="shared" si="3"/>
        <v>45542780639.721321</v>
      </c>
      <c r="K26" s="11">
        <f t="shared" si="4"/>
        <v>-2.3000000000000798E-3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3075788.0541674206</v>
      </c>
      <c r="D27" s="11">
        <v>-2.2000000000000001E-3</v>
      </c>
      <c r="E27" s="10">
        <f t="shared" si="2"/>
        <v>-6781.6533565525897</v>
      </c>
      <c r="F27" s="3"/>
      <c r="G27" s="28"/>
      <c r="H27" s="10"/>
      <c r="I27" s="10">
        <f t="shared" si="5"/>
        <v>14841</v>
      </c>
      <c r="J27" s="10">
        <f t="shared" si="3"/>
        <v>45647770511.898689</v>
      </c>
      <c r="K27" s="11">
        <f t="shared" si="4"/>
        <v>-2.1999999999999797E-3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3082569.7075239732</v>
      </c>
      <c r="D28" s="11">
        <v>-1.5E-3</v>
      </c>
      <c r="E28" s="10">
        <f t="shared" si="2"/>
        <v>-4630.8007624293678</v>
      </c>
      <c r="F28" s="3"/>
      <c r="G28" s="28"/>
      <c r="H28" s="10"/>
      <c r="I28" s="10">
        <f t="shared" si="5"/>
        <v>14841</v>
      </c>
      <c r="J28" s="10">
        <f t="shared" si="3"/>
        <v>45748417029.363289</v>
      </c>
      <c r="K28" s="11">
        <f t="shared" si="4"/>
        <v>-1.4999999999998348E-3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3087200.5082864026</v>
      </c>
      <c r="D29" s="11">
        <v>-1E-3</v>
      </c>
      <c r="E29" s="10">
        <f t="shared" si="2"/>
        <v>-3090.2907990855165</v>
      </c>
      <c r="F29" s="3"/>
      <c r="G29" s="28"/>
      <c r="H29" s="10"/>
      <c r="I29" s="10">
        <f t="shared" si="5"/>
        <v>14841</v>
      </c>
      <c r="J29" s="10">
        <f t="shared" si="3"/>
        <v>45817142743.4785</v>
      </c>
      <c r="K29" s="11">
        <f t="shared" si="4"/>
        <v>-1.0000000000000009E-3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3090290.7990854881</v>
      </c>
      <c r="D30" s="11">
        <v>-2.9999999999999997E-4</v>
      </c>
      <c r="E30" s="10">
        <f t="shared" si="2"/>
        <v>-927.3654493605718</v>
      </c>
      <c r="F30" s="3"/>
      <c r="G30" s="28"/>
      <c r="H30" s="10"/>
      <c r="I30" s="10">
        <f t="shared" si="5"/>
        <v>14841</v>
      </c>
      <c r="J30" s="10">
        <f t="shared" si="3"/>
        <v>45863005749.22773</v>
      </c>
      <c r="K30" s="11">
        <f t="shared" si="4"/>
        <v>-2.9999999999996696E-4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3091218.1645348486</v>
      </c>
      <c r="D31" s="11">
        <v>8.9999999999999998E-4</v>
      </c>
      <c r="E31" s="10">
        <f t="shared" si="2"/>
        <v>2779.5947128394619</v>
      </c>
      <c r="F31" s="3"/>
      <c r="G31" s="28"/>
      <c r="H31" s="10"/>
      <c r="I31" s="10">
        <f t="shared" si="5"/>
        <v>14841</v>
      </c>
      <c r="J31" s="10">
        <f t="shared" si="3"/>
        <v>45876768779.861687</v>
      </c>
      <c r="K31" s="11">
        <f t="shared" si="4"/>
        <v>8.9999999999990088E-4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3088438.5698220092</v>
      </c>
      <c r="D32" s="11">
        <v>2.7000000000000001E-3</v>
      </c>
      <c r="E32" s="10">
        <f t="shared" si="2"/>
        <v>8316.330047391355</v>
      </c>
      <c r="F32" s="3"/>
      <c r="G32" s="28"/>
      <c r="H32" s="10"/>
      <c r="I32" s="10">
        <f t="shared" si="5"/>
        <v>14841</v>
      </c>
      <c r="J32" s="10">
        <f t="shared" si="3"/>
        <v>45835516814.728439</v>
      </c>
      <c r="K32" s="11">
        <f t="shared" si="4"/>
        <v>2.6999999999999247E-3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3080122.2397746178</v>
      </c>
      <c r="D33" s="11">
        <v>3.8E-3</v>
      </c>
      <c r="E33" s="10">
        <f t="shared" si="2"/>
        <v>11660.155918652657</v>
      </c>
      <c r="F33" s="3"/>
      <c r="G33" s="28"/>
      <c r="H33" s="10"/>
      <c r="I33" s="10">
        <f t="shared" si="5"/>
        <v>14841</v>
      </c>
      <c r="J33" s="10">
        <f t="shared" si="3"/>
        <v>45712094160.495102</v>
      </c>
      <c r="K33" s="11">
        <f t="shared" si="4"/>
        <v>3.8000000000000256E-3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3068462.0838559652</v>
      </c>
      <c r="D34" s="11">
        <v>4.5999999999999999E-3</v>
      </c>
      <c r="E34" s="10">
        <f t="shared" si="2"/>
        <v>14050.294232268818</v>
      </c>
      <c r="F34" s="3"/>
      <c r="G34" s="28"/>
      <c r="H34" s="10"/>
      <c r="I34" s="10">
        <f t="shared" si="5"/>
        <v>14841</v>
      </c>
      <c r="J34" s="10">
        <f t="shared" ref="J34:J65" si="6">IF(I34="","",I34*C34)</f>
        <v>45539045786.506378</v>
      </c>
      <c r="K34" s="11">
        <f t="shared" ref="K34:K65" si="7">IFERROR(J34/J35-1,"")</f>
        <v>4.5999999999999375E-3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3054411.7896236964</v>
      </c>
      <c r="D35" s="11">
        <v>6.1000000000000004E-3</v>
      </c>
      <c r="E35" s="10">
        <f t="shared" si="2"/>
        <v>18518.946344005875</v>
      </c>
      <c r="F35" s="3"/>
      <c r="G35" s="28"/>
      <c r="H35" s="10"/>
      <c r="I35" s="10">
        <f t="shared" ref="I35:I66" si="8">IF(H35&lt;&gt;"",H35,I34/(1+IF(G34="",0,G34)/100))</f>
        <v>14841</v>
      </c>
      <c r="J35" s="10">
        <f t="shared" si="6"/>
        <v>45330525369.805275</v>
      </c>
      <c r="K35" s="11">
        <f t="shared" si="7"/>
        <v>6.0999999999999943E-3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3035892.8432796905</v>
      </c>
      <c r="D36" s="11">
        <v>8.6999999999999994E-3</v>
      </c>
      <c r="E36" s="10">
        <f t="shared" si="2"/>
        <v>26184.462909223046</v>
      </c>
      <c r="F36" s="3"/>
      <c r="G36" s="28"/>
      <c r="H36" s="10"/>
      <c r="I36" s="10">
        <f t="shared" si="8"/>
        <v>14841</v>
      </c>
      <c r="J36" s="10">
        <f t="shared" si="6"/>
        <v>45055685687.113884</v>
      </c>
      <c r="K36" s="11">
        <f t="shared" si="7"/>
        <v>8.69999999999993E-3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3009708.3803704674</v>
      </c>
      <c r="D37" s="11">
        <v>1.0800000000000001E-2</v>
      </c>
      <c r="E37" s="10">
        <f t="shared" si="2"/>
        <v>32157.548979027197</v>
      </c>
      <c r="F37" s="3"/>
      <c r="G37" s="28"/>
      <c r="H37" s="10"/>
      <c r="I37" s="10">
        <f t="shared" si="8"/>
        <v>14841</v>
      </c>
      <c r="J37" s="10">
        <f t="shared" si="6"/>
        <v>44667082073.07811</v>
      </c>
      <c r="K37" s="11">
        <f t="shared" si="7"/>
        <v>1.0799999999999921E-2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2977550.8313914402</v>
      </c>
      <c r="D38" s="11">
        <v>1.0699999999999999E-2</v>
      </c>
      <c r="E38" s="10">
        <f t="shared" si="2"/>
        <v>31522.503112583421</v>
      </c>
      <c r="F38" s="3"/>
      <c r="G38" s="28"/>
      <c r="H38" s="10"/>
      <c r="I38" s="10">
        <f t="shared" si="8"/>
        <v>14841</v>
      </c>
      <c r="J38" s="10">
        <f t="shared" si="6"/>
        <v>44189831888.680367</v>
      </c>
      <c r="K38" s="11">
        <f t="shared" si="7"/>
        <v>1.0699999999999932E-2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2946028.3282788568</v>
      </c>
      <c r="D39" s="11">
        <v>1.0800000000000001E-2</v>
      </c>
      <c r="E39" s="10">
        <f t="shared" si="2"/>
        <v>31477.15269629145</v>
      </c>
      <c r="F39" s="3"/>
      <c r="G39" s="28"/>
      <c r="H39" s="10"/>
      <c r="I39" s="10">
        <f t="shared" si="8"/>
        <v>14841</v>
      </c>
      <c r="J39" s="10">
        <f t="shared" si="6"/>
        <v>43722006419.986511</v>
      </c>
      <c r="K39" s="11">
        <f t="shared" si="7"/>
        <v>1.0799999999999921E-2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2914551.1755825654</v>
      </c>
      <c r="D40" s="11">
        <v>1.06E-2</v>
      </c>
      <c r="E40" s="10">
        <f t="shared" si="2"/>
        <v>30570.198358573951</v>
      </c>
      <c r="F40" s="3"/>
      <c r="G40" s="28"/>
      <c r="H40" s="10"/>
      <c r="I40" s="10">
        <f t="shared" si="8"/>
        <v>14841</v>
      </c>
      <c r="J40" s="10">
        <f t="shared" si="6"/>
        <v>43254853996.820854</v>
      </c>
      <c r="K40" s="11">
        <f t="shared" si="7"/>
        <v>1.0599999999999943E-2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2883980.9772239914</v>
      </c>
      <c r="D41" s="11">
        <v>2.8400000000000002E-2</v>
      </c>
      <c r="E41" s="10">
        <f t="shared" si="2"/>
        <v>79643.193069973961</v>
      </c>
      <c r="F41" s="3"/>
      <c r="G41" s="28"/>
      <c r="H41" s="10"/>
      <c r="I41" s="10">
        <f t="shared" si="8"/>
        <v>14841</v>
      </c>
      <c r="J41" s="10">
        <f t="shared" si="6"/>
        <v>42801161682.981255</v>
      </c>
      <c r="K41" s="11">
        <f t="shared" si="7"/>
        <v>2.8399999999999759E-2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2804337.7841540175</v>
      </c>
      <c r="D42" s="11">
        <v>3.7999999999999999E-2</v>
      </c>
      <c r="E42" s="10">
        <f t="shared" si="2"/>
        <v>102663.61830236297</v>
      </c>
      <c r="F42" s="3"/>
      <c r="G42" s="28"/>
      <c r="H42" s="10"/>
      <c r="I42" s="10">
        <f t="shared" si="8"/>
        <v>14841</v>
      </c>
      <c r="J42" s="10">
        <f t="shared" si="6"/>
        <v>41619177054.629776</v>
      </c>
      <c r="K42" s="11">
        <f t="shared" si="7"/>
        <v>3.8000000000000034E-2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2701674.1658516545</v>
      </c>
      <c r="D43" s="11">
        <v>1.3899999999999999E-2</v>
      </c>
      <c r="E43" s="10">
        <f t="shared" si="2"/>
        <v>37038.436636096332</v>
      </c>
      <c r="F43" s="3"/>
      <c r="G43" s="28"/>
      <c r="H43" s="10"/>
      <c r="I43" s="10">
        <f t="shared" si="8"/>
        <v>14841</v>
      </c>
      <c r="J43" s="10">
        <f t="shared" si="6"/>
        <v>40095546295.404404</v>
      </c>
      <c r="K43" s="11">
        <f t="shared" si="7"/>
        <v>1.3900000000000023E-2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2664635.7292155582</v>
      </c>
      <c r="D44" s="11">
        <v>2.9999999999999997E-4</v>
      </c>
      <c r="E44" s="10">
        <f t="shared" si="2"/>
        <v>799.15097347274423</v>
      </c>
      <c r="F44" s="3"/>
      <c r="G44" s="28"/>
      <c r="H44" s="10"/>
      <c r="I44" s="10">
        <f t="shared" si="8"/>
        <v>14841</v>
      </c>
      <c r="J44" s="10">
        <f t="shared" si="6"/>
        <v>39545858857.288101</v>
      </c>
      <c r="K44" s="11">
        <f t="shared" si="7"/>
        <v>3.00000000000189E-4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2663836.5782420854</v>
      </c>
      <c r="D45" s="11">
        <v>-1.5E-3</v>
      </c>
      <c r="E45" s="10">
        <f t="shared" si="2"/>
        <v>-4001.7575036184862</v>
      </c>
      <c r="F45" s="3"/>
      <c r="G45" s="28"/>
      <c r="H45" s="10"/>
      <c r="I45" s="10">
        <f t="shared" si="8"/>
        <v>14841</v>
      </c>
      <c r="J45" s="10">
        <f t="shared" si="6"/>
        <v>39533998657.690788</v>
      </c>
      <c r="K45" s="11">
        <f t="shared" si="7"/>
        <v>-1.5000000000000568E-3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2667838.3357457039</v>
      </c>
      <c r="D46" s="11">
        <v>-4.1999999999999997E-3</v>
      </c>
      <c r="E46" s="10">
        <f t="shared" si="2"/>
        <v>-11252.180166832637</v>
      </c>
      <c r="F46" s="3"/>
      <c r="G46" s="28"/>
      <c r="H46" s="10"/>
      <c r="I46" s="10">
        <f t="shared" si="8"/>
        <v>14841</v>
      </c>
      <c r="J46" s="10">
        <f t="shared" si="6"/>
        <v>39593388740.801994</v>
      </c>
      <c r="K46" s="11">
        <f t="shared" si="7"/>
        <v>-4.1999999999998705E-3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2679090.5159125365</v>
      </c>
      <c r="D47" s="11">
        <v>-8.8999999999999999E-3</v>
      </c>
      <c r="E47" s="10">
        <f t="shared" si="2"/>
        <v>-24058.021987308748</v>
      </c>
      <c r="F47" s="3"/>
      <c r="G47" s="28"/>
      <c r="H47" s="10"/>
      <c r="I47" s="10">
        <f t="shared" si="8"/>
        <v>14841</v>
      </c>
      <c r="J47" s="10">
        <f t="shared" si="6"/>
        <v>39760382346.657951</v>
      </c>
      <c r="K47" s="11">
        <f t="shared" si="7"/>
        <v>-8.90000000000013E-3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2703148.5378998453</v>
      </c>
      <c r="D48" s="11">
        <v>-8.9999999999999993E-3</v>
      </c>
      <c r="E48" s="10">
        <f t="shared" si="2"/>
        <v>-24549.28036437789</v>
      </c>
      <c r="F48" s="3"/>
      <c r="G48" s="28"/>
      <c r="H48" s="10"/>
      <c r="I48" s="10">
        <f t="shared" si="8"/>
        <v>14841</v>
      </c>
      <c r="J48" s="10">
        <f t="shared" si="6"/>
        <v>40117427450.971603</v>
      </c>
      <c r="K48" s="11">
        <f t="shared" si="7"/>
        <v>-9.000000000000008E-3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2727697.8182642232</v>
      </c>
      <c r="D49" s="11">
        <v>-4.3E-3</v>
      </c>
      <c r="E49" s="10">
        <f t="shared" si="2"/>
        <v>-11779.753558839206</v>
      </c>
      <c r="F49" s="3"/>
      <c r="G49" s="28"/>
      <c r="H49" s="10"/>
      <c r="I49" s="10">
        <f t="shared" si="8"/>
        <v>14841</v>
      </c>
      <c r="J49" s="10">
        <f t="shared" si="6"/>
        <v>40481763320.859337</v>
      </c>
      <c r="K49" s="11">
        <f t="shared" si="7"/>
        <v>-4.3000000000000815E-3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2739477.5718230624</v>
      </c>
      <c r="D50" s="11">
        <v>-6.3E-3</v>
      </c>
      <c r="E50" s="10">
        <f t="shared" si="2"/>
        <v>-17368.127908307593</v>
      </c>
      <c r="F50" s="3"/>
      <c r="G50" s="28"/>
      <c r="H50" s="10"/>
      <c r="I50" s="10">
        <f t="shared" si="8"/>
        <v>14841</v>
      </c>
      <c r="J50" s="10">
        <f t="shared" si="6"/>
        <v>40656586643.426071</v>
      </c>
      <c r="K50" s="11">
        <f t="shared" si="7"/>
        <v>-6.2999999999999723E-3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2756845.69973137</v>
      </c>
      <c r="D51" s="11">
        <v>-7.4999999999999997E-3</v>
      </c>
      <c r="E51" s="10">
        <f t="shared" si="2"/>
        <v>-20832.5871516224</v>
      </c>
      <c r="F51" s="3"/>
      <c r="G51" s="28"/>
      <c r="H51" s="10"/>
      <c r="I51" s="10">
        <f t="shared" si="8"/>
        <v>14841</v>
      </c>
      <c r="J51" s="10">
        <f t="shared" si="6"/>
        <v>40914347029.713264</v>
      </c>
      <c r="K51" s="11">
        <f t="shared" si="7"/>
        <v>-7.4999999999999512E-3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2777678.2868829924</v>
      </c>
      <c r="D52" s="11">
        <v>-4.1000000000000003E-3</v>
      </c>
      <c r="E52" s="10">
        <f t="shared" si="2"/>
        <v>-11435.365976724774</v>
      </c>
      <c r="F52" s="3"/>
      <c r="G52" s="28"/>
      <c r="H52" s="10"/>
      <c r="I52" s="10">
        <f t="shared" si="8"/>
        <v>14841</v>
      </c>
      <c r="J52" s="10">
        <f t="shared" si="6"/>
        <v>41223523455.630493</v>
      </c>
      <c r="K52" s="11">
        <f t="shared" si="7"/>
        <v>-4.0999999999999925E-3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2789113.6528597171</v>
      </c>
      <c r="D53" s="11">
        <v>5.9999999999999995E-4</v>
      </c>
      <c r="E53" s="10">
        <f t="shared" si="2"/>
        <v>1672.4647128880024</v>
      </c>
      <c r="F53" s="3"/>
      <c r="G53" s="28"/>
      <c r="H53" s="10"/>
      <c r="I53" s="10">
        <f t="shared" si="8"/>
        <v>14841</v>
      </c>
      <c r="J53" s="10">
        <f t="shared" si="6"/>
        <v>41393235722.091064</v>
      </c>
      <c r="K53" s="11">
        <f t="shared" si="7"/>
        <v>5.9999999999993392E-4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2787441.1881468291</v>
      </c>
      <c r="D54" s="11">
        <v>4.0000000000000001E-3</v>
      </c>
      <c r="E54" s="10">
        <f t="shared" si="2"/>
        <v>11105.343379070982</v>
      </c>
      <c r="F54" s="3"/>
      <c r="G54" s="28"/>
      <c r="H54" s="10"/>
      <c r="I54" s="10">
        <f t="shared" si="8"/>
        <v>14841</v>
      </c>
      <c r="J54" s="10">
        <f t="shared" si="6"/>
        <v>41368414673.287094</v>
      </c>
      <c r="K54" s="11">
        <f t="shared" si="7"/>
        <v>4.0000000000002256E-3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2776335.8447677582</v>
      </c>
      <c r="D55" s="11">
        <v>7.1999999999999998E-3</v>
      </c>
      <c r="E55" s="10">
        <f t="shared" si="2"/>
        <v>19846.721686187666</v>
      </c>
      <c r="F55" s="3"/>
      <c r="G55" s="28"/>
      <c r="H55" s="10"/>
      <c r="I55" s="10">
        <f t="shared" si="8"/>
        <v>14841</v>
      </c>
      <c r="J55" s="10">
        <f t="shared" si="6"/>
        <v>41203600272.198296</v>
      </c>
      <c r="K55" s="11">
        <f t="shared" si="7"/>
        <v>7.2000000000000952E-3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2756489.1230815705</v>
      </c>
      <c r="D56" s="11">
        <v>8.0999999999999996E-3</v>
      </c>
      <c r="E56" s="10">
        <f t="shared" si="2"/>
        <v>22148.16178649012</v>
      </c>
      <c r="F56" s="3"/>
      <c r="G56" s="28"/>
      <c r="H56" s="10"/>
      <c r="I56" s="10">
        <f t="shared" si="8"/>
        <v>14841</v>
      </c>
      <c r="J56" s="10">
        <f t="shared" si="6"/>
        <v>40909055075.653587</v>
      </c>
      <c r="K56" s="11">
        <f t="shared" si="7"/>
        <v>8.0999999999999961E-3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2734340.9612950804</v>
      </c>
      <c r="D57" s="11">
        <v>8.0000000000000002E-3</v>
      </c>
      <c r="E57" s="10">
        <f t="shared" si="2"/>
        <v>21701.118740437087</v>
      </c>
      <c r="F57" s="3"/>
      <c r="G57" s="28"/>
      <c r="H57" s="10"/>
      <c r="I57" s="10">
        <f t="shared" si="8"/>
        <v>14841</v>
      </c>
      <c r="J57" s="10">
        <f t="shared" si="6"/>
        <v>40580354206.580284</v>
      </c>
      <c r="K57" s="11">
        <f t="shared" si="7"/>
        <v>7.9999999999997851E-3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2712639.8425546433</v>
      </c>
      <c r="D58" s="11">
        <v>8.0000000000000002E-3</v>
      </c>
      <c r="E58" s="10">
        <f t="shared" si="2"/>
        <v>21528.887639322784</v>
      </c>
      <c r="F58" s="3"/>
      <c r="G58" s="28"/>
      <c r="H58" s="10"/>
      <c r="I58" s="10">
        <f t="shared" si="8"/>
        <v>14841</v>
      </c>
      <c r="J58" s="10">
        <f t="shared" si="6"/>
        <v>40258287903.353462</v>
      </c>
      <c r="K58" s="11">
        <f t="shared" si="7"/>
        <v>8.0000000000002292E-3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2691110.9549153205</v>
      </c>
      <c r="D59" s="11">
        <v>8.0000000000000002E-3</v>
      </c>
      <c r="E59" s="10">
        <f t="shared" si="2"/>
        <v>21358.023451708723</v>
      </c>
      <c r="F59" s="3"/>
      <c r="G59" s="28"/>
      <c r="H59" s="10"/>
      <c r="I59" s="10">
        <f t="shared" si="8"/>
        <v>14841</v>
      </c>
      <c r="J59" s="10">
        <f t="shared" si="6"/>
        <v>39938777681.89827</v>
      </c>
      <c r="K59" s="11">
        <f t="shared" si="7"/>
        <v>7.9999999999997851E-3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2669752.9314636118</v>
      </c>
      <c r="D60" s="11">
        <v>8.0000000000000002E-3</v>
      </c>
      <c r="E60" s="10">
        <f t="shared" si="2"/>
        <v>21188.515329076443</v>
      </c>
      <c r="F60" s="3"/>
      <c r="G60" s="28"/>
      <c r="H60" s="10"/>
      <c r="I60" s="10">
        <f t="shared" si="8"/>
        <v>14841</v>
      </c>
      <c r="J60" s="10">
        <f t="shared" si="6"/>
        <v>39621803255.851463</v>
      </c>
      <c r="K60" s="11">
        <f t="shared" si="7"/>
        <v>8.0000000000000071E-3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2648564.4161345353</v>
      </c>
      <c r="D61" s="11">
        <v>7.0000000000000001E-3</v>
      </c>
      <c r="E61" s="10">
        <f t="shared" si="2"/>
        <v>18411.073399147484</v>
      </c>
      <c r="F61" s="3"/>
      <c r="G61" s="28"/>
      <c r="H61" s="10"/>
      <c r="I61" s="10">
        <f t="shared" si="8"/>
        <v>14841</v>
      </c>
      <c r="J61" s="10">
        <f t="shared" si="6"/>
        <v>39307344499.852638</v>
      </c>
      <c r="K61" s="11">
        <f t="shared" si="7"/>
        <v>6.9999999999998952E-3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2630153.3427353879</v>
      </c>
      <c r="D62" s="11">
        <v>7.0000000000000001E-3</v>
      </c>
      <c r="E62" s="10">
        <f t="shared" si="2"/>
        <v>18283.09175684955</v>
      </c>
      <c r="F62" s="3"/>
      <c r="G62" s="28"/>
      <c r="H62" s="10"/>
      <c r="I62" s="10">
        <f t="shared" si="8"/>
        <v>14841</v>
      </c>
      <c r="J62" s="10">
        <f t="shared" si="6"/>
        <v>39034105759.535889</v>
      </c>
      <c r="K62" s="11">
        <f t="shared" si="7"/>
        <v>6.9999999999998952E-3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2611870.2509785383</v>
      </c>
      <c r="D63" s="11">
        <v>7.0000000000000001E-3</v>
      </c>
      <c r="E63" s="10">
        <f t="shared" si="2"/>
        <v>18155.999758539721</v>
      </c>
      <c r="F63" s="3"/>
      <c r="G63" s="28"/>
      <c r="H63" s="10"/>
      <c r="I63" s="10">
        <f t="shared" si="8"/>
        <v>14841</v>
      </c>
      <c r="J63" s="10">
        <f t="shared" si="6"/>
        <v>38762766394.772484</v>
      </c>
      <c r="K63" s="11">
        <f t="shared" si="7"/>
        <v>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2593714.2512199986</v>
      </c>
      <c r="D64" s="11">
        <v>7.0000000000000001E-3</v>
      </c>
      <c r="E64" s="10">
        <f t="shared" si="2"/>
        <v>18029.791219999548</v>
      </c>
      <c r="F64" s="3"/>
      <c r="G64" s="28"/>
      <c r="H64" s="10"/>
      <c r="I64" s="10">
        <f t="shared" si="8"/>
        <v>14841</v>
      </c>
      <c r="J64" s="10">
        <f t="shared" si="6"/>
        <v>38493313202.355995</v>
      </c>
      <c r="K64" s="11">
        <f t="shared" si="7"/>
        <v>6.9999999999996732E-3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2575684.459999999</v>
      </c>
      <c r="D65" s="11">
        <v>7.0000000000000001E-3</v>
      </c>
      <c r="E65" s="10">
        <f t="shared" si="2"/>
        <v>17904.459999999497</v>
      </c>
      <c r="F65" s="3"/>
      <c r="G65" s="28"/>
      <c r="H65" s="10"/>
      <c r="I65" s="10">
        <f t="shared" si="8"/>
        <v>14841</v>
      </c>
      <c r="J65" s="10">
        <f t="shared" si="6"/>
        <v>38225733070.859985</v>
      </c>
      <c r="K65" s="11">
        <f t="shared" si="7"/>
        <v>6.9999999999998952E-3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2557779.9999999995</v>
      </c>
      <c r="D66" s="11">
        <v>7.0000000000000001E-3</v>
      </c>
      <c r="E66" s="10">
        <f t="shared" si="2"/>
        <v>17779.999999999534</v>
      </c>
      <c r="F66" s="24">
        <f>SUM(F2)</f>
        <v>3123402</v>
      </c>
      <c r="G66" s="28"/>
      <c r="H66" s="10"/>
      <c r="I66" s="10">
        <f t="shared" si="8"/>
        <v>14841</v>
      </c>
      <c r="J66" s="10">
        <f t="shared" ref="J66:J67" si="9">IF(I66="","",I66*C66)</f>
        <v>37960012979.999992</v>
      </c>
      <c r="K66" s="11">
        <f t="shared" ref="K66" si="10">IFERROR(J66/J67-1,"")</f>
        <v>6.9999999999998952E-3</v>
      </c>
    </row>
    <row r="67" spans="1:11" ht="22.5" customHeight="1">
      <c r="A67" s="3">
        <f t="shared" si="0"/>
        <v>1950</v>
      </c>
      <c r="B67" s="3">
        <v>1700</v>
      </c>
      <c r="C67" s="10">
        <v>2540000</v>
      </c>
      <c r="D67" s="11">
        <v>8.0000000000000002E-3</v>
      </c>
      <c r="E67" s="3" t="s">
        <v>72</v>
      </c>
      <c r="F67" s="10">
        <f>SUM(C2)</f>
        <v>3191757.8986496688</v>
      </c>
      <c r="G67" s="28"/>
      <c r="H67" s="10"/>
      <c r="I67" s="10">
        <f t="shared" ref="I67" si="11">IF(H67&lt;&gt;"",H67,I66/(1+IF(G66="",0,G66)/100))</f>
        <v>14841</v>
      </c>
      <c r="J67" s="10">
        <f t="shared" si="9"/>
        <v>37696140000</v>
      </c>
      <c r="K67" s="11"/>
    </row>
  </sheetData>
  <dataValidations count="1">
    <dataValidation type="custom" allowBlank="1" showDropDown="1" sqref="D2:D67" xr:uid="{00000000-0002-0000-6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1300137.5440681532</v>
      </c>
      <c r="D2" s="11">
        <v>4.8999999999999998E-3</v>
      </c>
      <c r="E2" s="10">
        <f t="shared" ref="E2:E66" si="2">SUM(C2-C3)</f>
        <v>6339.6098775339779</v>
      </c>
      <c r="F2" s="15">
        <v>1300163</v>
      </c>
      <c r="G2" s="28"/>
      <c r="H2" s="10"/>
      <c r="I2" s="10">
        <f>IF(H2&lt;&gt;"",H2,14563)</f>
        <v>14563</v>
      </c>
      <c r="J2" s="10">
        <f t="shared" ref="J2:J33" si="3">IF(I2="","",I2*C2)</f>
        <v>18933903054.264515</v>
      </c>
      <c r="K2" s="11">
        <f t="shared" ref="K2:K33" si="4">IFERROR(J2/J3-1,"")</f>
        <v>4.8999999999999044E-3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1293797.9341906193</v>
      </c>
      <c r="D3" s="11">
        <v>4.7999999999999996E-3</v>
      </c>
      <c r="E3" s="10">
        <f t="shared" si="2"/>
        <v>6180.5633798914496</v>
      </c>
      <c r="F3" s="3"/>
      <c r="G3" s="28"/>
      <c r="H3" s="10"/>
      <c r="I3" s="10">
        <f t="shared" ref="I3:I34" si="5">IF(H3&lt;&gt;"",H3,I2/(1+IF(G2="",0,G2)/100))</f>
        <v>14563</v>
      </c>
      <c r="J3" s="10">
        <f t="shared" si="3"/>
        <v>18841579315.617989</v>
      </c>
      <c r="K3" s="11">
        <f t="shared" si="4"/>
        <v>4.7999999999999154E-3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1287617.3708107278</v>
      </c>
      <c r="D4" s="11">
        <v>4.7000000000000002E-3</v>
      </c>
      <c r="E4" s="10">
        <f t="shared" si="2"/>
        <v>6023.4912340105511</v>
      </c>
      <c r="F4" s="3"/>
      <c r="G4" s="28"/>
      <c r="H4" s="10"/>
      <c r="I4" s="10">
        <f t="shared" si="5"/>
        <v>14563</v>
      </c>
      <c r="J4" s="10">
        <f t="shared" si="3"/>
        <v>18751571771.116631</v>
      </c>
      <c r="K4" s="11">
        <f t="shared" si="4"/>
        <v>4.6999999999999265E-3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1281593.8795767173</v>
      </c>
      <c r="D5" s="11">
        <v>4.4999999999999997E-3</v>
      </c>
      <c r="E5" s="10">
        <f t="shared" si="2"/>
        <v>5741.3364440966398</v>
      </c>
      <c r="F5" s="3"/>
      <c r="G5" s="28"/>
      <c r="H5" s="10"/>
      <c r="I5" s="10">
        <f t="shared" si="5"/>
        <v>14563</v>
      </c>
      <c r="J5" s="10">
        <f t="shared" si="3"/>
        <v>18663851668.275734</v>
      </c>
      <c r="K5" s="11">
        <f t="shared" si="4"/>
        <v>4.4999999999999485E-3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1275852.5431326206</v>
      </c>
      <c r="D6" s="11">
        <v>4.4000000000000003E-3</v>
      </c>
      <c r="E6" s="10">
        <f t="shared" si="2"/>
        <v>5589.1588906645775</v>
      </c>
      <c r="F6" s="3"/>
      <c r="G6" s="28"/>
      <c r="H6" s="10"/>
      <c r="I6" s="10">
        <f t="shared" si="5"/>
        <v>14563</v>
      </c>
      <c r="J6" s="10">
        <f t="shared" si="3"/>
        <v>18580240585.640354</v>
      </c>
      <c r="K6" s="11">
        <f t="shared" si="4"/>
        <v>4.3999999999999595E-3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1270263.3842419561</v>
      </c>
      <c r="D7" s="11">
        <v>4.4000000000000003E-3</v>
      </c>
      <c r="E7" s="10">
        <f t="shared" si="2"/>
        <v>5564.6743236405309</v>
      </c>
      <c r="F7" s="3"/>
      <c r="G7" s="28"/>
      <c r="H7" s="10"/>
      <c r="I7" s="10">
        <f t="shared" si="5"/>
        <v>14563</v>
      </c>
      <c r="J7" s="10">
        <f t="shared" si="3"/>
        <v>18498845664.715607</v>
      </c>
      <c r="K7" s="11">
        <f t="shared" si="4"/>
        <v>4.3999999999999595E-3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1264698.7099183155</v>
      </c>
      <c r="D8" s="11">
        <v>4.5999999999999999E-3</v>
      </c>
      <c r="E8" s="10">
        <f t="shared" si="2"/>
        <v>5790.9755779656116</v>
      </c>
      <c r="F8" s="3"/>
      <c r="G8" s="28"/>
      <c r="H8" s="10"/>
      <c r="I8" s="10">
        <f t="shared" si="5"/>
        <v>14563</v>
      </c>
      <c r="J8" s="10">
        <f t="shared" si="3"/>
        <v>18417807312.540428</v>
      </c>
      <c r="K8" s="11">
        <f t="shared" si="4"/>
        <v>4.5999999999999375E-3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1258907.7343403499</v>
      </c>
      <c r="D9" s="11">
        <v>4.7999999999999996E-3</v>
      </c>
      <c r="E9" s="10">
        <f t="shared" si="2"/>
        <v>6013.8904506703839</v>
      </c>
      <c r="F9" s="3"/>
      <c r="G9" s="28"/>
      <c r="H9" s="10"/>
      <c r="I9" s="10">
        <f t="shared" si="5"/>
        <v>14563</v>
      </c>
      <c r="J9" s="10">
        <f t="shared" si="3"/>
        <v>18333473335.198517</v>
      </c>
      <c r="K9" s="11">
        <f t="shared" si="4"/>
        <v>4.7999999999999154E-3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1252893.8438896795</v>
      </c>
      <c r="D10" s="11">
        <v>5.0000000000000001E-3</v>
      </c>
      <c r="E10" s="10">
        <f t="shared" si="2"/>
        <v>6233.3027059186716</v>
      </c>
      <c r="F10" s="3"/>
      <c r="G10" s="28"/>
      <c r="H10" s="10"/>
      <c r="I10" s="10">
        <f t="shared" si="5"/>
        <v>14563</v>
      </c>
      <c r="J10" s="10">
        <f t="shared" si="3"/>
        <v>18245893048.565403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1246660.5411837609</v>
      </c>
      <c r="D11" s="11">
        <v>5.1999999999999998E-3</v>
      </c>
      <c r="E11" s="10">
        <f t="shared" si="2"/>
        <v>6449.0994967725128</v>
      </c>
      <c r="F11" s="3"/>
      <c r="G11" s="28"/>
      <c r="H11" s="10"/>
      <c r="I11" s="10">
        <f t="shared" si="5"/>
        <v>14563</v>
      </c>
      <c r="J11" s="10">
        <f t="shared" si="3"/>
        <v>18155117461.259109</v>
      </c>
      <c r="K11" s="11">
        <f t="shared" si="4"/>
        <v>5.2000000000000934E-3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1240211.4416869883</v>
      </c>
      <c r="D12" s="11">
        <v>5.7999999999999996E-3</v>
      </c>
      <c r="E12" s="10">
        <f t="shared" si="2"/>
        <v>7151.7462336295284</v>
      </c>
      <c r="F12" s="3"/>
      <c r="G12" s="28"/>
      <c r="H12" s="10"/>
      <c r="I12" s="10">
        <f t="shared" si="5"/>
        <v>14563</v>
      </c>
      <c r="J12" s="10">
        <f t="shared" si="3"/>
        <v>18061199225.287613</v>
      </c>
      <c r="K12" s="11">
        <f t="shared" si="4"/>
        <v>5.8000000000002494E-3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1233059.6954533588</v>
      </c>
      <c r="D13" s="11">
        <v>6.7999999999999996E-3</v>
      </c>
      <c r="E13" s="10">
        <f t="shared" si="2"/>
        <v>8328.1743435466196</v>
      </c>
      <c r="F13" s="3"/>
      <c r="G13" s="28"/>
      <c r="H13" s="10"/>
      <c r="I13" s="10">
        <f t="shared" si="5"/>
        <v>14563</v>
      </c>
      <c r="J13" s="10">
        <f t="shared" si="3"/>
        <v>17957048344.887264</v>
      </c>
      <c r="K13" s="11">
        <f t="shared" si="4"/>
        <v>6.7999999999999172E-3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1224731.5211098122</v>
      </c>
      <c r="D14" s="11">
        <v>6.1000000000000004E-3</v>
      </c>
      <c r="E14" s="10">
        <f t="shared" si="2"/>
        <v>7425.5663241923321</v>
      </c>
      <c r="F14" s="3"/>
      <c r="G14" s="28"/>
      <c r="H14" s="10"/>
      <c r="I14" s="10">
        <f t="shared" si="5"/>
        <v>14563</v>
      </c>
      <c r="J14" s="10">
        <f t="shared" si="3"/>
        <v>17835765141.922195</v>
      </c>
      <c r="K14" s="11">
        <f t="shared" si="4"/>
        <v>6.1000000000002164E-3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1217305.9547856199</v>
      </c>
      <c r="D15" s="11">
        <v>5.4000000000000003E-3</v>
      </c>
      <c r="E15" s="10">
        <f t="shared" si="2"/>
        <v>6538.1461665430106</v>
      </c>
      <c r="F15" s="3"/>
      <c r="G15" s="28"/>
      <c r="H15" s="10"/>
      <c r="I15" s="10">
        <f t="shared" si="5"/>
        <v>14563</v>
      </c>
      <c r="J15" s="10">
        <f t="shared" si="3"/>
        <v>17727626619.54298</v>
      </c>
      <c r="K15" s="11">
        <f t="shared" si="4"/>
        <v>5.3999999999998494E-3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1210767.8086190769</v>
      </c>
      <c r="D16" s="11">
        <v>6.3E-3</v>
      </c>
      <c r="E16" s="10">
        <f t="shared" si="2"/>
        <v>7580.0826734574512</v>
      </c>
      <c r="F16" s="3"/>
      <c r="G16" s="28"/>
      <c r="H16" s="10"/>
      <c r="I16" s="10">
        <f t="shared" si="5"/>
        <v>14563</v>
      </c>
      <c r="J16" s="10">
        <f t="shared" si="3"/>
        <v>17632411596.919617</v>
      </c>
      <c r="K16" s="11">
        <f t="shared" si="4"/>
        <v>6.2999999999999723E-3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1203187.7259456194</v>
      </c>
      <c r="D17" s="11">
        <v>7.1000000000000004E-3</v>
      </c>
      <c r="E17" s="10">
        <f t="shared" si="2"/>
        <v>8482.4077591241803</v>
      </c>
      <c r="F17" s="3"/>
      <c r="G17" s="28"/>
      <c r="H17" s="10"/>
      <c r="I17" s="10">
        <f t="shared" si="5"/>
        <v>14563</v>
      </c>
      <c r="J17" s="10">
        <f t="shared" si="3"/>
        <v>17522022852.946056</v>
      </c>
      <c r="K17" s="11">
        <f t="shared" si="4"/>
        <v>7.1000000000001062E-3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1194705.3181864952</v>
      </c>
      <c r="D18" s="11">
        <v>7.9000000000000008E-3</v>
      </c>
      <c r="E18" s="10">
        <f t="shared" si="2"/>
        <v>9364.1948741674423</v>
      </c>
      <c r="F18" s="3"/>
      <c r="G18" s="28"/>
      <c r="H18" s="10"/>
      <c r="I18" s="10">
        <f t="shared" si="5"/>
        <v>14563</v>
      </c>
      <c r="J18" s="10">
        <f t="shared" si="3"/>
        <v>17398493548.749931</v>
      </c>
      <c r="K18" s="11">
        <f t="shared" si="4"/>
        <v>7.9000000000002402E-3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1185341.1233123278</v>
      </c>
      <c r="D19" s="11">
        <v>8.6E-3</v>
      </c>
      <c r="E19" s="10">
        <f t="shared" si="2"/>
        <v>10107.013345712796</v>
      </c>
      <c r="F19" s="3"/>
      <c r="G19" s="28"/>
      <c r="H19" s="10"/>
      <c r="I19" s="10">
        <f t="shared" si="5"/>
        <v>14563</v>
      </c>
      <c r="J19" s="10">
        <f t="shared" si="3"/>
        <v>17262122778.797428</v>
      </c>
      <c r="K19" s="11">
        <f t="shared" si="4"/>
        <v>8.599999999999941E-3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1175234.109966615</v>
      </c>
      <c r="D20" s="11">
        <v>9.4000000000000004E-3</v>
      </c>
      <c r="E20" s="10">
        <f t="shared" si="2"/>
        <v>10944.323988197139</v>
      </c>
      <c r="F20" s="3"/>
      <c r="G20" s="28"/>
      <c r="H20" s="10"/>
      <c r="I20" s="10">
        <f t="shared" si="5"/>
        <v>14563</v>
      </c>
      <c r="J20" s="10">
        <f t="shared" si="3"/>
        <v>17114934343.443813</v>
      </c>
      <c r="K20" s="11">
        <f t="shared" si="4"/>
        <v>9.400000000000075E-3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1164289.7859784178</v>
      </c>
      <c r="D21" s="11">
        <v>9.9000000000000008E-3</v>
      </c>
      <c r="E21" s="10">
        <f t="shared" si="2"/>
        <v>11413.475473993924</v>
      </c>
      <c r="F21" s="3"/>
      <c r="G21" s="28"/>
      <c r="H21" s="10"/>
      <c r="I21" s="10">
        <f t="shared" si="5"/>
        <v>14563</v>
      </c>
      <c r="J21" s="10">
        <f t="shared" si="3"/>
        <v>16955552153.203699</v>
      </c>
      <c r="K21" s="11">
        <f t="shared" si="4"/>
        <v>9.9000000000002419E-3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1152876.3105044239</v>
      </c>
      <c r="D22" s="11">
        <v>1.2200000000000001E-2</v>
      </c>
      <c r="E22" s="10">
        <f t="shared" si="2"/>
        <v>13895.565094007179</v>
      </c>
      <c r="F22" s="3"/>
      <c r="G22" s="28"/>
      <c r="H22" s="10"/>
      <c r="I22" s="10">
        <f t="shared" si="5"/>
        <v>14563</v>
      </c>
      <c r="J22" s="10">
        <f t="shared" si="3"/>
        <v>16789337709.875925</v>
      </c>
      <c r="K22" s="11">
        <f t="shared" si="4"/>
        <v>1.2199999999999989E-2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1138980.7454104167</v>
      </c>
      <c r="D23" s="11">
        <v>1.44E-2</v>
      </c>
      <c r="E23" s="10">
        <f t="shared" si="2"/>
        <v>16168.496385952225</v>
      </c>
      <c r="F23" s="3"/>
      <c r="G23" s="28"/>
      <c r="H23" s="10"/>
      <c r="I23" s="10">
        <f t="shared" si="5"/>
        <v>14563</v>
      </c>
      <c r="J23" s="10">
        <f t="shared" si="3"/>
        <v>16586976595.4119</v>
      </c>
      <c r="K23" s="11">
        <f t="shared" si="4"/>
        <v>1.4399999999999968E-2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1122812.2490244645</v>
      </c>
      <c r="D24" s="11">
        <v>1.47E-2</v>
      </c>
      <c r="E24" s="10">
        <f t="shared" si="2"/>
        <v>16266.22653065878</v>
      </c>
      <c r="F24" s="3"/>
      <c r="G24" s="28"/>
      <c r="H24" s="10"/>
      <c r="I24" s="10">
        <f t="shared" si="5"/>
        <v>14563</v>
      </c>
      <c r="J24" s="10">
        <f t="shared" si="3"/>
        <v>16351514782.543276</v>
      </c>
      <c r="K24" s="11">
        <f t="shared" si="4"/>
        <v>1.4699999999999713E-2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1106546.0224938057</v>
      </c>
      <c r="D25" s="11">
        <v>1.49E-2</v>
      </c>
      <c r="E25" s="10">
        <f t="shared" si="2"/>
        <v>16245.47811129922</v>
      </c>
      <c r="F25" s="3"/>
      <c r="G25" s="28"/>
      <c r="H25" s="10"/>
      <c r="I25" s="10">
        <f t="shared" si="5"/>
        <v>14563</v>
      </c>
      <c r="J25" s="10">
        <f t="shared" si="3"/>
        <v>16114629725.577293</v>
      </c>
      <c r="K25" s="11">
        <f t="shared" si="4"/>
        <v>1.4899999999999913E-2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1090300.5443825065</v>
      </c>
      <c r="D26" s="11">
        <v>1.49E-2</v>
      </c>
      <c r="E26" s="10">
        <f t="shared" si="2"/>
        <v>16006.974195782095</v>
      </c>
      <c r="F26" s="3"/>
      <c r="G26" s="28"/>
      <c r="H26" s="10"/>
      <c r="I26" s="10">
        <f t="shared" si="5"/>
        <v>14563</v>
      </c>
      <c r="J26" s="10">
        <f t="shared" si="3"/>
        <v>15878046827.842442</v>
      </c>
      <c r="K26" s="11">
        <f t="shared" si="4"/>
        <v>1.4899999999999691E-2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1074293.5701867244</v>
      </c>
      <c r="D27" s="11">
        <v>1.47E-2</v>
      </c>
      <c r="E27" s="10">
        <f t="shared" si="2"/>
        <v>15563.334465107648</v>
      </c>
      <c r="F27" s="3"/>
      <c r="G27" s="28"/>
      <c r="H27" s="10"/>
      <c r="I27" s="10">
        <f t="shared" si="5"/>
        <v>14563</v>
      </c>
      <c r="J27" s="10">
        <f t="shared" si="3"/>
        <v>15644937262.629269</v>
      </c>
      <c r="K27" s="11">
        <f t="shared" si="4"/>
        <v>1.4699999999999935E-2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1058730.2357216168</v>
      </c>
      <c r="D28" s="11">
        <v>1.46E-2</v>
      </c>
      <c r="E28" s="10">
        <f t="shared" si="2"/>
        <v>15235.030003484688</v>
      </c>
      <c r="F28" s="3"/>
      <c r="G28" s="28"/>
      <c r="H28" s="10"/>
      <c r="I28" s="10">
        <f t="shared" si="5"/>
        <v>14563</v>
      </c>
      <c r="J28" s="10">
        <f t="shared" si="3"/>
        <v>15418288422.813906</v>
      </c>
      <c r="K28" s="11">
        <f t="shared" si="4"/>
        <v>1.4599999999999946E-2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1043495.2057181321</v>
      </c>
      <c r="D29" s="11">
        <v>1.46E-2</v>
      </c>
      <c r="E29" s="10">
        <f t="shared" si="2"/>
        <v>15015.799333219649</v>
      </c>
      <c r="F29" s="3"/>
      <c r="G29" s="28"/>
      <c r="H29" s="10"/>
      <c r="I29" s="10">
        <f t="shared" si="5"/>
        <v>14563</v>
      </c>
      <c r="J29" s="10">
        <f t="shared" si="3"/>
        <v>15196420680.873158</v>
      </c>
      <c r="K29" s="11">
        <f t="shared" si="4"/>
        <v>1.4599999999999946E-2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1028479.4063849124</v>
      </c>
      <c r="D30" s="11">
        <v>1.47E-2</v>
      </c>
      <c r="E30" s="10">
        <f t="shared" si="2"/>
        <v>14899.622818427277</v>
      </c>
      <c r="F30" s="3"/>
      <c r="G30" s="28"/>
      <c r="H30" s="10"/>
      <c r="I30" s="10">
        <f t="shared" si="5"/>
        <v>14563</v>
      </c>
      <c r="J30" s="10">
        <f t="shared" si="3"/>
        <v>14977745595.183479</v>
      </c>
      <c r="K30" s="11">
        <f t="shared" si="4"/>
        <v>1.4699999999999935E-2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1013579.7835664852</v>
      </c>
      <c r="D31" s="11">
        <v>1.47E-2</v>
      </c>
      <c r="E31" s="10">
        <f t="shared" si="2"/>
        <v>14683.77137915371</v>
      </c>
      <c r="F31" s="3"/>
      <c r="G31" s="28"/>
      <c r="H31" s="10"/>
      <c r="I31" s="10">
        <f t="shared" si="5"/>
        <v>14563</v>
      </c>
      <c r="J31" s="10">
        <f t="shared" si="3"/>
        <v>14760762388.078724</v>
      </c>
      <c r="K31" s="11">
        <f t="shared" si="4"/>
        <v>1.4699999999999935E-2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998896.01218733145</v>
      </c>
      <c r="D32" s="11">
        <v>1.47E-2</v>
      </c>
      <c r="E32" s="10">
        <f t="shared" si="2"/>
        <v>14471.046988423914</v>
      </c>
      <c r="F32" s="3"/>
      <c r="G32" s="28"/>
      <c r="H32" s="10"/>
      <c r="I32" s="10">
        <f t="shared" si="5"/>
        <v>14563</v>
      </c>
      <c r="J32" s="10">
        <f t="shared" si="3"/>
        <v>14546922625.484108</v>
      </c>
      <c r="K32" s="11">
        <f t="shared" si="4"/>
        <v>1.4699999999999935E-2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984424.96519890754</v>
      </c>
      <c r="D33" s="11">
        <v>1.47E-2</v>
      </c>
      <c r="E33" s="10">
        <f t="shared" si="2"/>
        <v>14261.404344558832</v>
      </c>
      <c r="F33" s="3"/>
      <c r="G33" s="28"/>
      <c r="H33" s="10"/>
      <c r="I33" s="10">
        <f t="shared" si="5"/>
        <v>14563</v>
      </c>
      <c r="J33" s="10">
        <f t="shared" si="3"/>
        <v>14336180768.19169</v>
      </c>
      <c r="K33" s="11">
        <f t="shared" si="4"/>
        <v>1.4699999999999935E-2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970163.5608543487</v>
      </c>
      <c r="D34" s="11">
        <v>1.46E-2</v>
      </c>
      <c r="E34" s="10">
        <f t="shared" si="2"/>
        <v>13960.563757612254</v>
      </c>
      <c r="F34" s="3"/>
      <c r="G34" s="28"/>
      <c r="H34" s="10"/>
      <c r="I34" s="10">
        <f t="shared" si="5"/>
        <v>14563</v>
      </c>
      <c r="J34" s="10">
        <f t="shared" ref="J34:J65" si="6">IF(I34="","",I34*C34)</f>
        <v>14128491936.72188</v>
      </c>
      <c r="K34" s="11">
        <f t="shared" ref="K34:K65" si="7">IFERROR(J34/J35-1,"")</f>
        <v>1.4599999999999946E-2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956202.99709673645</v>
      </c>
      <c r="D35" s="11">
        <v>1.4800000000000001E-2</v>
      </c>
      <c r="E35" s="10">
        <f t="shared" si="2"/>
        <v>13945.412255648058</v>
      </c>
      <c r="F35" s="3"/>
      <c r="G35" s="28"/>
      <c r="H35" s="10"/>
      <c r="I35" s="10">
        <f t="shared" ref="I35:I66" si="8">IF(H35&lt;&gt;"",H35,I34/(1+IF(G34="",0,G34)/100))</f>
        <v>14563</v>
      </c>
      <c r="J35" s="10">
        <f t="shared" si="6"/>
        <v>13925184246.719772</v>
      </c>
      <c r="K35" s="11">
        <f t="shared" si="7"/>
        <v>1.4799999999999924E-2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942257.58484108839</v>
      </c>
      <c r="D36" s="11">
        <v>1.44E-2</v>
      </c>
      <c r="E36" s="10">
        <f t="shared" si="2"/>
        <v>13375.896314778831</v>
      </c>
      <c r="F36" s="3"/>
      <c r="G36" s="28"/>
      <c r="H36" s="10"/>
      <c r="I36" s="10">
        <f t="shared" si="8"/>
        <v>14563</v>
      </c>
      <c r="J36" s="10">
        <f t="shared" si="6"/>
        <v>13722097208.04077</v>
      </c>
      <c r="K36" s="11">
        <f t="shared" si="7"/>
        <v>1.4399999999999968E-2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928881.68852630956</v>
      </c>
      <c r="D37" s="11">
        <v>1.4E-2</v>
      </c>
      <c r="E37" s="10">
        <f t="shared" si="2"/>
        <v>12824.796488528955</v>
      </c>
      <c r="F37" s="3"/>
      <c r="G37" s="28"/>
      <c r="H37" s="10"/>
      <c r="I37" s="10">
        <f t="shared" si="8"/>
        <v>14563</v>
      </c>
      <c r="J37" s="10">
        <f t="shared" si="6"/>
        <v>13527304030.008646</v>
      </c>
      <c r="K37" s="11">
        <f t="shared" si="7"/>
        <v>1.4000000000000012E-2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916056.89203778061</v>
      </c>
      <c r="D38" s="11">
        <v>1.3899999999999999E-2</v>
      </c>
      <c r="E38" s="10">
        <f t="shared" si="2"/>
        <v>12558.625899324543</v>
      </c>
      <c r="F38" s="3"/>
      <c r="G38" s="28"/>
      <c r="H38" s="10"/>
      <c r="I38" s="10">
        <f t="shared" si="8"/>
        <v>14563</v>
      </c>
      <c r="J38" s="10">
        <f t="shared" si="6"/>
        <v>13340536518.746199</v>
      </c>
      <c r="K38" s="11">
        <f t="shared" si="7"/>
        <v>1.3900000000000023E-2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903498.26613845606</v>
      </c>
      <c r="D39" s="11">
        <v>1.38E-2</v>
      </c>
      <c r="E39" s="10">
        <f t="shared" si="2"/>
        <v>12298.555999911972</v>
      </c>
      <c r="F39" s="3"/>
      <c r="G39" s="28"/>
      <c r="H39" s="10"/>
      <c r="I39" s="10">
        <f t="shared" si="8"/>
        <v>14563</v>
      </c>
      <c r="J39" s="10">
        <f t="shared" si="6"/>
        <v>13157645249.774336</v>
      </c>
      <c r="K39" s="11">
        <f t="shared" si="7"/>
        <v>1.3800000000000034E-2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891199.71013854409</v>
      </c>
      <c r="D40" s="11">
        <v>1.44E-2</v>
      </c>
      <c r="E40" s="10">
        <f t="shared" si="2"/>
        <v>12651.099986193818</v>
      </c>
      <c r="F40" s="3"/>
      <c r="G40" s="28"/>
      <c r="H40" s="10"/>
      <c r="I40" s="10">
        <f t="shared" si="8"/>
        <v>14563</v>
      </c>
      <c r="J40" s="10">
        <f t="shared" si="6"/>
        <v>12978541378.747618</v>
      </c>
      <c r="K40" s="11">
        <f t="shared" si="7"/>
        <v>1.4399999999999968E-2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878548.61015235027</v>
      </c>
      <c r="D41" s="11">
        <v>1.5900000000000001E-2</v>
      </c>
      <c r="E41" s="10">
        <f t="shared" si="2"/>
        <v>13750.293238923536</v>
      </c>
      <c r="F41" s="3"/>
      <c r="G41" s="28"/>
      <c r="H41" s="10"/>
      <c r="I41" s="10">
        <f t="shared" si="8"/>
        <v>14563</v>
      </c>
      <c r="J41" s="10">
        <f t="shared" si="6"/>
        <v>12794303409.648678</v>
      </c>
      <c r="K41" s="11">
        <f t="shared" si="7"/>
        <v>1.5900000000000025E-2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864798.31691342674</v>
      </c>
      <c r="D42" s="11">
        <v>1.77E-2</v>
      </c>
      <c r="E42" s="10">
        <f t="shared" si="2"/>
        <v>15040.709648587741</v>
      </c>
      <c r="F42" s="3"/>
      <c r="G42" s="28"/>
      <c r="H42" s="10"/>
      <c r="I42" s="10">
        <f t="shared" si="8"/>
        <v>14563</v>
      </c>
      <c r="J42" s="10">
        <f t="shared" si="6"/>
        <v>12594057889.210234</v>
      </c>
      <c r="K42" s="11">
        <f t="shared" si="7"/>
        <v>1.7700000000000049E-2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849757.607264839</v>
      </c>
      <c r="D43" s="11">
        <v>1.95E-2</v>
      </c>
      <c r="E43" s="10">
        <f t="shared" si="2"/>
        <v>16253.333341505029</v>
      </c>
      <c r="F43" s="3"/>
      <c r="G43" s="28"/>
      <c r="H43" s="10"/>
      <c r="I43" s="10">
        <f t="shared" si="8"/>
        <v>14563</v>
      </c>
      <c r="J43" s="10">
        <f t="shared" si="6"/>
        <v>12375020034.597851</v>
      </c>
      <c r="K43" s="11">
        <f t="shared" si="7"/>
        <v>1.9500000000000073E-2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833504.27392333397</v>
      </c>
      <c r="D44" s="11">
        <v>2.3199999999999998E-2</v>
      </c>
      <c r="E44" s="10">
        <f t="shared" si="2"/>
        <v>18898.845929458039</v>
      </c>
      <c r="F44" s="3"/>
      <c r="G44" s="28"/>
      <c r="H44" s="10"/>
      <c r="I44" s="10">
        <f t="shared" si="8"/>
        <v>14563</v>
      </c>
      <c r="J44" s="10">
        <f t="shared" si="6"/>
        <v>12138322741.145512</v>
      </c>
      <c r="K44" s="11">
        <f t="shared" si="7"/>
        <v>2.3200000000000109E-2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814605.42799387593</v>
      </c>
      <c r="D45" s="11">
        <v>2.5499999999999998E-2</v>
      </c>
      <c r="E45" s="10">
        <f t="shared" si="2"/>
        <v>20255.912641486037</v>
      </c>
      <c r="F45" s="3"/>
      <c r="G45" s="28"/>
      <c r="H45" s="10"/>
      <c r="I45" s="10">
        <f t="shared" si="8"/>
        <v>14563</v>
      </c>
      <c r="J45" s="10">
        <f t="shared" si="6"/>
        <v>11863098847.874815</v>
      </c>
      <c r="K45" s="11">
        <f t="shared" si="7"/>
        <v>2.5500000000000078E-2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794349.51535238989</v>
      </c>
      <c r="D46" s="11">
        <v>2.5999999999999999E-2</v>
      </c>
      <c r="E46" s="10">
        <f t="shared" si="2"/>
        <v>20129.714813998202</v>
      </c>
      <c r="F46" s="3"/>
      <c r="G46" s="28"/>
      <c r="H46" s="10"/>
      <c r="I46" s="10">
        <f t="shared" si="8"/>
        <v>14563</v>
      </c>
      <c r="J46" s="10">
        <f t="shared" si="6"/>
        <v>11568111992.076855</v>
      </c>
      <c r="K46" s="11">
        <f t="shared" si="7"/>
        <v>2.6000000000000023E-2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774219.80053839169</v>
      </c>
      <c r="D47" s="11">
        <v>2.7099999999999999E-2</v>
      </c>
      <c r="E47" s="10">
        <f t="shared" si="2"/>
        <v>20427.764185172156</v>
      </c>
      <c r="F47" s="3"/>
      <c r="G47" s="28"/>
      <c r="H47" s="10"/>
      <c r="I47" s="10">
        <f t="shared" si="8"/>
        <v>14563</v>
      </c>
      <c r="J47" s="10">
        <f t="shared" si="6"/>
        <v>11274962955.240599</v>
      </c>
      <c r="K47" s="11">
        <f t="shared" si="7"/>
        <v>2.7099999999999902E-2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753792.03635321953</v>
      </c>
      <c r="D48" s="11">
        <v>2.76E-2</v>
      </c>
      <c r="E48" s="10">
        <f t="shared" si="2"/>
        <v>20245.874078774708</v>
      </c>
      <c r="F48" s="3"/>
      <c r="G48" s="28"/>
      <c r="H48" s="10"/>
      <c r="I48" s="10">
        <f t="shared" si="8"/>
        <v>14563</v>
      </c>
      <c r="J48" s="10">
        <f t="shared" si="6"/>
        <v>10977473425.411936</v>
      </c>
      <c r="K48" s="11">
        <f t="shared" si="7"/>
        <v>2.7600000000000069E-2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733546.16227444483</v>
      </c>
      <c r="D49" s="11">
        <v>2.8799999999999999E-2</v>
      </c>
      <c r="E49" s="10">
        <f t="shared" si="2"/>
        <v>20534.729270513169</v>
      </c>
      <c r="F49" s="3"/>
      <c r="G49" s="28"/>
      <c r="H49" s="10"/>
      <c r="I49" s="10">
        <f t="shared" si="8"/>
        <v>14563</v>
      </c>
      <c r="J49" s="10">
        <f t="shared" si="6"/>
        <v>10682632761.20274</v>
      </c>
      <c r="K49" s="11">
        <f t="shared" si="7"/>
        <v>2.8799999999999937E-2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713011.43300393166</v>
      </c>
      <c r="D50" s="11">
        <v>2.8299999999999999E-2</v>
      </c>
      <c r="E50" s="10">
        <f t="shared" si="2"/>
        <v>19622.895608296501</v>
      </c>
      <c r="F50" s="3"/>
      <c r="G50" s="28"/>
      <c r="H50" s="10"/>
      <c r="I50" s="10">
        <f t="shared" si="8"/>
        <v>14563</v>
      </c>
      <c r="J50" s="10">
        <f t="shared" si="6"/>
        <v>10383585498.836256</v>
      </c>
      <c r="K50" s="11">
        <f t="shared" si="7"/>
        <v>2.8299999999999992E-2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693388.53739563515</v>
      </c>
      <c r="D51" s="11">
        <v>2.6100000000000002E-2</v>
      </c>
      <c r="E51" s="10">
        <f t="shared" si="2"/>
        <v>17637.112197667011</v>
      </c>
      <c r="F51" s="3"/>
      <c r="G51" s="28"/>
      <c r="H51" s="10"/>
      <c r="I51" s="10">
        <f t="shared" si="8"/>
        <v>14563</v>
      </c>
      <c r="J51" s="10">
        <f t="shared" si="6"/>
        <v>10097817270.092634</v>
      </c>
      <c r="K51" s="11">
        <f t="shared" si="7"/>
        <v>2.6100000000000012E-2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675751.42519796814</v>
      </c>
      <c r="D52" s="11">
        <v>2.52E-2</v>
      </c>
      <c r="E52" s="10">
        <f t="shared" si="2"/>
        <v>16610.354969750973</v>
      </c>
      <c r="F52" s="3"/>
      <c r="G52" s="28"/>
      <c r="H52" s="10"/>
      <c r="I52" s="10">
        <f t="shared" si="8"/>
        <v>14563</v>
      </c>
      <c r="J52" s="10">
        <f t="shared" si="6"/>
        <v>9840968005.1580105</v>
      </c>
      <c r="K52" s="11">
        <f t="shared" si="7"/>
        <v>2.5199999999999889E-2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659141.07022821717</v>
      </c>
      <c r="D53" s="11">
        <v>2.5399999999999999E-2</v>
      </c>
      <c r="E53" s="10">
        <f t="shared" si="2"/>
        <v>16327.465558608179</v>
      </c>
      <c r="F53" s="3"/>
      <c r="G53" s="28"/>
      <c r="H53" s="10"/>
      <c r="I53" s="10">
        <f t="shared" si="8"/>
        <v>14563</v>
      </c>
      <c r="J53" s="10">
        <f t="shared" si="6"/>
        <v>9599071405.7335262</v>
      </c>
      <c r="K53" s="11">
        <f t="shared" si="7"/>
        <v>2.5400000000000089E-2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642813.60466960899</v>
      </c>
      <c r="D54" s="11">
        <v>2.4500000000000001E-2</v>
      </c>
      <c r="E54" s="10">
        <f t="shared" si="2"/>
        <v>15372.31167828734</v>
      </c>
      <c r="F54" s="3"/>
      <c r="G54" s="28"/>
      <c r="H54" s="10"/>
      <c r="I54" s="10">
        <f t="shared" si="8"/>
        <v>14563</v>
      </c>
      <c r="J54" s="10">
        <f t="shared" si="6"/>
        <v>9361294524.8035164</v>
      </c>
      <c r="K54" s="11">
        <f t="shared" si="7"/>
        <v>2.4499999999999966E-2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627441.29299132165</v>
      </c>
      <c r="D55" s="11">
        <v>2.24E-2</v>
      </c>
      <c r="E55" s="10">
        <f t="shared" si="2"/>
        <v>13746.757592924056</v>
      </c>
      <c r="F55" s="3"/>
      <c r="G55" s="28"/>
      <c r="H55" s="10"/>
      <c r="I55" s="10">
        <f t="shared" si="8"/>
        <v>14563</v>
      </c>
      <c r="J55" s="10">
        <f t="shared" si="6"/>
        <v>9137427549.8326168</v>
      </c>
      <c r="K55" s="11">
        <f t="shared" si="7"/>
        <v>2.2399999999999753E-2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613694.53539839759</v>
      </c>
      <c r="D56" s="11">
        <v>2.2599999999999999E-2</v>
      </c>
      <c r="E56" s="10">
        <f t="shared" si="2"/>
        <v>13562.973303348059</v>
      </c>
      <c r="F56" s="3"/>
      <c r="G56" s="28"/>
      <c r="H56" s="10"/>
      <c r="I56" s="10">
        <f t="shared" si="8"/>
        <v>14563</v>
      </c>
      <c r="J56" s="10">
        <f t="shared" si="6"/>
        <v>8937233519.0068645</v>
      </c>
      <c r="K56" s="11">
        <f t="shared" si="7"/>
        <v>2.2599999999999953E-2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600131.56209504954</v>
      </c>
      <c r="D57" s="11">
        <v>2.7E-2</v>
      </c>
      <c r="E57" s="10">
        <f t="shared" si="2"/>
        <v>15777.558107659454</v>
      </c>
      <c r="F57" s="3"/>
      <c r="G57" s="28"/>
      <c r="H57" s="10"/>
      <c r="I57" s="10">
        <f t="shared" si="8"/>
        <v>14563</v>
      </c>
      <c r="J57" s="10">
        <f t="shared" si="6"/>
        <v>8739715938.7902069</v>
      </c>
      <c r="K57" s="11">
        <f t="shared" si="7"/>
        <v>2.6999999999999913E-2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584354.00398739008</v>
      </c>
      <c r="D58" s="11">
        <v>0.03</v>
      </c>
      <c r="E58" s="10">
        <f t="shared" si="2"/>
        <v>17020.019533613347</v>
      </c>
      <c r="F58" s="3"/>
      <c r="G58" s="28"/>
      <c r="H58" s="10"/>
      <c r="I58" s="10">
        <f t="shared" si="8"/>
        <v>14563</v>
      </c>
      <c r="J58" s="10">
        <f t="shared" si="6"/>
        <v>8509947360.0683622</v>
      </c>
      <c r="K58" s="11">
        <f t="shared" si="7"/>
        <v>3.0000000000000249E-2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567333.98445377673</v>
      </c>
      <c r="D59" s="11">
        <v>3.5000000000000003E-2</v>
      </c>
      <c r="E59" s="10">
        <f t="shared" si="2"/>
        <v>19185.207203750848</v>
      </c>
      <c r="F59" s="3"/>
      <c r="G59" s="28"/>
      <c r="H59" s="10"/>
      <c r="I59" s="10">
        <f t="shared" si="8"/>
        <v>14563</v>
      </c>
      <c r="J59" s="10">
        <f t="shared" si="6"/>
        <v>8262084815.6003504</v>
      </c>
      <c r="K59" s="11">
        <f t="shared" si="7"/>
        <v>3.499999999999992E-2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548148.77725002589</v>
      </c>
      <c r="D60" s="11">
        <v>0.04</v>
      </c>
      <c r="E60" s="10">
        <f t="shared" si="2"/>
        <v>21082.645278847194</v>
      </c>
      <c r="F60" s="3"/>
      <c r="G60" s="28"/>
      <c r="H60" s="10"/>
      <c r="I60" s="10">
        <f t="shared" si="8"/>
        <v>14563</v>
      </c>
      <c r="J60" s="10">
        <f t="shared" si="6"/>
        <v>7982690643.0921268</v>
      </c>
      <c r="K60" s="11">
        <f t="shared" si="7"/>
        <v>4.0000000000000036E-2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527066.13197117869</v>
      </c>
      <c r="D61" s="11">
        <v>4.4999999999999998E-2</v>
      </c>
      <c r="E61" s="10">
        <f t="shared" si="2"/>
        <v>22696.627692538779</v>
      </c>
      <c r="F61" s="3"/>
      <c r="G61" s="28"/>
      <c r="H61" s="10"/>
      <c r="I61" s="10">
        <f t="shared" si="8"/>
        <v>14563</v>
      </c>
      <c r="J61" s="10">
        <f t="shared" si="6"/>
        <v>7675664079.8962755</v>
      </c>
      <c r="K61" s="11">
        <f t="shared" si="7"/>
        <v>4.4999999999999929E-2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504369.50427863991</v>
      </c>
      <c r="D62" s="11">
        <v>0.04</v>
      </c>
      <c r="E62" s="10">
        <f t="shared" si="2"/>
        <v>19398.827087640006</v>
      </c>
      <c r="F62" s="3"/>
      <c r="G62" s="28"/>
      <c r="H62" s="10"/>
      <c r="I62" s="10">
        <f t="shared" si="8"/>
        <v>14563</v>
      </c>
      <c r="J62" s="10">
        <f t="shared" si="6"/>
        <v>7345133090.8098335</v>
      </c>
      <c r="K62" s="11">
        <f t="shared" si="7"/>
        <v>4.0000000000000036E-2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484970.67719099991</v>
      </c>
      <c r="D63" s="11">
        <v>3.5000000000000003E-2</v>
      </c>
      <c r="E63" s="10">
        <f t="shared" si="2"/>
        <v>16399.974590999947</v>
      </c>
      <c r="F63" s="3"/>
      <c r="G63" s="28"/>
      <c r="H63" s="10"/>
      <c r="I63" s="10">
        <f t="shared" si="8"/>
        <v>14563</v>
      </c>
      <c r="J63" s="10">
        <f t="shared" si="6"/>
        <v>7062627971.9325314</v>
      </c>
      <c r="K63" s="11">
        <f t="shared" si="7"/>
        <v>3.499999999999992E-2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468570.70259999996</v>
      </c>
      <c r="D64" s="11">
        <v>-0.01</v>
      </c>
      <c r="E64" s="10">
        <f t="shared" si="2"/>
        <v>-4733.0374000000302</v>
      </c>
      <c r="F64" s="3"/>
      <c r="G64" s="28"/>
      <c r="H64" s="10"/>
      <c r="I64" s="10">
        <f t="shared" si="8"/>
        <v>14563</v>
      </c>
      <c r="J64" s="10">
        <f t="shared" si="6"/>
        <v>6823795141.9637995</v>
      </c>
      <c r="K64" s="11">
        <f t="shared" si="7"/>
        <v>-1.0000000000000009E-2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473303.74</v>
      </c>
      <c r="D65" s="11">
        <v>-0.02</v>
      </c>
      <c r="E65" s="10">
        <f t="shared" si="2"/>
        <v>-9659.2600000000093</v>
      </c>
      <c r="F65" s="3"/>
      <c r="G65" s="28"/>
      <c r="H65" s="10"/>
      <c r="I65" s="10">
        <f t="shared" si="8"/>
        <v>14563</v>
      </c>
      <c r="J65" s="10">
        <f t="shared" si="6"/>
        <v>6892722365.6199999</v>
      </c>
      <c r="K65" s="11">
        <f t="shared" si="7"/>
        <v>-2.0000000000000018E-2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482963</v>
      </c>
      <c r="D66" s="11">
        <v>-0.03</v>
      </c>
      <c r="E66" s="10">
        <f t="shared" si="2"/>
        <v>-14937</v>
      </c>
      <c r="F66" s="24">
        <f>SUM(F2)</f>
        <v>1300163</v>
      </c>
      <c r="G66" s="28"/>
      <c r="H66" s="10"/>
      <c r="I66" s="10">
        <f t="shared" si="8"/>
        <v>14563</v>
      </c>
      <c r="J66" s="10">
        <f t="shared" ref="J66:J67" si="9">IF(I66="","",I66*C66)</f>
        <v>7033390169</v>
      </c>
      <c r="K66" s="11">
        <f t="shared" ref="K66" si="10">IFERROR(J66/J67-1,"")</f>
        <v>-3.0000000000000027E-2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497900</v>
      </c>
      <c r="D67" s="11">
        <v>-0.05</v>
      </c>
      <c r="E67" s="3" t="s">
        <v>72</v>
      </c>
      <c r="F67" s="10">
        <f>SUM(C2)</f>
        <v>1300137.5440681532</v>
      </c>
      <c r="G67" s="28"/>
      <c r="H67" s="10"/>
      <c r="I67" s="10">
        <f t="shared" ref="I67" si="11">IF(H67&lt;&gt;"",H67,I66/(1+IF(G66="",0,G66)/100))</f>
        <v>14563</v>
      </c>
      <c r="J67" s="10">
        <f t="shared" si="9"/>
        <v>7250917700</v>
      </c>
      <c r="K67" s="11"/>
    </row>
  </sheetData>
  <dataValidations count="1">
    <dataValidation type="custom" allowBlank="1" showDropDown="1" sqref="D2:D67" xr:uid="{00000000-0002-0000-6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13191993.987316495</v>
      </c>
      <c r="D2" s="11">
        <v>1.38E-2</v>
      </c>
      <c r="E2" s="10">
        <f t="shared" ref="E2:E66" si="2">SUM(C2-C3)</f>
        <v>179571.4312733952</v>
      </c>
      <c r="F2" s="15">
        <v>13705584</v>
      </c>
      <c r="G2" s="28"/>
      <c r="H2" s="10"/>
      <c r="I2" s="10">
        <f>IF(H2&lt;&gt;"",H2,5040)</f>
        <v>5040</v>
      </c>
      <c r="J2" s="10">
        <f t="shared" ref="J2:J33" si="3">IF(I2="","",I2*C2)</f>
        <v>66487649696.075134</v>
      </c>
      <c r="K2" s="11">
        <f t="shared" ref="K2:K33" si="4">IFERROR(J2/J3-1,"")</f>
        <v>1.3800000000000034E-2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13012422.5560431</v>
      </c>
      <c r="D3" s="11">
        <v>1.4200000000000001E-2</v>
      </c>
      <c r="E3" s="10">
        <f t="shared" si="2"/>
        <v>182189.3120644968</v>
      </c>
      <c r="F3" s="3"/>
      <c r="G3" s="28"/>
      <c r="H3" s="10"/>
      <c r="I3" s="10">
        <f t="shared" ref="I3:I34" si="5">IF(H3&lt;&gt;"",H3,I2/(1+IF(G2="",0,G2)/100))</f>
        <v>5040</v>
      </c>
      <c r="J3" s="10">
        <f t="shared" si="3"/>
        <v>65582609682.457222</v>
      </c>
      <c r="K3" s="11">
        <f t="shared" si="4"/>
        <v>1.419999999999999E-2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12830233.243978603</v>
      </c>
      <c r="D4" s="11">
        <v>1.4500000000000001E-2</v>
      </c>
      <c r="E4" s="10">
        <f t="shared" si="2"/>
        <v>183379.38101300038</v>
      </c>
      <c r="F4" s="3"/>
      <c r="G4" s="28"/>
      <c r="H4" s="10"/>
      <c r="I4" s="10">
        <f t="shared" si="5"/>
        <v>5040</v>
      </c>
      <c r="J4" s="10">
        <f t="shared" si="3"/>
        <v>64664375549.652161</v>
      </c>
      <c r="K4" s="11">
        <f t="shared" si="4"/>
        <v>1.4499999999999957E-2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12646853.862965602</v>
      </c>
      <c r="D5" s="11">
        <v>1.4800000000000001E-2</v>
      </c>
      <c r="E5" s="10">
        <f t="shared" si="2"/>
        <v>184443.67084340751</v>
      </c>
      <c r="F5" s="3"/>
      <c r="G5" s="28"/>
      <c r="H5" s="10"/>
      <c r="I5" s="10">
        <f t="shared" si="5"/>
        <v>5040</v>
      </c>
      <c r="J5" s="10">
        <f t="shared" si="3"/>
        <v>63740143469.346634</v>
      </c>
      <c r="K5" s="11">
        <f t="shared" si="4"/>
        <v>1.4799999999999924E-2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12462410.192122195</v>
      </c>
      <c r="D6" s="11">
        <v>1.5100000000000001E-2</v>
      </c>
      <c r="E6" s="10">
        <f t="shared" si="2"/>
        <v>185383.10895581171</v>
      </c>
      <c r="F6" s="3"/>
      <c r="G6" s="28"/>
      <c r="H6" s="10"/>
      <c r="I6" s="10">
        <f t="shared" si="5"/>
        <v>5040</v>
      </c>
      <c r="J6" s="10">
        <f t="shared" si="3"/>
        <v>62810547368.29586</v>
      </c>
      <c r="K6" s="11">
        <f t="shared" si="4"/>
        <v>1.5099999999999891E-2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12277027.083166383</v>
      </c>
      <c r="D7" s="11">
        <v>1.5299999999999999E-2</v>
      </c>
      <c r="E7" s="10">
        <f t="shared" si="2"/>
        <v>185007.89360036142</v>
      </c>
      <c r="F7" s="3"/>
      <c r="G7" s="28"/>
      <c r="H7" s="10"/>
      <c r="I7" s="10">
        <f t="shared" si="5"/>
        <v>5040</v>
      </c>
      <c r="J7" s="10">
        <f t="shared" si="3"/>
        <v>61876216499.158569</v>
      </c>
      <c r="K7" s="11">
        <f t="shared" si="4"/>
        <v>1.5300000000000091E-2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12092019.189566022</v>
      </c>
      <c r="D8" s="11">
        <v>1.5599999999999999E-2</v>
      </c>
      <c r="E8" s="10">
        <f t="shared" si="2"/>
        <v>185737.98676371574</v>
      </c>
      <c r="F8" s="3"/>
      <c r="G8" s="28"/>
      <c r="H8" s="10"/>
      <c r="I8" s="10">
        <f t="shared" si="5"/>
        <v>5040</v>
      </c>
      <c r="J8" s="10">
        <f t="shared" si="3"/>
        <v>60943776715.41275</v>
      </c>
      <c r="K8" s="11">
        <f t="shared" si="4"/>
        <v>1.5600000000000058E-2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11906281.202802306</v>
      </c>
      <c r="D9" s="11">
        <v>1.5800000000000002E-2</v>
      </c>
      <c r="E9" s="10">
        <f t="shared" si="2"/>
        <v>185193.19059290923</v>
      </c>
      <c r="F9" s="3"/>
      <c r="G9" s="28"/>
      <c r="H9" s="10"/>
      <c r="I9" s="10">
        <f t="shared" si="5"/>
        <v>5040</v>
      </c>
      <c r="J9" s="10">
        <f t="shared" si="3"/>
        <v>60007657262.123619</v>
      </c>
      <c r="K9" s="11">
        <f t="shared" si="4"/>
        <v>1.5800000000000036E-2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11721088.012209397</v>
      </c>
      <c r="D10" s="11">
        <v>1.6E-2</v>
      </c>
      <c r="E10" s="10">
        <f t="shared" si="2"/>
        <v>184584.06318440102</v>
      </c>
      <c r="F10" s="3"/>
      <c r="G10" s="28"/>
      <c r="H10" s="10"/>
      <c r="I10" s="10">
        <f t="shared" si="5"/>
        <v>5040</v>
      </c>
      <c r="J10" s="10">
        <f t="shared" si="3"/>
        <v>59074283581.535362</v>
      </c>
      <c r="K10" s="11">
        <f t="shared" si="4"/>
        <v>1.6000000000000236E-2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11536503.949024996</v>
      </c>
      <c r="D11" s="11">
        <v>1.61E-2</v>
      </c>
      <c r="E11" s="10">
        <f t="shared" si="2"/>
        <v>182794.71860968694</v>
      </c>
      <c r="F11" s="3"/>
      <c r="G11" s="28"/>
      <c r="H11" s="10"/>
      <c r="I11" s="10">
        <f t="shared" si="5"/>
        <v>5040</v>
      </c>
      <c r="J11" s="10">
        <f t="shared" si="3"/>
        <v>58143979903.085976</v>
      </c>
      <c r="K11" s="11">
        <f t="shared" si="4"/>
        <v>1.6100000000000003E-2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11353709.230415309</v>
      </c>
      <c r="D12" s="11">
        <v>1.6199999999999999E-2</v>
      </c>
      <c r="E12" s="10">
        <f t="shared" si="2"/>
        <v>180997.92317725718</v>
      </c>
      <c r="F12" s="3"/>
      <c r="G12" s="28"/>
      <c r="H12" s="10"/>
      <c r="I12" s="10">
        <f t="shared" si="5"/>
        <v>5040</v>
      </c>
      <c r="J12" s="10">
        <f t="shared" si="3"/>
        <v>57222694521.293159</v>
      </c>
      <c r="K12" s="11">
        <f t="shared" si="4"/>
        <v>1.6199999999999992E-2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11172711.307238052</v>
      </c>
      <c r="D13" s="11">
        <v>1.6400000000000001E-2</v>
      </c>
      <c r="E13" s="10">
        <f t="shared" si="2"/>
        <v>180275.94002233818</v>
      </c>
      <c r="F13" s="3"/>
      <c r="G13" s="28"/>
      <c r="H13" s="10"/>
      <c r="I13" s="10">
        <f t="shared" si="5"/>
        <v>5040</v>
      </c>
      <c r="J13" s="10">
        <f t="shared" si="3"/>
        <v>56310464988.479782</v>
      </c>
      <c r="K13" s="11">
        <f t="shared" si="4"/>
        <v>1.639999999999997E-2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10992435.367215713</v>
      </c>
      <c r="D14" s="11">
        <v>1.6500000000000001E-2</v>
      </c>
      <c r="E14" s="10">
        <f t="shared" si="2"/>
        <v>178431.07088938355</v>
      </c>
      <c r="F14" s="3"/>
      <c r="G14" s="28"/>
      <c r="H14" s="10"/>
      <c r="I14" s="10">
        <f t="shared" si="5"/>
        <v>5040</v>
      </c>
      <c r="J14" s="10">
        <f t="shared" si="3"/>
        <v>55401874250.767197</v>
      </c>
      <c r="K14" s="11">
        <f t="shared" si="4"/>
        <v>1.6499999999999959E-2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10814004.29632633</v>
      </c>
      <c r="D15" s="11">
        <v>1.67E-2</v>
      </c>
      <c r="E15" s="10">
        <f t="shared" si="2"/>
        <v>177627.49262186326</v>
      </c>
      <c r="F15" s="3"/>
      <c r="G15" s="28"/>
      <c r="H15" s="10"/>
      <c r="I15" s="10">
        <f t="shared" si="5"/>
        <v>5040</v>
      </c>
      <c r="J15" s="10">
        <f t="shared" si="3"/>
        <v>54502581653.484703</v>
      </c>
      <c r="K15" s="11">
        <f t="shared" si="4"/>
        <v>1.6699999999999937E-2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10636376.803704467</v>
      </c>
      <c r="D16" s="11">
        <v>1.7000000000000001E-2</v>
      </c>
      <c r="E16" s="10">
        <f t="shared" si="2"/>
        <v>177795.87577480264</v>
      </c>
      <c r="F16" s="3"/>
      <c r="G16" s="28"/>
      <c r="H16" s="10"/>
      <c r="I16" s="10">
        <f t="shared" si="5"/>
        <v>5040</v>
      </c>
      <c r="J16" s="10">
        <f t="shared" si="3"/>
        <v>53607339090.670509</v>
      </c>
      <c r="K16" s="11">
        <f t="shared" si="4"/>
        <v>1.6999999999999904E-2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10458580.927929664</v>
      </c>
      <c r="D17" s="11">
        <v>1.72E-2</v>
      </c>
      <c r="E17" s="10">
        <f t="shared" si="2"/>
        <v>176845.84345299937</v>
      </c>
      <c r="F17" s="3"/>
      <c r="G17" s="28"/>
      <c r="H17" s="10"/>
      <c r="I17" s="10">
        <f t="shared" si="5"/>
        <v>5040</v>
      </c>
      <c r="J17" s="10">
        <f t="shared" si="3"/>
        <v>52711247876.765503</v>
      </c>
      <c r="K17" s="11">
        <f t="shared" si="4"/>
        <v>1.7200000000000104E-2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10281735.084476665</v>
      </c>
      <c r="D18" s="11">
        <v>1.7500000000000002E-2</v>
      </c>
      <c r="E18" s="10">
        <f t="shared" si="2"/>
        <v>176835.73855365254</v>
      </c>
      <c r="F18" s="3"/>
      <c r="G18" s="28"/>
      <c r="H18" s="10"/>
      <c r="I18" s="10">
        <f t="shared" si="5"/>
        <v>5040</v>
      </c>
      <c r="J18" s="10">
        <f t="shared" si="3"/>
        <v>51819944825.76239</v>
      </c>
      <c r="K18" s="11">
        <f t="shared" si="4"/>
        <v>1.7500000000000071E-2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10104899.345923012</v>
      </c>
      <c r="D19" s="11">
        <v>1.78E-2</v>
      </c>
      <c r="E19" s="10">
        <f t="shared" si="2"/>
        <v>176721.5645091664</v>
      </c>
      <c r="F19" s="3"/>
      <c r="G19" s="28"/>
      <c r="H19" s="10"/>
      <c r="I19" s="10">
        <f t="shared" si="5"/>
        <v>5040</v>
      </c>
      <c r="J19" s="10">
        <f t="shared" si="3"/>
        <v>50928692703.451981</v>
      </c>
      <c r="K19" s="11">
        <f t="shared" si="4"/>
        <v>1.7800000000000038E-2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9928177.7814138457</v>
      </c>
      <c r="D20" s="11">
        <v>1.7999999999999999E-2</v>
      </c>
      <c r="E20" s="10">
        <f t="shared" si="2"/>
        <v>175547.34780495986</v>
      </c>
      <c r="F20" s="3"/>
      <c r="G20" s="28"/>
      <c r="H20" s="10"/>
      <c r="I20" s="10">
        <f t="shared" si="5"/>
        <v>5040</v>
      </c>
      <c r="J20" s="10">
        <f t="shared" si="3"/>
        <v>50038016018.325783</v>
      </c>
      <c r="K20" s="11">
        <f t="shared" si="4"/>
        <v>1.8000000000000016E-2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9752630.4336088859</v>
      </c>
      <c r="D21" s="11">
        <v>1.83E-2</v>
      </c>
      <c r="E21" s="10">
        <f t="shared" si="2"/>
        <v>175265.7732839454</v>
      </c>
      <c r="F21" s="3"/>
      <c r="G21" s="28"/>
      <c r="H21" s="10"/>
      <c r="I21" s="10">
        <f t="shared" si="5"/>
        <v>5040</v>
      </c>
      <c r="J21" s="10">
        <f t="shared" si="3"/>
        <v>49153257385.388786</v>
      </c>
      <c r="K21" s="11">
        <f t="shared" si="4"/>
        <v>1.8299999999999983E-2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9577364.6603249405</v>
      </c>
      <c r="D22" s="11">
        <v>1.8499999999999999E-2</v>
      </c>
      <c r="E22" s="10">
        <f t="shared" si="2"/>
        <v>173962.93197448365</v>
      </c>
      <c r="F22" s="3"/>
      <c r="G22" s="28"/>
      <c r="H22" s="10"/>
      <c r="I22" s="10">
        <f t="shared" si="5"/>
        <v>5040</v>
      </c>
      <c r="J22" s="10">
        <f t="shared" si="3"/>
        <v>48269917888.037697</v>
      </c>
      <c r="K22" s="11">
        <f t="shared" si="4"/>
        <v>1.8499999999999961E-2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9403401.7283504568</v>
      </c>
      <c r="D23" s="11">
        <v>1.8800000000000001E-2</v>
      </c>
      <c r="E23" s="10">
        <f t="shared" si="2"/>
        <v>173521.74371121638</v>
      </c>
      <c r="F23" s="3"/>
      <c r="G23" s="28"/>
      <c r="H23" s="10"/>
      <c r="I23" s="10">
        <f t="shared" si="5"/>
        <v>5040</v>
      </c>
      <c r="J23" s="10">
        <f t="shared" si="3"/>
        <v>47393144710.886299</v>
      </c>
      <c r="K23" s="11">
        <f t="shared" si="4"/>
        <v>1.8799999999999706E-2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9229879.9846392404</v>
      </c>
      <c r="D24" s="11">
        <v>1.9099999999999999E-2</v>
      </c>
      <c r="E24" s="10">
        <f t="shared" si="2"/>
        <v>172986.6624537427</v>
      </c>
      <c r="F24" s="3"/>
      <c r="G24" s="28"/>
      <c r="H24" s="10"/>
      <c r="I24" s="10">
        <f t="shared" si="5"/>
        <v>5040</v>
      </c>
      <c r="J24" s="10">
        <f t="shared" si="3"/>
        <v>46518595122.581772</v>
      </c>
      <c r="K24" s="11">
        <f t="shared" si="4"/>
        <v>1.9099999999999895E-2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9056893.3221854977</v>
      </c>
      <c r="D25" s="11">
        <v>1.9400000000000001E-2</v>
      </c>
      <c r="E25" s="10">
        <f t="shared" si="2"/>
        <v>172359.94746949151</v>
      </c>
      <c r="F25" s="3"/>
      <c r="G25" s="28"/>
      <c r="H25" s="10"/>
      <c r="I25" s="10">
        <f t="shared" si="5"/>
        <v>5040</v>
      </c>
      <c r="J25" s="10">
        <f t="shared" si="3"/>
        <v>45646742343.814911</v>
      </c>
      <c r="K25" s="11">
        <f t="shared" si="4"/>
        <v>1.9400000000000084E-2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8884533.3747160062</v>
      </c>
      <c r="D26" s="11">
        <v>1.9800000000000002E-2</v>
      </c>
      <c r="E26" s="10">
        <f t="shared" si="2"/>
        <v>172498.29458656348</v>
      </c>
      <c r="F26" s="3"/>
      <c r="G26" s="28"/>
      <c r="H26" s="10"/>
      <c r="I26" s="10">
        <f t="shared" si="5"/>
        <v>5040</v>
      </c>
      <c r="J26" s="10">
        <f t="shared" si="3"/>
        <v>44778048208.568672</v>
      </c>
      <c r="K26" s="11">
        <f t="shared" si="4"/>
        <v>1.980000000000004E-2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8712035.0801294427</v>
      </c>
      <c r="D27" s="11">
        <v>2.01E-2</v>
      </c>
      <c r="E27" s="10">
        <f t="shared" si="2"/>
        <v>171661.50878404267</v>
      </c>
      <c r="F27" s="3"/>
      <c r="G27" s="28"/>
      <c r="H27" s="10"/>
      <c r="I27" s="10">
        <f t="shared" si="5"/>
        <v>5040</v>
      </c>
      <c r="J27" s="10">
        <f t="shared" si="3"/>
        <v>43908656803.852394</v>
      </c>
      <c r="K27" s="11">
        <f t="shared" si="4"/>
        <v>2.0100000000000007E-2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8540373.5713454001</v>
      </c>
      <c r="D28" s="11">
        <v>2.0400000000000001E-2</v>
      </c>
      <c r="E28" s="10">
        <f t="shared" si="2"/>
        <v>170740.51436245255</v>
      </c>
      <c r="F28" s="3"/>
      <c r="G28" s="28"/>
      <c r="H28" s="10"/>
      <c r="I28" s="10">
        <f t="shared" si="5"/>
        <v>5040</v>
      </c>
      <c r="J28" s="10">
        <f t="shared" si="3"/>
        <v>43043482799.580818</v>
      </c>
      <c r="K28" s="11">
        <f t="shared" si="4"/>
        <v>2.0400000000000196E-2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8369633.0569829475</v>
      </c>
      <c r="D29" s="11">
        <v>2.0899999999999998E-2</v>
      </c>
      <c r="E29" s="10">
        <f t="shared" si="2"/>
        <v>171344.23635120317</v>
      </c>
      <c r="F29" s="3"/>
      <c r="G29" s="28"/>
      <c r="H29" s="10"/>
      <c r="I29" s="10">
        <f t="shared" si="5"/>
        <v>5040</v>
      </c>
      <c r="J29" s="10">
        <f t="shared" si="3"/>
        <v>42182950607.194054</v>
      </c>
      <c r="K29" s="11">
        <f t="shared" si="4"/>
        <v>2.0899999999999919E-2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8198288.8206317443</v>
      </c>
      <c r="D30" s="11">
        <v>2.1399999999999999E-2</v>
      </c>
      <c r="E30" s="10">
        <f t="shared" si="2"/>
        <v>171767.55508274958</v>
      </c>
      <c r="F30" s="3"/>
      <c r="G30" s="28"/>
      <c r="H30" s="10"/>
      <c r="I30" s="10">
        <f t="shared" si="5"/>
        <v>5040</v>
      </c>
      <c r="J30" s="10">
        <f t="shared" si="3"/>
        <v>41319375655.983994</v>
      </c>
      <c r="K30" s="11">
        <f t="shared" si="4"/>
        <v>2.1400000000000086E-2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8026521.2655489948</v>
      </c>
      <c r="D31" s="11">
        <v>2.1999999999999999E-2</v>
      </c>
      <c r="E31" s="10">
        <f t="shared" si="2"/>
        <v>172782.25816250313</v>
      </c>
      <c r="F31" s="3"/>
      <c r="G31" s="28"/>
      <c r="H31" s="10"/>
      <c r="I31" s="10">
        <f t="shared" si="5"/>
        <v>5040</v>
      </c>
      <c r="J31" s="10">
        <f t="shared" si="3"/>
        <v>40453667178.366936</v>
      </c>
      <c r="K31" s="11">
        <f t="shared" si="4"/>
        <v>2.200000000000002E-2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7853739.0073864916</v>
      </c>
      <c r="D32" s="11">
        <v>2.2800000000000001E-2</v>
      </c>
      <c r="E32" s="10">
        <f t="shared" si="2"/>
        <v>175073.57192844339</v>
      </c>
      <c r="F32" s="3"/>
      <c r="G32" s="28"/>
      <c r="H32" s="10"/>
      <c r="I32" s="10">
        <f t="shared" si="5"/>
        <v>5040</v>
      </c>
      <c r="J32" s="10">
        <f t="shared" si="3"/>
        <v>39582844597.227921</v>
      </c>
      <c r="K32" s="11">
        <f t="shared" si="4"/>
        <v>2.2799999999999931E-2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7678665.4354580482</v>
      </c>
      <c r="D33" s="11">
        <v>2.3400000000000001E-2</v>
      </c>
      <c r="E33" s="10">
        <f t="shared" si="2"/>
        <v>175572.37755493354</v>
      </c>
      <c r="F33" s="3"/>
      <c r="G33" s="28"/>
      <c r="H33" s="10"/>
      <c r="I33" s="10">
        <f t="shared" si="5"/>
        <v>5040</v>
      </c>
      <c r="J33" s="10">
        <f t="shared" si="3"/>
        <v>38700473794.708565</v>
      </c>
      <c r="K33" s="11">
        <f t="shared" si="4"/>
        <v>2.3400000000000309E-2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7503093.0579031147</v>
      </c>
      <c r="D34" s="11">
        <v>2.3599999999999999E-2</v>
      </c>
      <c r="E34" s="10">
        <f t="shared" si="2"/>
        <v>172990.42220253404</v>
      </c>
      <c r="F34" s="3"/>
      <c r="G34" s="28"/>
      <c r="H34" s="10"/>
      <c r="I34" s="10">
        <f t="shared" si="5"/>
        <v>5040</v>
      </c>
      <c r="J34" s="10">
        <f t="shared" ref="J34:J65" si="6">IF(I34="","",I34*C34)</f>
        <v>37815589011.831696</v>
      </c>
      <c r="K34" s="11">
        <f t="shared" ref="K34:K65" si="7">IFERROR(J34/J35-1,"")</f>
        <v>2.3600000000000065E-2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7330102.6357005807</v>
      </c>
      <c r="D35" s="11">
        <v>2.3400000000000001E-2</v>
      </c>
      <c r="E35" s="10">
        <f t="shared" si="2"/>
        <v>167602.5031027887</v>
      </c>
      <c r="F35" s="3"/>
      <c r="G35" s="28"/>
      <c r="H35" s="10"/>
      <c r="I35" s="10">
        <f t="shared" ref="I35:I66" si="8">IF(H35&lt;&gt;"",H35,I34/(1+IF(G34="",0,G34)/100))</f>
        <v>5040</v>
      </c>
      <c r="J35" s="10">
        <f t="shared" si="6"/>
        <v>36943717283.930923</v>
      </c>
      <c r="K35" s="11">
        <f t="shared" si="7"/>
        <v>2.3400000000000087E-2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7162500.132597792</v>
      </c>
      <c r="D36" s="11">
        <v>2.2800000000000001E-2</v>
      </c>
      <c r="E36" s="10">
        <f t="shared" si="2"/>
        <v>159664.6490254486</v>
      </c>
      <c r="F36" s="3"/>
      <c r="G36" s="28"/>
      <c r="H36" s="10"/>
      <c r="I36" s="10">
        <f t="shared" si="8"/>
        <v>5040</v>
      </c>
      <c r="J36" s="10">
        <f t="shared" si="6"/>
        <v>36099000668.29287</v>
      </c>
      <c r="K36" s="11">
        <f t="shared" si="7"/>
        <v>2.2799999999999709E-2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7002835.4835723434</v>
      </c>
      <c r="D37" s="11">
        <v>2.1999999999999999E-2</v>
      </c>
      <c r="E37" s="10">
        <f t="shared" si="2"/>
        <v>150745.96931369044</v>
      </c>
      <c r="F37" s="3"/>
      <c r="G37" s="28"/>
      <c r="H37" s="10"/>
      <c r="I37" s="10">
        <f t="shared" si="8"/>
        <v>5040</v>
      </c>
      <c r="J37" s="10">
        <f t="shared" si="6"/>
        <v>35294290837.204613</v>
      </c>
      <c r="K37" s="11">
        <f t="shared" si="7"/>
        <v>2.200000000000002E-2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6852089.5142586529</v>
      </c>
      <c r="D38" s="11">
        <v>2.1299999999999999E-2</v>
      </c>
      <c r="E38" s="10">
        <f t="shared" si="2"/>
        <v>142905.61701136827</v>
      </c>
      <c r="F38" s="3"/>
      <c r="G38" s="28"/>
      <c r="H38" s="10"/>
      <c r="I38" s="10">
        <f t="shared" si="8"/>
        <v>5040</v>
      </c>
      <c r="J38" s="10">
        <f t="shared" si="6"/>
        <v>34534531151.863609</v>
      </c>
      <c r="K38" s="11">
        <f t="shared" si="7"/>
        <v>2.1300000000000097E-2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6709183.8972472847</v>
      </c>
      <c r="D39" s="11">
        <v>2.0500000000000001E-2</v>
      </c>
      <c r="E39" s="10">
        <f t="shared" si="2"/>
        <v>134775.37471197359</v>
      </c>
      <c r="F39" s="3"/>
      <c r="G39" s="28"/>
      <c r="H39" s="10"/>
      <c r="I39" s="10">
        <f t="shared" si="8"/>
        <v>5040</v>
      </c>
      <c r="J39" s="10">
        <f t="shared" si="6"/>
        <v>33814286842.126316</v>
      </c>
      <c r="K39" s="11">
        <f t="shared" si="7"/>
        <v>2.0499999999999963E-2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6574408.5225353111</v>
      </c>
      <c r="D40" s="11">
        <v>1.9599999999999999E-2</v>
      </c>
      <c r="E40" s="10">
        <f t="shared" si="2"/>
        <v>126381.33291652892</v>
      </c>
      <c r="F40" s="3"/>
      <c r="G40" s="28"/>
      <c r="H40" s="10"/>
      <c r="I40" s="10">
        <f t="shared" si="8"/>
        <v>5040</v>
      </c>
      <c r="J40" s="10">
        <f t="shared" si="6"/>
        <v>33135018953.577969</v>
      </c>
      <c r="K40" s="11">
        <f t="shared" si="7"/>
        <v>1.9600000000000062E-2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6448027.1896187821</v>
      </c>
      <c r="D41" s="11">
        <v>1.89E-2</v>
      </c>
      <c r="E41" s="10">
        <f t="shared" si="2"/>
        <v>119607.13895749766</v>
      </c>
      <c r="F41" s="3"/>
      <c r="G41" s="28"/>
      <c r="H41" s="10"/>
      <c r="I41" s="10">
        <f t="shared" si="8"/>
        <v>5040</v>
      </c>
      <c r="J41" s="10">
        <f t="shared" si="6"/>
        <v>32498057035.678661</v>
      </c>
      <c r="K41" s="11">
        <f t="shared" si="7"/>
        <v>1.8899999999999917E-2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6328420.0506612845</v>
      </c>
      <c r="D42" s="11">
        <v>1.7999999999999999E-2</v>
      </c>
      <c r="E42" s="10">
        <f t="shared" si="2"/>
        <v>111897.40757554304</v>
      </c>
      <c r="F42" s="3"/>
      <c r="G42" s="28"/>
      <c r="H42" s="10"/>
      <c r="I42" s="10">
        <f t="shared" si="8"/>
        <v>5040</v>
      </c>
      <c r="J42" s="10">
        <f t="shared" si="6"/>
        <v>31895237055.332874</v>
      </c>
      <c r="K42" s="11">
        <f t="shared" si="7"/>
        <v>1.8000000000000016E-2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6216522.6430857414</v>
      </c>
      <c r="D43" s="11">
        <v>1.72E-2</v>
      </c>
      <c r="E43" s="10">
        <f t="shared" si="2"/>
        <v>105116.19097628351</v>
      </c>
      <c r="F43" s="3"/>
      <c r="G43" s="28"/>
      <c r="H43" s="10"/>
      <c r="I43" s="10">
        <f t="shared" si="8"/>
        <v>5040</v>
      </c>
      <c r="J43" s="10">
        <f t="shared" si="6"/>
        <v>31331274121.152138</v>
      </c>
      <c r="K43" s="11">
        <f t="shared" si="7"/>
        <v>1.7200000000000104E-2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6111406.4521094579</v>
      </c>
      <c r="D44" s="11">
        <v>1.67E-2</v>
      </c>
      <c r="E44" s="10">
        <f t="shared" si="2"/>
        <v>100384.07371911872</v>
      </c>
      <c r="F44" s="3"/>
      <c r="G44" s="28"/>
      <c r="H44" s="10"/>
      <c r="I44" s="10">
        <f t="shared" si="8"/>
        <v>5040</v>
      </c>
      <c r="J44" s="10">
        <f t="shared" si="6"/>
        <v>30801488518.631668</v>
      </c>
      <c r="K44" s="11">
        <f t="shared" si="7"/>
        <v>1.6699999999999937E-2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6011022.3783903392</v>
      </c>
      <c r="D45" s="11">
        <v>1.67E-2</v>
      </c>
      <c r="E45" s="10">
        <f t="shared" si="2"/>
        <v>98735.195946807042</v>
      </c>
      <c r="F45" s="3"/>
      <c r="G45" s="28"/>
      <c r="H45" s="10"/>
      <c r="I45" s="10">
        <f t="shared" si="8"/>
        <v>5040</v>
      </c>
      <c r="J45" s="10">
        <f t="shared" si="6"/>
        <v>30295552787.087311</v>
      </c>
      <c r="K45" s="11">
        <f t="shared" si="7"/>
        <v>1.6699999999999937E-2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5912287.1824435322</v>
      </c>
      <c r="D46" s="11">
        <v>1.72E-2</v>
      </c>
      <c r="E46" s="10">
        <f t="shared" si="2"/>
        <v>99971.824162435718</v>
      </c>
      <c r="F46" s="3"/>
      <c r="G46" s="28"/>
      <c r="H46" s="10"/>
      <c r="I46" s="10">
        <f t="shared" si="8"/>
        <v>5040</v>
      </c>
      <c r="J46" s="10">
        <f t="shared" si="6"/>
        <v>29797927399.515404</v>
      </c>
      <c r="K46" s="11">
        <f t="shared" si="7"/>
        <v>1.7200000000000326E-2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5812315.3582810964</v>
      </c>
      <c r="D47" s="11">
        <v>1.78E-2</v>
      </c>
      <c r="E47" s="10">
        <f t="shared" si="2"/>
        <v>101649.84611652978</v>
      </c>
      <c r="F47" s="3"/>
      <c r="G47" s="28"/>
      <c r="H47" s="10"/>
      <c r="I47" s="10">
        <f t="shared" si="8"/>
        <v>5040</v>
      </c>
      <c r="J47" s="10">
        <f t="shared" si="6"/>
        <v>29294069405.736725</v>
      </c>
      <c r="K47" s="11">
        <f t="shared" si="7"/>
        <v>1.7800000000000038E-2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5710665.5121645667</v>
      </c>
      <c r="D48" s="11">
        <v>1.84E-2</v>
      </c>
      <c r="E48" s="10">
        <f t="shared" si="2"/>
        <v>103177.77437532227</v>
      </c>
      <c r="F48" s="3"/>
      <c r="G48" s="28"/>
      <c r="H48" s="10"/>
      <c r="I48" s="10">
        <f t="shared" si="8"/>
        <v>5040</v>
      </c>
      <c r="J48" s="10">
        <f t="shared" si="6"/>
        <v>28781754181.309418</v>
      </c>
      <c r="K48" s="11">
        <f t="shared" si="7"/>
        <v>1.8400000000000194E-2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5607487.7377892444</v>
      </c>
      <c r="D49" s="11">
        <v>1.89E-2</v>
      </c>
      <c r="E49" s="10">
        <f t="shared" si="2"/>
        <v>104015.62297008187</v>
      </c>
      <c r="F49" s="3"/>
      <c r="G49" s="28"/>
      <c r="H49" s="10"/>
      <c r="I49" s="10">
        <f t="shared" si="8"/>
        <v>5040</v>
      </c>
      <c r="J49" s="10">
        <f t="shared" si="6"/>
        <v>28261738198.45779</v>
      </c>
      <c r="K49" s="11">
        <f t="shared" si="7"/>
        <v>1.8899999999999917E-2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5503472.1148191625</v>
      </c>
      <c r="D50" s="11">
        <v>1.9199999999999998E-2</v>
      </c>
      <c r="E50" s="10">
        <f t="shared" si="2"/>
        <v>103676.08379565179</v>
      </c>
      <c r="F50" s="3"/>
      <c r="G50" s="28"/>
      <c r="H50" s="10"/>
      <c r="I50" s="10">
        <f t="shared" si="8"/>
        <v>5040</v>
      </c>
      <c r="J50" s="10">
        <f t="shared" si="6"/>
        <v>27737499458.68858</v>
      </c>
      <c r="K50" s="11">
        <f t="shared" si="7"/>
        <v>1.9200000000000106E-2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5399796.0310235107</v>
      </c>
      <c r="D51" s="11">
        <v>1.9199999999999998E-2</v>
      </c>
      <c r="E51" s="10">
        <f t="shared" si="2"/>
        <v>101723.00215428974</v>
      </c>
      <c r="F51" s="3"/>
      <c r="G51" s="28"/>
      <c r="H51" s="10"/>
      <c r="I51" s="10">
        <f t="shared" si="8"/>
        <v>5040</v>
      </c>
      <c r="J51" s="10">
        <f t="shared" si="6"/>
        <v>27214971996.358494</v>
      </c>
      <c r="K51" s="11">
        <f t="shared" si="7"/>
        <v>1.9200000000000106E-2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5298073.028869221</v>
      </c>
      <c r="D52" s="11">
        <v>1.9199999999999998E-2</v>
      </c>
      <c r="E52" s="10">
        <f t="shared" si="2"/>
        <v>99806.71325970348</v>
      </c>
      <c r="F52" s="3"/>
      <c r="G52" s="28"/>
      <c r="H52" s="10"/>
      <c r="I52" s="10">
        <f t="shared" si="8"/>
        <v>5040</v>
      </c>
      <c r="J52" s="10">
        <f t="shared" si="6"/>
        <v>26702288065.500874</v>
      </c>
      <c r="K52" s="11">
        <f t="shared" si="7"/>
        <v>1.9200000000000106E-2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5198266.3156095175</v>
      </c>
      <c r="D53" s="11">
        <v>1.9300000000000001E-2</v>
      </c>
      <c r="E53" s="10">
        <f t="shared" si="2"/>
        <v>98426.900707607158</v>
      </c>
      <c r="F53" s="3"/>
      <c r="G53" s="28"/>
      <c r="H53" s="10"/>
      <c r="I53" s="10">
        <f t="shared" si="8"/>
        <v>5040</v>
      </c>
      <c r="J53" s="10">
        <f t="shared" si="6"/>
        <v>26199262230.671967</v>
      </c>
      <c r="K53" s="11">
        <f t="shared" si="7"/>
        <v>1.9299999999999873E-2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5099839.4149019103</v>
      </c>
      <c r="D54" s="11">
        <v>1.9400000000000001E-2</v>
      </c>
      <c r="E54" s="10">
        <f t="shared" si="2"/>
        <v>97054.036344023421</v>
      </c>
      <c r="F54" s="3"/>
      <c r="G54" s="28"/>
      <c r="H54" s="10"/>
      <c r="I54" s="10">
        <f t="shared" si="8"/>
        <v>5040</v>
      </c>
      <c r="J54" s="10">
        <f t="shared" si="6"/>
        <v>25703190651.105629</v>
      </c>
      <c r="K54" s="11">
        <f t="shared" si="7"/>
        <v>1.9400000000000084E-2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5002785.3785578869</v>
      </c>
      <c r="D55" s="11">
        <v>1.9400000000000001E-2</v>
      </c>
      <c r="E55" s="10">
        <f t="shared" si="2"/>
        <v>95207.020153054036</v>
      </c>
      <c r="F55" s="3"/>
      <c r="G55" s="28"/>
      <c r="H55" s="10"/>
      <c r="I55" s="10">
        <f t="shared" si="8"/>
        <v>5040</v>
      </c>
      <c r="J55" s="10">
        <f t="shared" si="6"/>
        <v>25214038307.931751</v>
      </c>
      <c r="K55" s="11">
        <f t="shared" si="7"/>
        <v>1.9400000000000084E-2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4907578.3584048329</v>
      </c>
      <c r="D56" s="11">
        <v>1.9400000000000001E-2</v>
      </c>
      <c r="E56" s="10">
        <f t="shared" si="2"/>
        <v>93395.154162305407</v>
      </c>
      <c r="F56" s="3"/>
      <c r="G56" s="28"/>
      <c r="H56" s="10"/>
      <c r="I56" s="10">
        <f t="shared" si="8"/>
        <v>5040</v>
      </c>
      <c r="J56" s="10">
        <f t="shared" si="6"/>
        <v>24734194926.360359</v>
      </c>
      <c r="K56" s="11">
        <f t="shared" si="7"/>
        <v>1.9400000000000084E-2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4814183.2042425275</v>
      </c>
      <c r="D57" s="11">
        <v>1.9E-2</v>
      </c>
      <c r="E57" s="10">
        <f t="shared" si="2"/>
        <v>89763.965535433963</v>
      </c>
      <c r="F57" s="3"/>
      <c r="G57" s="28"/>
      <c r="H57" s="10"/>
      <c r="I57" s="10">
        <f t="shared" si="8"/>
        <v>5040</v>
      </c>
      <c r="J57" s="10">
        <f t="shared" si="6"/>
        <v>24263483349.382339</v>
      </c>
      <c r="K57" s="11">
        <f t="shared" si="7"/>
        <v>1.8999999999999906E-2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4724419.2387070935</v>
      </c>
      <c r="D58" s="11">
        <v>1.9E-2</v>
      </c>
      <c r="E58" s="10">
        <f t="shared" si="2"/>
        <v>88090.250770789571</v>
      </c>
      <c r="F58" s="3"/>
      <c r="G58" s="28"/>
      <c r="H58" s="10"/>
      <c r="I58" s="10">
        <f t="shared" si="8"/>
        <v>5040</v>
      </c>
      <c r="J58" s="10">
        <f t="shared" si="6"/>
        <v>23811072963.083752</v>
      </c>
      <c r="K58" s="11">
        <f t="shared" si="7"/>
        <v>1.9000000000000128E-2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4636328.987936304</v>
      </c>
      <c r="D59" s="11">
        <v>1.9E-2</v>
      </c>
      <c r="E59" s="10">
        <f t="shared" si="2"/>
        <v>86447.743641599081</v>
      </c>
      <c r="F59" s="3"/>
      <c r="G59" s="28"/>
      <c r="H59" s="10"/>
      <c r="I59" s="10">
        <f t="shared" si="8"/>
        <v>5040</v>
      </c>
      <c r="J59" s="10">
        <f t="shared" si="6"/>
        <v>23367098099.198971</v>
      </c>
      <c r="K59" s="11">
        <f t="shared" si="7"/>
        <v>1.8999999999999906E-2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4549881.2442947049</v>
      </c>
      <c r="D60" s="11">
        <v>1.9E-2</v>
      </c>
      <c r="E60" s="10">
        <f t="shared" si="2"/>
        <v>84835.86225868389</v>
      </c>
      <c r="F60" s="3"/>
      <c r="G60" s="28"/>
      <c r="H60" s="10"/>
      <c r="I60" s="10">
        <f t="shared" si="8"/>
        <v>5040</v>
      </c>
      <c r="J60" s="10">
        <f t="shared" si="6"/>
        <v>22931401471.245312</v>
      </c>
      <c r="K60" s="11">
        <f t="shared" si="7"/>
        <v>1.8999999999999906E-2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4465045.382036021</v>
      </c>
      <c r="D61" s="11">
        <v>1.9E-2</v>
      </c>
      <c r="E61" s="10">
        <f t="shared" si="2"/>
        <v>83254.035582614131</v>
      </c>
      <c r="F61" s="3"/>
      <c r="G61" s="28"/>
      <c r="H61" s="10"/>
      <c r="I61" s="10">
        <f t="shared" si="8"/>
        <v>5040</v>
      </c>
      <c r="J61" s="10">
        <f t="shared" si="6"/>
        <v>22503828725.461544</v>
      </c>
      <c r="K61" s="11">
        <f t="shared" si="7"/>
        <v>1.8999999999999684E-2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4381791.3464534068</v>
      </c>
      <c r="D62" s="11">
        <v>1.9E-2</v>
      </c>
      <c r="E62" s="10">
        <f t="shared" si="2"/>
        <v>81701.703221407719</v>
      </c>
      <c r="F62" s="3"/>
      <c r="G62" s="28"/>
      <c r="H62" s="10"/>
      <c r="I62" s="10">
        <f t="shared" si="8"/>
        <v>5040</v>
      </c>
      <c r="J62" s="10">
        <f t="shared" si="6"/>
        <v>22084228386.125172</v>
      </c>
      <c r="K62" s="11">
        <f t="shared" si="7"/>
        <v>1.9000000000000128E-2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4300089.6432319991</v>
      </c>
      <c r="D63" s="11">
        <v>1.9E-2</v>
      </c>
      <c r="E63" s="10">
        <f t="shared" si="2"/>
        <v>80178.315231999382</v>
      </c>
      <c r="F63" s="3"/>
      <c r="G63" s="28"/>
      <c r="H63" s="10"/>
      <c r="I63" s="10">
        <f t="shared" si="8"/>
        <v>5040</v>
      </c>
      <c r="J63" s="10">
        <f t="shared" si="6"/>
        <v>21672451801.889275</v>
      </c>
      <c r="K63" s="11">
        <f t="shared" si="7"/>
        <v>1.8999999999999906E-2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4219911.3279999997</v>
      </c>
      <c r="D64" s="11">
        <v>1.7999999999999999E-2</v>
      </c>
      <c r="E64" s="10">
        <f t="shared" si="2"/>
        <v>74615.327999999747</v>
      </c>
      <c r="F64" s="3"/>
      <c r="G64" s="28"/>
      <c r="H64" s="10"/>
      <c r="I64" s="10">
        <f t="shared" si="8"/>
        <v>5040</v>
      </c>
      <c r="J64" s="10">
        <f t="shared" si="6"/>
        <v>21268353093.119999</v>
      </c>
      <c r="K64" s="11">
        <f t="shared" si="7"/>
        <v>1.8000000000000016E-2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4145296</v>
      </c>
      <c r="D65" s="11">
        <v>1.7999999999999999E-2</v>
      </c>
      <c r="E65" s="10">
        <f t="shared" si="2"/>
        <v>73296</v>
      </c>
      <c r="F65" s="3"/>
      <c r="G65" s="28"/>
      <c r="H65" s="10"/>
      <c r="I65" s="10">
        <f t="shared" si="8"/>
        <v>5040</v>
      </c>
      <c r="J65" s="10">
        <f t="shared" si="6"/>
        <v>20892291840</v>
      </c>
      <c r="K65" s="11">
        <f t="shared" si="7"/>
        <v>1.8000000000000016E-2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4072000</v>
      </c>
      <c r="D66" s="11">
        <v>1.7999999999999999E-2</v>
      </c>
      <c r="E66" s="10">
        <f t="shared" si="2"/>
        <v>72000</v>
      </c>
      <c r="F66" s="24">
        <f>SUM(F2)</f>
        <v>13705584</v>
      </c>
      <c r="G66" s="28"/>
      <c r="H66" s="10"/>
      <c r="I66" s="10">
        <f t="shared" si="8"/>
        <v>5040</v>
      </c>
      <c r="J66" s="10">
        <f t="shared" ref="J66:J67" si="9">IF(I66="","",I66*C66)</f>
        <v>20522880000</v>
      </c>
      <c r="K66" s="11">
        <f t="shared" ref="K66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4000000</v>
      </c>
      <c r="D67" s="11">
        <v>1.7000000000000001E-2</v>
      </c>
      <c r="E67" s="3" t="s">
        <v>72</v>
      </c>
      <c r="F67" s="10">
        <f>SUM(C2)</f>
        <v>13191993.987316495</v>
      </c>
      <c r="G67" s="28"/>
      <c r="H67" s="10"/>
      <c r="I67" s="10">
        <f t="shared" ref="I67" si="11">IF(H67&lt;&gt;"",H67,I66/(1+IF(G66="",0,G66)/100))</f>
        <v>5040</v>
      </c>
      <c r="J67" s="10">
        <f t="shared" si="9"/>
        <v>20160000000</v>
      </c>
      <c r="K67" s="11"/>
    </row>
  </sheetData>
  <dataValidations count="1">
    <dataValidation type="custom" allowBlank="1" showDropDown="1" sqref="D2:D67" xr:uid="{00000000-0002-0000-6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88058371.691850409</v>
      </c>
      <c r="D2" s="11">
        <v>2.5399999999999999E-2</v>
      </c>
      <c r="E2" s="10">
        <f t="shared" ref="E2:E66" si="2">SUM(C2-C3)</f>
        <v>2181278.1753198802</v>
      </c>
      <c r="F2" s="15">
        <v>88057485</v>
      </c>
      <c r="G2" s="28"/>
      <c r="H2" s="10"/>
      <c r="I2" s="10">
        <f>IF(H2&lt;&gt;"",H2,2560)</f>
        <v>2560</v>
      </c>
      <c r="J2" s="10">
        <f t="shared" ref="J2:J33" si="3">IF(I2="","",I2*C2)</f>
        <v>225429431531.13705</v>
      </c>
      <c r="K2" s="11">
        <f t="shared" ref="K2:K33" si="4">IFERROR(J2/J3-1,"")</f>
        <v>2.5400000000000089E-2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85877093.516530529</v>
      </c>
      <c r="D3" s="11">
        <v>2.64E-2</v>
      </c>
      <c r="E3" s="10">
        <f t="shared" si="2"/>
        <v>2208841.8441508263</v>
      </c>
      <c r="F3" s="3"/>
      <c r="G3" s="28"/>
      <c r="H3" s="10"/>
      <c r="I3" s="10">
        <f t="shared" ref="I3:I34" si="5">IF(H3&lt;&gt;"",H3,I2/(1+IF(G2="",0,G2)/100))</f>
        <v>2560</v>
      </c>
      <c r="J3" s="10">
        <f t="shared" si="3"/>
        <v>219845359402.31815</v>
      </c>
      <c r="K3" s="11">
        <f t="shared" si="4"/>
        <v>2.6399999999999979E-2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83668251.672379702</v>
      </c>
      <c r="D4" s="11">
        <v>2.7099999999999999E-2</v>
      </c>
      <c r="E4" s="10">
        <f t="shared" si="2"/>
        <v>2207584.0914433599</v>
      </c>
      <c r="F4" s="3"/>
      <c r="G4" s="28"/>
      <c r="H4" s="10"/>
      <c r="I4" s="10">
        <f t="shared" si="5"/>
        <v>2560</v>
      </c>
      <c r="J4" s="10">
        <f t="shared" si="3"/>
        <v>214190724281.29205</v>
      </c>
      <c r="K4" s="11">
        <f t="shared" si="4"/>
        <v>2.7099999999999902E-2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81460667.580936342</v>
      </c>
      <c r="D5" s="11">
        <v>2.7699999999999999E-2</v>
      </c>
      <c r="E5" s="10">
        <f t="shared" si="2"/>
        <v>2195641.2299230695</v>
      </c>
      <c r="F5" s="3"/>
      <c r="G5" s="28"/>
      <c r="H5" s="10"/>
      <c r="I5" s="10">
        <f t="shared" si="5"/>
        <v>2560</v>
      </c>
      <c r="J5" s="10">
        <f t="shared" si="3"/>
        <v>208539309007.19702</v>
      </c>
      <c r="K5" s="11">
        <f t="shared" si="4"/>
        <v>2.7699999999999836E-2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79265026.351013273</v>
      </c>
      <c r="D6" s="11">
        <v>2.8000000000000001E-2</v>
      </c>
      <c r="E6" s="10">
        <f t="shared" si="2"/>
        <v>2158969.5893272161</v>
      </c>
      <c r="F6" s="3"/>
      <c r="G6" s="28"/>
      <c r="H6" s="10"/>
      <c r="I6" s="10">
        <f t="shared" si="5"/>
        <v>2560</v>
      </c>
      <c r="J6" s="10">
        <f t="shared" si="3"/>
        <v>202918467458.59399</v>
      </c>
      <c r="K6" s="11">
        <f t="shared" si="4"/>
        <v>2.8000000000000025E-2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77106056.761686057</v>
      </c>
      <c r="D7" s="11">
        <v>2.8000000000000001E-2</v>
      </c>
      <c r="E7" s="10">
        <f t="shared" si="2"/>
        <v>2100164.9701626599</v>
      </c>
      <c r="F7" s="3"/>
      <c r="G7" s="28"/>
      <c r="H7" s="10"/>
      <c r="I7" s="10">
        <f t="shared" si="5"/>
        <v>2560</v>
      </c>
      <c r="J7" s="10">
        <f t="shared" si="3"/>
        <v>197391505309.91632</v>
      </c>
      <c r="K7" s="11">
        <f t="shared" si="4"/>
        <v>2.8000000000000247E-2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75005891.791523397</v>
      </c>
      <c r="D8" s="11">
        <v>2.7900000000000001E-2</v>
      </c>
      <c r="E8" s="10">
        <f t="shared" si="2"/>
        <v>2035863.781480208</v>
      </c>
      <c r="F8" s="3"/>
      <c r="G8" s="28"/>
      <c r="H8" s="10"/>
      <c r="I8" s="10">
        <f t="shared" si="5"/>
        <v>2560</v>
      </c>
      <c r="J8" s="10">
        <f t="shared" si="3"/>
        <v>192015082986.2999</v>
      </c>
      <c r="K8" s="11">
        <f t="shared" si="4"/>
        <v>2.7900000000000036E-2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72970028.010043189</v>
      </c>
      <c r="D9" s="11">
        <v>2.7799999999999998E-2</v>
      </c>
      <c r="E9" s="10">
        <f t="shared" si="2"/>
        <v>1973697.9749749005</v>
      </c>
      <c r="F9" s="3"/>
      <c r="G9" s="28"/>
      <c r="H9" s="10"/>
      <c r="I9" s="10">
        <f t="shared" si="5"/>
        <v>2560</v>
      </c>
      <c r="J9" s="10">
        <f t="shared" si="3"/>
        <v>186803271705.71057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70996330.035068288</v>
      </c>
      <c r="D10" s="11">
        <v>2.7699999999999999E-2</v>
      </c>
      <c r="E10" s="10">
        <f t="shared" si="2"/>
        <v>1913591.8477876782</v>
      </c>
      <c r="F10" s="3"/>
      <c r="G10" s="28"/>
      <c r="H10" s="10"/>
      <c r="I10" s="10">
        <f t="shared" si="5"/>
        <v>2560</v>
      </c>
      <c r="J10" s="10">
        <f t="shared" si="3"/>
        <v>181750604889.77481</v>
      </c>
      <c r="K10" s="11">
        <f t="shared" si="4"/>
        <v>2.7700000000000058E-2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69082738.18728061</v>
      </c>
      <c r="D11" s="11">
        <v>2.76E-2</v>
      </c>
      <c r="E11" s="10">
        <f t="shared" si="2"/>
        <v>1855472.5320834517</v>
      </c>
      <c r="F11" s="3"/>
      <c r="G11" s="28"/>
      <c r="H11" s="10"/>
      <c r="I11" s="10">
        <f t="shared" si="5"/>
        <v>2560</v>
      </c>
      <c r="J11" s="10">
        <f t="shared" si="3"/>
        <v>176851809759.43835</v>
      </c>
      <c r="K11" s="11">
        <f t="shared" si="4"/>
        <v>2.7600000000000069E-2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67227265.655197158</v>
      </c>
      <c r="D12" s="11">
        <v>2.7699999999999999E-2</v>
      </c>
      <c r="E12" s="10">
        <f t="shared" si="2"/>
        <v>1812002.7815986797</v>
      </c>
      <c r="F12" s="3"/>
      <c r="G12" s="28"/>
      <c r="H12" s="10"/>
      <c r="I12" s="10">
        <f t="shared" si="5"/>
        <v>2560</v>
      </c>
      <c r="J12" s="10">
        <f t="shared" si="3"/>
        <v>172101800077.30472</v>
      </c>
      <c r="K12" s="11">
        <f t="shared" si="4"/>
        <v>2.7700000000000058E-2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65415262.873598479</v>
      </c>
      <c r="D13" s="11">
        <v>2.7699999999999999E-2</v>
      </c>
      <c r="E13" s="10">
        <f t="shared" si="2"/>
        <v>1763163.1620109752</v>
      </c>
      <c r="F13" s="3"/>
      <c r="G13" s="28"/>
      <c r="H13" s="10"/>
      <c r="I13" s="10">
        <f t="shared" si="5"/>
        <v>2560</v>
      </c>
      <c r="J13" s="10">
        <f t="shared" si="3"/>
        <v>167463072956.41211</v>
      </c>
      <c r="K13" s="11">
        <f t="shared" si="4"/>
        <v>2.7700000000000058E-2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63652099.711587504</v>
      </c>
      <c r="D14" s="11">
        <v>2.76E-2</v>
      </c>
      <c r="E14" s="10">
        <f t="shared" si="2"/>
        <v>1709612.6430905238</v>
      </c>
      <c r="F14" s="3"/>
      <c r="G14" s="28"/>
      <c r="H14" s="10"/>
      <c r="I14" s="10">
        <f t="shared" si="5"/>
        <v>2560</v>
      </c>
      <c r="J14" s="10">
        <f t="shared" si="3"/>
        <v>162949375261.664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61942487.06849698</v>
      </c>
      <c r="D15" s="11">
        <v>2.7400000000000001E-2</v>
      </c>
      <c r="E15" s="10">
        <f t="shared" si="2"/>
        <v>1651960.4298976287</v>
      </c>
      <c r="F15" s="3"/>
      <c r="G15" s="28"/>
      <c r="H15" s="10"/>
      <c r="I15" s="10">
        <f t="shared" si="5"/>
        <v>2560</v>
      </c>
      <c r="J15" s="10">
        <f t="shared" si="3"/>
        <v>158572766895.35226</v>
      </c>
      <c r="K15" s="11">
        <f t="shared" si="4"/>
        <v>2.7400000000000091E-2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60290526.638599351</v>
      </c>
      <c r="D16" s="11">
        <v>2.7199999999999998E-2</v>
      </c>
      <c r="E16" s="10">
        <f t="shared" si="2"/>
        <v>1596478.1197136864</v>
      </c>
      <c r="F16" s="3"/>
      <c r="G16" s="28"/>
      <c r="H16" s="10"/>
      <c r="I16" s="10">
        <f t="shared" si="5"/>
        <v>2560</v>
      </c>
      <c r="J16" s="10">
        <f t="shared" si="3"/>
        <v>154343748194.81433</v>
      </c>
      <c r="K16" s="11">
        <f t="shared" si="4"/>
        <v>2.7199999999999891E-2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58694048.518885665</v>
      </c>
      <c r="D17" s="11">
        <v>2.6700000000000002E-2</v>
      </c>
      <c r="E17" s="10">
        <f t="shared" si="2"/>
        <v>1526376.8339867964</v>
      </c>
      <c r="F17" s="3"/>
      <c r="G17" s="28"/>
      <c r="H17" s="10"/>
      <c r="I17" s="10">
        <f t="shared" si="5"/>
        <v>2560</v>
      </c>
      <c r="J17" s="10">
        <f t="shared" si="3"/>
        <v>150256764208.34729</v>
      </c>
      <c r="K17" s="11">
        <f t="shared" si="4"/>
        <v>2.6699999999999946E-2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57167671.684898868</v>
      </c>
      <c r="D18" s="11">
        <v>2.64E-2</v>
      </c>
      <c r="E18" s="10">
        <f t="shared" si="2"/>
        <v>1470407.767421402</v>
      </c>
      <c r="F18" s="3"/>
      <c r="G18" s="28"/>
      <c r="H18" s="10"/>
      <c r="I18" s="10">
        <f t="shared" si="5"/>
        <v>2560</v>
      </c>
      <c r="J18" s="10">
        <f t="shared" si="3"/>
        <v>146349239513.34109</v>
      </c>
      <c r="K18" s="11">
        <f t="shared" si="4"/>
        <v>2.6399999999999979E-2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55697263.917477466</v>
      </c>
      <c r="D19" s="11">
        <v>2.6100000000000002E-2</v>
      </c>
      <c r="E19" s="10">
        <f t="shared" si="2"/>
        <v>1416722.1403821856</v>
      </c>
      <c r="F19" s="3"/>
      <c r="G19" s="28"/>
      <c r="H19" s="10"/>
      <c r="I19" s="10">
        <f t="shared" si="5"/>
        <v>2560</v>
      </c>
      <c r="J19" s="10">
        <f t="shared" si="3"/>
        <v>142584995628.74231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54280541.777095281</v>
      </c>
      <c r="D20" s="11">
        <v>2.5999999999999999E-2</v>
      </c>
      <c r="E20" s="10">
        <f t="shared" si="2"/>
        <v>1375530.2984449118</v>
      </c>
      <c r="F20" s="3"/>
      <c r="G20" s="28"/>
      <c r="H20" s="10"/>
      <c r="I20" s="10">
        <f t="shared" si="5"/>
        <v>2560</v>
      </c>
      <c r="J20" s="10">
        <f t="shared" si="3"/>
        <v>138958186949.36392</v>
      </c>
      <c r="K20" s="11">
        <f t="shared" si="4"/>
        <v>2.6000000000000023E-2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52905011.478650369</v>
      </c>
      <c r="D21" s="11">
        <v>2.6100000000000002E-2</v>
      </c>
      <c r="E21" s="10">
        <f t="shared" si="2"/>
        <v>1345698.0797122866</v>
      </c>
      <c r="F21" s="3"/>
      <c r="G21" s="28"/>
      <c r="H21" s="10"/>
      <c r="I21" s="10">
        <f t="shared" si="5"/>
        <v>2560</v>
      </c>
      <c r="J21" s="10">
        <f t="shared" si="3"/>
        <v>135436829385.34494</v>
      </c>
      <c r="K21" s="11">
        <f t="shared" si="4"/>
        <v>2.6100000000000012E-2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51559313.398938082</v>
      </c>
      <c r="D22" s="11">
        <v>2.64E-2</v>
      </c>
      <c r="E22" s="10">
        <f t="shared" si="2"/>
        <v>1326155.371913448</v>
      </c>
      <c r="F22" s="3"/>
      <c r="G22" s="28"/>
      <c r="H22" s="10"/>
      <c r="I22" s="10">
        <f t="shared" si="5"/>
        <v>2560</v>
      </c>
      <c r="J22" s="10">
        <f t="shared" si="3"/>
        <v>131991842301.28149</v>
      </c>
      <c r="K22" s="11">
        <f t="shared" si="4"/>
        <v>2.6399999999999979E-2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50233158.027024634</v>
      </c>
      <c r="D23" s="11">
        <v>2.64E-2</v>
      </c>
      <c r="E23" s="10">
        <f t="shared" si="2"/>
        <v>1292045.3740388229</v>
      </c>
      <c r="F23" s="3"/>
      <c r="G23" s="28"/>
      <c r="H23" s="10"/>
      <c r="I23" s="10">
        <f t="shared" si="5"/>
        <v>2560</v>
      </c>
      <c r="J23" s="10">
        <f t="shared" si="3"/>
        <v>128596884549.18306</v>
      </c>
      <c r="K23" s="11">
        <f t="shared" si="4"/>
        <v>2.6399999999999979E-2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48941112.652985811</v>
      </c>
      <c r="D24" s="11">
        <v>2.6499999999999999E-2</v>
      </c>
      <c r="E24" s="10">
        <f t="shared" si="2"/>
        <v>1263457.852220282</v>
      </c>
      <c r="F24" s="3"/>
      <c r="G24" s="28"/>
      <c r="H24" s="10"/>
      <c r="I24" s="10">
        <f t="shared" si="5"/>
        <v>2560</v>
      </c>
      <c r="J24" s="10">
        <f t="shared" si="3"/>
        <v>125289248391.64368</v>
      </c>
      <c r="K24" s="11">
        <f t="shared" si="4"/>
        <v>2.6499999999999968E-2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47677654.800765529</v>
      </c>
      <c r="D25" s="11">
        <v>2.63E-2</v>
      </c>
      <c r="E25" s="10">
        <f t="shared" si="2"/>
        <v>1221789.2636267468</v>
      </c>
      <c r="F25" s="3"/>
      <c r="G25" s="28"/>
      <c r="H25" s="10"/>
      <c r="I25" s="10">
        <f t="shared" si="5"/>
        <v>2560</v>
      </c>
      <c r="J25" s="10">
        <f t="shared" si="3"/>
        <v>122054796289.95975</v>
      </c>
      <c r="K25" s="11">
        <f t="shared" si="4"/>
        <v>2.6299999999999768E-2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46455865.537138782</v>
      </c>
      <c r="D26" s="11">
        <v>2.64E-2</v>
      </c>
      <c r="E26" s="10">
        <f t="shared" si="2"/>
        <v>1194889.7605031803</v>
      </c>
      <c r="F26" s="3"/>
      <c r="G26" s="28"/>
      <c r="H26" s="10"/>
      <c r="I26" s="10">
        <f t="shared" si="5"/>
        <v>2560</v>
      </c>
      <c r="J26" s="10">
        <f t="shared" si="3"/>
        <v>118927015775.07529</v>
      </c>
      <c r="K26" s="11">
        <f t="shared" si="4"/>
        <v>2.6400000000000201E-2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45260975.776635602</v>
      </c>
      <c r="D27" s="11">
        <v>2.7E-2</v>
      </c>
      <c r="E27" s="10">
        <f t="shared" si="2"/>
        <v>1189918.5452474728</v>
      </c>
      <c r="F27" s="3"/>
      <c r="G27" s="28"/>
      <c r="H27" s="10"/>
      <c r="I27" s="10">
        <f t="shared" si="5"/>
        <v>2560</v>
      </c>
      <c r="J27" s="10">
        <f t="shared" si="3"/>
        <v>115868097988.18713</v>
      </c>
      <c r="K27" s="11">
        <f t="shared" si="4"/>
        <v>2.6999999999999913E-2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44071057.231388129</v>
      </c>
      <c r="D28" s="11">
        <v>2.69E-2</v>
      </c>
      <c r="E28" s="10">
        <f t="shared" si="2"/>
        <v>1154456.5581111461</v>
      </c>
      <c r="F28" s="3"/>
      <c r="G28" s="28"/>
      <c r="H28" s="10"/>
      <c r="I28" s="10">
        <f t="shared" si="5"/>
        <v>2560</v>
      </c>
      <c r="J28" s="10">
        <f t="shared" si="3"/>
        <v>112821906512.35361</v>
      </c>
      <c r="K28" s="11">
        <f t="shared" si="4"/>
        <v>2.6899999999999924E-2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42916600.673276983</v>
      </c>
      <c r="D29" s="11">
        <v>2.6700000000000002E-2</v>
      </c>
      <c r="E29" s="10">
        <f t="shared" si="2"/>
        <v>1116074.0605595559</v>
      </c>
      <c r="F29" s="3"/>
      <c r="G29" s="28"/>
      <c r="H29" s="10"/>
      <c r="I29" s="10">
        <f t="shared" si="5"/>
        <v>2560</v>
      </c>
      <c r="J29" s="10">
        <f t="shared" si="3"/>
        <v>109866497723.58908</v>
      </c>
      <c r="K29" s="11">
        <f t="shared" si="4"/>
        <v>2.6700000000000168E-2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41800526.612717427</v>
      </c>
      <c r="D30" s="11">
        <v>2.6599999999999999E-2</v>
      </c>
      <c r="E30" s="10">
        <f t="shared" si="2"/>
        <v>1083083.9741849601</v>
      </c>
      <c r="F30" s="3"/>
      <c r="G30" s="28"/>
      <c r="H30" s="10"/>
      <c r="I30" s="10">
        <f t="shared" si="5"/>
        <v>2560</v>
      </c>
      <c r="J30" s="10">
        <f t="shared" si="3"/>
        <v>107009348128.55661</v>
      </c>
      <c r="K30" s="11">
        <f t="shared" si="4"/>
        <v>2.6599999999999957E-2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40717442.638532467</v>
      </c>
      <c r="D31" s="11">
        <v>2.7199999999999998E-2</v>
      </c>
      <c r="E31" s="10">
        <f t="shared" si="2"/>
        <v>1078187.7334190831</v>
      </c>
      <c r="F31" s="3"/>
      <c r="G31" s="28"/>
      <c r="H31" s="10"/>
      <c r="I31" s="10">
        <f t="shared" si="5"/>
        <v>2560</v>
      </c>
      <c r="J31" s="10">
        <f t="shared" si="3"/>
        <v>104236653154.64311</v>
      </c>
      <c r="K31" s="11">
        <f t="shared" si="4"/>
        <v>2.7199999999999891E-2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39639254.905113384</v>
      </c>
      <c r="D32" s="11">
        <v>2.8299999999999999E-2</v>
      </c>
      <c r="E32" s="10">
        <f t="shared" si="2"/>
        <v>1090917.9362196922</v>
      </c>
      <c r="F32" s="3"/>
      <c r="G32" s="28"/>
      <c r="H32" s="10"/>
      <c r="I32" s="10">
        <f t="shared" si="5"/>
        <v>2560</v>
      </c>
      <c r="J32" s="10">
        <f t="shared" si="3"/>
        <v>101476492557.09027</v>
      </c>
      <c r="K32" s="11">
        <f t="shared" si="4"/>
        <v>2.8299999999999992E-2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38548336.968893692</v>
      </c>
      <c r="D33" s="11">
        <v>2.5600000000000001E-2</v>
      </c>
      <c r="E33" s="10">
        <f t="shared" si="2"/>
        <v>962204.97894274443</v>
      </c>
      <c r="F33" s="3"/>
      <c r="G33" s="28"/>
      <c r="H33" s="10"/>
      <c r="I33" s="10">
        <f t="shared" si="5"/>
        <v>2560</v>
      </c>
      <c r="J33" s="10">
        <f t="shared" si="3"/>
        <v>98683742640.367859</v>
      </c>
      <c r="K33" s="11">
        <f t="shared" si="4"/>
        <v>2.5600000000000067E-2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37586131.989950947</v>
      </c>
      <c r="D34" s="11">
        <v>2.5899999999999999E-2</v>
      </c>
      <c r="E34" s="10">
        <f t="shared" si="2"/>
        <v>948904.19976579398</v>
      </c>
      <c r="F34" s="3"/>
      <c r="G34" s="28"/>
      <c r="H34" s="10"/>
      <c r="I34" s="10">
        <f t="shared" si="5"/>
        <v>2560</v>
      </c>
      <c r="J34" s="10">
        <f t="shared" ref="J34:J65" si="6">IF(I34="","",I34*C34)</f>
        <v>96220497894.274429</v>
      </c>
      <c r="K34" s="11">
        <f t="shared" ref="K34:K65" si="7">IFERROR(J34/J35-1,"")</f>
        <v>2.5900000000000034E-2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36637227.790185153</v>
      </c>
      <c r="D35" s="11">
        <v>2.9899999999999999E-2</v>
      </c>
      <c r="E35" s="10">
        <f t="shared" si="2"/>
        <v>1063649.9766254351</v>
      </c>
      <c r="F35" s="3"/>
      <c r="G35" s="28"/>
      <c r="H35" s="10"/>
      <c r="I35" s="10">
        <f t="shared" ref="I35:I66" si="8">IF(H35&lt;&gt;"",H35,I34/(1+IF(G34="",0,G34)/100))</f>
        <v>2560</v>
      </c>
      <c r="J35" s="10">
        <f t="shared" si="6"/>
        <v>93791303142.873993</v>
      </c>
      <c r="K35" s="11">
        <f t="shared" si="7"/>
        <v>2.9900000000000038E-2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35573577.813559718</v>
      </c>
      <c r="D36" s="11">
        <v>3.0700000000000002E-2</v>
      </c>
      <c r="E36" s="10">
        <f t="shared" si="2"/>
        <v>1059579.7408327162</v>
      </c>
      <c r="F36" s="3"/>
      <c r="G36" s="28"/>
      <c r="H36" s="10"/>
      <c r="I36" s="10">
        <f t="shared" si="8"/>
        <v>2560</v>
      </c>
      <c r="J36" s="10">
        <f t="shared" si="6"/>
        <v>91068359202.712875</v>
      </c>
      <c r="K36" s="11">
        <f t="shared" si="7"/>
        <v>3.069999999999995E-2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34513998.072727002</v>
      </c>
      <c r="D37" s="11">
        <v>3.1199999999999999E-2</v>
      </c>
      <c r="E37" s="10">
        <f t="shared" si="2"/>
        <v>1044255.9541011229</v>
      </c>
      <c r="F37" s="3"/>
      <c r="G37" s="28"/>
      <c r="H37" s="10"/>
      <c r="I37" s="10">
        <f t="shared" si="8"/>
        <v>2560</v>
      </c>
      <c r="J37" s="10">
        <f t="shared" si="6"/>
        <v>88355835066.181122</v>
      </c>
      <c r="K37" s="11">
        <f t="shared" si="7"/>
        <v>3.1199999999999894E-2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33469742.118625879</v>
      </c>
      <c r="D38" s="11">
        <v>3.0800000000000001E-2</v>
      </c>
      <c r="E38" s="10">
        <f t="shared" si="2"/>
        <v>1000066.0237230062</v>
      </c>
      <c r="F38" s="3"/>
      <c r="G38" s="28"/>
      <c r="H38" s="10"/>
      <c r="I38" s="10">
        <f t="shared" si="8"/>
        <v>2560</v>
      </c>
      <c r="J38" s="10">
        <f t="shared" si="6"/>
        <v>85682539823.682251</v>
      </c>
      <c r="K38" s="11">
        <f t="shared" si="7"/>
        <v>3.0799999999999939E-2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32469676.094902873</v>
      </c>
      <c r="D39" s="11">
        <v>3.0599999999999999E-2</v>
      </c>
      <c r="E39" s="10">
        <f t="shared" si="2"/>
        <v>964071.50058609247</v>
      </c>
      <c r="F39" s="3"/>
      <c r="G39" s="28"/>
      <c r="H39" s="10"/>
      <c r="I39" s="10">
        <f t="shared" si="8"/>
        <v>2560</v>
      </c>
      <c r="J39" s="10">
        <f t="shared" si="6"/>
        <v>83122370802.951355</v>
      </c>
      <c r="K39" s="11">
        <f t="shared" si="7"/>
        <v>3.0599999999999961E-2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31505604.594316781</v>
      </c>
      <c r="D40" s="11">
        <v>2.98E-2</v>
      </c>
      <c r="E40" s="10">
        <f t="shared" si="2"/>
        <v>911698.40445780009</v>
      </c>
      <c r="F40" s="3"/>
      <c r="G40" s="28"/>
      <c r="H40" s="10"/>
      <c r="I40" s="10">
        <f t="shared" si="8"/>
        <v>2560</v>
      </c>
      <c r="J40" s="10">
        <f t="shared" si="6"/>
        <v>80654347761.450958</v>
      </c>
      <c r="K40" s="11">
        <f t="shared" si="7"/>
        <v>2.9800000000000049E-2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30593906.18985898</v>
      </c>
      <c r="D41" s="11">
        <v>2.87E-2</v>
      </c>
      <c r="E41" s="10">
        <f t="shared" si="2"/>
        <v>853548.27223578468</v>
      </c>
      <c r="F41" s="3"/>
      <c r="G41" s="28"/>
      <c r="H41" s="10"/>
      <c r="I41" s="10">
        <f t="shared" si="8"/>
        <v>2560</v>
      </c>
      <c r="J41" s="10">
        <f t="shared" si="6"/>
        <v>78320399846.038986</v>
      </c>
      <c r="K41" s="11">
        <f t="shared" si="7"/>
        <v>2.8699999999999948E-2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29740357.917623196</v>
      </c>
      <c r="D42" s="11">
        <v>2.7699999999999999E-2</v>
      </c>
      <c r="E42" s="10">
        <f t="shared" si="2"/>
        <v>801603.49743910134</v>
      </c>
      <c r="F42" s="3"/>
      <c r="G42" s="28"/>
      <c r="H42" s="10"/>
      <c r="I42" s="10">
        <f t="shared" si="8"/>
        <v>2560</v>
      </c>
      <c r="J42" s="10">
        <f t="shared" si="6"/>
        <v>76135316269.115387</v>
      </c>
      <c r="K42" s="11">
        <f t="shared" si="7"/>
        <v>2.770000000000028E-2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28938754.420184094</v>
      </c>
      <c r="D43" s="11">
        <v>2.6200000000000001E-2</v>
      </c>
      <c r="E43" s="10">
        <f t="shared" si="2"/>
        <v>738837.81505439803</v>
      </c>
      <c r="F43" s="3"/>
      <c r="G43" s="28"/>
      <c r="H43" s="10"/>
      <c r="I43" s="10">
        <f t="shared" si="8"/>
        <v>2560</v>
      </c>
      <c r="J43" s="10">
        <f t="shared" si="6"/>
        <v>74083211315.67128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28199916.605129696</v>
      </c>
      <c r="D44" s="11">
        <v>2.4899999999999999E-2</v>
      </c>
      <c r="E44" s="10">
        <f t="shared" si="2"/>
        <v>685118.47347812355</v>
      </c>
      <c r="F44" s="3"/>
      <c r="G44" s="28"/>
      <c r="H44" s="10"/>
      <c r="I44" s="10">
        <f t="shared" si="8"/>
        <v>2560</v>
      </c>
      <c r="J44" s="10">
        <f t="shared" si="6"/>
        <v>72191786509.132019</v>
      </c>
      <c r="K44" s="11">
        <f t="shared" si="7"/>
        <v>2.4899999999999922E-2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27514798.131651573</v>
      </c>
      <c r="D45" s="11">
        <v>2.4E-2</v>
      </c>
      <c r="E45" s="10">
        <f t="shared" si="2"/>
        <v>644878.08121058345</v>
      </c>
      <c r="F45" s="3"/>
      <c r="G45" s="28"/>
      <c r="H45" s="10"/>
      <c r="I45" s="10">
        <f t="shared" si="8"/>
        <v>2560</v>
      </c>
      <c r="J45" s="10">
        <f t="shared" si="6"/>
        <v>70437883217.02803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26869920.050440989</v>
      </c>
      <c r="D46" s="11">
        <v>2.3400000000000001E-2</v>
      </c>
      <c r="E46" s="10">
        <f t="shared" si="2"/>
        <v>614379.64547617733</v>
      </c>
      <c r="F46" s="3"/>
      <c r="G46" s="28"/>
      <c r="H46" s="10"/>
      <c r="I46" s="10">
        <f t="shared" si="8"/>
        <v>2560</v>
      </c>
      <c r="J46" s="10">
        <f t="shared" si="6"/>
        <v>68786995329.128937</v>
      </c>
      <c r="K46" s="11">
        <f t="shared" si="7"/>
        <v>2.3400000000000087E-2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26255540.404964812</v>
      </c>
      <c r="D47" s="11">
        <v>2.2800000000000001E-2</v>
      </c>
      <c r="E47" s="10">
        <f t="shared" si="2"/>
        <v>585281.89404888079</v>
      </c>
      <c r="F47" s="3"/>
      <c r="G47" s="28"/>
      <c r="H47" s="10"/>
      <c r="I47" s="10">
        <f t="shared" si="8"/>
        <v>2560</v>
      </c>
      <c r="J47" s="10">
        <f t="shared" si="6"/>
        <v>67214183436.709915</v>
      </c>
      <c r="K47" s="11">
        <f t="shared" si="7"/>
        <v>2.2799999999999709E-2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25670258.510915931</v>
      </c>
      <c r="D48" s="11">
        <v>2.2200000000000001E-2</v>
      </c>
      <c r="E48" s="10">
        <f t="shared" si="2"/>
        <v>557503.16859942675</v>
      </c>
      <c r="F48" s="3"/>
      <c r="G48" s="28"/>
      <c r="H48" s="10"/>
      <c r="I48" s="10">
        <f t="shared" si="8"/>
        <v>2560</v>
      </c>
      <c r="J48" s="10">
        <f t="shared" si="6"/>
        <v>65715861787.944786</v>
      </c>
      <c r="K48" s="11">
        <f t="shared" si="7"/>
        <v>2.2199999999999998E-2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25112755.342316505</v>
      </c>
      <c r="D49" s="11">
        <v>2.1600000000000001E-2</v>
      </c>
      <c r="E49" s="10">
        <f t="shared" si="2"/>
        <v>530966.636055246</v>
      </c>
      <c r="F49" s="3"/>
      <c r="G49" s="28"/>
      <c r="H49" s="10"/>
      <c r="I49" s="10">
        <f t="shared" si="8"/>
        <v>2560</v>
      </c>
      <c r="J49" s="10">
        <f t="shared" si="6"/>
        <v>64288653676.330254</v>
      </c>
      <c r="K49" s="11">
        <f t="shared" si="7"/>
        <v>2.1600000000000064E-2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24581788.706261259</v>
      </c>
      <c r="D50" s="11">
        <v>2.1399999999999999E-2</v>
      </c>
      <c r="E50" s="10">
        <f t="shared" si="2"/>
        <v>515028.6648854427</v>
      </c>
      <c r="F50" s="3"/>
      <c r="G50" s="28"/>
      <c r="H50" s="10"/>
      <c r="I50" s="10">
        <f t="shared" si="8"/>
        <v>2560</v>
      </c>
      <c r="J50" s="10">
        <f t="shared" si="6"/>
        <v>62929379088.028824</v>
      </c>
      <c r="K50" s="11">
        <f t="shared" si="7"/>
        <v>2.1400000000000086E-2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24066760.041375816</v>
      </c>
      <c r="D51" s="11">
        <v>2.18E-2</v>
      </c>
      <c r="E51" s="10">
        <f t="shared" si="2"/>
        <v>513461.8994930461</v>
      </c>
      <c r="F51" s="3"/>
      <c r="G51" s="28"/>
      <c r="H51" s="10"/>
      <c r="I51" s="10">
        <f t="shared" si="8"/>
        <v>2560</v>
      </c>
      <c r="J51" s="10">
        <f t="shared" si="6"/>
        <v>61610905705.922089</v>
      </c>
      <c r="K51" s="11">
        <f t="shared" si="7"/>
        <v>2.1800000000000042E-2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23553298.14188277</v>
      </c>
      <c r="D52" s="11">
        <v>2.1700000000000001E-2</v>
      </c>
      <c r="E52" s="10">
        <f t="shared" si="2"/>
        <v>500251.12036689743</v>
      </c>
      <c r="F52" s="3"/>
      <c r="G52" s="28"/>
      <c r="H52" s="10"/>
      <c r="I52" s="10">
        <f t="shared" si="8"/>
        <v>2560</v>
      </c>
      <c r="J52" s="10">
        <f t="shared" si="6"/>
        <v>60296443243.219894</v>
      </c>
      <c r="K52" s="11">
        <f t="shared" si="7"/>
        <v>2.1700000000000053E-2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23053047.021515872</v>
      </c>
      <c r="D53" s="11">
        <v>2.1399999999999999E-2</v>
      </c>
      <c r="E53" s="10">
        <f t="shared" si="2"/>
        <v>482999.02708090842</v>
      </c>
      <c r="F53" s="3"/>
      <c r="G53" s="28"/>
      <c r="H53" s="10"/>
      <c r="I53" s="10">
        <f t="shared" si="8"/>
        <v>2560</v>
      </c>
      <c r="J53" s="10">
        <f t="shared" si="6"/>
        <v>59015800375.080635</v>
      </c>
      <c r="K53" s="11">
        <f t="shared" si="7"/>
        <v>2.1400000000000086E-2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22570047.994434964</v>
      </c>
      <c r="D54" s="11">
        <v>2.12E-2</v>
      </c>
      <c r="E54" s="10">
        <f t="shared" si="2"/>
        <v>468551.72099689022</v>
      </c>
      <c r="F54" s="3"/>
      <c r="G54" s="28"/>
      <c r="H54" s="10"/>
      <c r="I54" s="10">
        <f t="shared" si="8"/>
        <v>2560</v>
      </c>
      <c r="J54" s="10">
        <f t="shared" si="6"/>
        <v>57779322865.75351</v>
      </c>
      <c r="K54" s="11">
        <f t="shared" si="7"/>
        <v>2.120000000000033E-2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22101496.273438074</v>
      </c>
      <c r="D55" s="11">
        <v>2.1000000000000001E-2</v>
      </c>
      <c r="E55" s="10">
        <f t="shared" si="2"/>
        <v>454585.13392967358</v>
      </c>
      <c r="F55" s="3"/>
      <c r="G55" s="28"/>
      <c r="H55" s="10"/>
      <c r="I55" s="10">
        <f t="shared" si="8"/>
        <v>2560</v>
      </c>
      <c r="J55" s="10">
        <f t="shared" si="6"/>
        <v>56579830460.001465</v>
      </c>
      <c r="K55" s="11">
        <f t="shared" si="7"/>
        <v>2.0999999999999908E-2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21646911.1395084</v>
      </c>
      <c r="D56" s="11">
        <v>2.06E-2</v>
      </c>
      <c r="E56" s="10">
        <f t="shared" si="2"/>
        <v>436925.70005278289</v>
      </c>
      <c r="F56" s="3"/>
      <c r="G56" s="28"/>
      <c r="H56" s="10"/>
      <c r="I56" s="10">
        <f t="shared" si="8"/>
        <v>2560</v>
      </c>
      <c r="J56" s="10">
        <f t="shared" si="6"/>
        <v>55416092517.141502</v>
      </c>
      <c r="K56" s="11">
        <f t="shared" si="7"/>
        <v>2.0599999999999952E-2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21209985.439455617</v>
      </c>
      <c r="D57" s="11">
        <v>0.02</v>
      </c>
      <c r="E57" s="10">
        <f t="shared" si="2"/>
        <v>415882.06744030491</v>
      </c>
      <c r="F57" s="3"/>
      <c r="G57" s="28"/>
      <c r="H57" s="10"/>
      <c r="I57" s="10">
        <f t="shared" si="8"/>
        <v>2560</v>
      </c>
      <c r="J57" s="10">
        <f t="shared" si="6"/>
        <v>54297562725.006378</v>
      </c>
      <c r="K57" s="11">
        <f t="shared" si="7"/>
        <v>1.9999999999999796E-2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20794103.372015312</v>
      </c>
      <c r="D58" s="11">
        <v>0.02</v>
      </c>
      <c r="E58" s="10">
        <f t="shared" si="2"/>
        <v>407727.51709834114</v>
      </c>
      <c r="F58" s="3"/>
      <c r="G58" s="28"/>
      <c r="H58" s="10"/>
      <c r="I58" s="10">
        <f t="shared" si="8"/>
        <v>2560</v>
      </c>
      <c r="J58" s="10">
        <f t="shared" si="6"/>
        <v>53232904632.3592</v>
      </c>
      <c r="K58" s="11">
        <f t="shared" si="7"/>
        <v>2.0000000000000018E-2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20386375.854916971</v>
      </c>
      <c r="D59" s="11">
        <v>0.02</v>
      </c>
      <c r="E59" s="10">
        <f t="shared" si="2"/>
        <v>399732.85990033299</v>
      </c>
      <c r="F59" s="3"/>
      <c r="G59" s="28"/>
      <c r="H59" s="10"/>
      <c r="I59" s="10">
        <f t="shared" si="8"/>
        <v>2560</v>
      </c>
      <c r="J59" s="10">
        <f t="shared" si="6"/>
        <v>52189122188.587448</v>
      </c>
      <c r="K59" s="11">
        <f t="shared" si="7"/>
        <v>2.0000000000000018E-2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19986642.995016638</v>
      </c>
      <c r="D60" s="11">
        <v>1.9E-2</v>
      </c>
      <c r="E60" s="10">
        <f t="shared" si="2"/>
        <v>372665.57105526328</v>
      </c>
      <c r="F60" s="3"/>
      <c r="G60" s="28"/>
      <c r="H60" s="10"/>
      <c r="I60" s="10">
        <f t="shared" si="8"/>
        <v>2560</v>
      </c>
      <c r="J60" s="10">
        <f t="shared" si="6"/>
        <v>51165806067.242592</v>
      </c>
      <c r="K60" s="11">
        <f t="shared" si="7"/>
        <v>1.8999999999999906E-2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19613977.423961375</v>
      </c>
      <c r="D61" s="11">
        <v>1.9E-2</v>
      </c>
      <c r="E61" s="10">
        <f t="shared" si="2"/>
        <v>365716.94902381301</v>
      </c>
      <c r="F61" s="3"/>
      <c r="G61" s="28"/>
      <c r="H61" s="10"/>
      <c r="I61" s="10">
        <f t="shared" si="8"/>
        <v>2560</v>
      </c>
      <c r="J61" s="10">
        <f t="shared" si="6"/>
        <v>50211782205.341118</v>
      </c>
      <c r="K61" s="11">
        <f t="shared" si="7"/>
        <v>1.8999999999999906E-2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19248260.474937562</v>
      </c>
      <c r="D62" s="11">
        <v>1.9E-2</v>
      </c>
      <c r="E62" s="10">
        <f t="shared" si="2"/>
        <v>358897.8891303353</v>
      </c>
      <c r="F62" s="3"/>
      <c r="G62" s="28"/>
      <c r="H62" s="10"/>
      <c r="I62" s="10">
        <f t="shared" si="8"/>
        <v>2560</v>
      </c>
      <c r="J62" s="10">
        <f t="shared" si="6"/>
        <v>49275546815.840157</v>
      </c>
      <c r="K62" s="11">
        <f t="shared" si="7"/>
        <v>1.8999999999999684E-2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18889362.585807227</v>
      </c>
      <c r="D63" s="11">
        <v>1.7999999999999999E-2</v>
      </c>
      <c r="E63" s="10">
        <f t="shared" si="2"/>
        <v>333996.5879612267</v>
      </c>
      <c r="F63" s="3"/>
      <c r="G63" s="28"/>
      <c r="H63" s="10"/>
      <c r="I63" s="10">
        <f t="shared" si="8"/>
        <v>2560</v>
      </c>
      <c r="J63" s="10">
        <f t="shared" si="6"/>
        <v>48356768219.666504</v>
      </c>
      <c r="K63" s="11">
        <f t="shared" si="7"/>
        <v>1.8000000000000016E-2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18555365.997846</v>
      </c>
      <c r="D64" s="11">
        <v>1.7999999999999999E-2</v>
      </c>
      <c r="E64" s="10">
        <f t="shared" si="2"/>
        <v>328090.95084600151</v>
      </c>
      <c r="F64" s="3"/>
      <c r="G64" s="28"/>
      <c r="H64" s="10"/>
      <c r="I64" s="10">
        <f t="shared" si="8"/>
        <v>2560</v>
      </c>
      <c r="J64" s="10">
        <f t="shared" si="6"/>
        <v>47501736954.485764</v>
      </c>
      <c r="K64" s="11">
        <f t="shared" si="7"/>
        <v>1.8000000000000238E-2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18227275.046999998</v>
      </c>
      <c r="D65" s="11">
        <v>1.7000000000000001E-2</v>
      </c>
      <c r="E65" s="10">
        <f t="shared" si="2"/>
        <v>304684.04699999839</v>
      </c>
      <c r="F65" s="3"/>
      <c r="G65" s="28"/>
      <c r="H65" s="10"/>
      <c r="I65" s="10">
        <f t="shared" si="8"/>
        <v>2560</v>
      </c>
      <c r="J65" s="10">
        <f t="shared" si="6"/>
        <v>46661824120.319992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17922591</v>
      </c>
      <c r="D66" s="11">
        <v>1.7000000000000001E-2</v>
      </c>
      <c r="E66" s="10">
        <f t="shared" si="2"/>
        <v>299591</v>
      </c>
      <c r="F66" s="24">
        <f>SUM(F2)</f>
        <v>88057485</v>
      </c>
      <c r="G66" s="28"/>
      <c r="H66" s="10"/>
      <c r="I66" s="10">
        <f t="shared" si="8"/>
        <v>2560</v>
      </c>
      <c r="J66" s="10">
        <f t="shared" ref="J66:J67" si="9">IF(I66="","",I66*C66)</f>
        <v>45881832960</v>
      </c>
      <c r="K66" s="11">
        <f t="shared" ref="K66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17623000</v>
      </c>
      <c r="D67" s="11">
        <v>1.6E-2</v>
      </c>
      <c r="E67" s="3" t="s">
        <v>72</v>
      </c>
      <c r="F67" s="10">
        <f>SUM(C2)</f>
        <v>88058371.691850409</v>
      </c>
      <c r="G67" s="28"/>
      <c r="H67" s="10"/>
      <c r="I67" s="10">
        <f t="shared" ref="I67" si="11">IF(H67&lt;&gt;"",H67,I66/(1+IF(G66="",0,G66)/100))</f>
        <v>2560</v>
      </c>
      <c r="J67" s="10">
        <f t="shared" si="9"/>
        <v>45114880000</v>
      </c>
      <c r="K67" s="11"/>
    </row>
  </sheetData>
  <dataValidations count="1">
    <dataValidation type="custom" allowBlank="1" showDropDown="1" sqref="D2:D67" xr:uid="{00000000-0002-0000-6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347520788.88603979</v>
      </c>
      <c r="D2" s="11">
        <v>2.3999999999999998E-3</v>
      </c>
      <c r="E2" s="10">
        <f t="shared" ref="E2:E66" si="2">SUM(C2-C3)</f>
        <v>832052.96620756388</v>
      </c>
      <c r="F2" s="15">
        <v>347520587</v>
      </c>
      <c r="G2" s="28"/>
      <c r="H2" s="10"/>
      <c r="I2" s="10">
        <f>IF(H2&lt;&gt;"",H2,11861)</f>
        <v>11861</v>
      </c>
      <c r="J2" s="10">
        <f t="shared" ref="J2:J33" si="3">IF(I2="","",I2*C2)</f>
        <v>4121944076977.3179</v>
      </c>
      <c r="K2" s="11">
        <f t="shared" ref="K2:K33" si="4">IFERROR(J2/J3-1,"")</f>
        <v>2.3999999999999577E-3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346688735.91983223</v>
      </c>
      <c r="D3" s="11">
        <v>2.3999999999999998E-3</v>
      </c>
      <c r="E3" s="10">
        <f t="shared" si="2"/>
        <v>830060.82023900747</v>
      </c>
      <c r="F3" s="3"/>
      <c r="G3" s="28"/>
      <c r="H3" s="10"/>
      <c r="I3" s="10">
        <f t="shared" ref="I3:I34" si="5">IF(H3&lt;&gt;"",H3,I2/(1+IF(G2="",0,G2)/100))</f>
        <v>11861</v>
      </c>
      <c r="J3" s="10">
        <f t="shared" si="3"/>
        <v>4112075096745.1299</v>
      </c>
      <c r="K3" s="11">
        <f t="shared" si="4"/>
        <v>2.3999999999999577E-3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345858675.09959322</v>
      </c>
      <c r="D4" s="11">
        <v>2.3E-3</v>
      </c>
      <c r="E4" s="10">
        <f t="shared" si="2"/>
        <v>793649.5587439537</v>
      </c>
      <c r="F4" s="3"/>
      <c r="G4" s="28"/>
      <c r="H4" s="10"/>
      <c r="I4" s="10">
        <f t="shared" si="5"/>
        <v>11861</v>
      </c>
      <c r="J4" s="10">
        <f t="shared" si="3"/>
        <v>4102229745356.2754</v>
      </c>
      <c r="K4" s="11">
        <f t="shared" si="4"/>
        <v>2.2999999999999687E-3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345065025.54084927</v>
      </c>
      <c r="D5" s="11">
        <v>3.7000000000000002E-3</v>
      </c>
      <c r="E5" s="10">
        <f t="shared" si="2"/>
        <v>1272034.0684478879</v>
      </c>
      <c r="F5" s="3"/>
      <c r="G5" s="28"/>
      <c r="H5" s="10"/>
      <c r="I5" s="10">
        <f t="shared" si="5"/>
        <v>11861</v>
      </c>
      <c r="J5" s="10">
        <f t="shared" si="3"/>
        <v>4092816267940.0132</v>
      </c>
      <c r="K5" s="11">
        <f t="shared" si="4"/>
        <v>3.7000000000000366E-3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343792991.47240138</v>
      </c>
      <c r="D6" s="11">
        <v>2.5000000000000001E-3</v>
      </c>
      <c r="E6" s="10">
        <f t="shared" si="2"/>
        <v>857339.13085383177</v>
      </c>
      <c r="F6" s="3"/>
      <c r="G6" s="28"/>
      <c r="H6" s="10"/>
      <c r="I6" s="10">
        <f t="shared" si="5"/>
        <v>11861</v>
      </c>
      <c r="J6" s="10">
        <f t="shared" si="3"/>
        <v>4077728671854.1528</v>
      </c>
      <c r="K6" s="11">
        <f t="shared" si="4"/>
        <v>2.4999999999999467E-3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342935652.34154755</v>
      </c>
      <c r="D7" s="11">
        <v>1.6999999999999999E-3</v>
      </c>
      <c r="E7" s="10">
        <f t="shared" si="2"/>
        <v>582001.20692884922</v>
      </c>
      <c r="F7" s="3"/>
      <c r="G7" s="28"/>
      <c r="H7" s="10"/>
      <c r="I7" s="10">
        <f t="shared" si="5"/>
        <v>11861</v>
      </c>
      <c r="J7" s="10">
        <f t="shared" si="3"/>
        <v>4067559772423.0957</v>
      </c>
      <c r="K7" s="11">
        <f t="shared" si="4"/>
        <v>1.7000000000000348E-3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342353651.1346187</v>
      </c>
      <c r="D8" s="11">
        <v>3.5000000000000001E-3</v>
      </c>
      <c r="E8" s="10">
        <f t="shared" si="2"/>
        <v>1194058.5739623308</v>
      </c>
      <c r="F8" s="3"/>
      <c r="G8" s="28"/>
      <c r="H8" s="10"/>
      <c r="I8" s="10">
        <f t="shared" si="5"/>
        <v>11861</v>
      </c>
      <c r="J8" s="10">
        <f t="shared" si="3"/>
        <v>4060656656107.7124</v>
      </c>
      <c r="K8" s="11">
        <f t="shared" si="4"/>
        <v>3.5000000000000586E-3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341159592.56065637</v>
      </c>
      <c r="D9" s="11">
        <v>3.3E-3</v>
      </c>
      <c r="E9" s="10">
        <f t="shared" si="2"/>
        <v>1122123.6474137306</v>
      </c>
      <c r="F9" s="3"/>
      <c r="G9" s="28"/>
      <c r="H9" s="10"/>
      <c r="I9" s="10">
        <f t="shared" si="5"/>
        <v>11861</v>
      </c>
      <c r="J9" s="10">
        <f t="shared" si="3"/>
        <v>4046493927361.9453</v>
      </c>
      <c r="K9" s="11">
        <f t="shared" si="4"/>
        <v>3.3000000000000806E-3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340037468.91324264</v>
      </c>
      <c r="D10" s="11">
        <v>3.5999999999999999E-3</v>
      </c>
      <c r="E10" s="10">
        <f t="shared" si="2"/>
        <v>1219743.8103703856</v>
      </c>
      <c r="F10" s="3"/>
      <c r="G10" s="28"/>
      <c r="H10" s="10"/>
      <c r="I10" s="10">
        <f t="shared" si="5"/>
        <v>11861</v>
      </c>
      <c r="J10" s="10">
        <f t="shared" si="3"/>
        <v>4033184418779.9707</v>
      </c>
      <c r="K10" s="11">
        <f t="shared" si="4"/>
        <v>3.6000000000000476E-3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338817725.10287225</v>
      </c>
      <c r="D11" s="11">
        <v>4.4999999999999997E-3</v>
      </c>
      <c r="E11" s="10">
        <f t="shared" si="2"/>
        <v>1517849.4404807687</v>
      </c>
      <c r="F11" s="3"/>
      <c r="G11" s="28"/>
      <c r="H11" s="10"/>
      <c r="I11" s="10">
        <f t="shared" si="5"/>
        <v>11861</v>
      </c>
      <c r="J11" s="10">
        <f t="shared" si="3"/>
        <v>4018717037445.168</v>
      </c>
      <c r="K11" s="11">
        <f t="shared" si="4"/>
        <v>4.4999999999999485E-3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337299875.66239148</v>
      </c>
      <c r="D12" s="11">
        <v>3.3999999999999998E-3</v>
      </c>
      <c r="E12" s="10">
        <f t="shared" si="2"/>
        <v>1142933.6030019522</v>
      </c>
      <c r="F12" s="3"/>
      <c r="G12" s="28"/>
      <c r="H12" s="10"/>
      <c r="I12" s="10">
        <f t="shared" si="5"/>
        <v>11861</v>
      </c>
      <c r="J12" s="10">
        <f t="shared" si="3"/>
        <v>4000713825231.6255</v>
      </c>
      <c r="K12" s="11">
        <f t="shared" si="4"/>
        <v>3.4000000000000696E-3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336156942.05938953</v>
      </c>
      <c r="D13" s="11">
        <v>3.5999999999999999E-3</v>
      </c>
      <c r="E13" s="10">
        <f t="shared" si="2"/>
        <v>1205824.0249240994</v>
      </c>
      <c r="F13" s="3"/>
      <c r="G13" s="28"/>
      <c r="H13" s="10"/>
      <c r="I13" s="10">
        <f t="shared" si="5"/>
        <v>11861</v>
      </c>
      <c r="J13" s="10">
        <f t="shared" si="3"/>
        <v>3987157489766.4194</v>
      </c>
      <c r="K13" s="11">
        <f t="shared" si="4"/>
        <v>3.6000000000000476E-3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334951118.03446543</v>
      </c>
      <c r="D14" s="11">
        <v>3.5999999999999999E-3</v>
      </c>
      <c r="E14" s="10">
        <f t="shared" si="2"/>
        <v>1201498.6298565865</v>
      </c>
      <c r="F14" s="3"/>
      <c r="G14" s="28"/>
      <c r="H14" s="10"/>
      <c r="I14" s="10">
        <f t="shared" si="5"/>
        <v>11861</v>
      </c>
      <c r="J14" s="10">
        <f t="shared" si="3"/>
        <v>3972855211006.7944</v>
      </c>
      <c r="K14" s="11">
        <f t="shared" si="4"/>
        <v>3.6000000000000476E-3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333749619.40460885</v>
      </c>
      <c r="D15" s="11">
        <v>5.0000000000000001E-3</v>
      </c>
      <c r="E15" s="10">
        <f t="shared" si="2"/>
        <v>1660445.8676846027</v>
      </c>
      <c r="F15" s="3"/>
      <c r="G15" s="28"/>
      <c r="H15" s="10"/>
      <c r="I15" s="10">
        <f t="shared" si="5"/>
        <v>11861</v>
      </c>
      <c r="J15" s="10">
        <f t="shared" si="3"/>
        <v>3958604235758.0654</v>
      </c>
      <c r="K15" s="11">
        <f t="shared" si="4"/>
        <v>4.9999999999998934E-3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332089173.53692424</v>
      </c>
      <c r="D16" s="11">
        <v>5.7000000000000002E-3</v>
      </c>
      <c r="E16" s="10">
        <f t="shared" si="2"/>
        <v>1882179.8639360666</v>
      </c>
      <c r="F16" s="3"/>
      <c r="G16" s="28"/>
      <c r="H16" s="10"/>
      <c r="I16" s="10">
        <f t="shared" si="5"/>
        <v>11861</v>
      </c>
      <c r="J16" s="10">
        <f t="shared" si="3"/>
        <v>3938909687321.4585</v>
      </c>
      <c r="K16" s="11">
        <f t="shared" si="4"/>
        <v>5.7000000000000384E-3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330206993.67298818</v>
      </c>
      <c r="D17" s="11">
        <v>4.4000000000000003E-3</v>
      </c>
      <c r="E17" s="10">
        <f t="shared" si="2"/>
        <v>1446545.9698935747</v>
      </c>
      <c r="F17" s="3"/>
      <c r="G17" s="28"/>
      <c r="H17" s="10"/>
      <c r="I17" s="10">
        <f t="shared" si="5"/>
        <v>11861</v>
      </c>
      <c r="J17" s="10">
        <f t="shared" si="3"/>
        <v>3916585151955.313</v>
      </c>
      <c r="K17" s="11">
        <f t="shared" si="4"/>
        <v>4.3999999999999595E-3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328760447.7030946</v>
      </c>
      <c r="D18" s="11">
        <v>7.1999999999999998E-3</v>
      </c>
      <c r="E18" s="10">
        <f t="shared" si="2"/>
        <v>2350154.1138426661</v>
      </c>
      <c r="F18" s="3"/>
      <c r="G18" s="28"/>
      <c r="H18" s="10"/>
      <c r="I18" s="10">
        <f t="shared" si="5"/>
        <v>11861</v>
      </c>
      <c r="J18" s="10">
        <f t="shared" si="3"/>
        <v>3899427670206.4053</v>
      </c>
      <c r="K18" s="11">
        <f t="shared" si="4"/>
        <v>7.2000000000003173E-3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326410293.58925194</v>
      </c>
      <c r="D19" s="11">
        <v>6.7999999999999996E-3</v>
      </c>
      <c r="E19" s="10">
        <f t="shared" si="2"/>
        <v>2204598.7250763774</v>
      </c>
      <c r="F19" s="3"/>
      <c r="G19" s="28"/>
      <c r="H19" s="10"/>
      <c r="I19" s="10">
        <f t="shared" si="5"/>
        <v>11861</v>
      </c>
      <c r="J19" s="10">
        <f t="shared" si="3"/>
        <v>3871552492262.1172</v>
      </c>
      <c r="K19" s="11">
        <f t="shared" si="4"/>
        <v>6.7999999999999172E-3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324205694.86417556</v>
      </c>
      <c r="D20" s="11">
        <v>8.0999999999999996E-3</v>
      </c>
      <c r="E20" s="10">
        <f t="shared" si="2"/>
        <v>2604965.9045727849</v>
      </c>
      <c r="F20" s="3"/>
      <c r="G20" s="28"/>
      <c r="H20" s="10"/>
      <c r="I20" s="10">
        <f t="shared" si="5"/>
        <v>11861</v>
      </c>
      <c r="J20" s="10">
        <f t="shared" si="3"/>
        <v>3845403746783.9863</v>
      </c>
      <c r="K20" s="11">
        <f t="shared" si="4"/>
        <v>8.0999999999999961E-3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321600728.95960277</v>
      </c>
      <c r="D21" s="11">
        <v>8.0000000000000002E-3</v>
      </c>
      <c r="E21" s="10">
        <f t="shared" si="2"/>
        <v>2552386.7377746105</v>
      </c>
      <c r="F21" s="3"/>
      <c r="G21" s="28"/>
      <c r="H21" s="10"/>
      <c r="I21" s="10">
        <f t="shared" si="5"/>
        <v>11861</v>
      </c>
      <c r="J21" s="10">
        <f t="shared" si="3"/>
        <v>3814506246189.8486</v>
      </c>
      <c r="K21" s="11">
        <f t="shared" si="4"/>
        <v>8.0000000000000071E-3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319048342.22182816</v>
      </c>
      <c r="D22" s="11">
        <v>8.0999999999999996E-3</v>
      </c>
      <c r="E22" s="10">
        <f t="shared" si="2"/>
        <v>2563527.003270328</v>
      </c>
      <c r="F22" s="3"/>
      <c r="G22" s="28"/>
      <c r="H22" s="10"/>
      <c r="I22" s="10">
        <f t="shared" si="5"/>
        <v>11861</v>
      </c>
      <c r="J22" s="10">
        <f t="shared" si="3"/>
        <v>3784232387093.104</v>
      </c>
      <c r="K22" s="11">
        <f t="shared" si="4"/>
        <v>8.0999999999999961E-3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316484815.21855783</v>
      </c>
      <c r="D23" s="11">
        <v>8.3999999999999995E-3</v>
      </c>
      <c r="E23" s="10">
        <f t="shared" si="2"/>
        <v>2636327.298528254</v>
      </c>
      <c r="F23" s="3"/>
      <c r="G23" s="28"/>
      <c r="H23" s="10"/>
      <c r="I23" s="10">
        <f t="shared" si="5"/>
        <v>11861</v>
      </c>
      <c r="J23" s="10">
        <f t="shared" si="3"/>
        <v>3753826393307.3145</v>
      </c>
      <c r="K23" s="11">
        <f t="shared" si="4"/>
        <v>8.3999999999999631E-3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313848487.92002958</v>
      </c>
      <c r="D24" s="11">
        <v>8.8000000000000005E-3</v>
      </c>
      <c r="E24" s="10">
        <f t="shared" si="2"/>
        <v>2737774.2800319791</v>
      </c>
      <c r="F24" s="3"/>
      <c r="G24" s="28"/>
      <c r="H24" s="10"/>
      <c r="I24" s="10">
        <f t="shared" si="5"/>
        <v>11861</v>
      </c>
      <c r="J24" s="10">
        <f t="shared" si="3"/>
        <v>3722556915219.4707</v>
      </c>
      <c r="K24" s="11">
        <f t="shared" si="4"/>
        <v>8.799999999999919E-3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311110713.6399976</v>
      </c>
      <c r="D25" s="11">
        <v>9.4999999999999998E-3</v>
      </c>
      <c r="E25" s="10">
        <f t="shared" si="2"/>
        <v>2927738.2660524845</v>
      </c>
      <c r="F25" s="3"/>
      <c r="G25" s="28"/>
      <c r="H25" s="10"/>
      <c r="I25" s="10">
        <f t="shared" si="5"/>
        <v>11861</v>
      </c>
      <c r="J25" s="10">
        <f t="shared" si="3"/>
        <v>3690084174484.0117</v>
      </c>
      <c r="K25" s="11">
        <f t="shared" si="4"/>
        <v>9.5000000000000639E-3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308182975.37394512</v>
      </c>
      <c r="D26" s="11">
        <v>9.7000000000000003E-3</v>
      </c>
      <c r="E26" s="10">
        <f t="shared" si="2"/>
        <v>2960656.4931437969</v>
      </c>
      <c r="F26" s="3"/>
      <c r="G26" s="28"/>
      <c r="H26" s="10"/>
      <c r="I26" s="10">
        <f t="shared" si="5"/>
        <v>11861</v>
      </c>
      <c r="J26" s="10">
        <f t="shared" si="3"/>
        <v>3655358270910.3628</v>
      </c>
      <c r="K26" s="11">
        <f t="shared" si="4"/>
        <v>9.7000000000000419E-3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305222318.88080132</v>
      </c>
      <c r="D27" s="11">
        <v>8.3999999999999995E-3</v>
      </c>
      <c r="E27" s="10">
        <f t="shared" si="2"/>
        <v>2542510.3913117051</v>
      </c>
      <c r="F27" s="3"/>
      <c r="G27" s="28"/>
      <c r="H27" s="10"/>
      <c r="I27" s="10">
        <f t="shared" si="5"/>
        <v>11861</v>
      </c>
      <c r="J27" s="10">
        <f t="shared" si="3"/>
        <v>3620241924245.1846</v>
      </c>
      <c r="K27" s="11">
        <f t="shared" si="4"/>
        <v>8.3999999999999631E-3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302679808.48948961</v>
      </c>
      <c r="D28" s="11">
        <v>8.8000000000000005E-3</v>
      </c>
      <c r="E28" s="10">
        <f t="shared" si="2"/>
        <v>2640347.2588297725</v>
      </c>
      <c r="F28" s="3"/>
      <c r="G28" s="28"/>
      <c r="H28" s="10"/>
      <c r="I28" s="10">
        <f t="shared" si="5"/>
        <v>11861</v>
      </c>
      <c r="J28" s="10">
        <f t="shared" si="3"/>
        <v>3590085208493.8364</v>
      </c>
      <c r="K28" s="11">
        <f t="shared" si="4"/>
        <v>8.799999999999919E-3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300039461.23065984</v>
      </c>
      <c r="D29" s="11">
        <v>1.04E-2</v>
      </c>
      <c r="E29" s="10">
        <f t="shared" si="2"/>
        <v>3088292.1583520174</v>
      </c>
      <c r="F29" s="3"/>
      <c r="G29" s="28"/>
      <c r="H29" s="10"/>
      <c r="I29" s="10">
        <f t="shared" si="5"/>
        <v>11861</v>
      </c>
      <c r="J29" s="10">
        <f t="shared" si="3"/>
        <v>3558768049656.8564</v>
      </c>
      <c r="K29" s="11">
        <f t="shared" si="4"/>
        <v>1.0400000000000187E-2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296951169.07230783</v>
      </c>
      <c r="D30" s="11">
        <v>1.0200000000000001E-2</v>
      </c>
      <c r="E30" s="10">
        <f t="shared" si="2"/>
        <v>2998319.0700232983</v>
      </c>
      <c r="F30" s="3"/>
      <c r="G30" s="28"/>
      <c r="H30" s="10"/>
      <c r="I30" s="10">
        <f t="shared" si="5"/>
        <v>11861</v>
      </c>
      <c r="J30" s="10">
        <f t="shared" si="3"/>
        <v>3522137816366.6431</v>
      </c>
      <c r="K30" s="11">
        <f t="shared" si="4"/>
        <v>1.0199999999999987E-2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293952850.00228453</v>
      </c>
      <c r="D31" s="11">
        <v>1.29E-2</v>
      </c>
      <c r="E31" s="10">
        <f t="shared" si="2"/>
        <v>3743698.0600547194</v>
      </c>
      <c r="F31" s="3"/>
      <c r="G31" s="28"/>
      <c r="H31" s="10"/>
      <c r="I31" s="10">
        <f t="shared" si="5"/>
        <v>11861</v>
      </c>
      <c r="J31" s="10">
        <f t="shared" si="3"/>
        <v>3486574753877.0967</v>
      </c>
      <c r="K31" s="11">
        <f t="shared" si="4"/>
        <v>1.2899999999999912E-2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290209151.94222981</v>
      </c>
      <c r="D32" s="11">
        <v>1.2999999999999999E-2</v>
      </c>
      <c r="E32" s="10">
        <f t="shared" si="2"/>
        <v>3724303.0357837677</v>
      </c>
      <c r="F32" s="3"/>
      <c r="G32" s="28"/>
      <c r="H32" s="10"/>
      <c r="I32" s="10">
        <f t="shared" si="5"/>
        <v>11861</v>
      </c>
      <c r="J32" s="10">
        <f t="shared" si="3"/>
        <v>3442170751186.7876</v>
      </c>
      <c r="K32" s="11">
        <f t="shared" si="4"/>
        <v>1.2999999999999901E-2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286484848.90644604</v>
      </c>
      <c r="D33" s="11">
        <v>1.43E-2</v>
      </c>
      <c r="E33" s="10">
        <f t="shared" si="2"/>
        <v>4038975.9828079939</v>
      </c>
      <c r="F33" s="3"/>
      <c r="G33" s="28"/>
      <c r="H33" s="10"/>
      <c r="I33" s="10">
        <f t="shared" si="5"/>
        <v>11861</v>
      </c>
      <c r="J33" s="10">
        <f t="shared" si="3"/>
        <v>3397996792879.3564</v>
      </c>
      <c r="K33" s="11">
        <f t="shared" si="4"/>
        <v>1.4299999999999757E-2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282445872.92363805</v>
      </c>
      <c r="D34" s="11">
        <v>1.5299999999999999E-2</v>
      </c>
      <c r="E34" s="10">
        <f t="shared" si="2"/>
        <v>4256300.4587133527</v>
      </c>
      <c r="F34" s="3"/>
      <c r="G34" s="28"/>
      <c r="H34" s="10"/>
      <c r="I34" s="10">
        <f t="shared" si="5"/>
        <v>11861</v>
      </c>
      <c r="J34" s="10">
        <f t="shared" ref="J34:J65" si="6">IF(I34="","",I34*C34)</f>
        <v>3350090498747.271</v>
      </c>
      <c r="K34" s="11">
        <f t="shared" ref="K34:K65" si="7">IFERROR(J34/J35-1,"")</f>
        <v>1.5300000000000091E-2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278189572.46492469</v>
      </c>
      <c r="D35" s="11">
        <v>1.6299999999999999E-2</v>
      </c>
      <c r="E35" s="10">
        <f t="shared" si="2"/>
        <v>4461763.2895584702</v>
      </c>
      <c r="F35" s="3"/>
      <c r="G35" s="28"/>
      <c r="H35" s="10"/>
      <c r="I35" s="10">
        <f t="shared" ref="I35:I66" si="8">IF(H35&lt;&gt;"",H35,I34/(1+IF(G34="",0,G34)/100))</f>
        <v>11861</v>
      </c>
      <c r="J35" s="10">
        <f t="shared" si="6"/>
        <v>3299606519006.4717</v>
      </c>
      <c r="K35" s="11">
        <f t="shared" si="7"/>
        <v>1.6299999999999981E-2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273727809.17536622</v>
      </c>
      <c r="D36" s="11">
        <v>1.72E-2</v>
      </c>
      <c r="E36" s="10">
        <f t="shared" si="2"/>
        <v>4628507.9805508256</v>
      </c>
      <c r="F36" s="3"/>
      <c r="G36" s="28"/>
      <c r="H36" s="10"/>
      <c r="I36" s="10">
        <f t="shared" si="8"/>
        <v>11861</v>
      </c>
      <c r="J36" s="10">
        <f t="shared" si="6"/>
        <v>3246685544629.0186</v>
      </c>
      <c r="K36" s="11">
        <f t="shared" si="7"/>
        <v>1.7199999999999882E-2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269099301.1948154</v>
      </c>
      <c r="D37" s="11">
        <v>1.8599999999999998E-2</v>
      </c>
      <c r="E37" s="10">
        <f t="shared" si="2"/>
        <v>4913849.4033217728</v>
      </c>
      <c r="F37" s="3"/>
      <c r="G37" s="28"/>
      <c r="H37" s="10"/>
      <c r="I37" s="10">
        <f t="shared" si="8"/>
        <v>11861</v>
      </c>
      <c r="J37" s="10">
        <f t="shared" si="6"/>
        <v>3191786811471.7056</v>
      </c>
      <c r="K37" s="11">
        <f t="shared" si="7"/>
        <v>1.859999999999995E-2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264185451.79149362</v>
      </c>
      <c r="D38" s="11">
        <v>2.06E-2</v>
      </c>
      <c r="E38" s="10">
        <f t="shared" si="2"/>
        <v>5332373.4145647287</v>
      </c>
      <c r="F38" s="3"/>
      <c r="G38" s="28"/>
      <c r="H38" s="10"/>
      <c r="I38" s="10">
        <f t="shared" si="8"/>
        <v>11861</v>
      </c>
      <c r="J38" s="10">
        <f t="shared" si="6"/>
        <v>3133503643698.9058</v>
      </c>
      <c r="K38" s="11">
        <f t="shared" si="7"/>
        <v>2.0599999999999952E-2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258853078.3769289</v>
      </c>
      <c r="D39" s="11">
        <v>2.06E-2</v>
      </c>
      <c r="E39" s="10">
        <f t="shared" si="2"/>
        <v>5224743.6944588721</v>
      </c>
      <c r="F39" s="3"/>
      <c r="G39" s="28"/>
      <c r="H39" s="10"/>
      <c r="I39" s="10">
        <f t="shared" si="8"/>
        <v>11861</v>
      </c>
      <c r="J39" s="10">
        <f t="shared" si="6"/>
        <v>3070256362628.7534</v>
      </c>
      <c r="K39" s="11">
        <f t="shared" si="7"/>
        <v>2.0599999999999952E-2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253628334.68247002</v>
      </c>
      <c r="D40" s="11">
        <v>2.0500000000000001E-2</v>
      </c>
      <c r="E40" s="10">
        <f t="shared" si="2"/>
        <v>5094934.6996478438</v>
      </c>
      <c r="F40" s="3"/>
      <c r="G40" s="28"/>
      <c r="H40" s="10"/>
      <c r="I40" s="10">
        <f t="shared" si="8"/>
        <v>11861</v>
      </c>
      <c r="J40" s="10">
        <f t="shared" si="6"/>
        <v>3008285677668.7769</v>
      </c>
      <c r="K40" s="11">
        <f t="shared" si="7"/>
        <v>2.0499999999999963E-2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248533399.98282218</v>
      </c>
      <c r="D41" s="11">
        <v>2.0899999999999998E-2</v>
      </c>
      <c r="E41" s="10">
        <f t="shared" si="2"/>
        <v>5088008.678265214</v>
      </c>
      <c r="F41" s="3"/>
      <c r="G41" s="28"/>
      <c r="H41" s="10"/>
      <c r="I41" s="10">
        <f t="shared" si="8"/>
        <v>11861</v>
      </c>
      <c r="J41" s="10">
        <f t="shared" si="6"/>
        <v>2947854657196.2539</v>
      </c>
      <c r="K41" s="11">
        <f t="shared" si="7"/>
        <v>2.0899999999999919E-2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243445391.30455697</v>
      </c>
      <c r="D42" s="11">
        <v>1.61E-2</v>
      </c>
      <c r="E42" s="10">
        <f t="shared" si="2"/>
        <v>3857367.1882721782</v>
      </c>
      <c r="F42" s="3"/>
      <c r="G42" s="28"/>
      <c r="H42" s="10"/>
      <c r="I42" s="10">
        <f t="shared" si="8"/>
        <v>11861</v>
      </c>
      <c r="J42" s="10">
        <f t="shared" si="6"/>
        <v>2887505786263.3501</v>
      </c>
      <c r="K42" s="11">
        <f t="shared" si="7"/>
        <v>1.6100000000000003E-2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239588024.11628479</v>
      </c>
      <c r="D43" s="11">
        <v>1.8800000000000001E-2</v>
      </c>
      <c r="E43" s="10">
        <f t="shared" si="2"/>
        <v>4421137.4689695239</v>
      </c>
      <c r="F43" s="3"/>
      <c r="G43" s="28"/>
      <c r="H43" s="10"/>
      <c r="I43" s="10">
        <f t="shared" si="8"/>
        <v>11861</v>
      </c>
      <c r="J43" s="10">
        <f t="shared" si="6"/>
        <v>2841753554043.2539</v>
      </c>
      <c r="K43" s="11">
        <f t="shared" si="7"/>
        <v>1.880000000000015E-2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235166886.64731526</v>
      </c>
      <c r="D44" s="11">
        <v>2.01E-2</v>
      </c>
      <c r="E44" s="10">
        <f t="shared" si="2"/>
        <v>4633716.7156269252</v>
      </c>
      <c r="F44" s="3"/>
      <c r="G44" s="28"/>
      <c r="H44" s="10"/>
      <c r="I44" s="10">
        <f t="shared" si="8"/>
        <v>11861</v>
      </c>
      <c r="J44" s="10">
        <f t="shared" si="6"/>
        <v>2789314442523.8062</v>
      </c>
      <c r="K44" s="11">
        <f t="shared" si="7"/>
        <v>2.0099999999999785E-2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230533169.93168834</v>
      </c>
      <c r="D45" s="11">
        <v>2.1100000000000001E-2</v>
      </c>
      <c r="E45" s="10">
        <f t="shared" si="2"/>
        <v>4763735.0754662752</v>
      </c>
      <c r="F45" s="3"/>
      <c r="G45" s="28"/>
      <c r="H45" s="10"/>
      <c r="I45" s="10">
        <f t="shared" si="8"/>
        <v>11861</v>
      </c>
      <c r="J45" s="10">
        <f t="shared" si="6"/>
        <v>2734353928559.7554</v>
      </c>
      <c r="K45" s="11">
        <f t="shared" si="7"/>
        <v>2.1099999999999897E-2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225769434.85622206</v>
      </c>
      <c r="D46" s="11">
        <v>2.1999999999999999E-2</v>
      </c>
      <c r="E46" s="10">
        <f t="shared" si="2"/>
        <v>4860007.403949976</v>
      </c>
      <c r="F46" s="3"/>
      <c r="G46" s="28"/>
      <c r="H46" s="10"/>
      <c r="I46" s="10">
        <f t="shared" si="8"/>
        <v>11861</v>
      </c>
      <c r="J46" s="10">
        <f t="shared" si="6"/>
        <v>2677851266829.6499</v>
      </c>
      <c r="K46" s="11">
        <f t="shared" si="7"/>
        <v>2.1999999999999797E-2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220909427.45227209</v>
      </c>
      <c r="D47" s="11">
        <v>1.8800000000000001E-2</v>
      </c>
      <c r="E47" s="10">
        <f t="shared" si="2"/>
        <v>4076459.7920128703</v>
      </c>
      <c r="F47" s="3"/>
      <c r="G47" s="28"/>
      <c r="H47" s="10"/>
      <c r="I47" s="10">
        <f t="shared" si="8"/>
        <v>11861</v>
      </c>
      <c r="J47" s="10">
        <f t="shared" si="6"/>
        <v>2620206719011.3994</v>
      </c>
      <c r="K47" s="11">
        <f t="shared" si="7"/>
        <v>1.880000000000015E-2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216832967.66025922</v>
      </c>
      <c r="D48" s="11">
        <v>2.1100000000000001E-2</v>
      </c>
      <c r="E48" s="10">
        <f t="shared" si="2"/>
        <v>4480634.2352673113</v>
      </c>
      <c r="F48" s="3"/>
      <c r="G48" s="28"/>
      <c r="H48" s="10"/>
      <c r="I48" s="10">
        <f t="shared" si="8"/>
        <v>11861</v>
      </c>
      <c r="J48" s="10">
        <f t="shared" si="6"/>
        <v>2571855829418.3345</v>
      </c>
      <c r="K48" s="11">
        <f t="shared" si="7"/>
        <v>2.1099999999999897E-2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212352333.42499191</v>
      </c>
      <c r="D49" s="11">
        <v>2.18E-2</v>
      </c>
      <c r="E49" s="10">
        <f t="shared" si="2"/>
        <v>4530515.627974987</v>
      </c>
      <c r="F49" s="3"/>
      <c r="G49" s="28"/>
      <c r="H49" s="10"/>
      <c r="I49" s="10">
        <f t="shared" si="8"/>
        <v>11861</v>
      </c>
      <c r="J49" s="10">
        <f t="shared" si="6"/>
        <v>2518711026753.8291</v>
      </c>
      <c r="K49" s="11">
        <f t="shared" si="7"/>
        <v>2.1800000000000264E-2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207821817.79701692</v>
      </c>
      <c r="D50" s="11">
        <v>2.29E-2</v>
      </c>
      <c r="E50" s="10">
        <f t="shared" si="2"/>
        <v>4652575.6452748775</v>
      </c>
      <c r="F50" s="3"/>
      <c r="G50" s="28"/>
      <c r="H50" s="10"/>
      <c r="I50" s="10">
        <f t="shared" si="8"/>
        <v>11861</v>
      </c>
      <c r="J50" s="10">
        <f t="shared" si="6"/>
        <v>2464974580890.4175</v>
      </c>
      <c r="K50" s="11">
        <f t="shared" si="7"/>
        <v>2.2899999999999698E-2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203169242.15174204</v>
      </c>
      <c r="D51" s="11">
        <v>3.0300000000000001E-2</v>
      </c>
      <c r="E51" s="10">
        <f t="shared" si="2"/>
        <v>5974985.9625330269</v>
      </c>
      <c r="F51" s="3"/>
      <c r="G51" s="28"/>
      <c r="H51" s="10"/>
      <c r="I51" s="10">
        <f t="shared" si="8"/>
        <v>11861</v>
      </c>
      <c r="J51" s="10">
        <f t="shared" si="6"/>
        <v>2409790381161.8125</v>
      </c>
      <c r="K51" s="11">
        <f t="shared" si="7"/>
        <v>3.0299999999999994E-2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197194256.18920901</v>
      </c>
      <c r="D52" s="11">
        <v>3.1699999999999999E-2</v>
      </c>
      <c r="E52" s="10">
        <f t="shared" si="2"/>
        <v>6058988.0015488267</v>
      </c>
      <c r="F52" s="3"/>
      <c r="G52" s="28"/>
      <c r="H52" s="10"/>
      <c r="I52" s="10">
        <f t="shared" si="8"/>
        <v>11861</v>
      </c>
      <c r="J52" s="10">
        <f t="shared" si="6"/>
        <v>2338921072660.208</v>
      </c>
      <c r="K52" s="11">
        <f t="shared" si="7"/>
        <v>3.1700000000000061E-2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191135268.18766019</v>
      </c>
      <c r="D53" s="11">
        <v>3.3099999999999997E-2</v>
      </c>
      <c r="E53" s="10">
        <f t="shared" si="2"/>
        <v>6123877.0467636585</v>
      </c>
      <c r="F53" s="3"/>
      <c r="G53" s="28"/>
      <c r="H53" s="10"/>
      <c r="I53" s="10">
        <f t="shared" si="8"/>
        <v>11861</v>
      </c>
      <c r="J53" s="10">
        <f t="shared" si="6"/>
        <v>2267055415973.8374</v>
      </c>
      <c r="K53" s="11">
        <f t="shared" si="7"/>
        <v>3.3099999999999907E-2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185011391.14089653</v>
      </c>
      <c r="D54" s="11">
        <v>3.44E-2</v>
      </c>
      <c r="E54" s="10">
        <f t="shared" si="2"/>
        <v>6152737.6790862679</v>
      </c>
      <c r="F54" s="3"/>
      <c r="G54" s="28"/>
      <c r="H54" s="10"/>
      <c r="I54" s="10">
        <f t="shared" si="8"/>
        <v>11861</v>
      </c>
      <c r="J54" s="10">
        <f t="shared" si="6"/>
        <v>2194420110322.1738</v>
      </c>
      <c r="K54" s="11">
        <f t="shared" si="7"/>
        <v>3.4399999999999986E-2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178858653.46181026</v>
      </c>
      <c r="D55" s="11">
        <v>3.5099999999999999E-2</v>
      </c>
      <c r="E55" s="10">
        <f t="shared" si="2"/>
        <v>6065055.2956328094</v>
      </c>
      <c r="F55" s="3"/>
      <c r="G55" s="28"/>
      <c r="H55" s="10"/>
      <c r="I55" s="10">
        <f t="shared" si="8"/>
        <v>11861</v>
      </c>
      <c r="J55" s="10">
        <f t="shared" si="6"/>
        <v>2121442488710.5315</v>
      </c>
      <c r="K55" s="11">
        <f t="shared" si="7"/>
        <v>3.5099999999999909E-2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172793598.16617745</v>
      </c>
      <c r="D56" s="11">
        <v>3.5799999999999998E-2</v>
      </c>
      <c r="E56" s="10">
        <f t="shared" si="2"/>
        <v>5972205.8450947702</v>
      </c>
      <c r="F56" s="3"/>
      <c r="G56" s="28"/>
      <c r="H56" s="10"/>
      <c r="I56" s="10">
        <f t="shared" si="8"/>
        <v>11861</v>
      </c>
      <c r="J56" s="10">
        <f t="shared" si="6"/>
        <v>2049504867849.0308</v>
      </c>
      <c r="K56" s="11">
        <f t="shared" si="7"/>
        <v>3.5800000000000054E-2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166821392.32108268</v>
      </c>
      <c r="D57" s="11">
        <v>3.6600000000000001E-2</v>
      </c>
      <c r="E57" s="10">
        <f t="shared" si="2"/>
        <v>5890085.8180123568</v>
      </c>
      <c r="F57" s="3"/>
      <c r="G57" s="28"/>
      <c r="H57" s="10"/>
      <c r="I57" s="10">
        <f t="shared" si="8"/>
        <v>11861</v>
      </c>
      <c r="J57" s="10">
        <f t="shared" si="6"/>
        <v>1978668534320.3616</v>
      </c>
      <c r="K57" s="11">
        <f t="shared" si="7"/>
        <v>3.6599999999999744E-2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160931306.50307032</v>
      </c>
      <c r="D58" s="11">
        <v>3.7600000000000001E-2</v>
      </c>
      <c r="E58" s="10">
        <f t="shared" si="2"/>
        <v>5831743.5664181411</v>
      </c>
      <c r="F58" s="3"/>
      <c r="G58" s="28"/>
      <c r="H58" s="10"/>
      <c r="I58" s="10">
        <f t="shared" si="8"/>
        <v>11861</v>
      </c>
      <c r="J58" s="10">
        <f t="shared" si="6"/>
        <v>1908806226432.9172</v>
      </c>
      <c r="K58" s="11">
        <f t="shared" si="7"/>
        <v>3.7600000000000078E-2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155099562.93665218</v>
      </c>
      <c r="D59" s="11">
        <v>3.8699999999999998E-2</v>
      </c>
      <c r="E59" s="10">
        <f t="shared" si="2"/>
        <v>5778716.7475194335</v>
      </c>
      <c r="F59" s="3"/>
      <c r="G59" s="28"/>
      <c r="H59" s="10"/>
      <c r="I59" s="10">
        <f t="shared" si="8"/>
        <v>11861</v>
      </c>
      <c r="J59" s="10">
        <f t="shared" si="6"/>
        <v>1839635915991.6316</v>
      </c>
      <c r="K59" s="11">
        <f t="shared" si="7"/>
        <v>3.8699999999999957E-2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149320846.18913275</v>
      </c>
      <c r="D60" s="11">
        <v>4.0099999999999997E-2</v>
      </c>
      <c r="E60" s="10">
        <f t="shared" si="2"/>
        <v>5756913.6930912733</v>
      </c>
      <c r="F60" s="3"/>
      <c r="G60" s="28"/>
      <c r="H60" s="10"/>
      <c r="I60" s="10">
        <f t="shared" si="8"/>
        <v>11861</v>
      </c>
      <c r="J60" s="10">
        <f t="shared" si="6"/>
        <v>1771094556649.3035</v>
      </c>
      <c r="K60" s="11">
        <f t="shared" si="7"/>
        <v>4.0100000000000025E-2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143563932.49604148</v>
      </c>
      <c r="D61" s="11">
        <v>3.9600000000000003E-2</v>
      </c>
      <c r="E61" s="10">
        <f t="shared" si="2"/>
        <v>5468576.1127772629</v>
      </c>
      <c r="F61" s="3"/>
      <c r="G61" s="28"/>
      <c r="H61" s="10"/>
      <c r="I61" s="10">
        <f t="shared" si="8"/>
        <v>11861</v>
      </c>
      <c r="J61" s="10">
        <f t="shared" si="6"/>
        <v>1702811803335.5479</v>
      </c>
      <c r="K61" s="11">
        <f t="shared" si="7"/>
        <v>3.960000000000008E-2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138095356.38326421</v>
      </c>
      <c r="D62" s="11">
        <v>3.8300000000000001E-2</v>
      </c>
      <c r="E62" s="10">
        <f t="shared" si="2"/>
        <v>5093953.7219291329</v>
      </c>
      <c r="F62" s="3"/>
      <c r="G62" s="28"/>
      <c r="H62" s="10"/>
      <c r="I62" s="10">
        <f t="shared" si="8"/>
        <v>11861</v>
      </c>
      <c r="J62" s="10">
        <f t="shared" si="6"/>
        <v>1637949022061.8967</v>
      </c>
      <c r="K62" s="11">
        <f t="shared" si="7"/>
        <v>3.8299999999999779E-2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133001402.66133508</v>
      </c>
      <c r="D63" s="11">
        <v>3.6999999999999998E-2</v>
      </c>
      <c r="E63" s="10">
        <f t="shared" si="2"/>
        <v>4745469.5260071307</v>
      </c>
      <c r="F63" s="3"/>
      <c r="G63" s="28"/>
      <c r="H63" s="10"/>
      <c r="I63" s="10">
        <f t="shared" si="8"/>
        <v>11861</v>
      </c>
      <c r="J63" s="10">
        <f t="shared" si="6"/>
        <v>1577529636966.0955</v>
      </c>
      <c r="K63" s="11">
        <f t="shared" si="7"/>
        <v>3.7000000000000144E-2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128255933.13532795</v>
      </c>
      <c r="D64" s="11">
        <v>3.6499999999999998E-2</v>
      </c>
      <c r="E64" s="10">
        <f t="shared" si="2"/>
        <v>4516489.6859039664</v>
      </c>
      <c r="F64" s="3"/>
      <c r="G64" s="28"/>
      <c r="H64" s="10"/>
      <c r="I64" s="10">
        <f t="shared" si="8"/>
        <v>11861</v>
      </c>
      <c r="J64" s="10">
        <f t="shared" si="6"/>
        <v>1521243622918.1248</v>
      </c>
      <c r="K64" s="11">
        <f t="shared" si="7"/>
        <v>3.6499999999999755E-2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123739443.44942398</v>
      </c>
      <c r="D65" s="11">
        <v>3.6299999999999999E-2</v>
      </c>
      <c r="E65" s="10">
        <f t="shared" si="2"/>
        <v>4334402.9694239944</v>
      </c>
      <c r="F65" s="3"/>
      <c r="G65" s="28"/>
      <c r="H65" s="10"/>
      <c r="I65" s="10">
        <f t="shared" si="8"/>
        <v>11861</v>
      </c>
      <c r="J65" s="10">
        <f t="shared" si="6"/>
        <v>1467673538753.6179</v>
      </c>
      <c r="K65" s="11">
        <f t="shared" si="7"/>
        <v>3.6299999999999999E-2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119405040.47999999</v>
      </c>
      <c r="D66" s="11">
        <v>3.5200000000000002E-2</v>
      </c>
      <c r="E66" s="10">
        <f t="shared" si="2"/>
        <v>4060140.4799999893</v>
      </c>
      <c r="F66" s="24">
        <f>SUM(F2)</f>
        <v>347520587</v>
      </c>
      <c r="G66" s="28"/>
      <c r="H66" s="10"/>
      <c r="I66" s="10">
        <f t="shared" si="8"/>
        <v>11861</v>
      </c>
      <c r="J66" s="10">
        <f t="shared" ref="J66:J67" si="9">IF(I66="","",I66*C66)</f>
        <v>1416263185133.2798</v>
      </c>
      <c r="K66" s="11">
        <f t="shared" ref="K66" si="10">IFERROR(J66/J67-1,"")</f>
        <v>3.5199999999999898E-2</v>
      </c>
    </row>
    <row r="67" spans="1:11" ht="22.5" customHeight="1">
      <c r="A67" s="3">
        <f t="shared" si="0"/>
        <v>1950</v>
      </c>
      <c r="B67" s="3">
        <v>1700</v>
      </c>
      <c r="C67" s="10">
        <v>115344900</v>
      </c>
      <c r="D67" s="11">
        <v>3.3700000000000001E-2</v>
      </c>
      <c r="E67" s="3" t="s">
        <v>72</v>
      </c>
      <c r="F67" s="10">
        <f>SUM(C2)</f>
        <v>347520788.88603979</v>
      </c>
      <c r="G67" s="28"/>
      <c r="H67" s="10"/>
      <c r="I67" s="10">
        <f t="shared" ref="I67" si="11">IF(H67&lt;&gt;"",H67,I66/(1+IF(G66="",0,G66)/100))</f>
        <v>11861</v>
      </c>
      <c r="J67" s="10">
        <f t="shared" si="9"/>
        <v>1368105858900</v>
      </c>
      <c r="K67" s="11"/>
    </row>
  </sheetData>
  <dataValidations count="1">
    <dataValidation type="custom" allowBlank="1" showDropDown="1" sqref="D2:D67" xr:uid="{00000000-0002-0000-6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2646557.5766727393</v>
      </c>
      <c r="D2" s="11">
        <v>1.9300000000000001E-2</v>
      </c>
      <c r="E2" s="10">
        <f t="shared" ref="E2:E66" si="2">SUM(C2-C3)</f>
        <v>50111.410997531842</v>
      </c>
      <c r="F2" s="15">
        <v>2646840</v>
      </c>
      <c r="G2" s="28"/>
      <c r="H2" s="10"/>
      <c r="I2" s="10">
        <f>IF(H2&lt;&gt;"",H2,40476)</f>
        <v>40476</v>
      </c>
      <c r="J2" s="10">
        <f t="shared" ref="J2:J33" si="3">IF(I2="","",I2*C2)</f>
        <v>107122064473.40579</v>
      </c>
      <c r="K2" s="11">
        <f t="shared" ref="K2:K33" si="4">IFERROR(J2/J3-1,"")</f>
        <v>1.9300000000000095E-2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2596446.1656752075</v>
      </c>
      <c r="D3" s="11">
        <v>1.9199999999999998E-2</v>
      </c>
      <c r="E3" s="10">
        <f t="shared" si="2"/>
        <v>48912.643623394892</v>
      </c>
      <c r="F3" s="3"/>
      <c r="G3" s="28"/>
      <c r="H3" s="10"/>
      <c r="I3" s="10">
        <f t="shared" ref="I3:I34" si="5">IF(H3&lt;&gt;"",H3,I2/(1+IF(G2="",0,G2)/100))</f>
        <v>40476</v>
      </c>
      <c r="J3" s="10">
        <f t="shared" si="3"/>
        <v>105093755001.86971</v>
      </c>
      <c r="K3" s="11">
        <f t="shared" si="4"/>
        <v>1.9200000000000106E-2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2547533.5220518126</v>
      </c>
      <c r="D4" s="11">
        <v>1.9099999999999999E-2</v>
      </c>
      <c r="E4" s="10">
        <f t="shared" si="2"/>
        <v>47745.942764389329</v>
      </c>
      <c r="F4" s="3"/>
      <c r="G4" s="28"/>
      <c r="H4" s="10"/>
      <c r="I4" s="10">
        <f t="shared" si="5"/>
        <v>40476</v>
      </c>
      <c r="J4" s="10">
        <f t="shared" si="3"/>
        <v>103113966838.56917</v>
      </c>
      <c r="K4" s="11">
        <f t="shared" si="4"/>
        <v>1.9099999999999895E-2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2499787.5792874233</v>
      </c>
      <c r="D5" s="11">
        <v>1.9099999999999999E-2</v>
      </c>
      <c r="E5" s="10">
        <f t="shared" si="2"/>
        <v>46851.087002639193</v>
      </c>
      <c r="F5" s="3"/>
      <c r="G5" s="28"/>
      <c r="H5" s="10"/>
      <c r="I5" s="10">
        <f t="shared" si="5"/>
        <v>40476</v>
      </c>
      <c r="J5" s="10">
        <f t="shared" si="3"/>
        <v>101181402059.23775</v>
      </c>
      <c r="K5" s="11">
        <f t="shared" si="4"/>
        <v>1.9099999999999895E-2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2452936.4922847841</v>
      </c>
      <c r="D6" s="11">
        <v>2.1600000000000001E-2</v>
      </c>
      <c r="E6" s="10">
        <f t="shared" si="2"/>
        <v>51863.183470391203</v>
      </c>
      <c r="F6" s="3"/>
      <c r="G6" s="28"/>
      <c r="H6" s="10"/>
      <c r="I6" s="10">
        <f t="shared" si="5"/>
        <v>40476</v>
      </c>
      <c r="J6" s="10">
        <f t="shared" si="3"/>
        <v>99285057461.718918</v>
      </c>
      <c r="K6" s="11">
        <f t="shared" si="4"/>
        <v>2.1600000000000064E-2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2401073.3088143929</v>
      </c>
      <c r="D7" s="11">
        <v>2.35E-2</v>
      </c>
      <c r="E7" s="10">
        <f t="shared" si="2"/>
        <v>55129.675385577139</v>
      </c>
      <c r="F7" s="3"/>
      <c r="G7" s="28"/>
      <c r="H7" s="10"/>
      <c r="I7" s="10">
        <f t="shared" si="5"/>
        <v>40476</v>
      </c>
      <c r="J7" s="10">
        <f t="shared" si="3"/>
        <v>97185843247.571365</v>
      </c>
      <c r="K7" s="11">
        <f t="shared" si="4"/>
        <v>2.3499999999999854E-2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2345943.6334288158</v>
      </c>
      <c r="D8" s="11">
        <v>2.4400000000000002E-2</v>
      </c>
      <c r="E8" s="10">
        <f t="shared" si="2"/>
        <v>55877.610948519316</v>
      </c>
      <c r="F8" s="3"/>
      <c r="G8" s="28"/>
      <c r="H8" s="10"/>
      <c r="I8" s="10">
        <f t="shared" si="5"/>
        <v>40476</v>
      </c>
      <c r="J8" s="10">
        <f t="shared" si="3"/>
        <v>94954414506.664749</v>
      </c>
      <c r="K8" s="11">
        <f t="shared" si="4"/>
        <v>2.4400000000000199E-2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2290066.0224802964</v>
      </c>
      <c r="D9" s="11">
        <v>2.5499999999999998E-2</v>
      </c>
      <c r="E9" s="10">
        <f t="shared" si="2"/>
        <v>56944.596365917008</v>
      </c>
      <c r="F9" s="3"/>
      <c r="G9" s="28"/>
      <c r="H9" s="10"/>
      <c r="I9" s="10">
        <f t="shared" si="5"/>
        <v>40476</v>
      </c>
      <c r="J9" s="10">
        <f t="shared" si="3"/>
        <v>92692712325.912476</v>
      </c>
      <c r="K9" s="11">
        <f t="shared" si="4"/>
        <v>2.5500000000000078E-2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2233121.4261143794</v>
      </c>
      <c r="D10" s="11">
        <v>2.6100000000000002E-2</v>
      </c>
      <c r="E10" s="10">
        <f t="shared" si="2"/>
        <v>56801.938623511698</v>
      </c>
      <c r="F10" s="3"/>
      <c r="G10" s="28"/>
      <c r="H10" s="10"/>
      <c r="I10" s="10">
        <f t="shared" si="5"/>
        <v>40476</v>
      </c>
      <c r="J10" s="10">
        <f t="shared" si="3"/>
        <v>90387822843.405624</v>
      </c>
      <c r="K10" s="11">
        <f t="shared" si="4"/>
        <v>2.6100000000000012E-2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2176319.4874908677</v>
      </c>
      <c r="D11" s="11">
        <v>2.64E-2</v>
      </c>
      <c r="E11" s="10">
        <f t="shared" si="2"/>
        <v>55977.04059797246</v>
      </c>
      <c r="F11" s="3"/>
      <c r="G11" s="28"/>
      <c r="H11" s="10"/>
      <c r="I11" s="10">
        <f t="shared" si="5"/>
        <v>40476</v>
      </c>
      <c r="J11" s="10">
        <f t="shared" si="3"/>
        <v>88088707575.680359</v>
      </c>
      <c r="K11" s="11">
        <f t="shared" si="4"/>
        <v>2.6399999999999979E-2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2120342.4468928953</v>
      </c>
      <c r="D12" s="11">
        <v>2.6700000000000002E-2</v>
      </c>
      <c r="E12" s="10">
        <f t="shared" si="2"/>
        <v>55140.8817882929</v>
      </c>
      <c r="F12" s="3"/>
      <c r="G12" s="28"/>
      <c r="H12" s="10"/>
      <c r="I12" s="10">
        <f t="shared" si="5"/>
        <v>40476</v>
      </c>
      <c r="J12" s="10">
        <f t="shared" si="3"/>
        <v>85822980880.436829</v>
      </c>
      <c r="K12" s="11">
        <f t="shared" si="4"/>
        <v>2.6699999999999946E-2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2065201.5651046024</v>
      </c>
      <c r="D13" s="11">
        <v>2.7300000000000001E-2</v>
      </c>
      <c r="E13" s="10">
        <f t="shared" si="2"/>
        <v>54881.731458537746</v>
      </c>
      <c r="F13" s="3"/>
      <c r="G13" s="28"/>
      <c r="H13" s="10"/>
      <c r="I13" s="10">
        <f t="shared" si="5"/>
        <v>40476</v>
      </c>
      <c r="J13" s="10">
        <f t="shared" si="3"/>
        <v>83591098549.173889</v>
      </c>
      <c r="K13" s="11">
        <f t="shared" si="4"/>
        <v>2.7300000000000102E-2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2010319.8336460646</v>
      </c>
      <c r="D14" s="11">
        <v>2.8000000000000001E-2</v>
      </c>
      <c r="E14" s="10">
        <f t="shared" si="2"/>
        <v>54755.793134328676</v>
      </c>
      <c r="F14" s="3"/>
      <c r="G14" s="28"/>
      <c r="H14" s="10"/>
      <c r="I14" s="10">
        <f t="shared" si="5"/>
        <v>40476</v>
      </c>
      <c r="J14" s="10">
        <f t="shared" si="3"/>
        <v>81369705586.658112</v>
      </c>
      <c r="K14" s="11">
        <f t="shared" si="4"/>
        <v>2.8000000000000025E-2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1955564.0405117359</v>
      </c>
      <c r="D15" s="11">
        <v>2.8400000000000002E-2</v>
      </c>
      <c r="E15" s="10">
        <f t="shared" si="2"/>
        <v>54004.29672358348</v>
      </c>
      <c r="F15" s="3"/>
      <c r="G15" s="28"/>
      <c r="H15" s="10"/>
      <c r="I15" s="10">
        <f t="shared" si="5"/>
        <v>40476</v>
      </c>
      <c r="J15" s="10">
        <f t="shared" si="3"/>
        <v>79153410103.753021</v>
      </c>
      <c r="K15" s="11">
        <f t="shared" si="4"/>
        <v>2.8399999999999981E-2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1901559.7437881525</v>
      </c>
      <c r="D16" s="11">
        <v>1.9800000000000002E-2</v>
      </c>
      <c r="E16" s="10">
        <f t="shared" si="2"/>
        <v>36919.869510693708</v>
      </c>
      <c r="F16" s="3"/>
      <c r="G16" s="28"/>
      <c r="H16" s="10"/>
      <c r="I16" s="10">
        <f t="shared" si="5"/>
        <v>40476</v>
      </c>
      <c r="J16" s="10">
        <f t="shared" si="3"/>
        <v>76967532189.56926</v>
      </c>
      <c r="K16" s="11">
        <f t="shared" si="4"/>
        <v>1.980000000000004E-2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1864639.8742774588</v>
      </c>
      <c r="D17" s="11">
        <v>1.5599999999999999E-2</v>
      </c>
      <c r="E17" s="10">
        <f t="shared" si="2"/>
        <v>28641.573492249474</v>
      </c>
      <c r="F17" s="3"/>
      <c r="G17" s="28"/>
      <c r="H17" s="10"/>
      <c r="I17" s="10">
        <f t="shared" si="5"/>
        <v>40476</v>
      </c>
      <c r="J17" s="10">
        <f t="shared" si="3"/>
        <v>75473163551.254425</v>
      </c>
      <c r="K17" s="11">
        <f t="shared" si="4"/>
        <v>1.5600000000000058E-2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1835998.3007852093</v>
      </c>
      <c r="D18" s="11">
        <v>1.7000000000000001E-2</v>
      </c>
      <c r="E18" s="10">
        <f t="shared" si="2"/>
        <v>30690.237082938431</v>
      </c>
      <c r="F18" s="3"/>
      <c r="G18" s="28"/>
      <c r="H18" s="10"/>
      <c r="I18" s="10">
        <f t="shared" si="5"/>
        <v>40476</v>
      </c>
      <c r="J18" s="10">
        <f t="shared" si="3"/>
        <v>74313867222.582138</v>
      </c>
      <c r="K18" s="11">
        <f t="shared" si="4"/>
        <v>1.6999999999999904E-2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1805308.0637022709</v>
      </c>
      <c r="D19" s="11">
        <v>1.7899999999999999E-2</v>
      </c>
      <c r="E19" s="10">
        <f t="shared" si="2"/>
        <v>31746.747558965115</v>
      </c>
      <c r="F19" s="3"/>
      <c r="G19" s="28"/>
      <c r="H19" s="10"/>
      <c r="I19" s="10">
        <f t="shared" si="5"/>
        <v>40476</v>
      </c>
      <c r="J19" s="10">
        <f t="shared" si="3"/>
        <v>73071649186.413116</v>
      </c>
      <c r="K19" s="11">
        <f t="shared" si="4"/>
        <v>1.7900000000000027E-2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1773561.3161433057</v>
      </c>
      <c r="D20" s="11">
        <v>1.9E-2</v>
      </c>
      <c r="E20" s="10">
        <f t="shared" si="2"/>
        <v>33069.347406008514</v>
      </c>
      <c r="F20" s="3"/>
      <c r="G20" s="28"/>
      <c r="H20" s="10"/>
      <c r="I20" s="10">
        <f t="shared" si="5"/>
        <v>40476</v>
      </c>
      <c r="J20" s="10">
        <f t="shared" si="3"/>
        <v>71786667832.216446</v>
      </c>
      <c r="K20" s="11">
        <f t="shared" si="4"/>
        <v>1.8999999999999906E-2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1740491.9687372972</v>
      </c>
      <c r="D21" s="11">
        <v>2.01E-2</v>
      </c>
      <c r="E21" s="10">
        <f t="shared" si="2"/>
        <v>34294.567759650759</v>
      </c>
      <c r="F21" s="3"/>
      <c r="G21" s="28"/>
      <c r="H21" s="10"/>
      <c r="I21" s="10">
        <f t="shared" si="5"/>
        <v>40476</v>
      </c>
      <c r="J21" s="10">
        <f t="shared" si="3"/>
        <v>70448152926.61084</v>
      </c>
      <c r="K21" s="11">
        <f t="shared" si="4"/>
        <v>2.0100000000000007E-2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1706197.4009776465</v>
      </c>
      <c r="D22" s="11">
        <v>2.1299999999999999E-2</v>
      </c>
      <c r="E22" s="10">
        <f t="shared" si="2"/>
        <v>35584.064076005016</v>
      </c>
      <c r="F22" s="3"/>
      <c r="G22" s="28"/>
      <c r="H22" s="10"/>
      <c r="I22" s="10">
        <f t="shared" si="5"/>
        <v>40476</v>
      </c>
      <c r="J22" s="10">
        <f t="shared" si="3"/>
        <v>69060046001.971222</v>
      </c>
      <c r="K22" s="11">
        <f t="shared" si="4"/>
        <v>2.1300000000000097E-2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1670613.3369016415</v>
      </c>
      <c r="D23" s="11">
        <v>2.2200000000000001E-2</v>
      </c>
      <c r="E23" s="10">
        <f t="shared" si="2"/>
        <v>36282.152298196452</v>
      </c>
      <c r="F23" s="3"/>
      <c r="G23" s="28"/>
      <c r="H23" s="10"/>
      <c r="I23" s="10">
        <f t="shared" si="5"/>
        <v>40476</v>
      </c>
      <c r="J23" s="10">
        <f t="shared" si="3"/>
        <v>67619745424.43084</v>
      </c>
      <c r="K23" s="11">
        <f t="shared" si="4"/>
        <v>2.2199999999999998E-2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1634331.184603445</v>
      </c>
      <c r="D24" s="11">
        <v>2.3400000000000001E-2</v>
      </c>
      <c r="E24" s="10">
        <f t="shared" si="2"/>
        <v>37368.9170605049</v>
      </c>
      <c r="F24" s="3"/>
      <c r="G24" s="28"/>
      <c r="H24" s="10"/>
      <c r="I24" s="10">
        <f t="shared" si="5"/>
        <v>40476</v>
      </c>
      <c r="J24" s="10">
        <f t="shared" si="3"/>
        <v>66151189028.009041</v>
      </c>
      <c r="K24" s="11">
        <f t="shared" si="4"/>
        <v>2.3400000000000087E-2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1596962.2675429401</v>
      </c>
      <c r="D25" s="11">
        <v>2.4799999999999999E-2</v>
      </c>
      <c r="E25" s="10">
        <f t="shared" si="2"/>
        <v>38646.237543974305</v>
      </c>
      <c r="F25" s="3"/>
      <c r="G25" s="28"/>
      <c r="H25" s="10"/>
      <c r="I25" s="10">
        <f t="shared" si="5"/>
        <v>40476</v>
      </c>
      <c r="J25" s="10">
        <f t="shared" si="3"/>
        <v>64638644741.068047</v>
      </c>
      <c r="K25" s="11">
        <f t="shared" si="4"/>
        <v>2.4800000000000155E-2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1558316.0299989658</v>
      </c>
      <c r="D26" s="11">
        <v>2.9700000000000001E-2</v>
      </c>
      <c r="E26" s="10">
        <f t="shared" si="2"/>
        <v>44947.058454860002</v>
      </c>
      <c r="F26" s="3"/>
      <c r="G26" s="28"/>
      <c r="H26" s="10"/>
      <c r="I26" s="10">
        <f t="shared" si="5"/>
        <v>40476</v>
      </c>
      <c r="J26" s="10">
        <f t="shared" si="3"/>
        <v>63074399630.238136</v>
      </c>
      <c r="K26" s="11">
        <f t="shared" si="4"/>
        <v>2.970000000000006E-2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1513368.9715441058</v>
      </c>
      <c r="D27" s="11">
        <v>3.2899999999999999E-2</v>
      </c>
      <c r="E27" s="10">
        <f t="shared" si="2"/>
        <v>48203.929871043656</v>
      </c>
      <c r="F27" s="3"/>
      <c r="G27" s="28"/>
      <c r="H27" s="10"/>
      <c r="I27" s="10">
        <f t="shared" si="5"/>
        <v>40476</v>
      </c>
      <c r="J27" s="10">
        <f t="shared" si="3"/>
        <v>61255122492.219223</v>
      </c>
      <c r="K27" s="11">
        <f t="shared" si="4"/>
        <v>3.2899999999999929E-2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1465165.0416730621</v>
      </c>
      <c r="D28" s="11">
        <v>3.61E-2</v>
      </c>
      <c r="E28" s="10">
        <f t="shared" si="2"/>
        <v>51049.568578706356</v>
      </c>
      <c r="F28" s="3"/>
      <c r="G28" s="28"/>
      <c r="H28" s="10"/>
      <c r="I28" s="10">
        <f t="shared" si="5"/>
        <v>40476</v>
      </c>
      <c r="J28" s="10">
        <f t="shared" si="3"/>
        <v>59304020226.758865</v>
      </c>
      <c r="K28" s="11">
        <f t="shared" si="4"/>
        <v>3.6100000000000021E-2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1414115.4730943558</v>
      </c>
      <c r="D29" s="11">
        <v>3.7900000000000003E-2</v>
      </c>
      <c r="E29" s="10">
        <f t="shared" si="2"/>
        <v>51637.900019535795</v>
      </c>
      <c r="F29" s="3"/>
      <c r="G29" s="28"/>
      <c r="H29" s="10"/>
      <c r="I29" s="10">
        <f t="shared" si="5"/>
        <v>40476</v>
      </c>
      <c r="J29" s="10">
        <f t="shared" si="3"/>
        <v>57237737888.967148</v>
      </c>
      <c r="K29" s="11">
        <f t="shared" si="4"/>
        <v>3.7900000000000267E-2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1362477.57307482</v>
      </c>
      <c r="D30" s="11">
        <v>3.8699999999999998E-2</v>
      </c>
      <c r="E30" s="10">
        <f t="shared" si="2"/>
        <v>50763.340789444046</v>
      </c>
      <c r="F30" s="3"/>
      <c r="G30" s="28"/>
      <c r="H30" s="10"/>
      <c r="I30" s="10">
        <f t="shared" si="5"/>
        <v>40476</v>
      </c>
      <c r="J30" s="10">
        <f t="shared" si="3"/>
        <v>55147642247.776413</v>
      </c>
      <c r="K30" s="11">
        <f t="shared" si="4"/>
        <v>3.8699999999999957E-2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1311714.2322853759</v>
      </c>
      <c r="D31" s="11">
        <v>3.8699999999999998E-2</v>
      </c>
      <c r="E31" s="10">
        <f t="shared" si="2"/>
        <v>48871.994598482735</v>
      </c>
      <c r="F31" s="3"/>
      <c r="G31" s="28"/>
      <c r="H31" s="10"/>
      <c r="I31" s="10">
        <f t="shared" si="5"/>
        <v>40476</v>
      </c>
      <c r="J31" s="10">
        <f t="shared" si="3"/>
        <v>53092945265.98288</v>
      </c>
      <c r="K31" s="11">
        <f t="shared" si="4"/>
        <v>3.8699999999999957E-2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1262842.2376868932</v>
      </c>
      <c r="D32" s="11">
        <v>3.7999999999999999E-2</v>
      </c>
      <c r="E32" s="10">
        <f t="shared" si="2"/>
        <v>46231.218720714794</v>
      </c>
      <c r="F32" s="3"/>
      <c r="G32" s="28"/>
      <c r="H32" s="10"/>
      <c r="I32" s="10">
        <f t="shared" si="5"/>
        <v>40476</v>
      </c>
      <c r="J32" s="10">
        <f t="shared" si="3"/>
        <v>51114802412.614693</v>
      </c>
      <c r="K32" s="11">
        <f t="shared" si="4"/>
        <v>3.8000000000000256E-2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1216611.0189661784</v>
      </c>
      <c r="D33" s="11">
        <v>3.6999999999999998E-2</v>
      </c>
      <c r="E33" s="10">
        <f t="shared" si="2"/>
        <v>43408.493444309104</v>
      </c>
      <c r="F33" s="3"/>
      <c r="G33" s="28"/>
      <c r="H33" s="10"/>
      <c r="I33" s="10">
        <f t="shared" si="5"/>
        <v>40476</v>
      </c>
      <c r="J33" s="10">
        <f t="shared" si="3"/>
        <v>49243547603.675034</v>
      </c>
      <c r="K33" s="11">
        <f t="shared" si="4"/>
        <v>3.69999999999997E-2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1173202.5255218693</v>
      </c>
      <c r="D34" s="11">
        <v>3.5999999999999997E-2</v>
      </c>
      <c r="E34" s="10">
        <f t="shared" si="2"/>
        <v>40767.655327014858</v>
      </c>
      <c r="F34" s="3"/>
      <c r="G34" s="28"/>
      <c r="H34" s="10"/>
      <c r="I34" s="10">
        <f t="shared" si="5"/>
        <v>40476</v>
      </c>
      <c r="J34" s="10">
        <f t="shared" ref="J34:J65" si="6">IF(I34="","",I34*C34)</f>
        <v>47486545423.023186</v>
      </c>
      <c r="K34" s="11">
        <f t="shared" ref="K34:K65" si="7">IFERROR(J34/J35-1,"")</f>
        <v>3.6000000000000254E-2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1132434.8701948544</v>
      </c>
      <c r="D35" s="11">
        <v>3.5099999999999999E-2</v>
      </c>
      <c r="E35" s="10">
        <f t="shared" si="2"/>
        <v>38400.602786049014</v>
      </c>
      <c r="F35" s="3"/>
      <c r="G35" s="28"/>
      <c r="H35" s="10"/>
      <c r="I35" s="10">
        <f t="shared" ref="I35:I66" si="8">IF(H35&lt;&gt;"",H35,I34/(1+IF(G34="",0,G34)/100))</f>
        <v>40476</v>
      </c>
      <c r="J35" s="10">
        <f t="shared" si="6"/>
        <v>45836433806.006927</v>
      </c>
      <c r="K35" s="11">
        <f t="shared" si="7"/>
        <v>3.5099999999999909E-2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1094034.2674088054</v>
      </c>
      <c r="D36" s="11">
        <v>3.1399999999999997E-2</v>
      </c>
      <c r="E36" s="10">
        <f t="shared" si="2"/>
        <v>33306.841183475452</v>
      </c>
      <c r="F36" s="3"/>
      <c r="G36" s="28"/>
      <c r="H36" s="10"/>
      <c r="I36" s="10">
        <f t="shared" si="8"/>
        <v>40476</v>
      </c>
      <c r="J36" s="10">
        <f t="shared" si="6"/>
        <v>44282131007.638809</v>
      </c>
      <c r="K36" s="11">
        <f t="shared" si="7"/>
        <v>3.1400000000000095E-2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1060727.42622533</v>
      </c>
      <c r="D37" s="11">
        <v>1.9800000000000002E-2</v>
      </c>
      <c r="E37" s="10">
        <f t="shared" si="2"/>
        <v>20594.62937758537</v>
      </c>
      <c r="F37" s="3"/>
      <c r="G37" s="28"/>
      <c r="H37" s="10"/>
      <c r="I37" s="10">
        <f t="shared" si="8"/>
        <v>40476</v>
      </c>
      <c r="J37" s="10">
        <f t="shared" si="6"/>
        <v>42934003303.896454</v>
      </c>
      <c r="K37" s="11">
        <f t="shared" si="7"/>
        <v>1.980000000000004E-2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1040132.7968477446</v>
      </c>
      <c r="D38" s="11">
        <v>2.0799999999999999E-2</v>
      </c>
      <c r="E38" s="10">
        <f t="shared" si="2"/>
        <v>21193.928462414769</v>
      </c>
      <c r="F38" s="3"/>
      <c r="G38" s="28"/>
      <c r="H38" s="10"/>
      <c r="I38" s="10">
        <f t="shared" si="8"/>
        <v>40476</v>
      </c>
      <c r="J38" s="10">
        <f t="shared" si="6"/>
        <v>42100415085.209312</v>
      </c>
      <c r="K38" s="11">
        <f t="shared" si="7"/>
        <v>2.079999999999993E-2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1018938.8683853298</v>
      </c>
      <c r="D39" s="11">
        <v>2.06E-2</v>
      </c>
      <c r="E39" s="10">
        <f t="shared" si="2"/>
        <v>20566.471378343878</v>
      </c>
      <c r="F39" s="3"/>
      <c r="G39" s="28"/>
      <c r="H39" s="10"/>
      <c r="I39" s="10">
        <f t="shared" si="8"/>
        <v>40476</v>
      </c>
      <c r="J39" s="10">
        <f t="shared" si="6"/>
        <v>41242569636.76461</v>
      </c>
      <c r="K39" s="11">
        <f t="shared" si="7"/>
        <v>2.0599999999999952E-2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998372.39700698596</v>
      </c>
      <c r="D40" s="11">
        <v>1.9300000000000001E-2</v>
      </c>
      <c r="E40" s="10">
        <f t="shared" si="2"/>
        <v>18903.744984042947</v>
      </c>
      <c r="F40" s="3"/>
      <c r="G40" s="28"/>
      <c r="H40" s="10"/>
      <c r="I40" s="10">
        <f t="shared" si="8"/>
        <v>40476</v>
      </c>
      <c r="J40" s="10">
        <f t="shared" si="6"/>
        <v>40410121141.254761</v>
      </c>
      <c r="K40" s="11">
        <f t="shared" si="7"/>
        <v>1.9300000000000095E-2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979468.65202294302</v>
      </c>
      <c r="D41" s="11">
        <v>1.6899999999999998E-2</v>
      </c>
      <c r="E41" s="10">
        <f t="shared" si="2"/>
        <v>16277.923315161373</v>
      </c>
      <c r="F41" s="3"/>
      <c r="G41" s="28"/>
      <c r="H41" s="10"/>
      <c r="I41" s="10">
        <f t="shared" si="8"/>
        <v>40476</v>
      </c>
      <c r="J41" s="10">
        <f t="shared" si="6"/>
        <v>39644973159.28064</v>
      </c>
      <c r="K41" s="11">
        <f t="shared" si="7"/>
        <v>1.6899999999999693E-2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963190.72870778164</v>
      </c>
      <c r="D42" s="11">
        <v>1.35E-2</v>
      </c>
      <c r="E42" s="10">
        <f t="shared" si="2"/>
        <v>12829.871571341995</v>
      </c>
      <c r="F42" s="3"/>
      <c r="G42" s="28"/>
      <c r="H42" s="10"/>
      <c r="I42" s="10">
        <f t="shared" si="8"/>
        <v>40476</v>
      </c>
      <c r="J42" s="10">
        <f t="shared" si="6"/>
        <v>38986107935.17617</v>
      </c>
      <c r="K42" s="11">
        <f t="shared" si="7"/>
        <v>1.3500000000000068E-2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950360.85713643965</v>
      </c>
      <c r="D43" s="11">
        <v>9.4000000000000004E-3</v>
      </c>
      <c r="E43" s="10">
        <f t="shared" si="2"/>
        <v>8850.2001754335361</v>
      </c>
      <c r="F43" s="3"/>
      <c r="G43" s="28"/>
      <c r="H43" s="10"/>
      <c r="I43" s="10">
        <f t="shared" si="8"/>
        <v>40476</v>
      </c>
      <c r="J43" s="10">
        <f t="shared" si="6"/>
        <v>38466806053.454529</v>
      </c>
      <c r="K43" s="11">
        <f t="shared" si="7"/>
        <v>9.3999999999998529E-3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941510.65696100611</v>
      </c>
      <c r="D44" s="11">
        <v>0.02</v>
      </c>
      <c r="E44" s="10">
        <f t="shared" si="2"/>
        <v>18460.993273745291</v>
      </c>
      <c r="F44" s="3"/>
      <c r="G44" s="28"/>
      <c r="H44" s="10"/>
      <c r="I44" s="10">
        <f t="shared" si="8"/>
        <v>40476</v>
      </c>
      <c r="J44" s="10">
        <f t="shared" si="6"/>
        <v>38108585351.153687</v>
      </c>
      <c r="K44" s="11">
        <f t="shared" si="7"/>
        <v>2.0000000000000018E-2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923049.66368726082</v>
      </c>
      <c r="D45" s="11">
        <v>5.21E-2</v>
      </c>
      <c r="E45" s="10">
        <f t="shared" si="2"/>
        <v>45709.426364515093</v>
      </c>
      <c r="F45" s="3"/>
      <c r="G45" s="28"/>
      <c r="H45" s="10"/>
      <c r="I45" s="10">
        <f t="shared" si="8"/>
        <v>40476</v>
      </c>
      <c r="J45" s="10">
        <f t="shared" si="6"/>
        <v>37361358187.405571</v>
      </c>
      <c r="K45" s="11">
        <f t="shared" si="7"/>
        <v>5.2100000000000035E-2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877340.23732274573</v>
      </c>
      <c r="D46" s="11">
        <v>1.9800000000000002E-2</v>
      </c>
      <c r="E46" s="10">
        <f t="shared" si="2"/>
        <v>17034.062266121153</v>
      </c>
      <c r="F46" s="3"/>
      <c r="G46" s="28"/>
      <c r="H46" s="10"/>
      <c r="I46" s="10">
        <f t="shared" si="8"/>
        <v>40476</v>
      </c>
      <c r="J46" s="10">
        <f t="shared" si="6"/>
        <v>35511223445.875458</v>
      </c>
      <c r="K46" s="11">
        <f t="shared" si="7"/>
        <v>1.980000000000004E-2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860306.17505662458</v>
      </c>
      <c r="D47" s="11">
        <v>2.69E-2</v>
      </c>
      <c r="E47" s="10">
        <f t="shared" si="2"/>
        <v>22536.017245129216</v>
      </c>
      <c r="F47" s="3"/>
      <c r="G47" s="28"/>
      <c r="H47" s="10"/>
      <c r="I47" s="10">
        <f t="shared" si="8"/>
        <v>40476</v>
      </c>
      <c r="J47" s="10">
        <f t="shared" si="6"/>
        <v>34821752741.591934</v>
      </c>
      <c r="K47" s="11">
        <f t="shared" si="7"/>
        <v>2.6899999999999924E-2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837770.15781149536</v>
      </c>
      <c r="D48" s="11">
        <v>-1.0800000000000001E-2</v>
      </c>
      <c r="E48" s="10">
        <f t="shared" si="2"/>
        <v>-9146.7020869026892</v>
      </c>
      <c r="F48" s="3"/>
      <c r="G48" s="28"/>
      <c r="H48" s="10"/>
      <c r="I48" s="10">
        <f t="shared" si="8"/>
        <v>40476</v>
      </c>
      <c r="J48" s="10">
        <f t="shared" si="6"/>
        <v>33909584907.578087</v>
      </c>
      <c r="K48" s="11">
        <f t="shared" si="7"/>
        <v>-1.0799999999999921E-2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846916.85989839805</v>
      </c>
      <c r="D49" s="11">
        <v>-9.7000000000000003E-3</v>
      </c>
      <c r="E49" s="10">
        <f t="shared" si="2"/>
        <v>-8295.5604776476976</v>
      </c>
      <c r="F49" s="3"/>
      <c r="G49" s="28"/>
      <c r="H49" s="10"/>
      <c r="I49" s="10">
        <f t="shared" si="8"/>
        <v>40476</v>
      </c>
      <c r="J49" s="10">
        <f t="shared" si="6"/>
        <v>34279806821.247559</v>
      </c>
      <c r="K49" s="11">
        <f t="shared" si="7"/>
        <v>-9.7000000000001529E-3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855212.42037604575</v>
      </c>
      <c r="D50" s="11">
        <v>-9.4999999999999998E-3</v>
      </c>
      <c r="E50" s="10">
        <f t="shared" si="2"/>
        <v>-8202.4411848282907</v>
      </c>
      <c r="F50" s="3"/>
      <c r="G50" s="28"/>
      <c r="H50" s="10"/>
      <c r="I50" s="10">
        <f t="shared" si="8"/>
        <v>40476</v>
      </c>
      <c r="J50" s="10">
        <f t="shared" si="6"/>
        <v>34615577927.140831</v>
      </c>
      <c r="K50" s="11">
        <f t="shared" si="7"/>
        <v>-9.4999999999999529E-3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863414.86156087404</v>
      </c>
      <c r="D51" s="11">
        <v>-9.7999999999999997E-3</v>
      </c>
      <c r="E51" s="10">
        <f t="shared" si="2"/>
        <v>-8545.2086884432938</v>
      </c>
      <c r="F51" s="3"/>
      <c r="G51" s="28"/>
      <c r="H51" s="10"/>
      <c r="I51" s="10">
        <f t="shared" si="8"/>
        <v>40476</v>
      </c>
      <c r="J51" s="10">
        <f t="shared" si="6"/>
        <v>34947579936.537941</v>
      </c>
      <c r="K51" s="11">
        <f t="shared" si="7"/>
        <v>-9.7999999999999199E-3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871960.07024931733</v>
      </c>
      <c r="D52" s="11">
        <v>-1.06E-2</v>
      </c>
      <c r="E52" s="10">
        <f t="shared" si="2"/>
        <v>-9341.7998227641219</v>
      </c>
      <c r="F52" s="3"/>
      <c r="G52" s="28"/>
      <c r="H52" s="10"/>
      <c r="I52" s="10">
        <f t="shared" si="8"/>
        <v>40476</v>
      </c>
      <c r="J52" s="10">
        <f t="shared" si="6"/>
        <v>35293455803.411369</v>
      </c>
      <c r="K52" s="11">
        <f t="shared" si="7"/>
        <v>-1.0599999999999943E-2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881301.87007208145</v>
      </c>
      <c r="D53" s="11">
        <v>0.1</v>
      </c>
      <c r="E53" s="10">
        <f t="shared" si="2"/>
        <v>80118.351824734709</v>
      </c>
      <c r="F53" s="3"/>
      <c r="G53" s="28"/>
      <c r="H53" s="10"/>
      <c r="I53" s="10">
        <f t="shared" si="8"/>
        <v>40476</v>
      </c>
      <c r="J53" s="10">
        <f t="shared" si="6"/>
        <v>35671574493.037567</v>
      </c>
      <c r="K53" s="11">
        <f t="shared" si="7"/>
        <v>0.10000000000000009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801183.51824734674</v>
      </c>
      <c r="D54" s="11">
        <v>2.35E-2</v>
      </c>
      <c r="E54" s="10">
        <f t="shared" si="2"/>
        <v>18395.518005679245</v>
      </c>
      <c r="F54" s="3"/>
      <c r="G54" s="28"/>
      <c r="H54" s="10"/>
      <c r="I54" s="10">
        <f t="shared" si="8"/>
        <v>40476</v>
      </c>
      <c r="J54" s="10">
        <f t="shared" si="6"/>
        <v>32428704084.579605</v>
      </c>
      <c r="K54" s="11">
        <f t="shared" si="7"/>
        <v>2.3500000000000076E-2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782788.0002416675</v>
      </c>
      <c r="D55" s="11">
        <v>2.46E-2</v>
      </c>
      <c r="E55" s="10">
        <f t="shared" si="2"/>
        <v>18794.246345837368</v>
      </c>
      <c r="F55" s="3"/>
      <c r="G55" s="28"/>
      <c r="H55" s="10"/>
      <c r="I55" s="10">
        <f t="shared" si="8"/>
        <v>40476</v>
      </c>
      <c r="J55" s="10">
        <f t="shared" si="6"/>
        <v>31684127097.781734</v>
      </c>
      <c r="K55" s="11">
        <f t="shared" si="7"/>
        <v>2.4599999999999955E-2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763993.75389583013</v>
      </c>
      <c r="D56" s="11">
        <v>2.6599999999999999E-2</v>
      </c>
      <c r="E56" s="10">
        <f t="shared" si="2"/>
        <v>19795.669056720333</v>
      </c>
      <c r="F56" s="3"/>
      <c r="G56" s="28"/>
      <c r="H56" s="10"/>
      <c r="I56" s="10">
        <f t="shared" si="8"/>
        <v>40476</v>
      </c>
      <c r="J56" s="10">
        <f t="shared" si="6"/>
        <v>30923411182.687622</v>
      </c>
      <c r="K56" s="11">
        <f t="shared" si="7"/>
        <v>2.6600000000000179E-2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744198.0848391098</v>
      </c>
      <c r="D57" s="11">
        <v>-2.6499999999999999E-2</v>
      </c>
      <c r="E57" s="10">
        <f t="shared" si="2"/>
        <v>-20258.088596031186</v>
      </c>
      <c r="F57" s="3"/>
      <c r="G57" s="28"/>
      <c r="H57" s="10"/>
      <c r="I57" s="10">
        <f t="shared" si="8"/>
        <v>40476</v>
      </c>
      <c r="J57" s="10">
        <f t="shared" si="6"/>
        <v>30122161681.947807</v>
      </c>
      <c r="K57" s="11">
        <f t="shared" si="7"/>
        <v>-2.6499999999999968E-2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764456.17343514098</v>
      </c>
      <c r="D58" s="11">
        <v>-3.1600000000000003E-2</v>
      </c>
      <c r="E58" s="10">
        <f t="shared" si="2"/>
        <v>-24945.079595776973</v>
      </c>
      <c r="F58" s="3"/>
      <c r="G58" s="28"/>
      <c r="H58" s="10"/>
      <c r="I58" s="10">
        <f t="shared" si="8"/>
        <v>40476</v>
      </c>
      <c r="J58" s="10">
        <f t="shared" si="6"/>
        <v>30942128075.960766</v>
      </c>
      <c r="K58" s="11">
        <f t="shared" si="7"/>
        <v>-3.1599999999999961E-2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789401.25303091796</v>
      </c>
      <c r="D59" s="11">
        <v>-2.64E-2</v>
      </c>
      <c r="E59" s="10">
        <f t="shared" si="2"/>
        <v>-21405.292810205603</v>
      </c>
      <c r="F59" s="3"/>
      <c r="G59" s="28"/>
      <c r="H59" s="10"/>
      <c r="I59" s="10">
        <f t="shared" si="8"/>
        <v>40476</v>
      </c>
      <c r="J59" s="10">
        <f t="shared" si="6"/>
        <v>31951805117.679436</v>
      </c>
      <c r="K59" s="11">
        <f t="shared" si="7"/>
        <v>-2.6399999999999868E-2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810806.54584112356</v>
      </c>
      <c r="D60" s="11">
        <v>-2.23E-2</v>
      </c>
      <c r="E60" s="10">
        <f t="shared" si="2"/>
        <v>-18493.388536623796</v>
      </c>
      <c r="F60" s="3"/>
      <c r="G60" s="28"/>
      <c r="H60" s="10"/>
      <c r="I60" s="10">
        <f t="shared" si="8"/>
        <v>40476</v>
      </c>
      <c r="J60" s="10">
        <f t="shared" si="6"/>
        <v>32818205749.465317</v>
      </c>
      <c r="K60" s="11">
        <f t="shared" si="7"/>
        <v>-2.2300000000000098E-2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829299.93437774736</v>
      </c>
      <c r="D61" s="11">
        <v>-1.9699999999999999E-2</v>
      </c>
      <c r="E61" s="10">
        <f t="shared" si="2"/>
        <v>-16665.519440213917</v>
      </c>
      <c r="F61" s="3"/>
      <c r="G61" s="28"/>
      <c r="H61" s="10"/>
      <c r="I61" s="10">
        <f t="shared" si="8"/>
        <v>40476</v>
      </c>
      <c r="J61" s="10">
        <f t="shared" si="6"/>
        <v>33566744143.873703</v>
      </c>
      <c r="K61" s="11">
        <f t="shared" si="7"/>
        <v>-1.9700000000000051E-2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845965.45381796127</v>
      </c>
      <c r="D62" s="11">
        <v>-1.4E-2</v>
      </c>
      <c r="E62" s="10">
        <f t="shared" si="2"/>
        <v>-12011.679871654604</v>
      </c>
      <c r="F62" s="3"/>
      <c r="G62" s="28"/>
      <c r="H62" s="10"/>
      <c r="I62" s="10">
        <f t="shared" si="8"/>
        <v>40476</v>
      </c>
      <c r="J62" s="10">
        <f t="shared" si="6"/>
        <v>34241297708.735802</v>
      </c>
      <c r="K62" s="11">
        <f t="shared" si="7"/>
        <v>-1.4000000000000012E-2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857977.13368961588</v>
      </c>
      <c r="D63" s="11">
        <v>-1.0699999999999999E-2</v>
      </c>
      <c r="E63" s="10">
        <f t="shared" si="2"/>
        <v>-9279.6475593640935</v>
      </c>
      <c r="F63" s="3"/>
      <c r="G63" s="28"/>
      <c r="H63" s="10"/>
      <c r="I63" s="10">
        <f t="shared" si="8"/>
        <v>40476</v>
      </c>
      <c r="J63" s="10">
        <f t="shared" si="6"/>
        <v>34727482463.220894</v>
      </c>
      <c r="K63" s="11">
        <f t="shared" si="7"/>
        <v>-1.0699999999999821E-2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867256.78124897997</v>
      </c>
      <c r="D64" s="11">
        <v>-6.6E-3</v>
      </c>
      <c r="E64" s="10">
        <f t="shared" si="2"/>
        <v>-5761.9234510200331</v>
      </c>
      <c r="F64" s="3"/>
      <c r="G64" s="28"/>
      <c r="H64" s="10"/>
      <c r="I64" s="10">
        <f t="shared" si="8"/>
        <v>40476</v>
      </c>
      <c r="J64" s="10">
        <f t="shared" si="6"/>
        <v>35103085477.83371</v>
      </c>
      <c r="K64" s="11">
        <f t="shared" si="7"/>
        <v>-6.6000000000001613E-3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873018.7047</v>
      </c>
      <c r="D65" s="11">
        <v>-1.5E-3</v>
      </c>
      <c r="E65" s="10">
        <f t="shared" si="2"/>
        <v>-1311.4952999999514</v>
      </c>
      <c r="F65" s="3"/>
      <c r="G65" s="28"/>
      <c r="H65" s="10"/>
      <c r="I65" s="10">
        <f t="shared" si="8"/>
        <v>40476</v>
      </c>
      <c r="J65" s="10">
        <f t="shared" si="6"/>
        <v>35336305091.437202</v>
      </c>
      <c r="K65" s="11">
        <f t="shared" si="7"/>
        <v>-1.4999999999998348E-3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874330.2</v>
      </c>
      <c r="D66" s="11">
        <v>4.4000000000000003E-3</v>
      </c>
      <c r="E66" s="10">
        <f t="shared" si="2"/>
        <v>3830.1999999999534</v>
      </c>
      <c r="F66" s="24">
        <f>SUM(F2)</f>
        <v>2646840</v>
      </c>
      <c r="G66" s="28"/>
      <c r="H66" s="10"/>
      <c r="I66" s="10">
        <f t="shared" si="8"/>
        <v>40476</v>
      </c>
      <c r="J66" s="10">
        <f t="shared" ref="J66:J67" si="9">IF(I66="","",I66*C66)</f>
        <v>35389389175.199997</v>
      </c>
      <c r="K66" s="11">
        <f t="shared" ref="K66" si="10">IFERROR(J66/J67-1,"")</f>
        <v>4.3999999999999595E-3</v>
      </c>
    </row>
    <row r="67" spans="1:11" ht="22.5" customHeight="1">
      <c r="A67" s="3">
        <f t="shared" si="0"/>
        <v>1950</v>
      </c>
      <c r="B67" s="3">
        <v>1700</v>
      </c>
      <c r="C67" s="10">
        <v>870500</v>
      </c>
      <c r="D67" s="11">
        <v>3.0700000000000002E-2</v>
      </c>
      <c r="E67" s="3" t="s">
        <v>72</v>
      </c>
      <c r="F67" s="10">
        <f>SUM(C2)</f>
        <v>2646557.5766727393</v>
      </c>
      <c r="G67" s="28"/>
      <c r="H67" s="10"/>
      <c r="I67" s="10">
        <f t="shared" ref="I67" si="11">IF(H67&lt;&gt;"",H67,I66/(1+IF(G66="",0,G66)/100))</f>
        <v>40476</v>
      </c>
      <c r="J67" s="10">
        <f t="shared" si="9"/>
        <v>35234358000</v>
      </c>
      <c r="K67" s="11"/>
    </row>
  </sheetData>
  <dataValidations count="1">
    <dataValidation type="custom" allowBlank="1" showDropDown="1" sqref="D2:D67" xr:uid="{00000000-0002-0000-6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26782262.780115496</v>
      </c>
      <c r="D2" s="11">
        <v>1.4800000000000001E-2</v>
      </c>
      <c r="E2" s="10">
        <f t="shared" ref="E2:E66" si="2">SUM(C2-C3)</f>
        <v>390596.65859844908</v>
      </c>
      <c r="F2" s="15">
        <v>27120468</v>
      </c>
      <c r="G2" s="28"/>
      <c r="H2" s="10"/>
      <c r="I2" s="10">
        <f>IF(H2&lt;&gt;"",H2,1865)</f>
        <v>1865</v>
      </c>
      <c r="J2" s="10">
        <f t="shared" ref="J2:J33" si="3">IF(I2="","",I2*C2)</f>
        <v>49948920084.915398</v>
      </c>
      <c r="K2" s="11">
        <f t="shared" ref="K2:K33" si="4">IFERROR(J2/J3-1,"")</f>
        <v>1.4799999999999702E-2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26391666.121517047</v>
      </c>
      <c r="D3" s="11">
        <v>1.6400000000000001E-2</v>
      </c>
      <c r="E3" s="10">
        <f t="shared" si="2"/>
        <v>425839.55567973107</v>
      </c>
      <c r="F3" s="3"/>
      <c r="G3" s="28"/>
      <c r="H3" s="10"/>
      <c r="I3" s="10">
        <f t="shared" ref="I3:I34" si="5">IF(H3&lt;&gt;"",H3,I2/(1+IF(G2="",0,G2)/100))</f>
        <v>1865</v>
      </c>
      <c r="J3" s="10">
        <f t="shared" si="3"/>
        <v>49220457316.629295</v>
      </c>
      <c r="K3" s="11">
        <f t="shared" si="4"/>
        <v>1.639999999999997E-2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25965826.565837316</v>
      </c>
      <c r="D4" s="11">
        <v>1.8800000000000001E-2</v>
      </c>
      <c r="E4" s="10">
        <f t="shared" si="2"/>
        <v>479149.52830559388</v>
      </c>
      <c r="F4" s="3"/>
      <c r="G4" s="28"/>
      <c r="H4" s="10"/>
      <c r="I4" s="10">
        <f t="shared" si="5"/>
        <v>1865</v>
      </c>
      <c r="J4" s="10">
        <f t="shared" si="3"/>
        <v>48426266545.286598</v>
      </c>
      <c r="K4" s="11">
        <f t="shared" si="4"/>
        <v>1.8799999999999928E-2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25486677.037531722</v>
      </c>
      <c r="D5" s="11">
        <v>1.9400000000000001E-2</v>
      </c>
      <c r="E5" s="10">
        <f t="shared" si="2"/>
        <v>485031.91536993906</v>
      </c>
      <c r="F5" s="3"/>
      <c r="G5" s="28"/>
      <c r="H5" s="10"/>
      <c r="I5" s="10">
        <f t="shared" si="5"/>
        <v>1865</v>
      </c>
      <c r="J5" s="10">
        <f t="shared" si="3"/>
        <v>47532652674.996666</v>
      </c>
      <c r="K5" s="11">
        <f t="shared" si="4"/>
        <v>1.9400000000000084E-2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25001645.122161783</v>
      </c>
      <c r="D6" s="11">
        <v>1.9599999999999999E-2</v>
      </c>
      <c r="E6" s="10">
        <f t="shared" si="2"/>
        <v>480612.24440405145</v>
      </c>
      <c r="F6" s="3"/>
      <c r="G6" s="28"/>
      <c r="H6" s="10"/>
      <c r="I6" s="10">
        <f t="shared" si="5"/>
        <v>1865</v>
      </c>
      <c r="J6" s="10">
        <f t="shared" si="3"/>
        <v>46628068152.831726</v>
      </c>
      <c r="K6" s="11">
        <f t="shared" si="4"/>
        <v>1.959999999999984E-2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24521032.877757732</v>
      </c>
      <c r="D7" s="11">
        <v>2.0500000000000001E-2</v>
      </c>
      <c r="E7" s="10">
        <f t="shared" si="2"/>
        <v>492583.21802452952</v>
      </c>
      <c r="F7" s="3"/>
      <c r="G7" s="28"/>
      <c r="H7" s="10"/>
      <c r="I7" s="10">
        <f t="shared" si="5"/>
        <v>1865</v>
      </c>
      <c r="J7" s="10">
        <f t="shared" si="3"/>
        <v>45731726317.018173</v>
      </c>
      <c r="K7" s="11">
        <f t="shared" si="4"/>
        <v>2.0500000000000185E-2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24028449.659733202</v>
      </c>
      <c r="D8" s="11">
        <v>1.7999999999999999E-2</v>
      </c>
      <c r="E8" s="10">
        <f t="shared" si="2"/>
        <v>424864.5322939083</v>
      </c>
      <c r="F8" s="3"/>
      <c r="G8" s="28"/>
      <c r="H8" s="10"/>
      <c r="I8" s="10">
        <f t="shared" si="5"/>
        <v>1865</v>
      </c>
      <c r="J8" s="10">
        <f t="shared" si="3"/>
        <v>44813058615.40242</v>
      </c>
      <c r="K8" s="11">
        <f t="shared" si="4"/>
        <v>1.8000000000000016E-2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23603585.127439294</v>
      </c>
      <c r="D9" s="11">
        <v>1.77E-2</v>
      </c>
      <c r="E9" s="10">
        <f t="shared" si="2"/>
        <v>410517.3005361855</v>
      </c>
      <c r="F9" s="3"/>
      <c r="G9" s="28"/>
      <c r="H9" s="10"/>
      <c r="I9" s="10">
        <f t="shared" si="5"/>
        <v>1865</v>
      </c>
      <c r="J9" s="10">
        <f t="shared" si="3"/>
        <v>44020686262.674286</v>
      </c>
      <c r="K9" s="11">
        <f t="shared" si="4"/>
        <v>1.7700000000000049E-2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23193067.826903109</v>
      </c>
      <c r="D10" s="11">
        <v>1.7299999999999999E-2</v>
      </c>
      <c r="E10" s="10">
        <f t="shared" si="2"/>
        <v>394416.66509921104</v>
      </c>
      <c r="F10" s="3"/>
      <c r="G10" s="28"/>
      <c r="H10" s="10"/>
      <c r="I10" s="10">
        <f t="shared" si="5"/>
        <v>1865</v>
      </c>
      <c r="J10" s="10">
        <f t="shared" si="3"/>
        <v>43255071497.174301</v>
      </c>
      <c r="K10" s="11">
        <f t="shared" si="4"/>
        <v>1.7300000000000315E-2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22798651.161803897</v>
      </c>
      <c r="D11" s="11">
        <v>1.6799999999999999E-2</v>
      </c>
      <c r="E11" s="10">
        <f t="shared" si="2"/>
        <v>376688.96490785107</v>
      </c>
      <c r="F11" s="3"/>
      <c r="G11" s="28"/>
      <c r="H11" s="10"/>
      <c r="I11" s="10">
        <f t="shared" si="5"/>
        <v>1865</v>
      </c>
      <c r="J11" s="10">
        <f t="shared" si="3"/>
        <v>42519484416.764267</v>
      </c>
      <c r="K11" s="11">
        <f t="shared" si="4"/>
        <v>1.6799999999999704E-2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22421962.196896046</v>
      </c>
      <c r="D12" s="11">
        <v>1.8599999999999998E-2</v>
      </c>
      <c r="E12" s="10">
        <f t="shared" si="2"/>
        <v>409433.04227593169</v>
      </c>
      <c r="F12" s="3"/>
      <c r="G12" s="28"/>
      <c r="H12" s="10"/>
      <c r="I12" s="10">
        <f t="shared" si="5"/>
        <v>1865</v>
      </c>
      <c r="J12" s="10">
        <f t="shared" si="3"/>
        <v>41816959497.211128</v>
      </c>
      <c r="K12" s="11">
        <f t="shared" si="4"/>
        <v>1.859999999999995E-2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22012529.154620115</v>
      </c>
      <c r="D13" s="11">
        <v>1.9400000000000001E-2</v>
      </c>
      <c r="E13" s="10">
        <f t="shared" si="2"/>
        <v>418916.09338790551</v>
      </c>
      <c r="F13" s="3"/>
      <c r="G13" s="28"/>
      <c r="H13" s="10"/>
      <c r="I13" s="10">
        <f t="shared" si="5"/>
        <v>1865</v>
      </c>
      <c r="J13" s="10">
        <f t="shared" si="3"/>
        <v>41053366873.366516</v>
      </c>
      <c r="K13" s="11">
        <f t="shared" si="4"/>
        <v>1.9400000000000084E-2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21593613.061232209</v>
      </c>
      <c r="D14" s="11">
        <v>1.9800000000000002E-2</v>
      </c>
      <c r="E14" s="10">
        <f t="shared" si="2"/>
        <v>419252.34223612398</v>
      </c>
      <c r="F14" s="3"/>
      <c r="G14" s="28"/>
      <c r="H14" s="10"/>
      <c r="I14" s="10">
        <f t="shared" si="5"/>
        <v>1865</v>
      </c>
      <c r="J14" s="10">
        <f t="shared" si="3"/>
        <v>40272088359.198067</v>
      </c>
      <c r="K14" s="11">
        <f t="shared" si="4"/>
        <v>1.980000000000004E-2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21174360.718996085</v>
      </c>
      <c r="D15" s="11">
        <v>2.0299999999999999E-2</v>
      </c>
      <c r="E15" s="10">
        <f t="shared" si="2"/>
        <v>421287.38860689849</v>
      </c>
      <c r="F15" s="3"/>
      <c r="G15" s="28"/>
      <c r="H15" s="10"/>
      <c r="I15" s="10">
        <f t="shared" si="5"/>
        <v>1865</v>
      </c>
      <c r="J15" s="10">
        <f t="shared" si="3"/>
        <v>39490182740.927696</v>
      </c>
      <c r="K15" s="11">
        <f t="shared" si="4"/>
        <v>2.0299999999999763E-2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20753073.330389187</v>
      </c>
      <c r="D16" s="11">
        <v>2.2100000000000002E-2</v>
      </c>
      <c r="E16" s="10">
        <f t="shared" si="2"/>
        <v>448726.07435828447</v>
      </c>
      <c r="F16" s="3"/>
      <c r="G16" s="28"/>
      <c r="H16" s="10"/>
      <c r="I16" s="10">
        <f t="shared" si="5"/>
        <v>1865</v>
      </c>
      <c r="J16" s="10">
        <f t="shared" si="3"/>
        <v>38704481761.175835</v>
      </c>
      <c r="K16" s="11">
        <f t="shared" si="4"/>
        <v>2.2100000000000009E-2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20304347.256030902</v>
      </c>
      <c r="D17" s="11">
        <v>2.3800000000000002E-2</v>
      </c>
      <c r="E17" s="10">
        <f t="shared" si="2"/>
        <v>472009.63537168875</v>
      </c>
      <c r="F17" s="3"/>
      <c r="G17" s="28"/>
      <c r="H17" s="10"/>
      <c r="I17" s="10">
        <f t="shared" si="5"/>
        <v>1865</v>
      </c>
      <c r="J17" s="10">
        <f t="shared" si="3"/>
        <v>37867607632.497635</v>
      </c>
      <c r="K17" s="11">
        <f t="shared" si="4"/>
        <v>2.3800000000000043E-2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19832337.620659214</v>
      </c>
      <c r="D18" s="11">
        <v>2.5600000000000001E-2</v>
      </c>
      <c r="E18" s="10">
        <f t="shared" si="2"/>
        <v>495034.94840959087</v>
      </c>
      <c r="F18" s="3"/>
      <c r="G18" s="28"/>
      <c r="H18" s="10"/>
      <c r="I18" s="10">
        <f t="shared" si="5"/>
        <v>1865</v>
      </c>
      <c r="J18" s="10">
        <f t="shared" si="3"/>
        <v>36987309662.529434</v>
      </c>
      <c r="K18" s="11">
        <f t="shared" si="4"/>
        <v>2.5600000000000067E-2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19337302.672249623</v>
      </c>
      <c r="D19" s="11">
        <v>2.5100000000000001E-2</v>
      </c>
      <c r="E19" s="10">
        <f t="shared" si="2"/>
        <v>473481.90134958923</v>
      </c>
      <c r="F19" s="3"/>
      <c r="G19" s="28"/>
      <c r="H19" s="10"/>
      <c r="I19" s="10">
        <f t="shared" si="5"/>
        <v>1865</v>
      </c>
      <c r="J19" s="10">
        <f t="shared" si="3"/>
        <v>36064069483.745544</v>
      </c>
      <c r="K19" s="11">
        <f t="shared" si="4"/>
        <v>2.50999999999999E-2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18863820.770900033</v>
      </c>
      <c r="D20" s="11">
        <v>2.35E-2</v>
      </c>
      <c r="E20" s="10">
        <f t="shared" si="2"/>
        <v>433121.43440757319</v>
      </c>
      <c r="F20" s="3"/>
      <c r="G20" s="28"/>
      <c r="H20" s="10"/>
      <c r="I20" s="10">
        <f t="shared" si="5"/>
        <v>1865</v>
      </c>
      <c r="J20" s="10">
        <f t="shared" si="3"/>
        <v>35181025737.728561</v>
      </c>
      <c r="K20" s="11">
        <f t="shared" si="4"/>
        <v>2.3499999999999854E-2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18430699.33649246</v>
      </c>
      <c r="D21" s="11">
        <v>2.3E-2</v>
      </c>
      <c r="E21" s="10">
        <f t="shared" si="2"/>
        <v>414375.44940305501</v>
      </c>
      <c r="F21" s="3"/>
      <c r="G21" s="28"/>
      <c r="H21" s="10"/>
      <c r="I21" s="10">
        <f t="shared" si="5"/>
        <v>1865</v>
      </c>
      <c r="J21" s="10">
        <f t="shared" si="3"/>
        <v>34373254262.558441</v>
      </c>
      <c r="K21" s="11">
        <f t="shared" si="4"/>
        <v>2.2999999999999909E-2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18016323.887089405</v>
      </c>
      <c r="D22" s="11">
        <v>2.1899999999999999E-2</v>
      </c>
      <c r="E22" s="10">
        <f t="shared" si="2"/>
        <v>386101.86234197021</v>
      </c>
      <c r="F22" s="3"/>
      <c r="G22" s="28"/>
      <c r="H22" s="10"/>
      <c r="I22" s="10">
        <f t="shared" si="5"/>
        <v>1865</v>
      </c>
      <c r="J22" s="10">
        <f t="shared" si="3"/>
        <v>33600444049.421741</v>
      </c>
      <c r="K22" s="11">
        <f t="shared" si="4"/>
        <v>2.1900000000000031E-2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17630222.024747435</v>
      </c>
      <c r="D23" s="11">
        <v>2.18E-2</v>
      </c>
      <c r="E23" s="10">
        <f t="shared" si="2"/>
        <v>376139.00972743705</v>
      </c>
      <c r="F23" s="3"/>
      <c r="G23" s="28"/>
      <c r="H23" s="10"/>
      <c r="I23" s="10">
        <f t="shared" si="5"/>
        <v>1865</v>
      </c>
      <c r="J23" s="10">
        <f t="shared" si="3"/>
        <v>32880364076.153965</v>
      </c>
      <c r="K23" s="11">
        <f t="shared" si="4"/>
        <v>2.1800000000000042E-2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17254083.015019998</v>
      </c>
      <c r="D24" s="11">
        <v>2.4E-2</v>
      </c>
      <c r="E24" s="10">
        <f t="shared" si="2"/>
        <v>404392.57066453248</v>
      </c>
      <c r="F24" s="3"/>
      <c r="G24" s="28"/>
      <c r="H24" s="10"/>
      <c r="I24" s="10">
        <f t="shared" si="5"/>
        <v>1865</v>
      </c>
      <c r="J24" s="10">
        <f t="shared" si="3"/>
        <v>32178864823.012295</v>
      </c>
      <c r="K24" s="11">
        <f t="shared" si="4"/>
        <v>2.4000000000000021E-2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16849690.444355465</v>
      </c>
      <c r="D25" s="11">
        <v>2.3699999999999999E-2</v>
      </c>
      <c r="E25" s="10">
        <f t="shared" si="2"/>
        <v>390092.4719461035</v>
      </c>
      <c r="F25" s="3"/>
      <c r="G25" s="28"/>
      <c r="H25" s="10"/>
      <c r="I25" s="10">
        <f t="shared" si="5"/>
        <v>1865</v>
      </c>
      <c r="J25" s="10">
        <f t="shared" si="3"/>
        <v>31424672678.722942</v>
      </c>
      <c r="K25" s="11">
        <f t="shared" si="4"/>
        <v>2.3700000000000054E-2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16459597.972409362</v>
      </c>
      <c r="D26" s="11">
        <v>2.4E-2</v>
      </c>
      <c r="E26" s="10">
        <f t="shared" si="2"/>
        <v>385771.82747834548</v>
      </c>
      <c r="F26" s="3"/>
      <c r="G26" s="28"/>
      <c r="H26" s="10"/>
      <c r="I26" s="10">
        <f t="shared" si="5"/>
        <v>1865</v>
      </c>
      <c r="J26" s="10">
        <f t="shared" si="3"/>
        <v>30697150218.543461</v>
      </c>
      <c r="K26" s="11">
        <f t="shared" si="4"/>
        <v>2.4000000000000021E-2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16073826.144931016</v>
      </c>
      <c r="D27" s="11">
        <v>2.5600000000000001E-2</v>
      </c>
      <c r="E27" s="10">
        <f t="shared" si="2"/>
        <v>401218.74932745285</v>
      </c>
      <c r="F27" s="3"/>
      <c r="G27" s="28"/>
      <c r="H27" s="10"/>
      <c r="I27" s="10">
        <f t="shared" si="5"/>
        <v>1865</v>
      </c>
      <c r="J27" s="10">
        <f t="shared" si="3"/>
        <v>29977685760.296345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15672607.395603564</v>
      </c>
      <c r="D28" s="11">
        <v>2.52E-2</v>
      </c>
      <c r="E28" s="10">
        <f t="shared" si="2"/>
        <v>385241.61760554835</v>
      </c>
      <c r="F28" s="3"/>
      <c r="G28" s="28"/>
      <c r="H28" s="10"/>
      <c r="I28" s="10">
        <f t="shared" si="5"/>
        <v>1865</v>
      </c>
      <c r="J28" s="10">
        <f t="shared" si="3"/>
        <v>29229412792.800648</v>
      </c>
      <c r="K28" s="11">
        <f t="shared" si="4"/>
        <v>2.5199999999999889E-2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15287365.777998015</v>
      </c>
      <c r="D29" s="11">
        <v>2.6800000000000001E-2</v>
      </c>
      <c r="E29" s="10">
        <f t="shared" si="2"/>
        <v>399007.98875179701</v>
      </c>
      <c r="F29" s="3"/>
      <c r="G29" s="28"/>
      <c r="H29" s="10"/>
      <c r="I29" s="10">
        <f t="shared" si="5"/>
        <v>1865</v>
      </c>
      <c r="J29" s="10">
        <f t="shared" si="3"/>
        <v>28510937175.966297</v>
      </c>
      <c r="K29" s="11">
        <f t="shared" si="4"/>
        <v>2.6799999999999713E-2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14888357.789246218</v>
      </c>
      <c r="D30" s="11">
        <v>2.63E-2</v>
      </c>
      <c r="E30" s="10">
        <f t="shared" si="2"/>
        <v>381529.58185440488</v>
      </c>
      <c r="F30" s="3"/>
      <c r="G30" s="28"/>
      <c r="H30" s="10"/>
      <c r="I30" s="10">
        <f t="shared" si="5"/>
        <v>1865</v>
      </c>
      <c r="J30" s="10">
        <f t="shared" si="3"/>
        <v>27766787276.944199</v>
      </c>
      <c r="K30" s="11">
        <f t="shared" si="4"/>
        <v>2.629999999999999E-2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14506828.207391813</v>
      </c>
      <c r="D31" s="11">
        <v>2.5600000000000001E-2</v>
      </c>
      <c r="E31" s="10">
        <f t="shared" si="2"/>
        <v>362104.91625315137</v>
      </c>
      <c r="F31" s="3"/>
      <c r="G31" s="28"/>
      <c r="H31" s="10"/>
      <c r="I31" s="10">
        <f t="shared" si="5"/>
        <v>1865</v>
      </c>
      <c r="J31" s="10">
        <f t="shared" si="3"/>
        <v>27055234606.785732</v>
      </c>
      <c r="K31" s="11">
        <f t="shared" si="4"/>
        <v>2.5600000000000067E-2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14144723.291138662</v>
      </c>
      <c r="D32" s="11">
        <v>2.7300000000000001E-2</v>
      </c>
      <c r="E32" s="10">
        <f t="shared" si="2"/>
        <v>375889.17146703601</v>
      </c>
      <c r="F32" s="3"/>
      <c r="G32" s="28"/>
      <c r="H32" s="10"/>
      <c r="I32" s="10">
        <f t="shared" si="5"/>
        <v>1865</v>
      </c>
      <c r="J32" s="10">
        <f t="shared" si="3"/>
        <v>26379908937.973606</v>
      </c>
      <c r="K32" s="11">
        <f t="shared" si="4"/>
        <v>2.7300000000000102E-2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13768834.119671626</v>
      </c>
      <c r="D33" s="11">
        <v>2.8899999999999999E-2</v>
      </c>
      <c r="E33" s="10">
        <f t="shared" si="2"/>
        <v>386742.44927447662</v>
      </c>
      <c r="F33" s="3"/>
      <c r="G33" s="28"/>
      <c r="H33" s="10"/>
      <c r="I33" s="10">
        <f t="shared" si="5"/>
        <v>1865</v>
      </c>
      <c r="J33" s="10">
        <f t="shared" si="3"/>
        <v>25678875633.187584</v>
      </c>
      <c r="K33" s="11">
        <f t="shared" si="4"/>
        <v>2.8899999999999926E-2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13382091.670397149</v>
      </c>
      <c r="D34" s="11">
        <v>2.9100000000000001E-2</v>
      </c>
      <c r="E34" s="10">
        <f t="shared" si="2"/>
        <v>378407.21757706255</v>
      </c>
      <c r="F34" s="3"/>
      <c r="G34" s="28"/>
      <c r="H34" s="10"/>
      <c r="I34" s="10">
        <f t="shared" si="5"/>
        <v>1865</v>
      </c>
      <c r="J34" s="10">
        <f t="shared" ref="J34:J65" si="6">IF(I34="","",I34*C34)</f>
        <v>24957600965.290684</v>
      </c>
      <c r="K34" s="11">
        <f t="shared" ref="K34:K65" si="7">IFERROR(J34/J35-1,"")</f>
        <v>2.9099999999999904E-2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13003684.452820087</v>
      </c>
      <c r="D35" s="11">
        <v>2.7699999999999999E-2</v>
      </c>
      <c r="E35" s="10">
        <f t="shared" si="2"/>
        <v>350493.3923743479</v>
      </c>
      <c r="F35" s="3"/>
      <c r="G35" s="28"/>
      <c r="H35" s="10"/>
      <c r="I35" s="10">
        <f t="shared" ref="I35:I66" si="8">IF(H35&lt;&gt;"",H35,I34/(1+IF(G34="",0,G34)/100))</f>
        <v>1865</v>
      </c>
      <c r="J35" s="10">
        <f t="shared" si="6"/>
        <v>24251871504.50946</v>
      </c>
      <c r="K35" s="11">
        <f t="shared" si="7"/>
        <v>2.7700000000000058E-2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12653191.060445739</v>
      </c>
      <c r="D36" s="11">
        <v>2.6100000000000002E-2</v>
      </c>
      <c r="E36" s="10">
        <f t="shared" si="2"/>
        <v>321848.05250719562</v>
      </c>
      <c r="F36" s="3"/>
      <c r="G36" s="28"/>
      <c r="H36" s="10"/>
      <c r="I36" s="10">
        <f t="shared" si="8"/>
        <v>1865</v>
      </c>
      <c r="J36" s="10">
        <f t="shared" si="6"/>
        <v>23598201327.731304</v>
      </c>
      <c r="K36" s="11">
        <f t="shared" si="7"/>
        <v>2.6100000000000012E-2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12331343.007938543</v>
      </c>
      <c r="D37" s="11">
        <v>2.6100000000000002E-2</v>
      </c>
      <c r="E37" s="10">
        <f t="shared" si="2"/>
        <v>313661.48767877929</v>
      </c>
      <c r="F37" s="3"/>
      <c r="G37" s="28"/>
      <c r="H37" s="10"/>
      <c r="I37" s="10">
        <f t="shared" si="8"/>
        <v>1865</v>
      </c>
      <c r="J37" s="10">
        <f t="shared" si="6"/>
        <v>22997954709.805382</v>
      </c>
      <c r="K37" s="11">
        <f t="shared" si="7"/>
        <v>2.6100000000000012E-2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12017681.520259764</v>
      </c>
      <c r="D38" s="11">
        <v>2.6700000000000002E-2</v>
      </c>
      <c r="E38" s="10">
        <f t="shared" si="2"/>
        <v>312527.60941943526</v>
      </c>
      <c r="F38" s="3"/>
      <c r="G38" s="28"/>
      <c r="H38" s="10"/>
      <c r="I38" s="10">
        <f t="shared" si="8"/>
        <v>1865</v>
      </c>
      <c r="J38" s="10">
        <f t="shared" si="6"/>
        <v>22412976035.284458</v>
      </c>
      <c r="K38" s="11">
        <f t="shared" si="7"/>
        <v>2.6699999999999724E-2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11705153.910840329</v>
      </c>
      <c r="D39" s="11">
        <v>2.6800000000000001E-2</v>
      </c>
      <c r="E39" s="10">
        <f t="shared" si="2"/>
        <v>305510.44488753378</v>
      </c>
      <c r="F39" s="3"/>
      <c r="G39" s="28"/>
      <c r="H39" s="10"/>
      <c r="I39" s="10">
        <f t="shared" si="8"/>
        <v>1865</v>
      </c>
      <c r="J39" s="10">
        <f t="shared" si="6"/>
        <v>21830112043.717213</v>
      </c>
      <c r="K39" s="11">
        <f t="shared" si="7"/>
        <v>2.6799999999999713E-2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11399643.465952795</v>
      </c>
      <c r="D40" s="11">
        <v>2.6599999999999999E-2</v>
      </c>
      <c r="E40" s="10">
        <f t="shared" si="2"/>
        <v>295373.57899312675</v>
      </c>
      <c r="F40" s="3"/>
      <c r="G40" s="28"/>
      <c r="H40" s="10"/>
      <c r="I40" s="10">
        <f t="shared" si="8"/>
        <v>1865</v>
      </c>
      <c r="J40" s="10">
        <f t="shared" si="6"/>
        <v>21260335064.001965</v>
      </c>
      <c r="K40" s="11">
        <f t="shared" si="7"/>
        <v>2.6599999999999957E-2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11104269.886959668</v>
      </c>
      <c r="D41" s="11">
        <v>2.53E-2</v>
      </c>
      <c r="E41" s="10">
        <f t="shared" si="2"/>
        <v>274005.68432661705</v>
      </c>
      <c r="F41" s="3"/>
      <c r="G41" s="28"/>
      <c r="H41" s="10"/>
      <c r="I41" s="10">
        <f t="shared" si="8"/>
        <v>1865</v>
      </c>
      <c r="J41" s="10">
        <f t="shared" si="6"/>
        <v>20709463339.179783</v>
      </c>
      <c r="K41" s="11">
        <f t="shared" si="7"/>
        <v>2.53000000000001E-2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10830264.202633051</v>
      </c>
      <c r="D42" s="11">
        <v>2.2700000000000001E-2</v>
      </c>
      <c r="E42" s="10">
        <f t="shared" si="2"/>
        <v>240390.1411946509</v>
      </c>
      <c r="F42" s="3"/>
      <c r="G42" s="28"/>
      <c r="H42" s="10"/>
      <c r="I42" s="10">
        <f t="shared" si="8"/>
        <v>1865</v>
      </c>
      <c r="J42" s="10">
        <f t="shared" si="6"/>
        <v>20198442737.910641</v>
      </c>
      <c r="K42" s="11">
        <f t="shared" si="7"/>
        <v>2.2699999999999942E-2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10589874.0614384</v>
      </c>
      <c r="D43" s="11">
        <v>2.1600000000000001E-2</v>
      </c>
      <c r="E43" s="10">
        <f t="shared" si="2"/>
        <v>223904.93317058496</v>
      </c>
      <c r="F43" s="3"/>
      <c r="G43" s="28"/>
      <c r="H43" s="10"/>
      <c r="I43" s="10">
        <f t="shared" si="8"/>
        <v>1865</v>
      </c>
      <c r="J43" s="10">
        <f t="shared" si="6"/>
        <v>19750115124.582615</v>
      </c>
      <c r="K43" s="11">
        <f t="shared" si="7"/>
        <v>2.1600000000000064E-2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10365969.128267815</v>
      </c>
      <c r="D44" s="11">
        <v>2.2200000000000001E-2</v>
      </c>
      <c r="E44" s="10">
        <f t="shared" si="2"/>
        <v>225126.70186611824</v>
      </c>
      <c r="F44" s="3"/>
      <c r="G44" s="28"/>
      <c r="H44" s="10"/>
      <c r="I44" s="10">
        <f t="shared" si="8"/>
        <v>1865</v>
      </c>
      <c r="J44" s="10">
        <f t="shared" si="6"/>
        <v>19332532424.219475</v>
      </c>
      <c r="K44" s="11">
        <f t="shared" si="7"/>
        <v>2.2199999999999998E-2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10140842.426401697</v>
      </c>
      <c r="D45" s="11">
        <v>2.2800000000000001E-2</v>
      </c>
      <c r="E45" s="10">
        <f t="shared" si="2"/>
        <v>226057.10532064736</v>
      </c>
      <c r="F45" s="3"/>
      <c r="G45" s="28"/>
      <c r="H45" s="10"/>
      <c r="I45" s="10">
        <f t="shared" si="8"/>
        <v>1865</v>
      </c>
      <c r="J45" s="10">
        <f t="shared" si="6"/>
        <v>18912671125.239166</v>
      </c>
      <c r="K45" s="11">
        <f t="shared" si="7"/>
        <v>2.2799999999999931E-2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9914785.3210810497</v>
      </c>
      <c r="D46" s="11">
        <v>2.35E-2</v>
      </c>
      <c r="E46" s="10">
        <f t="shared" si="2"/>
        <v>227647.73331256025</v>
      </c>
      <c r="F46" s="3"/>
      <c r="G46" s="28"/>
      <c r="H46" s="10"/>
      <c r="I46" s="10">
        <f t="shared" si="8"/>
        <v>1865</v>
      </c>
      <c r="J46" s="10">
        <f t="shared" si="6"/>
        <v>18491074623.816158</v>
      </c>
      <c r="K46" s="11">
        <f t="shared" si="7"/>
        <v>2.3500000000000076E-2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9687137.5877684895</v>
      </c>
      <c r="D47" s="11">
        <v>2.5899999999999999E-2</v>
      </c>
      <c r="E47" s="10">
        <f t="shared" si="2"/>
        <v>244562.68985593505</v>
      </c>
      <c r="F47" s="3"/>
      <c r="G47" s="28"/>
      <c r="H47" s="10"/>
      <c r="I47" s="10">
        <f t="shared" si="8"/>
        <v>1865</v>
      </c>
      <c r="J47" s="10">
        <f t="shared" si="6"/>
        <v>18066511601.188232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9442574.8979125544</v>
      </c>
      <c r="D48" s="11">
        <v>2.8299999999999999E-2</v>
      </c>
      <c r="E48" s="10">
        <f t="shared" si="2"/>
        <v>259870.53351252154</v>
      </c>
      <c r="F48" s="3"/>
      <c r="G48" s="28"/>
      <c r="H48" s="10"/>
      <c r="I48" s="10">
        <f t="shared" si="8"/>
        <v>1865</v>
      </c>
      <c r="J48" s="10">
        <f t="shared" si="6"/>
        <v>17610402184.606915</v>
      </c>
      <c r="K48" s="11">
        <f t="shared" si="7"/>
        <v>2.8299999999999992E-2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9182704.3644000329</v>
      </c>
      <c r="D49" s="11">
        <v>2.9000000000000001E-2</v>
      </c>
      <c r="E49" s="10">
        <f t="shared" si="2"/>
        <v>258793.4174612239</v>
      </c>
      <c r="F49" s="3"/>
      <c r="G49" s="28"/>
      <c r="H49" s="10"/>
      <c r="I49" s="10">
        <f t="shared" si="8"/>
        <v>1865</v>
      </c>
      <c r="J49" s="10">
        <f t="shared" si="6"/>
        <v>17125743639.606062</v>
      </c>
      <c r="K49" s="11">
        <f t="shared" si="7"/>
        <v>2.8999999999999915E-2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8923910.946938809</v>
      </c>
      <c r="D50" s="11">
        <v>2.9399999999999999E-2</v>
      </c>
      <c r="E50" s="10">
        <f t="shared" si="2"/>
        <v>254869.80944239534</v>
      </c>
      <c r="F50" s="3"/>
      <c r="G50" s="28"/>
      <c r="H50" s="10"/>
      <c r="I50" s="10">
        <f t="shared" si="8"/>
        <v>1865</v>
      </c>
      <c r="J50" s="10">
        <f t="shared" si="6"/>
        <v>16643093916.040878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8669041.1374964137</v>
      </c>
      <c r="D51" s="11">
        <v>2.9899999999999999E-2</v>
      </c>
      <c r="E51" s="10">
        <f t="shared" si="2"/>
        <v>251679.12419763394</v>
      </c>
      <c r="F51" s="3"/>
      <c r="G51" s="28"/>
      <c r="H51" s="10"/>
      <c r="I51" s="10">
        <f t="shared" si="8"/>
        <v>1865</v>
      </c>
      <c r="J51" s="10">
        <f t="shared" si="6"/>
        <v>16167761721.430811</v>
      </c>
      <c r="K51" s="11">
        <f t="shared" si="7"/>
        <v>2.9900000000000038E-2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8417362.0132987797</v>
      </c>
      <c r="D52" s="11">
        <v>3.0599999999999999E-2</v>
      </c>
      <c r="E52" s="10">
        <f t="shared" si="2"/>
        <v>249923.61498830095</v>
      </c>
      <c r="F52" s="3"/>
      <c r="G52" s="28"/>
      <c r="H52" s="10"/>
      <c r="I52" s="10">
        <f t="shared" si="8"/>
        <v>1865</v>
      </c>
      <c r="J52" s="10">
        <f t="shared" si="6"/>
        <v>15698380154.802225</v>
      </c>
      <c r="K52" s="11">
        <f t="shared" si="7"/>
        <v>3.0600000000000183E-2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8167438.3983104788</v>
      </c>
      <c r="D53" s="11">
        <v>3.1099999999999999E-2</v>
      </c>
      <c r="E53" s="10">
        <f t="shared" si="2"/>
        <v>246345.97438410949</v>
      </c>
      <c r="F53" s="3"/>
      <c r="G53" s="28"/>
      <c r="H53" s="10"/>
      <c r="I53" s="10">
        <f t="shared" si="8"/>
        <v>1865</v>
      </c>
      <c r="J53" s="10">
        <f t="shared" si="6"/>
        <v>15232272612.849043</v>
      </c>
      <c r="K53" s="11">
        <f t="shared" si="7"/>
        <v>3.1099999999999905E-2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7921092.4239263693</v>
      </c>
      <c r="D54" s="11">
        <v>3.15E-2</v>
      </c>
      <c r="E54" s="10">
        <f t="shared" si="2"/>
        <v>241894.72743934207</v>
      </c>
      <c r="F54" s="3"/>
      <c r="G54" s="28"/>
      <c r="H54" s="10"/>
      <c r="I54" s="10">
        <f t="shared" si="8"/>
        <v>1865</v>
      </c>
      <c r="J54" s="10">
        <f t="shared" si="6"/>
        <v>14772837370.622679</v>
      </c>
      <c r="K54" s="11">
        <f t="shared" si="7"/>
        <v>3.1500000000000083E-2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7679197.6964870272</v>
      </c>
      <c r="D55" s="11">
        <v>3.1800000000000002E-2</v>
      </c>
      <c r="E55" s="10">
        <f t="shared" si="2"/>
        <v>236672.30737380125</v>
      </c>
      <c r="F55" s="3"/>
      <c r="G55" s="28"/>
      <c r="H55" s="10"/>
      <c r="I55" s="10">
        <f t="shared" si="8"/>
        <v>1865</v>
      </c>
      <c r="J55" s="10">
        <f t="shared" si="6"/>
        <v>14321703703.948305</v>
      </c>
      <c r="K55" s="11">
        <f t="shared" si="7"/>
        <v>3.180000000000005E-2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7442525.389113226</v>
      </c>
      <c r="D56" s="11">
        <v>3.1800000000000002E-2</v>
      </c>
      <c r="E56" s="10">
        <f t="shared" si="2"/>
        <v>229378.08429327514</v>
      </c>
      <c r="F56" s="3"/>
      <c r="G56" s="28"/>
      <c r="H56" s="10"/>
      <c r="I56" s="10">
        <f t="shared" si="8"/>
        <v>1865</v>
      </c>
      <c r="J56" s="10">
        <f t="shared" si="6"/>
        <v>13880309850.696167</v>
      </c>
      <c r="K56" s="11">
        <f t="shared" si="7"/>
        <v>3.180000000000005E-2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7213147.3048199508</v>
      </c>
      <c r="D57" s="11">
        <v>3.2000000000000001E-2</v>
      </c>
      <c r="E57" s="10">
        <f t="shared" si="2"/>
        <v>223663.48231999855</v>
      </c>
      <c r="F57" s="3"/>
      <c r="G57" s="28"/>
      <c r="H57" s="10"/>
      <c r="I57" s="10">
        <f t="shared" si="8"/>
        <v>1865</v>
      </c>
      <c r="J57" s="10">
        <f t="shared" si="6"/>
        <v>13452519723.489208</v>
      </c>
      <c r="K57" s="11">
        <f t="shared" si="7"/>
        <v>3.2000000000000028E-2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6989483.8224999523</v>
      </c>
      <c r="D58" s="11">
        <v>3.2000000000000001E-2</v>
      </c>
      <c r="E58" s="10">
        <f t="shared" si="2"/>
        <v>216728.1805426348</v>
      </c>
      <c r="F58" s="3"/>
      <c r="G58" s="28"/>
      <c r="H58" s="10"/>
      <c r="I58" s="10">
        <f t="shared" si="8"/>
        <v>1865</v>
      </c>
      <c r="J58" s="10">
        <f t="shared" si="6"/>
        <v>13035387328.962412</v>
      </c>
      <c r="K58" s="11">
        <f t="shared" si="7"/>
        <v>3.200000000000025E-2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6772755.6419573175</v>
      </c>
      <c r="D59" s="11">
        <v>3.2000000000000001E-2</v>
      </c>
      <c r="E59" s="10">
        <f t="shared" si="2"/>
        <v>210007.92688239738</v>
      </c>
      <c r="F59" s="3"/>
      <c r="G59" s="28"/>
      <c r="H59" s="10"/>
      <c r="I59" s="10">
        <f t="shared" si="8"/>
        <v>1865</v>
      </c>
      <c r="J59" s="10">
        <f t="shared" si="6"/>
        <v>12631189272.250397</v>
      </c>
      <c r="K59" s="11">
        <f t="shared" si="7"/>
        <v>3.2000000000000028E-2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6562747.7150749201</v>
      </c>
      <c r="D60" s="11">
        <v>3.2000000000000001E-2</v>
      </c>
      <c r="E60" s="10">
        <f t="shared" si="2"/>
        <v>203496.05318061821</v>
      </c>
      <c r="F60" s="3"/>
      <c r="G60" s="28"/>
      <c r="H60" s="10"/>
      <c r="I60" s="10">
        <f t="shared" si="8"/>
        <v>1865</v>
      </c>
      <c r="J60" s="10">
        <f t="shared" si="6"/>
        <v>12239524488.614725</v>
      </c>
      <c r="K60" s="11">
        <f t="shared" si="7"/>
        <v>3.2000000000000028E-2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6359251.6618943019</v>
      </c>
      <c r="D61" s="11">
        <v>3.2000000000000001E-2</v>
      </c>
      <c r="E61" s="10">
        <f t="shared" si="2"/>
        <v>197186.09804323409</v>
      </c>
      <c r="F61" s="3"/>
      <c r="G61" s="28"/>
      <c r="H61" s="10"/>
      <c r="I61" s="10">
        <f t="shared" si="8"/>
        <v>1865</v>
      </c>
      <c r="J61" s="10">
        <f t="shared" si="6"/>
        <v>11860004349.432873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6162065.5638510678</v>
      </c>
      <c r="D62" s="11">
        <v>3.1E-2</v>
      </c>
      <c r="E62" s="10">
        <f t="shared" si="2"/>
        <v>185280.34188106935</v>
      </c>
      <c r="F62" s="3"/>
      <c r="G62" s="28"/>
      <c r="H62" s="10"/>
      <c r="I62" s="10">
        <f t="shared" si="8"/>
        <v>1865</v>
      </c>
      <c r="J62" s="10">
        <f t="shared" si="6"/>
        <v>11492252276.582241</v>
      </c>
      <c r="K62" s="11">
        <f t="shared" si="7"/>
        <v>3.0999999999999917E-2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5976785.2219699984</v>
      </c>
      <c r="D63" s="11">
        <v>3.1E-2</v>
      </c>
      <c r="E63" s="10">
        <f t="shared" si="2"/>
        <v>179709.35196999926</v>
      </c>
      <c r="F63" s="3"/>
      <c r="G63" s="28"/>
      <c r="H63" s="10"/>
      <c r="I63" s="10">
        <f t="shared" si="8"/>
        <v>1865</v>
      </c>
      <c r="J63" s="10">
        <f t="shared" si="6"/>
        <v>11146704438.974047</v>
      </c>
      <c r="K63" s="11">
        <f t="shared" si="7"/>
        <v>3.0999999999999694E-2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5797075.8699999992</v>
      </c>
      <c r="D64" s="11">
        <v>3.1E-2</v>
      </c>
      <c r="E64" s="10">
        <f t="shared" si="2"/>
        <v>174305.86999999918</v>
      </c>
      <c r="F64" s="3"/>
      <c r="G64" s="28"/>
      <c r="H64" s="10"/>
      <c r="I64" s="10">
        <f t="shared" si="8"/>
        <v>1865</v>
      </c>
      <c r="J64" s="10">
        <f t="shared" si="6"/>
        <v>10811546497.549999</v>
      </c>
      <c r="K64" s="11">
        <f t="shared" si="7"/>
        <v>3.0999999999999917E-2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5622770</v>
      </c>
      <c r="D65" s="11">
        <v>0.03</v>
      </c>
      <c r="E65" s="10">
        <f t="shared" si="2"/>
        <v>163770</v>
      </c>
      <c r="F65" s="3"/>
      <c r="G65" s="28"/>
      <c r="H65" s="10"/>
      <c r="I65" s="10">
        <f t="shared" si="8"/>
        <v>1865</v>
      </c>
      <c r="J65" s="10">
        <f t="shared" si="6"/>
        <v>10486466050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5459000</v>
      </c>
      <c r="D66" s="11">
        <v>0.03</v>
      </c>
      <c r="E66" s="10">
        <f t="shared" si="2"/>
        <v>159000</v>
      </c>
      <c r="F66" s="24">
        <f>SUM(F2)</f>
        <v>27120468</v>
      </c>
      <c r="G66" s="28"/>
      <c r="H66" s="10"/>
      <c r="I66" s="10">
        <f t="shared" si="8"/>
        <v>1865</v>
      </c>
      <c r="J66" s="10">
        <f t="shared" ref="J66:J67" si="9">IF(I66="","",I66*C66)</f>
        <v>10181035000</v>
      </c>
      <c r="K66" s="11">
        <f t="shared" ref="K66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5300000</v>
      </c>
      <c r="D67" s="11">
        <v>2.9000000000000001E-2</v>
      </c>
      <c r="E67" s="3" t="s">
        <v>72</v>
      </c>
      <c r="F67" s="10">
        <f>SUM(C2)</f>
        <v>26782262.780115496</v>
      </c>
      <c r="G67" s="28"/>
      <c r="H67" s="10"/>
      <c r="I67" s="10">
        <f t="shared" ref="I67" si="11">IF(H67&lt;&gt;"",H67,I66/(1+IF(G66="",0,G66)/100))</f>
        <v>1865</v>
      </c>
      <c r="J67" s="10">
        <f t="shared" si="9"/>
        <v>9884500000</v>
      </c>
      <c r="K67" s="11"/>
    </row>
  </sheetData>
  <dataValidations count="1">
    <dataValidation type="custom" allowBlank="1" showDropDown="1" sqref="D2:D67" xr:uid="{00000000-0002-0000-6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39228163.544304334</v>
      </c>
      <c r="D2" s="11">
        <v>8.0000000000000002E-3</v>
      </c>
      <c r="E2" s="10">
        <f t="shared" ref="E2:E66" si="2">SUM(C2-C3)</f>
        <v>311334.6313040033</v>
      </c>
      <c r="F2" s="15">
        <v>39227750</v>
      </c>
      <c r="G2" s="28"/>
      <c r="H2" s="10"/>
      <c r="I2" s="10">
        <f>IF(H2&lt;&gt;"",H2,14167)</f>
        <v>14167</v>
      </c>
      <c r="J2" s="10">
        <f t="shared" ref="J2:J33" si="3">IF(I2="","",I2*C2)</f>
        <v>555745392932.15955</v>
      </c>
      <c r="K2" s="11">
        <f t="shared" ref="K2:K33" si="4">IFERROR(J2/J3-1,"")</f>
        <v>8.0000000000000071E-3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38916828.91300033</v>
      </c>
      <c r="D3" s="11">
        <v>8.0000000000000002E-3</v>
      </c>
      <c r="E3" s="10">
        <f t="shared" si="2"/>
        <v>308863.72153174877</v>
      </c>
      <c r="F3" s="3"/>
      <c r="G3" s="28"/>
      <c r="H3" s="10"/>
      <c r="I3" s="10">
        <f t="shared" ref="I3:I34" si="5">IF(H3&lt;&gt;"",H3,I2/(1+IF(G2="",0,G2)/100))</f>
        <v>14167</v>
      </c>
      <c r="J3" s="10">
        <f t="shared" si="3"/>
        <v>551334715210.47571</v>
      </c>
      <c r="K3" s="11">
        <f t="shared" si="4"/>
        <v>8.0000000000000071E-3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38607965.191468582</v>
      </c>
      <c r="D4" s="11">
        <v>7.6E-3</v>
      </c>
      <c r="E4" s="10">
        <f t="shared" si="2"/>
        <v>291207.35952278972</v>
      </c>
      <c r="F4" s="3"/>
      <c r="G4" s="28"/>
      <c r="H4" s="10"/>
      <c r="I4" s="10">
        <f t="shared" si="5"/>
        <v>14167</v>
      </c>
      <c r="J4" s="10">
        <f t="shared" si="3"/>
        <v>546959042867.5354</v>
      </c>
      <c r="K4" s="11">
        <f t="shared" si="4"/>
        <v>7.6000000000000512E-3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38316757.831945792</v>
      </c>
      <c r="D5" s="11">
        <v>8.0000000000000002E-3</v>
      </c>
      <c r="E5" s="10">
        <f t="shared" si="2"/>
        <v>304101.25263448805</v>
      </c>
      <c r="F5" s="3"/>
      <c r="G5" s="28"/>
      <c r="H5" s="10"/>
      <c r="I5" s="10">
        <f t="shared" si="5"/>
        <v>14167</v>
      </c>
      <c r="J5" s="10">
        <f t="shared" si="3"/>
        <v>542833508205.17603</v>
      </c>
      <c r="K5" s="11">
        <f t="shared" si="4"/>
        <v>8.0000000000000071E-3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38012656.579311304</v>
      </c>
      <c r="D6" s="11">
        <v>7.9000000000000008E-3</v>
      </c>
      <c r="E6" s="10">
        <f t="shared" si="2"/>
        <v>297946.211902529</v>
      </c>
      <c r="F6" s="3"/>
      <c r="G6" s="28"/>
      <c r="H6" s="10"/>
      <c r="I6" s="10">
        <f t="shared" si="5"/>
        <v>14167</v>
      </c>
      <c r="J6" s="10">
        <f t="shared" si="3"/>
        <v>538525305759.10321</v>
      </c>
      <c r="K6" s="11">
        <f t="shared" si="4"/>
        <v>7.8999999999997961E-3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37714710.367408775</v>
      </c>
      <c r="D7" s="11">
        <v>8.5000000000000006E-3</v>
      </c>
      <c r="E7" s="10">
        <f t="shared" si="2"/>
        <v>317873.11663160473</v>
      </c>
      <c r="F7" s="3"/>
      <c r="G7" s="28"/>
      <c r="H7" s="10"/>
      <c r="I7" s="10">
        <f t="shared" si="5"/>
        <v>14167</v>
      </c>
      <c r="J7" s="10">
        <f t="shared" si="3"/>
        <v>534304301775.08014</v>
      </c>
      <c r="K7" s="11">
        <f t="shared" si="4"/>
        <v>8.499999999999952E-3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37396837.25077717</v>
      </c>
      <c r="D8" s="11">
        <v>8.8000000000000005E-3</v>
      </c>
      <c r="E8" s="10">
        <f t="shared" si="2"/>
        <v>326221.4193168506</v>
      </c>
      <c r="F8" s="3"/>
      <c r="G8" s="28"/>
      <c r="H8" s="10"/>
      <c r="I8" s="10">
        <f t="shared" si="5"/>
        <v>14167</v>
      </c>
      <c r="J8" s="10">
        <f t="shared" si="3"/>
        <v>529800993331.76019</v>
      </c>
      <c r="K8" s="11">
        <f t="shared" si="4"/>
        <v>8.800000000000141E-3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37070615.831460319</v>
      </c>
      <c r="D9" s="11">
        <v>9.4999999999999998E-3</v>
      </c>
      <c r="E9" s="10">
        <f t="shared" si="2"/>
        <v>348856.71163830906</v>
      </c>
      <c r="F9" s="3"/>
      <c r="G9" s="28"/>
      <c r="H9" s="10"/>
      <c r="I9" s="10">
        <f t="shared" si="5"/>
        <v>14167</v>
      </c>
      <c r="J9" s="10">
        <f t="shared" si="3"/>
        <v>525179414484.29834</v>
      </c>
      <c r="K9" s="11">
        <f t="shared" si="4"/>
        <v>9.5000000000000639E-3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36721759.11982201</v>
      </c>
      <c r="D10" s="11">
        <v>9.4999999999999998E-3</v>
      </c>
      <c r="E10" s="10">
        <f t="shared" si="2"/>
        <v>345573.7609096691</v>
      </c>
      <c r="F10" s="3"/>
      <c r="G10" s="28"/>
      <c r="H10" s="10"/>
      <c r="I10" s="10">
        <f t="shared" si="5"/>
        <v>14167</v>
      </c>
      <c r="J10" s="10">
        <f t="shared" si="3"/>
        <v>520237161450.51843</v>
      </c>
      <c r="K10" s="11">
        <f t="shared" si="4"/>
        <v>9.5000000000000639E-3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36376185.358912341</v>
      </c>
      <c r="D11" s="11">
        <v>9.5999999999999992E-3</v>
      </c>
      <c r="E11" s="10">
        <f t="shared" si="2"/>
        <v>345890.82750154287</v>
      </c>
      <c r="F11" s="3"/>
      <c r="G11" s="28"/>
      <c r="H11" s="10"/>
      <c r="I11" s="10">
        <f t="shared" si="5"/>
        <v>14167</v>
      </c>
      <c r="J11" s="10">
        <f t="shared" si="3"/>
        <v>515341417979.71112</v>
      </c>
      <c r="K11" s="11">
        <f t="shared" si="4"/>
        <v>9.6000000000000529E-3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36030294.531410798</v>
      </c>
      <c r="D12" s="11">
        <v>9.1999999999999998E-3</v>
      </c>
      <c r="E12" s="10">
        <f t="shared" si="2"/>
        <v>328456.90615238249</v>
      </c>
      <c r="F12" s="3"/>
      <c r="G12" s="28"/>
      <c r="H12" s="10"/>
      <c r="I12" s="10">
        <f t="shared" si="5"/>
        <v>14167</v>
      </c>
      <c r="J12" s="10">
        <f t="shared" si="3"/>
        <v>510441182626.49677</v>
      </c>
      <c r="K12" s="11">
        <f t="shared" si="4"/>
        <v>9.200000000000097E-3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35701837.625258416</v>
      </c>
      <c r="D13" s="11">
        <v>9.2999999999999992E-3</v>
      </c>
      <c r="E13" s="10">
        <f t="shared" si="2"/>
        <v>328967.69039423764</v>
      </c>
      <c r="F13" s="3"/>
      <c r="G13" s="28"/>
      <c r="H13" s="10"/>
      <c r="I13" s="10">
        <f t="shared" si="5"/>
        <v>14167</v>
      </c>
      <c r="J13" s="10">
        <f t="shared" si="3"/>
        <v>505787933637.03595</v>
      </c>
      <c r="K13" s="11">
        <f t="shared" si="4"/>
        <v>9.2999999999998639E-3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35372869.934864178</v>
      </c>
      <c r="D14" s="11">
        <v>1.1599999999999999E-2</v>
      </c>
      <c r="E14" s="10">
        <f t="shared" si="2"/>
        <v>405620.09810639173</v>
      </c>
      <c r="F14" s="3"/>
      <c r="G14" s="28"/>
      <c r="H14" s="10"/>
      <c r="I14" s="10">
        <f t="shared" si="5"/>
        <v>14167</v>
      </c>
      <c r="J14" s="10">
        <f t="shared" si="3"/>
        <v>501127448367.22083</v>
      </c>
      <c r="K14" s="11">
        <f t="shared" si="4"/>
        <v>1.1600000000000055E-2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34967249.836757787</v>
      </c>
      <c r="D15" s="11">
        <v>1.23E-2</v>
      </c>
      <c r="E15" s="10">
        <f t="shared" si="2"/>
        <v>424871.25653671473</v>
      </c>
      <c r="F15" s="3"/>
      <c r="G15" s="28"/>
      <c r="H15" s="10"/>
      <c r="I15" s="10">
        <f t="shared" si="5"/>
        <v>14167</v>
      </c>
      <c r="J15" s="10">
        <f t="shared" si="3"/>
        <v>495381028437.34753</v>
      </c>
      <c r="K15" s="11">
        <f t="shared" si="4"/>
        <v>1.2299999999999756E-2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34542378.580221072</v>
      </c>
      <c r="D16" s="11">
        <v>1.49E-2</v>
      </c>
      <c r="E16" s="10">
        <f t="shared" si="2"/>
        <v>507125.2742588371</v>
      </c>
      <c r="F16" s="3"/>
      <c r="G16" s="28"/>
      <c r="H16" s="10"/>
      <c r="I16" s="10">
        <f t="shared" si="5"/>
        <v>14167</v>
      </c>
      <c r="J16" s="10">
        <f t="shared" si="3"/>
        <v>489361877345.99194</v>
      </c>
      <c r="K16" s="11">
        <f t="shared" si="4"/>
        <v>1.4900000000000135E-2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34035253.305962235</v>
      </c>
      <c r="D17" s="11">
        <v>1.41E-2</v>
      </c>
      <c r="E17" s="10">
        <f t="shared" si="2"/>
        <v>473224.60468796641</v>
      </c>
      <c r="F17" s="3"/>
      <c r="G17" s="28"/>
      <c r="H17" s="10"/>
      <c r="I17" s="10">
        <f t="shared" si="5"/>
        <v>14167</v>
      </c>
      <c r="J17" s="10">
        <f t="shared" si="3"/>
        <v>482177433585.56696</v>
      </c>
      <c r="K17" s="11">
        <f t="shared" si="4"/>
        <v>1.4100000000000001E-2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33562028.701274268</v>
      </c>
      <c r="D18" s="11">
        <v>1.1650000000000001E-2</v>
      </c>
      <c r="E18" s="10">
        <f t="shared" si="2"/>
        <v>386494.96799273044</v>
      </c>
      <c r="F18" s="3"/>
      <c r="G18" s="28"/>
      <c r="H18" s="10"/>
      <c r="I18" s="10">
        <f t="shared" si="5"/>
        <v>14167</v>
      </c>
      <c r="J18" s="10">
        <f t="shared" si="3"/>
        <v>475473260610.95258</v>
      </c>
      <c r="K18" s="11">
        <f t="shared" si="4"/>
        <v>1.165000000000016E-2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33175533.733281538</v>
      </c>
      <c r="D19" s="11">
        <v>1.77E-2</v>
      </c>
      <c r="E19" s="10">
        <f t="shared" si="2"/>
        <v>576994.15061322972</v>
      </c>
      <c r="F19" s="3"/>
      <c r="G19" s="28"/>
      <c r="H19" s="10"/>
      <c r="I19" s="10">
        <f t="shared" si="5"/>
        <v>14167</v>
      </c>
      <c r="J19" s="10">
        <f t="shared" si="3"/>
        <v>469997786399.39954</v>
      </c>
      <c r="K19" s="11">
        <f t="shared" si="4"/>
        <v>1.7700000000000049E-2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32598539.582668308</v>
      </c>
      <c r="D20" s="11">
        <v>1.7000000000000001E-2</v>
      </c>
      <c r="E20" s="10">
        <f t="shared" si="2"/>
        <v>544911.674439881</v>
      </c>
      <c r="F20" s="3"/>
      <c r="G20" s="28"/>
      <c r="H20" s="10"/>
      <c r="I20" s="10">
        <f t="shared" si="5"/>
        <v>14167</v>
      </c>
      <c r="J20" s="10">
        <f t="shared" si="3"/>
        <v>461823510267.66193</v>
      </c>
      <c r="K20" s="11">
        <f t="shared" si="4"/>
        <v>1.6999999999999904E-2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32053627.908228427</v>
      </c>
      <c r="D21" s="11">
        <v>1.66E-2</v>
      </c>
      <c r="E21" s="10">
        <f t="shared" si="2"/>
        <v>523401.75415757298</v>
      </c>
      <c r="F21" s="3"/>
      <c r="G21" s="28"/>
      <c r="H21" s="10"/>
      <c r="I21" s="10">
        <f t="shared" si="5"/>
        <v>14167</v>
      </c>
      <c r="J21" s="10">
        <f t="shared" si="3"/>
        <v>454103746575.87213</v>
      </c>
      <c r="K21" s="11">
        <f t="shared" si="4"/>
        <v>1.6599999999999948E-2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31530226.154070854</v>
      </c>
      <c r="D22" s="11">
        <v>1.6900000000000002E-2</v>
      </c>
      <c r="E22" s="10">
        <f t="shared" si="2"/>
        <v>524005.13521860167</v>
      </c>
      <c r="F22" s="3"/>
      <c r="G22" s="28"/>
      <c r="H22" s="10"/>
      <c r="I22" s="10">
        <f t="shared" si="5"/>
        <v>14167</v>
      </c>
      <c r="J22" s="10">
        <f t="shared" si="3"/>
        <v>446688713924.7218</v>
      </c>
      <c r="K22" s="11">
        <f t="shared" si="4"/>
        <v>1.6900000000000137E-2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31006221.018852253</v>
      </c>
      <c r="D23" s="11">
        <v>1.7299999999999999E-2</v>
      </c>
      <c r="E23" s="10">
        <f t="shared" si="2"/>
        <v>527285.58303956315</v>
      </c>
      <c r="F23" s="3"/>
      <c r="G23" s="28"/>
      <c r="H23" s="10"/>
      <c r="I23" s="10">
        <f t="shared" si="5"/>
        <v>14167</v>
      </c>
      <c r="J23" s="10">
        <f t="shared" si="3"/>
        <v>439265133174.07983</v>
      </c>
      <c r="K23" s="11">
        <f t="shared" si="4"/>
        <v>1.7300000000000093E-2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30478935.435812689</v>
      </c>
      <c r="D24" s="11">
        <v>1.8200000000000001E-2</v>
      </c>
      <c r="E24" s="10">
        <f t="shared" si="2"/>
        <v>544801.24232153967</v>
      </c>
      <c r="F24" s="3"/>
      <c r="G24" s="28"/>
      <c r="H24" s="10"/>
      <c r="I24" s="10">
        <f t="shared" si="5"/>
        <v>14167</v>
      </c>
      <c r="J24" s="10">
        <f t="shared" si="3"/>
        <v>431795078319.15839</v>
      </c>
      <c r="K24" s="11">
        <f t="shared" si="4"/>
        <v>1.8199999999999994E-2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29934134.19349115</v>
      </c>
      <c r="D25" s="11">
        <v>1.89E-2</v>
      </c>
      <c r="E25" s="10">
        <f t="shared" si="2"/>
        <v>555260.7088595368</v>
      </c>
      <c r="F25" s="3"/>
      <c r="G25" s="28"/>
      <c r="H25" s="10"/>
      <c r="I25" s="10">
        <f t="shared" si="5"/>
        <v>14167</v>
      </c>
      <c r="J25" s="10">
        <f t="shared" si="3"/>
        <v>424076879119.18915</v>
      </c>
      <c r="K25" s="11">
        <f t="shared" si="4"/>
        <v>1.8900000000000139E-2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29378873.484631613</v>
      </c>
      <c r="D26" s="11">
        <v>1.84E-2</v>
      </c>
      <c r="E26" s="10">
        <f t="shared" si="2"/>
        <v>530804.46987158433</v>
      </c>
      <c r="F26" s="3"/>
      <c r="G26" s="28"/>
      <c r="H26" s="10"/>
      <c r="I26" s="10">
        <f t="shared" si="5"/>
        <v>14167</v>
      </c>
      <c r="J26" s="10">
        <f t="shared" si="3"/>
        <v>416210500656.77606</v>
      </c>
      <c r="K26" s="11">
        <f t="shared" si="4"/>
        <v>1.8399999999999972E-2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28848069.014760029</v>
      </c>
      <c r="D27" s="11">
        <v>1.6299999999999999E-2</v>
      </c>
      <c r="E27" s="10">
        <f t="shared" si="2"/>
        <v>462681.81141453236</v>
      </c>
      <c r="F27" s="3"/>
      <c r="G27" s="28"/>
      <c r="H27" s="10"/>
      <c r="I27" s="10">
        <f t="shared" si="5"/>
        <v>14167</v>
      </c>
      <c r="J27" s="10">
        <f t="shared" si="3"/>
        <v>408690593732.10535</v>
      </c>
      <c r="K27" s="11">
        <f t="shared" si="4"/>
        <v>1.6299999999999981E-2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28385387.203345496</v>
      </c>
      <c r="D28" s="11">
        <v>1.44E-2</v>
      </c>
      <c r="E28" s="10">
        <f t="shared" si="2"/>
        <v>402947.13695600629</v>
      </c>
      <c r="F28" s="3"/>
      <c r="G28" s="28"/>
      <c r="H28" s="10"/>
      <c r="I28" s="10">
        <f t="shared" si="5"/>
        <v>14167</v>
      </c>
      <c r="J28" s="10">
        <f t="shared" si="3"/>
        <v>402135780509.79565</v>
      </c>
      <c r="K28" s="11">
        <f t="shared" si="4"/>
        <v>1.4399999999999968E-2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27982440.06638949</v>
      </c>
      <c r="D29" s="11">
        <v>1.4100000000000001E-2</v>
      </c>
      <c r="E29" s="10">
        <f t="shared" si="2"/>
        <v>389066.56635054946</v>
      </c>
      <c r="F29" s="3"/>
      <c r="G29" s="28"/>
      <c r="H29" s="10"/>
      <c r="I29" s="10">
        <f t="shared" si="5"/>
        <v>14167</v>
      </c>
      <c r="J29" s="10">
        <f t="shared" si="3"/>
        <v>396427228420.53992</v>
      </c>
      <c r="K29" s="11">
        <f t="shared" si="4"/>
        <v>1.4100000000000001E-2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27593373.50003894</v>
      </c>
      <c r="D30" s="11">
        <v>1.3899999999999999E-2</v>
      </c>
      <c r="E30" s="10">
        <f t="shared" si="2"/>
        <v>378289.66530283168</v>
      </c>
      <c r="F30" s="3"/>
      <c r="G30" s="28"/>
      <c r="H30" s="10"/>
      <c r="I30" s="10">
        <f t="shared" si="5"/>
        <v>14167</v>
      </c>
      <c r="J30" s="10">
        <f t="shared" si="3"/>
        <v>390915322375.0517</v>
      </c>
      <c r="K30" s="11">
        <f t="shared" si="4"/>
        <v>1.3900000000000023E-2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27215083.834736109</v>
      </c>
      <c r="D31" s="11">
        <v>1.4200000000000001E-2</v>
      </c>
      <c r="E31" s="10">
        <f t="shared" si="2"/>
        <v>381043.37453485653</v>
      </c>
      <c r="F31" s="3"/>
      <c r="G31" s="28"/>
      <c r="H31" s="10"/>
      <c r="I31" s="10">
        <f t="shared" si="5"/>
        <v>14167</v>
      </c>
      <c r="J31" s="10">
        <f t="shared" si="3"/>
        <v>385556092686.70648</v>
      </c>
      <c r="K31" s="11">
        <f t="shared" si="4"/>
        <v>1.419999999999999E-2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26834040.460201252</v>
      </c>
      <c r="D32" s="11">
        <v>1.89E-2</v>
      </c>
      <c r="E32" s="10">
        <f t="shared" si="2"/>
        <v>497755.78044734523</v>
      </c>
      <c r="F32" s="3"/>
      <c r="G32" s="28"/>
      <c r="H32" s="10"/>
      <c r="I32" s="10">
        <f t="shared" si="5"/>
        <v>14167</v>
      </c>
      <c r="J32" s="10">
        <f t="shared" si="3"/>
        <v>380157851199.67114</v>
      </c>
      <c r="K32" s="11">
        <f t="shared" si="4"/>
        <v>1.8899999999999917E-2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26336284.679753907</v>
      </c>
      <c r="D33" s="11">
        <v>1.37E-2</v>
      </c>
      <c r="E33" s="10">
        <f t="shared" si="2"/>
        <v>355930.84750185534</v>
      </c>
      <c r="F33" s="3"/>
      <c r="G33" s="28"/>
      <c r="H33" s="10"/>
      <c r="I33" s="10">
        <f t="shared" si="5"/>
        <v>14167</v>
      </c>
      <c r="J33" s="10">
        <f t="shared" si="3"/>
        <v>373106145058.07361</v>
      </c>
      <c r="K33" s="11">
        <f t="shared" si="4"/>
        <v>1.3700000000000045E-2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25980353.832252052</v>
      </c>
      <c r="D34" s="11">
        <v>1.4100000000000001E-2</v>
      </c>
      <c r="E34" s="10">
        <f t="shared" si="2"/>
        <v>361229.65095626935</v>
      </c>
      <c r="F34" s="3"/>
      <c r="G34" s="28"/>
      <c r="H34" s="10"/>
      <c r="I34" s="10">
        <f t="shared" si="5"/>
        <v>14167</v>
      </c>
      <c r="J34" s="10">
        <f t="shared" ref="J34:J65" si="6">IF(I34="","",I34*C34)</f>
        <v>368063672741.51483</v>
      </c>
      <c r="K34" s="11">
        <f t="shared" ref="K34:K65" si="7">IFERROR(J34/J35-1,"")</f>
        <v>1.4100000000000001E-2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25619124.181295782</v>
      </c>
      <c r="D35" s="11">
        <v>1.4499999999999999E-2</v>
      </c>
      <c r="E35" s="10">
        <f t="shared" si="2"/>
        <v>366167.86656361446</v>
      </c>
      <c r="F35" s="3"/>
      <c r="G35" s="28"/>
      <c r="H35" s="10"/>
      <c r="I35" s="10">
        <f t="shared" ref="I35:I66" si="8">IF(H35&lt;&gt;"",H35,I34/(1+IF(G34="",0,G34)/100))</f>
        <v>14167</v>
      </c>
      <c r="J35" s="10">
        <f t="shared" si="6"/>
        <v>362946132276.41736</v>
      </c>
      <c r="K35" s="11">
        <f t="shared" si="7"/>
        <v>1.4499999999999957E-2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25252956.314732168</v>
      </c>
      <c r="D36" s="11">
        <v>1.4800000000000001E-2</v>
      </c>
      <c r="E36" s="10">
        <f t="shared" si="2"/>
        <v>368293.01680925861</v>
      </c>
      <c r="F36" s="3"/>
      <c r="G36" s="28"/>
      <c r="H36" s="10"/>
      <c r="I36" s="10">
        <f t="shared" si="8"/>
        <v>14167</v>
      </c>
      <c r="J36" s="10">
        <f t="shared" si="6"/>
        <v>357758632110.81061</v>
      </c>
      <c r="K36" s="11">
        <f t="shared" si="7"/>
        <v>1.4799999999999924E-2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24884663.297922909</v>
      </c>
      <c r="D37" s="11">
        <v>1.4599999999999998E-2</v>
      </c>
      <c r="E37" s="10">
        <f t="shared" si="2"/>
        <v>358087.99935903028</v>
      </c>
      <c r="F37" s="3"/>
      <c r="G37" s="28"/>
      <c r="H37" s="10"/>
      <c r="I37" s="10">
        <f t="shared" si="8"/>
        <v>14167</v>
      </c>
      <c r="J37" s="10">
        <f t="shared" si="6"/>
        <v>352541024941.67383</v>
      </c>
      <c r="K37" s="11">
        <f t="shared" si="7"/>
        <v>1.4599999999999946E-2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24526575.298563879</v>
      </c>
      <c r="D38" s="11">
        <v>1.6E-2</v>
      </c>
      <c r="E38" s="10">
        <f t="shared" si="2"/>
        <v>386245.28029234335</v>
      </c>
      <c r="F38" s="3"/>
      <c r="G38" s="28"/>
      <c r="H38" s="10"/>
      <c r="I38" s="10">
        <f t="shared" si="8"/>
        <v>14167</v>
      </c>
      <c r="J38" s="10">
        <f t="shared" si="6"/>
        <v>347467992254.75446</v>
      </c>
      <c r="K38" s="11">
        <f t="shared" si="7"/>
        <v>1.5999999999999792E-2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24140330.018271536</v>
      </c>
      <c r="D39" s="11">
        <v>1.5599999999999999E-2</v>
      </c>
      <c r="E39" s="10">
        <f t="shared" si="2"/>
        <v>370804.59657841548</v>
      </c>
      <c r="F39" s="3"/>
      <c r="G39" s="28"/>
      <c r="H39" s="10"/>
      <c r="I39" s="10">
        <f t="shared" si="8"/>
        <v>14167</v>
      </c>
      <c r="J39" s="10">
        <f t="shared" si="6"/>
        <v>341996055368.85284</v>
      </c>
      <c r="K39" s="11">
        <f t="shared" si="7"/>
        <v>1.560000000000028E-2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23769525.42169312</v>
      </c>
      <c r="D40" s="11">
        <v>1.5099999999999999E-2</v>
      </c>
      <c r="E40" s="10">
        <f t="shared" si="2"/>
        <v>353580.76432623714</v>
      </c>
      <c r="F40" s="3"/>
      <c r="G40" s="28"/>
      <c r="H40" s="10"/>
      <c r="I40" s="10">
        <f t="shared" si="8"/>
        <v>14167</v>
      </c>
      <c r="J40" s="10">
        <f t="shared" si="6"/>
        <v>336742866649.1264</v>
      </c>
      <c r="K40" s="11">
        <f t="shared" si="7"/>
        <v>1.5099999999999891E-2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23415944.657366883</v>
      </c>
      <c r="D41" s="11">
        <v>1.4499999999999999E-2</v>
      </c>
      <c r="E41" s="10">
        <f t="shared" si="2"/>
        <v>334678.36129307002</v>
      </c>
      <c r="F41" s="3"/>
      <c r="G41" s="28"/>
      <c r="H41" s="10"/>
      <c r="I41" s="10">
        <f t="shared" si="8"/>
        <v>14167</v>
      </c>
      <c r="J41" s="10">
        <f t="shared" si="6"/>
        <v>331733687960.91663</v>
      </c>
      <c r="K41" s="11">
        <f t="shared" si="7"/>
        <v>1.4499999999999957E-2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23081266.296073813</v>
      </c>
      <c r="D42" s="11">
        <v>1.9900000000000001E-2</v>
      </c>
      <c r="E42" s="10">
        <f t="shared" si="2"/>
        <v>450355.13216184825</v>
      </c>
      <c r="F42" s="3"/>
      <c r="G42" s="28"/>
      <c r="H42" s="10"/>
      <c r="I42" s="10">
        <f t="shared" si="8"/>
        <v>14167</v>
      </c>
      <c r="J42" s="10">
        <f t="shared" si="6"/>
        <v>326992299616.47772</v>
      </c>
      <c r="K42" s="11">
        <f t="shared" si="7"/>
        <v>1.9900000000000029E-2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22630911.163911965</v>
      </c>
      <c r="D43" s="11">
        <v>1.4100000000000001E-2</v>
      </c>
      <c r="E43" s="10">
        <f t="shared" si="2"/>
        <v>314659.15334893763</v>
      </c>
      <c r="F43" s="3"/>
      <c r="G43" s="28"/>
      <c r="H43" s="10"/>
      <c r="I43" s="10">
        <f t="shared" si="8"/>
        <v>14167</v>
      </c>
      <c r="J43" s="10">
        <f t="shared" si="6"/>
        <v>320612118459.14081</v>
      </c>
      <c r="K43" s="11">
        <f t="shared" si="7"/>
        <v>1.4100000000000001E-2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22316252.010563027</v>
      </c>
      <c r="D44" s="11">
        <v>1.4499999999999999E-2</v>
      </c>
      <c r="E44" s="10">
        <f t="shared" si="2"/>
        <v>318960.7236600928</v>
      </c>
      <c r="F44" s="3"/>
      <c r="G44" s="28"/>
      <c r="H44" s="10"/>
      <c r="I44" s="10">
        <f t="shared" si="8"/>
        <v>14167</v>
      </c>
      <c r="J44" s="10">
        <f t="shared" si="6"/>
        <v>316154342233.64642</v>
      </c>
      <c r="K44" s="11">
        <f t="shared" si="7"/>
        <v>1.4499999999999957E-2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21997291.286902934</v>
      </c>
      <c r="D45" s="11">
        <v>1.5699999999999999E-2</v>
      </c>
      <c r="E45" s="10">
        <f t="shared" si="2"/>
        <v>340019.17220082507</v>
      </c>
      <c r="F45" s="3"/>
      <c r="G45" s="28"/>
      <c r="H45" s="10"/>
      <c r="I45" s="10">
        <f t="shared" si="8"/>
        <v>14167</v>
      </c>
      <c r="J45" s="10">
        <f t="shared" si="6"/>
        <v>311635625661.55389</v>
      </c>
      <c r="K45" s="11">
        <f t="shared" si="7"/>
        <v>1.5700000000000047E-2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21657272.114702109</v>
      </c>
      <c r="D46" s="11">
        <v>1.7600000000000001E-2</v>
      </c>
      <c r="E46" s="10">
        <f t="shared" si="2"/>
        <v>374575.46110333875</v>
      </c>
      <c r="F46" s="3"/>
      <c r="G46" s="28"/>
      <c r="H46" s="10"/>
      <c r="I46" s="10">
        <f t="shared" si="8"/>
        <v>14167</v>
      </c>
      <c r="J46" s="10">
        <f t="shared" si="6"/>
        <v>306818574048.9848</v>
      </c>
      <c r="K46" s="11">
        <f t="shared" si="7"/>
        <v>1.7600000000000282E-2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21282696.65359877</v>
      </c>
      <c r="D47" s="11">
        <v>1.67E-2</v>
      </c>
      <c r="E47" s="10">
        <f t="shared" si="2"/>
        <v>349582.99804770201</v>
      </c>
      <c r="F47" s="3"/>
      <c r="G47" s="28"/>
      <c r="H47" s="10"/>
      <c r="I47" s="10">
        <f t="shared" si="8"/>
        <v>14167</v>
      </c>
      <c r="J47" s="10">
        <f t="shared" si="6"/>
        <v>301511963491.53375</v>
      </c>
      <c r="K47" s="11">
        <f t="shared" si="7"/>
        <v>1.6699999999999715E-2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20933113.655551068</v>
      </c>
      <c r="D48" s="11">
        <v>1.4800000000000001E-2</v>
      </c>
      <c r="E48" s="10">
        <f t="shared" si="2"/>
        <v>305291.76399502903</v>
      </c>
      <c r="F48" s="3"/>
      <c r="G48" s="28"/>
      <c r="H48" s="10"/>
      <c r="I48" s="10">
        <f t="shared" si="8"/>
        <v>14167</v>
      </c>
      <c r="J48" s="10">
        <f t="shared" si="6"/>
        <v>296559421158.19202</v>
      </c>
      <c r="K48" s="11">
        <f t="shared" si="7"/>
        <v>1.4799999999999924E-2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20627821.891556039</v>
      </c>
      <c r="D49" s="11">
        <v>1.4999999999999999E-2</v>
      </c>
      <c r="E49" s="10">
        <f t="shared" si="2"/>
        <v>304844.65849589929</v>
      </c>
      <c r="F49" s="3"/>
      <c r="G49" s="28"/>
      <c r="H49" s="10"/>
      <c r="I49" s="10">
        <f t="shared" si="8"/>
        <v>14167</v>
      </c>
      <c r="J49" s="10">
        <f t="shared" si="6"/>
        <v>292234352737.67444</v>
      </c>
      <c r="K49" s="11">
        <f t="shared" si="7"/>
        <v>1.4999999999999902E-2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20322977.23306014</v>
      </c>
      <c r="D50" s="11">
        <v>2.0900000000000002E-2</v>
      </c>
      <c r="E50" s="10">
        <f t="shared" si="2"/>
        <v>416054.68133113533</v>
      </c>
      <c r="F50" s="3"/>
      <c r="G50" s="28"/>
      <c r="H50" s="10"/>
      <c r="I50" s="10">
        <f t="shared" si="8"/>
        <v>14167</v>
      </c>
      <c r="J50" s="10">
        <f t="shared" si="6"/>
        <v>287915618460.763</v>
      </c>
      <c r="K50" s="11">
        <f t="shared" si="7"/>
        <v>2.0899999999999919E-2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19906922.551729005</v>
      </c>
      <c r="D51" s="11">
        <v>1.6500000000000001E-2</v>
      </c>
      <c r="E51" s="10">
        <f t="shared" si="2"/>
        <v>323132.53527154773</v>
      </c>
      <c r="F51" s="3"/>
      <c r="G51" s="28"/>
      <c r="H51" s="10"/>
      <c r="I51" s="10">
        <f t="shared" si="8"/>
        <v>14167</v>
      </c>
      <c r="J51" s="10">
        <f t="shared" si="6"/>
        <v>282021371790.34479</v>
      </c>
      <c r="K51" s="11">
        <f t="shared" si="7"/>
        <v>1.6499999999999959E-2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19583790.016457457</v>
      </c>
      <c r="D52" s="11">
        <v>1.7500000000000002E-2</v>
      </c>
      <c r="E52" s="10">
        <f t="shared" si="2"/>
        <v>336821.94131499529</v>
      </c>
      <c r="F52" s="3"/>
      <c r="G52" s="28"/>
      <c r="H52" s="10"/>
      <c r="I52" s="10">
        <f t="shared" si="8"/>
        <v>14167</v>
      </c>
      <c r="J52" s="10">
        <f t="shared" si="6"/>
        <v>277443553163.15277</v>
      </c>
      <c r="K52" s="11">
        <f t="shared" si="7"/>
        <v>1.7500000000000071E-2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19246968.075142462</v>
      </c>
      <c r="D53" s="11">
        <v>1.89E-2</v>
      </c>
      <c r="E53" s="10">
        <f t="shared" si="2"/>
        <v>357020.01827479899</v>
      </c>
      <c r="F53" s="3"/>
      <c r="G53" s="28"/>
      <c r="H53" s="10"/>
      <c r="I53" s="10">
        <f t="shared" si="8"/>
        <v>14167</v>
      </c>
      <c r="J53" s="10">
        <f t="shared" si="6"/>
        <v>272671796720.54324</v>
      </c>
      <c r="K53" s="11">
        <f t="shared" si="7"/>
        <v>1.8899999999999917E-2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18889948.056867663</v>
      </c>
      <c r="D54" s="11">
        <v>1.9400000000000001E-2</v>
      </c>
      <c r="E54" s="10">
        <f t="shared" si="2"/>
        <v>359490.86943617091</v>
      </c>
      <c r="F54" s="3"/>
      <c r="G54" s="28"/>
      <c r="H54" s="10"/>
      <c r="I54" s="10">
        <f t="shared" si="8"/>
        <v>14167</v>
      </c>
      <c r="J54" s="10">
        <f t="shared" si="6"/>
        <v>267613894121.64417</v>
      </c>
      <c r="K54" s="11">
        <f t="shared" si="7"/>
        <v>1.9399999999999862E-2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18530457.187431492</v>
      </c>
      <c r="D55" s="11">
        <v>2.0400000000000001E-2</v>
      </c>
      <c r="E55" s="10">
        <f t="shared" si="2"/>
        <v>370463.86380204186</v>
      </c>
      <c r="F55" s="3"/>
      <c r="G55" s="28"/>
      <c r="H55" s="10"/>
      <c r="I55" s="10">
        <f t="shared" si="8"/>
        <v>14167</v>
      </c>
      <c r="J55" s="10">
        <f t="shared" si="6"/>
        <v>262520986974.34195</v>
      </c>
      <c r="K55" s="11">
        <f t="shared" si="7"/>
        <v>2.0399999999999974E-2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18159993.32362945</v>
      </c>
      <c r="D56" s="11">
        <v>2.1600000000000001E-2</v>
      </c>
      <c r="E56" s="10">
        <f t="shared" si="2"/>
        <v>383962.2707423605</v>
      </c>
      <c r="F56" s="3"/>
      <c r="G56" s="28"/>
      <c r="H56" s="10"/>
      <c r="I56" s="10">
        <f t="shared" si="8"/>
        <v>14167</v>
      </c>
      <c r="J56" s="10">
        <f t="shared" si="6"/>
        <v>257272625415.85843</v>
      </c>
      <c r="K56" s="11">
        <f t="shared" si="7"/>
        <v>2.1600000000000064E-2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17776031.05288709</v>
      </c>
      <c r="D57" s="11">
        <v>2.2000000000000002E-2</v>
      </c>
      <c r="E57" s="10">
        <f t="shared" si="2"/>
        <v>382654.2888097018</v>
      </c>
      <c r="F57" s="3"/>
      <c r="G57" s="28"/>
      <c r="H57" s="10"/>
      <c r="I57" s="10">
        <f t="shared" si="8"/>
        <v>14167</v>
      </c>
      <c r="J57" s="10">
        <f t="shared" si="6"/>
        <v>251833031926.2514</v>
      </c>
      <c r="K57" s="11">
        <f t="shared" si="7"/>
        <v>2.200000000000002E-2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17393376.764077388</v>
      </c>
      <c r="D58" s="11">
        <v>2.2000000000000002E-2</v>
      </c>
      <c r="E58" s="10">
        <f t="shared" si="2"/>
        <v>374417.11233825982</v>
      </c>
      <c r="F58" s="3"/>
      <c r="G58" s="28"/>
      <c r="H58" s="10"/>
      <c r="I58" s="10">
        <f t="shared" si="8"/>
        <v>14167</v>
      </c>
      <c r="J58" s="10">
        <f t="shared" si="6"/>
        <v>246411968616.68436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17018959.651739128</v>
      </c>
      <c r="D59" s="11">
        <v>2.2000000000000002E-2</v>
      </c>
      <c r="E59" s="10">
        <f t="shared" si="2"/>
        <v>366357.2527771648</v>
      </c>
      <c r="F59" s="3"/>
      <c r="G59" s="28"/>
      <c r="H59" s="10"/>
      <c r="I59" s="10">
        <f t="shared" si="8"/>
        <v>14167</v>
      </c>
      <c r="J59" s="10">
        <f t="shared" si="6"/>
        <v>241107601386.18823</v>
      </c>
      <c r="K59" s="11">
        <f t="shared" si="7"/>
        <v>2.200000000000002E-2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16652602.398961963</v>
      </c>
      <c r="D60" s="11">
        <v>2.3E-2</v>
      </c>
      <c r="E60" s="10">
        <f t="shared" si="2"/>
        <v>374398.68541165628</v>
      </c>
      <c r="F60" s="3"/>
      <c r="G60" s="28"/>
      <c r="H60" s="10"/>
      <c r="I60" s="10">
        <f t="shared" si="8"/>
        <v>14167</v>
      </c>
      <c r="J60" s="10">
        <f t="shared" si="6"/>
        <v>235917418186.09415</v>
      </c>
      <c r="K60" s="11">
        <f t="shared" si="7"/>
        <v>2.3000000000000131E-2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16278203.713550307</v>
      </c>
      <c r="D61" s="11">
        <v>2.3E-2</v>
      </c>
      <c r="E61" s="10">
        <f t="shared" si="2"/>
        <v>365981.11965948716</v>
      </c>
      <c r="F61" s="3"/>
      <c r="G61" s="28"/>
      <c r="H61" s="10"/>
      <c r="I61" s="10">
        <f t="shared" si="8"/>
        <v>14167</v>
      </c>
      <c r="J61" s="10">
        <f t="shared" si="6"/>
        <v>230613312009.86719</v>
      </c>
      <c r="K61" s="11">
        <f t="shared" si="7"/>
        <v>2.2999999999999909E-2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15912222.59389082</v>
      </c>
      <c r="D62" s="11">
        <v>2.3E-2</v>
      </c>
      <c r="E62" s="10">
        <f t="shared" si="2"/>
        <v>357752.8051412385</v>
      </c>
      <c r="F62" s="3"/>
      <c r="G62" s="28"/>
      <c r="H62" s="10"/>
      <c r="I62" s="10">
        <f t="shared" si="8"/>
        <v>14167</v>
      </c>
      <c r="J62" s="10">
        <f t="shared" si="6"/>
        <v>225428457487.65125</v>
      </c>
      <c r="K62" s="11">
        <f t="shared" si="7"/>
        <v>2.2999999999999909E-2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15554469.788749581</v>
      </c>
      <c r="D63" s="11">
        <v>2.3E-2</v>
      </c>
      <c r="E63" s="10">
        <f t="shared" si="2"/>
        <v>349709.48694158345</v>
      </c>
      <c r="F63" s="3"/>
      <c r="G63" s="28"/>
      <c r="H63" s="10"/>
      <c r="I63" s="10">
        <f t="shared" si="8"/>
        <v>14167</v>
      </c>
      <c r="J63" s="10">
        <f t="shared" si="6"/>
        <v>220360173497.21533</v>
      </c>
      <c r="K63" s="11">
        <f t="shared" si="7"/>
        <v>2.3000000000000131E-2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15204760.301807998</v>
      </c>
      <c r="D64" s="11">
        <v>2.3E-2</v>
      </c>
      <c r="E64" s="10">
        <f t="shared" si="2"/>
        <v>341847.00580799952</v>
      </c>
      <c r="F64" s="3"/>
      <c r="G64" s="28"/>
      <c r="H64" s="10"/>
      <c r="I64" s="10">
        <f t="shared" si="8"/>
        <v>14167</v>
      </c>
      <c r="J64" s="10">
        <f t="shared" si="6"/>
        <v>215405839195.7139</v>
      </c>
      <c r="K64" s="11">
        <f t="shared" si="7"/>
        <v>2.2999999999999909E-2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14862913.295999998</v>
      </c>
      <c r="D65" s="11">
        <v>2.3E-2</v>
      </c>
      <c r="E65" s="10">
        <f t="shared" si="2"/>
        <v>334161.29599999823</v>
      </c>
      <c r="F65" s="3"/>
      <c r="G65" s="28"/>
      <c r="H65" s="10"/>
      <c r="I65" s="10">
        <f t="shared" si="8"/>
        <v>14167</v>
      </c>
      <c r="J65" s="10">
        <f t="shared" si="6"/>
        <v>210562892664.43198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14528752</v>
      </c>
      <c r="D66" s="11">
        <v>2.2000000000000002E-2</v>
      </c>
      <c r="E66" s="10">
        <f t="shared" si="2"/>
        <v>312752</v>
      </c>
      <c r="F66" s="24">
        <f>SUM(F2)</f>
        <v>39227750</v>
      </c>
      <c r="G66" s="28"/>
      <c r="H66" s="10"/>
      <c r="I66" s="10">
        <f t="shared" si="8"/>
        <v>14167</v>
      </c>
      <c r="J66" s="10">
        <f t="shared" ref="J66:J67" si="9">IF(I66="","",I66*C66)</f>
        <v>205828829584</v>
      </c>
      <c r="K66" s="11">
        <f t="shared" ref="K66" si="10">IFERROR(J66/J67-1,"")</f>
        <v>2.200000000000002E-2</v>
      </c>
    </row>
    <row r="67" spans="1:11" ht="22.5" customHeight="1">
      <c r="A67" s="3">
        <f t="shared" si="0"/>
        <v>1950</v>
      </c>
      <c r="B67" s="3">
        <v>1700</v>
      </c>
      <c r="C67" s="10">
        <v>14216000</v>
      </c>
      <c r="D67" s="11">
        <v>2.2000000000000002E-2</v>
      </c>
      <c r="E67" s="3" t="s">
        <v>72</v>
      </c>
      <c r="F67" s="10">
        <f>SUM(C2)</f>
        <v>39228163.544304334</v>
      </c>
      <c r="G67" s="28"/>
      <c r="H67" s="10"/>
      <c r="I67" s="10">
        <f t="shared" ref="I67" si="11">IF(H67&lt;&gt;"",H67,I66/(1+IF(G66="",0,G66)/100))</f>
        <v>14167</v>
      </c>
      <c r="J67" s="10">
        <f t="shared" si="9"/>
        <v>201398072000</v>
      </c>
      <c r="K67" s="11"/>
    </row>
  </sheetData>
  <dataValidations count="1">
    <dataValidation type="custom" allowBlank="1" showDropDown="1" sqref="D2:D67" xr:uid="{00000000-0002-0000-6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6835350.6596222483</v>
      </c>
      <c r="D2" s="11">
        <v>3.2000000000000002E-3</v>
      </c>
      <c r="E2" s="10">
        <f t="shared" ref="E2:E66" si="2">SUM(C2-C3)</f>
        <v>21803.351386355236</v>
      </c>
      <c r="F2" s="15">
        <v>6835852</v>
      </c>
      <c r="G2" s="28"/>
      <c r="H2" s="10"/>
      <c r="I2" s="10">
        <f>IF(H2&lt;&gt;"",H2,7222)</f>
        <v>7222</v>
      </c>
      <c r="J2" s="10">
        <f t="shared" ref="J2:J33" si="3">IF(I2="","",I2*C2)</f>
        <v>49364902463.791878</v>
      </c>
      <c r="K2" s="11">
        <f t="shared" ref="K2:K33" si="4">IFERROR(J2/J3-1,"")</f>
        <v>3.2000000000000917E-3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6813547.308235893</v>
      </c>
      <c r="D3" s="11">
        <v>3.5999999999999999E-3</v>
      </c>
      <c r="E3" s="10">
        <f t="shared" si="2"/>
        <v>24440.783489088528</v>
      </c>
      <c r="F3" s="3"/>
      <c r="G3" s="28"/>
      <c r="H3" s="10"/>
      <c r="I3" s="10">
        <f t="shared" ref="I3:I34" si="5">IF(H3&lt;&gt;"",H3,I2/(1+IF(G2="",0,G2)/100))</f>
        <v>7222</v>
      </c>
      <c r="J3" s="10">
        <f t="shared" si="3"/>
        <v>49207438660.07962</v>
      </c>
      <c r="K3" s="11">
        <f t="shared" si="4"/>
        <v>3.6000000000000476E-3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6789106.5247468045</v>
      </c>
      <c r="D4" s="11">
        <v>4.0000000000000001E-3</v>
      </c>
      <c r="E4" s="10">
        <f t="shared" si="2"/>
        <v>27048.233166322112</v>
      </c>
      <c r="F4" s="3"/>
      <c r="G4" s="28"/>
      <c r="H4" s="10"/>
      <c r="I4" s="10">
        <f t="shared" si="5"/>
        <v>7222</v>
      </c>
      <c r="J4" s="10">
        <f t="shared" si="3"/>
        <v>49030927321.72142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6762058.2915804824</v>
      </c>
      <c r="D5" s="11">
        <v>5.4000000000000003E-3</v>
      </c>
      <c r="E5" s="10">
        <f t="shared" si="2"/>
        <v>36318.992216565646</v>
      </c>
      <c r="F5" s="3"/>
      <c r="G5" s="28"/>
      <c r="H5" s="10"/>
      <c r="I5" s="10">
        <f t="shared" si="5"/>
        <v>7222</v>
      </c>
      <c r="J5" s="10">
        <f t="shared" si="3"/>
        <v>48835584981.794243</v>
      </c>
      <c r="K5" s="11">
        <f t="shared" si="4"/>
        <v>5.4000000000000714E-3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6725739.2993639167</v>
      </c>
      <c r="D6" s="11">
        <v>7.7999999999999996E-3</v>
      </c>
      <c r="E6" s="10">
        <f t="shared" si="2"/>
        <v>52054.739566420205</v>
      </c>
      <c r="F6" s="3"/>
      <c r="G6" s="28"/>
      <c r="H6" s="10"/>
      <c r="I6" s="10">
        <f t="shared" si="5"/>
        <v>7222</v>
      </c>
      <c r="J6" s="10">
        <f t="shared" si="3"/>
        <v>48573289220.00621</v>
      </c>
      <c r="K6" s="11">
        <f t="shared" si="4"/>
        <v>7.8000000000000291E-3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6673684.5597974965</v>
      </c>
      <c r="D7" s="11">
        <v>5.7999999999999996E-3</v>
      </c>
      <c r="E7" s="10">
        <f t="shared" si="2"/>
        <v>38484.162305453792</v>
      </c>
      <c r="F7" s="3"/>
      <c r="G7" s="28"/>
      <c r="H7" s="10"/>
      <c r="I7" s="10">
        <f t="shared" si="5"/>
        <v>7222</v>
      </c>
      <c r="J7" s="10">
        <f t="shared" si="3"/>
        <v>48197349890.857521</v>
      </c>
      <c r="K7" s="11">
        <f t="shared" si="4"/>
        <v>5.8000000000000274E-3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6635200.3974920427</v>
      </c>
      <c r="D8" s="11">
        <v>1.1999999999999999E-3</v>
      </c>
      <c r="E8" s="10">
        <f t="shared" si="2"/>
        <v>7952.6972403023392</v>
      </c>
      <c r="F8" s="3"/>
      <c r="G8" s="28"/>
      <c r="H8" s="10"/>
      <c r="I8" s="10">
        <f t="shared" si="5"/>
        <v>7222</v>
      </c>
      <c r="J8" s="10">
        <f t="shared" si="3"/>
        <v>47919417270.687531</v>
      </c>
      <c r="K8" s="11">
        <f t="shared" si="4"/>
        <v>1.1999999999998678E-3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6627247.7002517404</v>
      </c>
      <c r="D9" s="11">
        <v>4.1000000000000003E-3</v>
      </c>
      <c r="E9" s="10">
        <f t="shared" si="2"/>
        <v>27060.766428674571</v>
      </c>
      <c r="F9" s="3"/>
      <c r="G9" s="28"/>
      <c r="H9" s="10"/>
      <c r="I9" s="10">
        <f t="shared" si="5"/>
        <v>7222</v>
      </c>
      <c r="J9" s="10">
        <f t="shared" si="3"/>
        <v>47861982891.218071</v>
      </c>
      <c r="K9" s="11">
        <f t="shared" si="4"/>
        <v>4.0999999999999925E-3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6600186.9338230658</v>
      </c>
      <c r="D10" s="11">
        <v>4.0000000000000001E-3</v>
      </c>
      <c r="E10" s="10">
        <f t="shared" si="2"/>
        <v>26295.565473399125</v>
      </c>
      <c r="F10" s="3"/>
      <c r="G10" s="28"/>
      <c r="H10" s="10"/>
      <c r="I10" s="10">
        <f t="shared" si="5"/>
        <v>7222</v>
      </c>
      <c r="J10" s="10">
        <f t="shared" si="3"/>
        <v>47666550036.070183</v>
      </c>
      <c r="K10" s="11">
        <f t="shared" si="4"/>
        <v>4.0000000000002256E-3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6573891.3683496667</v>
      </c>
      <c r="D11" s="11">
        <v>2.7000000000000001E-3</v>
      </c>
      <c r="E11" s="10">
        <f t="shared" si="2"/>
        <v>17701.712071949616</v>
      </c>
      <c r="F11" s="3"/>
      <c r="G11" s="28"/>
      <c r="H11" s="10"/>
      <c r="I11" s="10">
        <f t="shared" si="5"/>
        <v>7222</v>
      </c>
      <c r="J11" s="10">
        <f t="shared" si="3"/>
        <v>47476643462.221291</v>
      </c>
      <c r="K11" s="11">
        <f t="shared" si="4"/>
        <v>2.6999999999999247E-3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6556189.6562777171</v>
      </c>
      <c r="D12" s="11">
        <v>2.2000000000000001E-3</v>
      </c>
      <c r="E12" s="10">
        <f t="shared" si="2"/>
        <v>14391.954942936078</v>
      </c>
      <c r="F12" s="3"/>
      <c r="G12" s="28"/>
      <c r="H12" s="10"/>
      <c r="I12" s="10">
        <f t="shared" si="5"/>
        <v>7222</v>
      </c>
      <c r="J12" s="10">
        <f t="shared" si="3"/>
        <v>47348801697.637672</v>
      </c>
      <c r="K12" s="11">
        <f t="shared" si="4"/>
        <v>2.1999999999999797E-3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6541797.701334781</v>
      </c>
      <c r="D13" s="11">
        <v>5.0000000000000001E-3</v>
      </c>
      <c r="E13" s="10">
        <f t="shared" si="2"/>
        <v>32546.257220569998</v>
      </c>
      <c r="F13" s="3"/>
      <c r="G13" s="28"/>
      <c r="H13" s="10"/>
      <c r="I13" s="10">
        <f t="shared" si="5"/>
        <v>7222</v>
      </c>
      <c r="J13" s="10">
        <f t="shared" si="3"/>
        <v>47244862999.039787</v>
      </c>
      <c r="K13" s="11">
        <f t="shared" si="4"/>
        <v>4.9999999999998934E-3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6509251.444114211</v>
      </c>
      <c r="D14" s="11">
        <v>5.0000000000000001E-3</v>
      </c>
      <c r="E14" s="10">
        <f t="shared" si="2"/>
        <v>32384.335542855784</v>
      </c>
      <c r="F14" s="3"/>
      <c r="G14" s="28"/>
      <c r="H14" s="10"/>
      <c r="I14" s="10">
        <f t="shared" si="5"/>
        <v>7222</v>
      </c>
      <c r="J14" s="10">
        <f t="shared" si="3"/>
        <v>47009813929.39283</v>
      </c>
      <c r="K14" s="11">
        <f t="shared" si="4"/>
        <v>4.9999999999998934E-3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6476867.1085713552</v>
      </c>
      <c r="D15" s="11">
        <v>4.7999999999999996E-3</v>
      </c>
      <c r="E15" s="10">
        <f t="shared" si="2"/>
        <v>30940.447970882058</v>
      </c>
      <c r="F15" s="3"/>
      <c r="G15" s="28"/>
      <c r="H15" s="10"/>
      <c r="I15" s="10">
        <f t="shared" si="5"/>
        <v>7222</v>
      </c>
      <c r="J15" s="10">
        <f t="shared" si="3"/>
        <v>46775934258.102325</v>
      </c>
      <c r="K15" s="11">
        <f t="shared" si="4"/>
        <v>4.7999999999999154E-3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6445926.6606004732</v>
      </c>
      <c r="D16" s="11">
        <v>4.4000000000000003E-3</v>
      </c>
      <c r="E16" s="10">
        <f t="shared" si="2"/>
        <v>28237.830850898288</v>
      </c>
      <c r="F16" s="3"/>
      <c r="G16" s="28"/>
      <c r="H16" s="10"/>
      <c r="I16" s="10">
        <f t="shared" si="5"/>
        <v>7222</v>
      </c>
      <c r="J16" s="10">
        <f t="shared" si="3"/>
        <v>46552482342.856621</v>
      </c>
      <c r="K16" s="11">
        <f t="shared" si="4"/>
        <v>4.3999999999999595E-3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6417688.8297495749</v>
      </c>
      <c r="D17" s="11">
        <v>3.8E-3</v>
      </c>
      <c r="E17" s="10">
        <f t="shared" si="2"/>
        <v>24294.896944658831</v>
      </c>
      <c r="F17" s="3"/>
      <c r="G17" s="28"/>
      <c r="H17" s="10"/>
      <c r="I17" s="10">
        <f t="shared" si="5"/>
        <v>7222</v>
      </c>
      <c r="J17" s="10">
        <f t="shared" si="3"/>
        <v>46348548728.451431</v>
      </c>
      <c r="K17" s="11">
        <f t="shared" si="4"/>
        <v>3.8000000000000256E-3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6393393.9328049161</v>
      </c>
      <c r="D18" s="11">
        <v>3.3999999999999998E-3</v>
      </c>
      <c r="E18" s="10">
        <f t="shared" si="2"/>
        <v>21663.882172151469</v>
      </c>
      <c r="F18" s="3"/>
      <c r="G18" s="28"/>
      <c r="H18" s="10"/>
      <c r="I18" s="10">
        <f t="shared" si="5"/>
        <v>7222</v>
      </c>
      <c r="J18" s="10">
        <f t="shared" si="3"/>
        <v>46173090982.717102</v>
      </c>
      <c r="K18" s="11">
        <f t="shared" si="4"/>
        <v>3.4000000000000696E-3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6371730.0506327646</v>
      </c>
      <c r="D19" s="11">
        <v>3.3999999999999998E-3</v>
      </c>
      <c r="E19" s="10">
        <f t="shared" si="2"/>
        <v>21590.474558652379</v>
      </c>
      <c r="F19" s="3"/>
      <c r="G19" s="28"/>
      <c r="H19" s="10"/>
      <c r="I19" s="10">
        <f t="shared" si="5"/>
        <v>7222</v>
      </c>
      <c r="J19" s="10">
        <f t="shared" si="3"/>
        <v>46016634425.669823</v>
      </c>
      <c r="K19" s="11">
        <f t="shared" si="4"/>
        <v>3.3999999999998476E-3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6350139.5760741122</v>
      </c>
      <c r="D20" s="11">
        <v>3.8E-3</v>
      </c>
      <c r="E20" s="10">
        <f t="shared" si="2"/>
        <v>24039.181499384344</v>
      </c>
      <c r="F20" s="3"/>
      <c r="G20" s="28"/>
      <c r="H20" s="10"/>
      <c r="I20" s="10">
        <f t="shared" si="5"/>
        <v>7222</v>
      </c>
      <c r="J20" s="10">
        <f t="shared" si="3"/>
        <v>45860708018.407242</v>
      </c>
      <c r="K20" s="11">
        <f t="shared" si="4"/>
        <v>3.8000000000002476E-3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6326100.3945747279</v>
      </c>
      <c r="D21" s="11">
        <v>4.4000000000000003E-3</v>
      </c>
      <c r="E21" s="10">
        <f t="shared" si="2"/>
        <v>27712.904954329133</v>
      </c>
      <c r="F21" s="3"/>
      <c r="G21" s="28"/>
      <c r="H21" s="10"/>
      <c r="I21" s="10">
        <f t="shared" si="5"/>
        <v>7222</v>
      </c>
      <c r="J21" s="10">
        <f t="shared" si="3"/>
        <v>45687097049.618683</v>
      </c>
      <c r="K21" s="11">
        <f t="shared" si="4"/>
        <v>4.3999999999997375E-3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6298387.4896203987</v>
      </c>
      <c r="D22" s="11">
        <v>5.3E-3</v>
      </c>
      <c r="E22" s="10">
        <f t="shared" si="2"/>
        <v>33205.464731909335</v>
      </c>
      <c r="F22" s="3"/>
      <c r="G22" s="28"/>
      <c r="H22" s="10"/>
      <c r="I22" s="10">
        <f t="shared" si="5"/>
        <v>7222</v>
      </c>
      <c r="J22" s="10">
        <f t="shared" si="3"/>
        <v>45486954450.038521</v>
      </c>
      <c r="K22" s="11">
        <f t="shared" si="4"/>
        <v>5.3000000000000824E-3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6265182.0248884894</v>
      </c>
      <c r="D23" s="11">
        <v>6.1000000000000004E-3</v>
      </c>
      <c r="E23" s="10">
        <f t="shared" si="2"/>
        <v>37985.896383877844</v>
      </c>
      <c r="F23" s="3"/>
      <c r="G23" s="28"/>
      <c r="H23" s="10"/>
      <c r="I23" s="10">
        <f t="shared" si="5"/>
        <v>7222</v>
      </c>
      <c r="J23" s="10">
        <f t="shared" si="3"/>
        <v>45247144583.744667</v>
      </c>
      <c r="K23" s="11">
        <f t="shared" si="4"/>
        <v>6.0999999999999943E-3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6227196.1285046116</v>
      </c>
      <c r="D24" s="11">
        <v>6.8999999999999999E-3</v>
      </c>
      <c r="E24" s="10">
        <f t="shared" si="2"/>
        <v>42673.208150443621</v>
      </c>
      <c r="F24" s="3"/>
      <c r="G24" s="28"/>
      <c r="H24" s="10"/>
      <c r="I24" s="10">
        <f t="shared" si="5"/>
        <v>7222</v>
      </c>
      <c r="J24" s="10">
        <f t="shared" si="3"/>
        <v>44972810440.060303</v>
      </c>
      <c r="K24" s="11">
        <f t="shared" si="4"/>
        <v>6.8999999999999062E-3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6184522.9203541679</v>
      </c>
      <c r="D25" s="11">
        <v>7.4999999999999997E-3</v>
      </c>
      <c r="E25" s="10">
        <f t="shared" si="2"/>
        <v>46038.632161445916</v>
      </c>
      <c r="F25" s="3"/>
      <c r="G25" s="28"/>
      <c r="H25" s="10"/>
      <c r="I25" s="10">
        <f t="shared" si="5"/>
        <v>7222</v>
      </c>
      <c r="J25" s="10">
        <f t="shared" si="3"/>
        <v>44664624530.797798</v>
      </c>
      <c r="K25" s="11">
        <f t="shared" si="4"/>
        <v>7.5000000000000622E-3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6138484.288192722</v>
      </c>
      <c r="D26" s="11">
        <v>7.9000000000000008E-3</v>
      </c>
      <c r="E26" s="10">
        <f t="shared" si="2"/>
        <v>48113.925862409174</v>
      </c>
      <c r="F26" s="3"/>
      <c r="G26" s="28"/>
      <c r="H26" s="10"/>
      <c r="I26" s="10">
        <f t="shared" si="5"/>
        <v>7222</v>
      </c>
      <c r="J26" s="10">
        <f t="shared" si="3"/>
        <v>44332133529.327835</v>
      </c>
      <c r="K26" s="11">
        <f t="shared" si="4"/>
        <v>7.8999999999997961E-3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6090370.3623303128</v>
      </c>
      <c r="D27" s="11">
        <v>8.5000000000000006E-3</v>
      </c>
      <c r="E27" s="10">
        <f t="shared" si="2"/>
        <v>51331.82754566893</v>
      </c>
      <c r="F27" s="3"/>
      <c r="G27" s="28"/>
      <c r="H27" s="10"/>
      <c r="I27" s="10">
        <f t="shared" si="5"/>
        <v>7222</v>
      </c>
      <c r="J27" s="10">
        <f t="shared" si="3"/>
        <v>43984654756.749519</v>
      </c>
      <c r="K27" s="11">
        <f t="shared" si="4"/>
        <v>8.499999999999952E-3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6039038.5347846439</v>
      </c>
      <c r="D28" s="11">
        <v>9.2999999999999992E-3</v>
      </c>
      <c r="E28" s="10">
        <f t="shared" si="2"/>
        <v>55645.554714651778</v>
      </c>
      <c r="F28" s="3"/>
      <c r="G28" s="28"/>
      <c r="H28" s="10"/>
      <c r="I28" s="10">
        <f t="shared" si="5"/>
        <v>7222</v>
      </c>
      <c r="J28" s="10">
        <f t="shared" si="3"/>
        <v>43613936298.214699</v>
      </c>
      <c r="K28" s="11">
        <f t="shared" si="4"/>
        <v>9.300000000000086E-3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5983392.9800699921</v>
      </c>
      <c r="D29" s="11">
        <v>1.04E-2</v>
      </c>
      <c r="E29" s="10">
        <f t="shared" si="2"/>
        <v>61586.784434608184</v>
      </c>
      <c r="F29" s="3"/>
      <c r="G29" s="28"/>
      <c r="H29" s="10"/>
      <c r="I29" s="10">
        <f t="shared" si="5"/>
        <v>7222</v>
      </c>
      <c r="J29" s="10">
        <f t="shared" si="3"/>
        <v>43212064102.065483</v>
      </c>
      <c r="K29" s="11">
        <f t="shared" si="4"/>
        <v>1.0399999999999965E-2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5921806.1956353839</v>
      </c>
      <c r="D30" s="11">
        <v>1.18E-2</v>
      </c>
      <c r="E30" s="10">
        <f t="shared" si="2"/>
        <v>69062.377059198916</v>
      </c>
      <c r="F30" s="3"/>
      <c r="G30" s="28"/>
      <c r="H30" s="10"/>
      <c r="I30" s="10">
        <f t="shared" si="5"/>
        <v>7222</v>
      </c>
      <c r="J30" s="10">
        <f t="shared" si="3"/>
        <v>42767284344.878746</v>
      </c>
      <c r="K30" s="11">
        <f t="shared" si="4"/>
        <v>1.1800000000000033E-2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5852743.818576185</v>
      </c>
      <c r="D31" s="11">
        <v>1.32E-2</v>
      </c>
      <c r="E31" s="10">
        <f t="shared" si="2"/>
        <v>76249.722073831595</v>
      </c>
      <c r="F31" s="3"/>
      <c r="G31" s="28"/>
      <c r="H31" s="10"/>
      <c r="I31" s="10">
        <f t="shared" si="5"/>
        <v>7222</v>
      </c>
      <c r="J31" s="10">
        <f t="shared" si="3"/>
        <v>42268515857.75721</v>
      </c>
      <c r="K31" s="11">
        <f t="shared" si="4"/>
        <v>1.3200000000000101E-2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5776494.0965023534</v>
      </c>
      <c r="D32" s="11">
        <v>1.2200000000000001E-2</v>
      </c>
      <c r="E32" s="10">
        <f t="shared" si="2"/>
        <v>69623.817404988222</v>
      </c>
      <c r="F32" s="3"/>
      <c r="G32" s="28"/>
      <c r="H32" s="10"/>
      <c r="I32" s="10">
        <f t="shared" si="5"/>
        <v>7222</v>
      </c>
      <c r="J32" s="10">
        <f t="shared" si="3"/>
        <v>41717840364.939995</v>
      </c>
      <c r="K32" s="11">
        <f t="shared" si="4"/>
        <v>1.2199999999999989E-2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5706870.2790973652</v>
      </c>
      <c r="D33" s="11">
        <v>1.0699999999999999E-2</v>
      </c>
      <c r="E33" s="10">
        <f t="shared" si="2"/>
        <v>60417.049556091428</v>
      </c>
      <c r="F33" s="3"/>
      <c r="G33" s="28"/>
      <c r="H33" s="10"/>
      <c r="I33" s="10">
        <f t="shared" si="5"/>
        <v>7222</v>
      </c>
      <c r="J33" s="10">
        <f t="shared" si="3"/>
        <v>41215017155.641174</v>
      </c>
      <c r="K33" s="11">
        <f t="shared" si="4"/>
        <v>1.0700000000000154E-2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5646453.2295412738</v>
      </c>
      <c r="D34" s="11">
        <v>1.09E-2</v>
      </c>
      <c r="E34" s="10">
        <f t="shared" si="2"/>
        <v>60882.71856959071</v>
      </c>
      <c r="F34" s="3"/>
      <c r="G34" s="28"/>
      <c r="H34" s="10"/>
      <c r="I34" s="10">
        <f t="shared" si="5"/>
        <v>7222</v>
      </c>
      <c r="J34" s="10">
        <f t="shared" ref="J34:J65" si="6">IF(I34="","",I34*C34)</f>
        <v>40778685223.747078</v>
      </c>
      <c r="K34" s="11">
        <f t="shared" ref="K34:K65" si="7">IFERROR(J34/J35-1,"")</f>
        <v>1.089999999999991E-2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5585570.5109716831</v>
      </c>
      <c r="D35" s="11">
        <v>1.12E-2</v>
      </c>
      <c r="E35" s="10">
        <f t="shared" si="2"/>
        <v>61865.496165825985</v>
      </c>
      <c r="F35" s="3"/>
      <c r="G35" s="28"/>
      <c r="H35" s="10"/>
      <c r="I35" s="10">
        <f t="shared" ref="I35:I66" si="8">IF(H35&lt;&gt;"",H35,I34/(1+IF(G34="",0,G34)/100))</f>
        <v>7222</v>
      </c>
      <c r="J35" s="10">
        <f t="shared" si="6"/>
        <v>40338990230.237495</v>
      </c>
      <c r="K35" s="11">
        <f t="shared" si="7"/>
        <v>1.1200000000000099E-2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5523705.0148058571</v>
      </c>
      <c r="D36" s="11">
        <v>1.1900000000000001E-2</v>
      </c>
      <c r="E36" s="10">
        <f t="shared" si="2"/>
        <v>64959.076663889922</v>
      </c>
      <c r="F36" s="3"/>
      <c r="G36" s="28"/>
      <c r="H36" s="10"/>
      <c r="I36" s="10">
        <f t="shared" si="8"/>
        <v>7222</v>
      </c>
      <c r="J36" s="10">
        <f t="shared" si="6"/>
        <v>39892197616.927902</v>
      </c>
      <c r="K36" s="11">
        <f t="shared" si="7"/>
        <v>1.1900000000000244E-2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5458745.9381419672</v>
      </c>
      <c r="D37" s="11">
        <v>1.2699999999999999E-2</v>
      </c>
      <c r="E37" s="10">
        <f t="shared" si="2"/>
        <v>68456.673658934422</v>
      </c>
      <c r="F37" s="3"/>
      <c r="G37" s="28"/>
      <c r="H37" s="10"/>
      <c r="I37" s="10">
        <f t="shared" si="8"/>
        <v>7222</v>
      </c>
      <c r="J37" s="10">
        <f t="shared" si="6"/>
        <v>39423063165.261284</v>
      </c>
      <c r="K37" s="11">
        <f t="shared" si="7"/>
        <v>1.2699999999999712E-2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5390289.2644830327</v>
      </c>
      <c r="D38" s="11">
        <v>1.2999999999999999E-2</v>
      </c>
      <c r="E38" s="10">
        <f t="shared" si="2"/>
        <v>69174.49204173591</v>
      </c>
      <c r="F38" s="3"/>
      <c r="G38" s="28"/>
      <c r="H38" s="10"/>
      <c r="I38" s="10">
        <f t="shared" si="8"/>
        <v>7222</v>
      </c>
      <c r="J38" s="10">
        <f t="shared" si="6"/>
        <v>38928669068.096466</v>
      </c>
      <c r="K38" s="11">
        <f t="shared" si="7"/>
        <v>1.2999999999999901E-2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5321114.7724412968</v>
      </c>
      <c r="D39" s="11">
        <v>1.2699999999999999E-2</v>
      </c>
      <c r="E39" s="10">
        <f t="shared" si="2"/>
        <v>66730.67799941171</v>
      </c>
      <c r="F39" s="3"/>
      <c r="G39" s="28"/>
      <c r="H39" s="10"/>
      <c r="I39" s="10">
        <f t="shared" si="8"/>
        <v>7222</v>
      </c>
      <c r="J39" s="10">
        <f t="shared" si="6"/>
        <v>38429090886.571045</v>
      </c>
      <c r="K39" s="11">
        <f t="shared" si="7"/>
        <v>1.2699999999999934E-2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5254384.0944418851</v>
      </c>
      <c r="D40" s="11">
        <v>1.23E-2</v>
      </c>
      <c r="E40" s="10">
        <f t="shared" si="2"/>
        <v>63843.647497416474</v>
      </c>
      <c r="F40" s="3"/>
      <c r="G40" s="28"/>
      <c r="H40" s="10"/>
      <c r="I40" s="10">
        <f t="shared" si="8"/>
        <v>7222</v>
      </c>
      <c r="J40" s="10">
        <f t="shared" si="6"/>
        <v>37947161930.059296</v>
      </c>
      <c r="K40" s="11">
        <f t="shared" si="7"/>
        <v>1.2299999999999978E-2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5190540.4469444687</v>
      </c>
      <c r="D41" s="11">
        <v>1.21E-2</v>
      </c>
      <c r="E41" s="10">
        <f t="shared" si="2"/>
        <v>62054.677806568332</v>
      </c>
      <c r="F41" s="3"/>
      <c r="G41" s="28"/>
      <c r="H41" s="10"/>
      <c r="I41" s="10">
        <f t="shared" si="8"/>
        <v>7222</v>
      </c>
      <c r="J41" s="10">
        <f t="shared" si="6"/>
        <v>37486083107.832954</v>
      </c>
      <c r="K41" s="11">
        <f t="shared" si="7"/>
        <v>1.21E-2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5128485.7691379003</v>
      </c>
      <c r="D42" s="11">
        <v>1.21E-2</v>
      </c>
      <c r="E42" s="10">
        <f t="shared" si="2"/>
        <v>61312.793011133559</v>
      </c>
      <c r="F42" s="3"/>
      <c r="G42" s="28"/>
      <c r="H42" s="10"/>
      <c r="I42" s="10">
        <f t="shared" si="8"/>
        <v>7222</v>
      </c>
      <c r="J42" s="10">
        <f t="shared" si="6"/>
        <v>37037924224.713913</v>
      </c>
      <c r="K42" s="11">
        <f t="shared" si="7"/>
        <v>1.2099999999999778E-2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5067172.9761267668</v>
      </c>
      <c r="D43" s="11">
        <v>1.2500000000000001E-2</v>
      </c>
      <c r="E43" s="10">
        <f t="shared" si="2"/>
        <v>62557.691063293256</v>
      </c>
      <c r="F43" s="3"/>
      <c r="G43" s="28"/>
      <c r="H43" s="10"/>
      <c r="I43" s="10">
        <f t="shared" si="8"/>
        <v>7222</v>
      </c>
      <c r="J43" s="10">
        <f t="shared" si="6"/>
        <v>36595123233.587509</v>
      </c>
      <c r="K43" s="11">
        <f t="shared" si="7"/>
        <v>1.2499999999999956E-2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5004615.2850634735</v>
      </c>
      <c r="D44" s="11">
        <v>1.2699999999999999E-2</v>
      </c>
      <c r="E44" s="10">
        <f t="shared" si="2"/>
        <v>62761.542530172504</v>
      </c>
      <c r="F44" s="3"/>
      <c r="G44" s="28"/>
      <c r="H44" s="10"/>
      <c r="I44" s="10">
        <f t="shared" si="8"/>
        <v>7222</v>
      </c>
      <c r="J44" s="10">
        <f t="shared" si="6"/>
        <v>36143331588.728409</v>
      </c>
      <c r="K44" s="11">
        <f t="shared" si="7"/>
        <v>1.2699999999999934E-2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4941853.742533301</v>
      </c>
      <c r="D45" s="11">
        <v>1.2200000000000001E-2</v>
      </c>
      <c r="E45" s="10">
        <f t="shared" si="2"/>
        <v>59563.935644049197</v>
      </c>
      <c r="F45" s="3"/>
      <c r="G45" s="28"/>
      <c r="H45" s="10"/>
      <c r="I45" s="10">
        <f t="shared" si="8"/>
        <v>7222</v>
      </c>
      <c r="J45" s="10">
        <f t="shared" si="6"/>
        <v>35690067728.5755</v>
      </c>
      <c r="K45" s="11">
        <f t="shared" si="7"/>
        <v>1.2199999999999989E-2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4882289.8068892518</v>
      </c>
      <c r="D46" s="11">
        <v>1.11E-2</v>
      </c>
      <c r="E46" s="10">
        <f t="shared" si="2"/>
        <v>53598.47379732132</v>
      </c>
      <c r="F46" s="3"/>
      <c r="G46" s="28"/>
      <c r="H46" s="10"/>
      <c r="I46" s="10">
        <f t="shared" si="8"/>
        <v>7222</v>
      </c>
      <c r="J46" s="10">
        <f t="shared" si="6"/>
        <v>35259896985.354179</v>
      </c>
      <c r="K46" s="11">
        <f t="shared" si="7"/>
        <v>1.1100000000000332E-2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4828691.3330919305</v>
      </c>
      <c r="D47" s="11">
        <v>1.09E-2</v>
      </c>
      <c r="E47" s="10">
        <f t="shared" si="2"/>
        <v>52065.224582749419</v>
      </c>
      <c r="F47" s="3"/>
      <c r="G47" s="28"/>
      <c r="H47" s="10"/>
      <c r="I47" s="10">
        <f t="shared" si="8"/>
        <v>7222</v>
      </c>
      <c r="J47" s="10">
        <f t="shared" si="6"/>
        <v>34872808807.58992</v>
      </c>
      <c r="K47" s="11">
        <f t="shared" si="7"/>
        <v>1.089999999999991E-2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4776626.1085091811</v>
      </c>
      <c r="D48" s="11">
        <v>1.2E-2</v>
      </c>
      <c r="E48" s="10">
        <f t="shared" si="2"/>
        <v>56639.835278765298</v>
      </c>
      <c r="F48" s="3"/>
      <c r="G48" s="28"/>
      <c r="H48" s="10"/>
      <c r="I48" s="10">
        <f t="shared" si="8"/>
        <v>7222</v>
      </c>
      <c r="J48" s="10">
        <f t="shared" si="6"/>
        <v>34496793755.653305</v>
      </c>
      <c r="K48" s="11">
        <f t="shared" si="7"/>
        <v>1.2000000000000011E-2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4719986.2732304158</v>
      </c>
      <c r="D49" s="11">
        <v>1.3100000000000001E-2</v>
      </c>
      <c r="E49" s="10">
        <f t="shared" si="2"/>
        <v>61032.297087472863</v>
      </c>
      <c r="F49" s="3"/>
      <c r="G49" s="28"/>
      <c r="H49" s="10"/>
      <c r="I49" s="10">
        <f t="shared" si="8"/>
        <v>7222</v>
      </c>
      <c r="J49" s="10">
        <f t="shared" si="6"/>
        <v>34087740865.270061</v>
      </c>
      <c r="K49" s="11">
        <f t="shared" si="7"/>
        <v>1.3100000000000112E-2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4658953.9761429429</v>
      </c>
      <c r="D50" s="11">
        <v>1.4200000000000001E-2</v>
      </c>
      <c r="E50" s="10">
        <f t="shared" si="2"/>
        <v>65230.868133731186</v>
      </c>
      <c r="F50" s="3"/>
      <c r="G50" s="28"/>
      <c r="H50" s="10"/>
      <c r="I50" s="10">
        <f t="shared" si="8"/>
        <v>7222</v>
      </c>
      <c r="J50" s="10">
        <f t="shared" si="6"/>
        <v>33646965615.704334</v>
      </c>
      <c r="K50" s="11">
        <f t="shared" si="7"/>
        <v>1.4200000000000212E-2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4593723.1080092117</v>
      </c>
      <c r="D51" s="11">
        <v>1.55E-2</v>
      </c>
      <c r="E51" s="10">
        <f t="shared" si="2"/>
        <v>70115.911545192823</v>
      </c>
      <c r="F51" s="3"/>
      <c r="G51" s="28"/>
      <c r="H51" s="10"/>
      <c r="I51" s="10">
        <f t="shared" si="8"/>
        <v>7222</v>
      </c>
      <c r="J51" s="10">
        <f t="shared" si="6"/>
        <v>33175868286.042526</v>
      </c>
      <c r="K51" s="11">
        <f t="shared" si="7"/>
        <v>1.5500000000000069E-2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4523607.1964640189</v>
      </c>
      <c r="D52" s="11">
        <v>1.6799999999999999E-2</v>
      </c>
      <c r="E52" s="10">
        <f t="shared" si="2"/>
        <v>74740.952892009169</v>
      </c>
      <c r="F52" s="3"/>
      <c r="G52" s="28"/>
      <c r="H52" s="10"/>
      <c r="I52" s="10">
        <f t="shared" si="8"/>
        <v>7222</v>
      </c>
      <c r="J52" s="10">
        <f t="shared" si="6"/>
        <v>32669491172.863144</v>
      </c>
      <c r="K52" s="11">
        <f t="shared" si="7"/>
        <v>1.6799999999999926E-2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4448866.2435720097</v>
      </c>
      <c r="D53" s="11">
        <v>1.7899999999999999E-2</v>
      </c>
      <c r="E53" s="10">
        <f t="shared" si="2"/>
        <v>78234.311582610011</v>
      </c>
      <c r="F53" s="3"/>
      <c r="G53" s="28"/>
      <c r="H53" s="10"/>
      <c r="I53" s="10">
        <f t="shared" si="8"/>
        <v>7222</v>
      </c>
      <c r="J53" s="10">
        <f t="shared" si="6"/>
        <v>32129712011.077053</v>
      </c>
      <c r="K53" s="11">
        <f t="shared" si="7"/>
        <v>1.7899999999999805E-2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4370631.9319893997</v>
      </c>
      <c r="D54" s="11">
        <v>1.8700000000000001E-2</v>
      </c>
      <c r="E54" s="10">
        <f t="shared" si="2"/>
        <v>80230.506653775461</v>
      </c>
      <c r="F54" s="3"/>
      <c r="G54" s="28"/>
      <c r="H54" s="10"/>
      <c r="I54" s="10">
        <f t="shared" si="8"/>
        <v>7222</v>
      </c>
      <c r="J54" s="10">
        <f t="shared" si="6"/>
        <v>31564703812.827446</v>
      </c>
      <c r="K54" s="11">
        <f t="shared" si="7"/>
        <v>1.8699999999999717E-2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4290401.4253356243</v>
      </c>
      <c r="D55" s="11">
        <v>1.9599999999999999E-2</v>
      </c>
      <c r="E55" s="10">
        <f t="shared" si="2"/>
        <v>82475.351055882871</v>
      </c>
      <c r="F55" s="3"/>
      <c r="G55" s="28"/>
      <c r="H55" s="10"/>
      <c r="I55" s="10">
        <f t="shared" si="8"/>
        <v>7222</v>
      </c>
      <c r="J55" s="10">
        <f t="shared" si="6"/>
        <v>30985279093.77388</v>
      </c>
      <c r="K55" s="11">
        <f t="shared" si="7"/>
        <v>1.9600000000000062E-2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4207926.0742797414</v>
      </c>
      <c r="D56" s="11">
        <v>2.1299999999999999E-2</v>
      </c>
      <c r="E56" s="10">
        <f t="shared" si="2"/>
        <v>87759.547030411195</v>
      </c>
      <c r="F56" s="3"/>
      <c r="G56" s="28"/>
      <c r="H56" s="10"/>
      <c r="I56" s="10">
        <f t="shared" si="8"/>
        <v>7222</v>
      </c>
      <c r="J56" s="10">
        <f t="shared" si="6"/>
        <v>30389642108.448292</v>
      </c>
      <c r="K56" s="11">
        <f t="shared" si="7"/>
        <v>2.1300000000000097E-2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4120166.5272493302</v>
      </c>
      <c r="D57" s="11">
        <v>2.1999999999999999E-2</v>
      </c>
      <c r="E57" s="10">
        <f t="shared" si="2"/>
        <v>88692.430136482697</v>
      </c>
      <c r="F57" s="3"/>
      <c r="G57" s="28"/>
      <c r="H57" s="10"/>
      <c r="I57" s="10">
        <f t="shared" si="8"/>
        <v>7222</v>
      </c>
      <c r="J57" s="10">
        <f t="shared" si="6"/>
        <v>29755842659.794662</v>
      </c>
      <c r="K57" s="11">
        <f t="shared" si="7"/>
        <v>2.200000000000002E-2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4031474.0971128475</v>
      </c>
      <c r="D58" s="11">
        <v>2.4E-2</v>
      </c>
      <c r="E58" s="10">
        <f t="shared" si="2"/>
        <v>94487.674151082523</v>
      </c>
      <c r="F58" s="3"/>
      <c r="G58" s="28"/>
      <c r="H58" s="10"/>
      <c r="I58" s="10">
        <f t="shared" si="8"/>
        <v>7222</v>
      </c>
      <c r="J58" s="10">
        <f t="shared" si="6"/>
        <v>29115305929.348984</v>
      </c>
      <c r="K58" s="11">
        <f t="shared" si="7"/>
        <v>2.4000000000000021E-2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3936986.422961765</v>
      </c>
      <c r="D59" s="11">
        <v>2.5999999999999999E-2</v>
      </c>
      <c r="E59" s="10">
        <f t="shared" si="2"/>
        <v>99767.687131584622</v>
      </c>
      <c r="F59" s="3"/>
      <c r="G59" s="28"/>
      <c r="H59" s="10"/>
      <c r="I59" s="10">
        <f t="shared" si="8"/>
        <v>7222</v>
      </c>
      <c r="J59" s="10">
        <f t="shared" si="6"/>
        <v>28432915946.629868</v>
      </c>
      <c r="K59" s="11">
        <f t="shared" si="7"/>
        <v>2.6000000000000023E-2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3837218.7358301803</v>
      </c>
      <c r="D60" s="11">
        <v>2.8000000000000001E-2</v>
      </c>
      <c r="E60" s="10">
        <f t="shared" si="2"/>
        <v>104515.68541171728</v>
      </c>
      <c r="F60" s="3"/>
      <c r="G60" s="28"/>
      <c r="H60" s="10"/>
      <c r="I60" s="10">
        <f t="shared" si="8"/>
        <v>7222</v>
      </c>
      <c r="J60" s="10">
        <f t="shared" si="6"/>
        <v>27712393710.165562</v>
      </c>
      <c r="K60" s="11">
        <f t="shared" si="7"/>
        <v>2.8000000000000025E-2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3732703.0504184631</v>
      </c>
      <c r="D61" s="11">
        <v>2.8000000000000001E-2</v>
      </c>
      <c r="E61" s="10">
        <f t="shared" si="2"/>
        <v>101668.95468065841</v>
      </c>
      <c r="F61" s="3"/>
      <c r="G61" s="28"/>
      <c r="H61" s="10"/>
      <c r="I61" s="10">
        <f t="shared" si="8"/>
        <v>7222</v>
      </c>
      <c r="J61" s="10">
        <f t="shared" si="6"/>
        <v>26957581430.122139</v>
      </c>
      <c r="K61" s="11">
        <f t="shared" si="7"/>
        <v>2.7999999999999803E-2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3631034.0957378047</v>
      </c>
      <c r="D62" s="11">
        <v>2.8000000000000001E-2</v>
      </c>
      <c r="E62" s="10">
        <f t="shared" si="2"/>
        <v>98899.761362508405</v>
      </c>
      <c r="F62" s="3"/>
      <c r="G62" s="28"/>
      <c r="H62" s="10"/>
      <c r="I62" s="10">
        <f t="shared" si="8"/>
        <v>7222</v>
      </c>
      <c r="J62" s="10">
        <f t="shared" si="6"/>
        <v>26223328239.418427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3532134.3343752963</v>
      </c>
      <c r="D63" s="11">
        <v>2.8000000000000001E-2</v>
      </c>
      <c r="E63" s="10">
        <f t="shared" si="2"/>
        <v>96205.993543296121</v>
      </c>
      <c r="F63" s="3"/>
      <c r="G63" s="28"/>
      <c r="H63" s="10"/>
      <c r="I63" s="10">
        <f t="shared" si="8"/>
        <v>7222</v>
      </c>
      <c r="J63" s="10">
        <f t="shared" si="6"/>
        <v>25509074162.858391</v>
      </c>
      <c r="K63" s="11">
        <f t="shared" si="7"/>
        <v>2.8000000000000025E-2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3435928.3408320001</v>
      </c>
      <c r="D64" s="11">
        <v>2.8000000000000001E-2</v>
      </c>
      <c r="E64" s="10">
        <f t="shared" si="2"/>
        <v>93585.596832000185</v>
      </c>
      <c r="F64" s="3"/>
      <c r="G64" s="28"/>
      <c r="H64" s="10"/>
      <c r="I64" s="10">
        <f t="shared" si="8"/>
        <v>7222</v>
      </c>
      <c r="J64" s="10">
        <f t="shared" si="6"/>
        <v>24814274477.488705</v>
      </c>
      <c r="K64" s="11">
        <f t="shared" si="7"/>
        <v>2.8000000000000025E-2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3342342.7439999999</v>
      </c>
      <c r="D65" s="11">
        <v>2.7E-2</v>
      </c>
      <c r="E65" s="10">
        <f t="shared" si="2"/>
        <v>87870.743999999948</v>
      </c>
      <c r="F65" s="3"/>
      <c r="G65" s="28"/>
      <c r="H65" s="10"/>
      <c r="I65" s="10">
        <f t="shared" si="8"/>
        <v>7222</v>
      </c>
      <c r="J65" s="10">
        <f t="shared" si="6"/>
        <v>24138399297.167999</v>
      </c>
      <c r="K65" s="11">
        <f t="shared" si="7"/>
        <v>2.6999999999999913E-2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3254472</v>
      </c>
      <c r="D66" s="11">
        <v>2.5999999999999999E-2</v>
      </c>
      <c r="E66" s="10">
        <f t="shared" si="2"/>
        <v>82472</v>
      </c>
      <c r="F66" s="24">
        <f>SUM(F2)</f>
        <v>6835852</v>
      </c>
      <c r="G66" s="28"/>
      <c r="H66" s="10"/>
      <c r="I66" s="10">
        <f t="shared" si="8"/>
        <v>7222</v>
      </c>
      <c r="J66" s="10">
        <f t="shared" ref="J66:J67" si="9">IF(I66="","",I66*C66)</f>
        <v>23503796784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3172000</v>
      </c>
      <c r="D67" s="11">
        <v>2.5000000000000001E-2</v>
      </c>
      <c r="E67" s="3" t="s">
        <v>72</v>
      </c>
      <c r="F67" s="10">
        <f>SUM(C2)</f>
        <v>6835350.6596222483</v>
      </c>
      <c r="G67" s="28"/>
      <c r="H67" s="10"/>
      <c r="I67" s="10">
        <f t="shared" ref="I67" si="11">IF(H67&lt;&gt;"",H67,I66/(1+IF(G66="",0,G66)/100))</f>
        <v>7222</v>
      </c>
      <c r="J67" s="10">
        <f t="shared" si="9"/>
        <v>22908184000</v>
      </c>
      <c r="K67" s="11"/>
    </row>
  </sheetData>
  <dataValidations count="1">
    <dataValidation type="custom" allowBlank="1" showDropDown="1" sqref="D2:D67" xr:uid="{00000000-0002-0000-7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3307276.8290600143</v>
      </c>
      <c r="D2" s="11">
        <v>1.2999999999999999E-3</v>
      </c>
      <c r="E2" s="10">
        <f t="shared" ref="E2:E66" si="2">SUM(C2-C3)</f>
        <v>4293.8778365906328</v>
      </c>
      <c r="F2" s="15">
        <v>3307617</v>
      </c>
      <c r="G2" s="28"/>
      <c r="H2" s="10"/>
      <c r="I2" s="10">
        <f>IF(H2&lt;&gt;"",H2,1702)</f>
        <v>1702</v>
      </c>
      <c r="J2" s="10">
        <f t="shared" ref="J2:J33" si="3">IF(I2="","",I2*C2)</f>
        <v>5628985163.0601444</v>
      </c>
      <c r="K2" s="11">
        <f t="shared" ref="K2:K33" si="4">IFERROR(J2/J3-1,"")</f>
        <v>1.3000000000000789E-3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3302982.9512234237</v>
      </c>
      <c r="D3" s="11">
        <v>-4.1999999999999997E-3</v>
      </c>
      <c r="E3" s="10">
        <f t="shared" si="2"/>
        <v>-13931.038757921662</v>
      </c>
      <c r="F3" s="3"/>
      <c r="G3" s="28"/>
      <c r="H3" s="10"/>
      <c r="I3" s="10">
        <f t="shared" ref="I3:I34" si="5">IF(H3&lt;&gt;"",H3,I2/(1+IF(G2="",0,G2)/100))</f>
        <v>1702</v>
      </c>
      <c r="J3" s="10">
        <f t="shared" si="3"/>
        <v>5621676982.9822674</v>
      </c>
      <c r="K3" s="11">
        <f t="shared" si="4"/>
        <v>-4.1999999999999815E-3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3316913.9899813454</v>
      </c>
      <c r="D4" s="11">
        <v>6.7999999999999996E-3</v>
      </c>
      <c r="E4" s="10">
        <f t="shared" si="2"/>
        <v>22402.676928757224</v>
      </c>
      <c r="F4" s="3"/>
      <c r="G4" s="28"/>
      <c r="H4" s="10"/>
      <c r="I4" s="10">
        <f t="shared" si="5"/>
        <v>1702</v>
      </c>
      <c r="J4" s="10">
        <f t="shared" si="3"/>
        <v>5645387610.9482498</v>
      </c>
      <c r="K4" s="11">
        <f t="shared" si="4"/>
        <v>6.7999999999999172E-3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3294511.3130525881</v>
      </c>
      <c r="D5" s="11">
        <v>0.01</v>
      </c>
      <c r="E5" s="10">
        <f t="shared" si="2"/>
        <v>32618.92389161</v>
      </c>
      <c r="F5" s="3"/>
      <c r="G5" s="28"/>
      <c r="H5" s="10"/>
      <c r="I5" s="10">
        <f t="shared" si="5"/>
        <v>1702</v>
      </c>
      <c r="J5" s="10">
        <f t="shared" si="3"/>
        <v>5607258254.815505</v>
      </c>
      <c r="K5" s="11">
        <f t="shared" si="4"/>
        <v>1.0000000000000009E-2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3261892.3891609781</v>
      </c>
      <c r="D6" s="11">
        <v>1.5900000000000001E-2</v>
      </c>
      <c r="E6" s="10">
        <f t="shared" si="2"/>
        <v>51052.35651900759</v>
      </c>
      <c r="F6" s="3"/>
      <c r="G6" s="28"/>
      <c r="H6" s="10"/>
      <c r="I6" s="10">
        <f t="shared" si="5"/>
        <v>1702</v>
      </c>
      <c r="J6" s="10">
        <f t="shared" si="3"/>
        <v>5551740846.351985</v>
      </c>
      <c r="K6" s="11">
        <f t="shared" si="4"/>
        <v>1.5900000000000025E-2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3210840.0326419706</v>
      </c>
      <c r="D7" s="11">
        <v>-8.0000000000000002E-3</v>
      </c>
      <c r="E7" s="10">
        <f t="shared" si="2"/>
        <v>-25893.871230983641</v>
      </c>
      <c r="F7" s="3"/>
      <c r="G7" s="28"/>
      <c r="H7" s="10"/>
      <c r="I7" s="10">
        <f t="shared" si="5"/>
        <v>1702</v>
      </c>
      <c r="J7" s="10">
        <f t="shared" si="3"/>
        <v>5464849735.5566339</v>
      </c>
      <c r="K7" s="11">
        <f t="shared" si="4"/>
        <v>-8.0000000000001181E-3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3236733.9038729542</v>
      </c>
      <c r="D8" s="11">
        <v>-6.6E-3</v>
      </c>
      <c r="E8" s="10">
        <f t="shared" si="2"/>
        <v>-21504.372624885757</v>
      </c>
      <c r="F8" s="3"/>
      <c r="G8" s="28"/>
      <c r="H8" s="10"/>
      <c r="I8" s="10">
        <f t="shared" si="5"/>
        <v>1702</v>
      </c>
      <c r="J8" s="10">
        <f t="shared" si="3"/>
        <v>5508921104.3917685</v>
      </c>
      <c r="K8" s="11">
        <f t="shared" si="4"/>
        <v>-6.5999999999998282E-3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3258238.27649784</v>
      </c>
      <c r="D9" s="11">
        <v>2.1299999999999999E-2</v>
      </c>
      <c r="E9" s="10">
        <f t="shared" si="2"/>
        <v>67953.074796244502</v>
      </c>
      <c r="F9" s="3"/>
      <c r="G9" s="28"/>
      <c r="H9" s="10"/>
      <c r="I9" s="10">
        <f t="shared" si="5"/>
        <v>1702</v>
      </c>
      <c r="J9" s="10">
        <f t="shared" si="3"/>
        <v>5545521546.5993233</v>
      </c>
      <c r="K9" s="11">
        <f t="shared" si="4"/>
        <v>2.1300000000000097E-2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3190285.2017015954</v>
      </c>
      <c r="D10" s="11">
        <v>1.9300000000000001E-2</v>
      </c>
      <c r="E10" s="10">
        <f t="shared" si="2"/>
        <v>60406.655933327973</v>
      </c>
      <c r="F10" s="3"/>
      <c r="G10" s="28"/>
      <c r="H10" s="10"/>
      <c r="I10" s="10">
        <f t="shared" si="5"/>
        <v>1702</v>
      </c>
      <c r="J10" s="10">
        <f t="shared" si="3"/>
        <v>5429865413.2961159</v>
      </c>
      <c r="K10" s="11">
        <f t="shared" si="4"/>
        <v>1.9300000000000095E-2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3129878.5457682675</v>
      </c>
      <c r="D11" s="11">
        <v>2.0500000000000001E-2</v>
      </c>
      <c r="E11" s="10">
        <f t="shared" si="2"/>
        <v>62873.601360362023</v>
      </c>
      <c r="F11" s="3"/>
      <c r="G11" s="28"/>
      <c r="H11" s="10"/>
      <c r="I11" s="10">
        <f t="shared" si="5"/>
        <v>1702</v>
      </c>
      <c r="J11" s="10">
        <f t="shared" si="3"/>
        <v>5327053284.8975916</v>
      </c>
      <c r="K11" s="11">
        <f t="shared" si="4"/>
        <v>2.0499999999999963E-2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3067004.9444079055</v>
      </c>
      <c r="D12" s="11">
        <v>2.2599999999999999E-2</v>
      </c>
      <c r="E12" s="10">
        <f t="shared" si="2"/>
        <v>67782.428851572797</v>
      </c>
      <c r="F12" s="3"/>
      <c r="G12" s="28"/>
      <c r="H12" s="10"/>
      <c r="I12" s="10">
        <f t="shared" si="5"/>
        <v>1702</v>
      </c>
      <c r="J12" s="10">
        <f t="shared" si="3"/>
        <v>5220042415.3822556</v>
      </c>
      <c r="K12" s="11">
        <f t="shared" si="4"/>
        <v>2.2599999999999953E-2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2999222.5155563327</v>
      </c>
      <c r="D13" s="11">
        <v>2.1600000000000001E-2</v>
      </c>
      <c r="E13" s="10">
        <f t="shared" si="2"/>
        <v>63413.475270180963</v>
      </c>
      <c r="F13" s="3"/>
      <c r="G13" s="28"/>
      <c r="H13" s="10"/>
      <c r="I13" s="10">
        <f t="shared" si="5"/>
        <v>1702</v>
      </c>
      <c r="J13" s="10">
        <f t="shared" si="3"/>
        <v>5104676721.4768782</v>
      </c>
      <c r="K13" s="11">
        <f t="shared" si="4"/>
        <v>2.1600000000000064E-2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2935809.0402861517</v>
      </c>
      <c r="D14" s="11">
        <v>2.3900000000000001E-2</v>
      </c>
      <c r="E14" s="10">
        <f t="shared" si="2"/>
        <v>68528.016469224822</v>
      </c>
      <c r="F14" s="3"/>
      <c r="G14" s="28"/>
      <c r="H14" s="10"/>
      <c r="I14" s="10">
        <f t="shared" si="5"/>
        <v>1702</v>
      </c>
      <c r="J14" s="10">
        <f t="shared" si="3"/>
        <v>4996746986.56703</v>
      </c>
      <c r="K14" s="11">
        <f t="shared" si="4"/>
        <v>2.3900000000000032E-2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2867281.0238169269</v>
      </c>
      <c r="D15" s="11">
        <v>2.1899999999999999E-2</v>
      </c>
      <c r="E15" s="10">
        <f t="shared" si="2"/>
        <v>61447.748724523932</v>
      </c>
      <c r="F15" s="3"/>
      <c r="G15" s="28"/>
      <c r="H15" s="10"/>
      <c r="I15" s="10">
        <f t="shared" si="5"/>
        <v>1702</v>
      </c>
      <c r="J15" s="10">
        <f t="shared" si="3"/>
        <v>4880112302.5364094</v>
      </c>
      <c r="K15" s="11">
        <f t="shared" si="4"/>
        <v>2.1900000000000031E-2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2805833.2750924029</v>
      </c>
      <c r="D16" s="11">
        <v>2.2200000000000001E-2</v>
      </c>
      <c r="E16" s="10">
        <f t="shared" si="2"/>
        <v>60936.703880895395</v>
      </c>
      <c r="F16" s="3"/>
      <c r="G16" s="28"/>
      <c r="H16" s="10"/>
      <c r="I16" s="10">
        <f t="shared" si="5"/>
        <v>1702</v>
      </c>
      <c r="J16" s="10">
        <f t="shared" si="3"/>
        <v>4775528234.2072697</v>
      </c>
      <c r="K16" s="11">
        <f t="shared" si="4"/>
        <v>2.2199999999999775E-2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2744896.5712115075</v>
      </c>
      <c r="D17" s="11">
        <v>2.75E-2</v>
      </c>
      <c r="E17" s="10">
        <f t="shared" si="2"/>
        <v>73464.385117582977</v>
      </c>
      <c r="F17" s="3"/>
      <c r="G17" s="28"/>
      <c r="H17" s="10"/>
      <c r="I17" s="10">
        <f t="shared" si="5"/>
        <v>1702</v>
      </c>
      <c r="J17" s="10">
        <f t="shared" si="3"/>
        <v>4671813964.2019863</v>
      </c>
      <c r="K17" s="11">
        <f t="shared" si="4"/>
        <v>2.7500000000000302E-2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2671432.1860939246</v>
      </c>
      <c r="D18" s="11">
        <v>2.7400000000000001E-2</v>
      </c>
      <c r="E18" s="10">
        <f t="shared" si="2"/>
        <v>71245.125461333431</v>
      </c>
      <c r="F18" s="3"/>
      <c r="G18" s="28"/>
      <c r="H18" s="10"/>
      <c r="I18" s="10">
        <f t="shared" si="5"/>
        <v>1702</v>
      </c>
      <c r="J18" s="10">
        <f t="shared" si="3"/>
        <v>4546777580.7318592</v>
      </c>
      <c r="K18" s="11">
        <f t="shared" si="4"/>
        <v>2.7399999999999869E-2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2600187.0606325911</v>
      </c>
      <c r="D19" s="11">
        <v>2.7099999999999999E-2</v>
      </c>
      <c r="E19" s="10">
        <f t="shared" si="2"/>
        <v>68605.850786820054</v>
      </c>
      <c r="F19" s="3"/>
      <c r="G19" s="28"/>
      <c r="H19" s="10"/>
      <c r="I19" s="10">
        <f t="shared" si="5"/>
        <v>1702</v>
      </c>
      <c r="J19" s="10">
        <f t="shared" si="3"/>
        <v>4425518377.1966705</v>
      </c>
      <c r="K19" s="11">
        <f t="shared" si="4"/>
        <v>2.7099999999999902E-2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2531581.2098457711</v>
      </c>
      <c r="D20" s="11">
        <v>2.75E-2</v>
      </c>
      <c r="E20" s="10">
        <f t="shared" si="2"/>
        <v>67755.214862052351</v>
      </c>
      <c r="F20" s="3"/>
      <c r="G20" s="28"/>
      <c r="H20" s="10"/>
      <c r="I20" s="10">
        <f t="shared" si="5"/>
        <v>1702</v>
      </c>
      <c r="J20" s="10">
        <f t="shared" si="3"/>
        <v>4308751219.1575022</v>
      </c>
      <c r="K20" s="11">
        <f t="shared" si="4"/>
        <v>2.750000000000008E-2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2463825.9949837187</v>
      </c>
      <c r="D21" s="11">
        <v>2.5899999999999999E-2</v>
      </c>
      <c r="E21" s="10">
        <f t="shared" si="2"/>
        <v>62202.059918196872</v>
      </c>
      <c r="F21" s="3"/>
      <c r="G21" s="28"/>
      <c r="H21" s="10"/>
      <c r="I21" s="10">
        <f t="shared" si="5"/>
        <v>1702</v>
      </c>
      <c r="J21" s="10">
        <f t="shared" si="3"/>
        <v>4193431843.4622893</v>
      </c>
      <c r="K21" s="11">
        <f t="shared" si="4"/>
        <v>2.5900000000000034E-2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2401623.9350655219</v>
      </c>
      <c r="D22" s="11">
        <v>2.7300000000000001E-2</v>
      </c>
      <c r="E22" s="10">
        <f t="shared" si="2"/>
        <v>63821.993017900269</v>
      </c>
      <c r="F22" s="3"/>
      <c r="G22" s="28"/>
      <c r="H22" s="10"/>
      <c r="I22" s="10">
        <f t="shared" si="5"/>
        <v>1702</v>
      </c>
      <c r="J22" s="10">
        <f t="shared" si="3"/>
        <v>4087563937.4815183</v>
      </c>
      <c r="K22" s="11">
        <f t="shared" si="4"/>
        <v>2.7300000000000102E-2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2337801.9420476216</v>
      </c>
      <c r="D23" s="11">
        <v>3.1199999999999999E-2</v>
      </c>
      <c r="E23" s="10">
        <f t="shared" si="2"/>
        <v>70732.564577080775</v>
      </c>
      <c r="F23" s="3"/>
      <c r="G23" s="28"/>
      <c r="H23" s="10"/>
      <c r="I23" s="10">
        <f t="shared" si="5"/>
        <v>1702</v>
      </c>
      <c r="J23" s="10">
        <f t="shared" si="3"/>
        <v>3978938905.3650517</v>
      </c>
      <c r="K23" s="11">
        <f t="shared" si="4"/>
        <v>3.1199999999999894E-2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2267069.3774705408</v>
      </c>
      <c r="D24" s="11">
        <v>3.1899999999999998E-2</v>
      </c>
      <c r="E24" s="10">
        <f t="shared" si="2"/>
        <v>70083.838687188923</v>
      </c>
      <c r="F24" s="3"/>
      <c r="G24" s="28"/>
      <c r="H24" s="10"/>
      <c r="I24" s="10">
        <f t="shared" si="5"/>
        <v>1702</v>
      </c>
      <c r="J24" s="10">
        <f t="shared" si="3"/>
        <v>3858552080.4548607</v>
      </c>
      <c r="K24" s="11">
        <f t="shared" si="4"/>
        <v>3.1900000000000039E-2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2196985.5387833519</v>
      </c>
      <c r="D25" s="11">
        <v>3.1800000000000002E-2</v>
      </c>
      <c r="E25" s="10">
        <f t="shared" si="2"/>
        <v>67710.932480433024</v>
      </c>
      <c r="F25" s="3"/>
      <c r="G25" s="28"/>
      <c r="H25" s="10"/>
      <c r="I25" s="10">
        <f t="shared" si="5"/>
        <v>1702</v>
      </c>
      <c r="J25" s="10">
        <f t="shared" si="3"/>
        <v>3739269387.0092649</v>
      </c>
      <c r="K25" s="11">
        <f t="shared" si="4"/>
        <v>3.180000000000005E-2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2129274.6063029189</v>
      </c>
      <c r="D26" s="11">
        <v>3.1300000000000001E-2</v>
      </c>
      <c r="E26" s="10">
        <f t="shared" si="2"/>
        <v>64623.577210590243</v>
      </c>
      <c r="F26" s="3"/>
      <c r="G26" s="28"/>
      <c r="H26" s="10"/>
      <c r="I26" s="10">
        <f t="shared" si="5"/>
        <v>1702</v>
      </c>
      <c r="J26" s="10">
        <f t="shared" si="3"/>
        <v>3624025379.927568</v>
      </c>
      <c r="K26" s="11">
        <f t="shared" si="4"/>
        <v>3.1300000000000106E-2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2064651.0290923286</v>
      </c>
      <c r="D27" s="11">
        <v>3.1099999999999999E-2</v>
      </c>
      <c r="E27" s="10">
        <f t="shared" si="2"/>
        <v>62273.927848677384</v>
      </c>
      <c r="F27" s="3"/>
      <c r="G27" s="28"/>
      <c r="H27" s="10"/>
      <c r="I27" s="10">
        <f t="shared" si="5"/>
        <v>1702</v>
      </c>
      <c r="J27" s="10">
        <f t="shared" si="3"/>
        <v>3514036051.5151434</v>
      </c>
      <c r="K27" s="11">
        <f t="shared" si="4"/>
        <v>3.1099999999999905E-2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2002377.1012436512</v>
      </c>
      <c r="D28" s="11">
        <v>2.5499999999999998E-2</v>
      </c>
      <c r="E28" s="10">
        <f t="shared" si="2"/>
        <v>49790.946934873937</v>
      </c>
      <c r="F28" s="3"/>
      <c r="G28" s="28"/>
      <c r="H28" s="10"/>
      <c r="I28" s="10">
        <f t="shared" si="5"/>
        <v>1702</v>
      </c>
      <c r="J28" s="10">
        <f t="shared" si="3"/>
        <v>3408045826.3166943</v>
      </c>
      <c r="K28" s="11">
        <f t="shared" si="4"/>
        <v>2.5499999999999856E-2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1952586.1543087773</v>
      </c>
      <c r="D29" s="11">
        <v>1.66E-2</v>
      </c>
      <c r="E29" s="10">
        <f t="shared" si="2"/>
        <v>31883.661382574821</v>
      </c>
      <c r="F29" s="3"/>
      <c r="G29" s="28"/>
      <c r="H29" s="10"/>
      <c r="I29" s="10">
        <f t="shared" si="5"/>
        <v>1702</v>
      </c>
      <c r="J29" s="10">
        <f t="shared" si="3"/>
        <v>3323301634.6335392</v>
      </c>
      <c r="K29" s="11">
        <f t="shared" si="4"/>
        <v>1.6599999999999948E-2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1920702.4929262025</v>
      </c>
      <c r="D30" s="11">
        <v>1.32E-2</v>
      </c>
      <c r="E30" s="10">
        <f t="shared" si="2"/>
        <v>25022.969706500182</v>
      </c>
      <c r="F30" s="3"/>
      <c r="G30" s="28"/>
      <c r="H30" s="10"/>
      <c r="I30" s="10">
        <f t="shared" si="5"/>
        <v>1702</v>
      </c>
      <c r="J30" s="10">
        <f t="shared" si="3"/>
        <v>3269035642.9603968</v>
      </c>
      <c r="K30" s="11">
        <f t="shared" si="4"/>
        <v>1.3200000000000101E-2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1895679.5232197023</v>
      </c>
      <c r="D31" s="11">
        <v>1.2699999999999999E-2</v>
      </c>
      <c r="E31" s="10">
        <f t="shared" si="2"/>
        <v>23773.210175659275</v>
      </c>
      <c r="F31" s="3"/>
      <c r="G31" s="28"/>
      <c r="H31" s="10"/>
      <c r="I31" s="10">
        <f t="shared" si="5"/>
        <v>1702</v>
      </c>
      <c r="J31" s="10">
        <f t="shared" si="3"/>
        <v>3226446548.5199332</v>
      </c>
      <c r="K31" s="11">
        <f t="shared" si="4"/>
        <v>1.2699999999999934E-2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1871906.313044043</v>
      </c>
      <c r="D32" s="11">
        <v>1.2500000000000001E-2</v>
      </c>
      <c r="E32" s="10">
        <f t="shared" si="2"/>
        <v>23109.954482025234</v>
      </c>
      <c r="F32" s="3"/>
      <c r="G32" s="28"/>
      <c r="H32" s="10"/>
      <c r="I32" s="10">
        <f t="shared" si="5"/>
        <v>1702</v>
      </c>
      <c r="J32" s="10">
        <f t="shared" si="3"/>
        <v>3185984544.800961</v>
      </c>
      <c r="K32" s="11">
        <f t="shared" si="4"/>
        <v>1.2499999999999956E-2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1848796.3585620178</v>
      </c>
      <c r="D33" s="11">
        <v>1.2200000000000001E-2</v>
      </c>
      <c r="E33" s="10">
        <f t="shared" si="2"/>
        <v>22283.45739424671</v>
      </c>
      <c r="F33" s="3"/>
      <c r="G33" s="28"/>
      <c r="H33" s="10"/>
      <c r="I33" s="10">
        <f t="shared" si="5"/>
        <v>1702</v>
      </c>
      <c r="J33" s="10">
        <f t="shared" si="3"/>
        <v>3146651402.2725544</v>
      </c>
      <c r="K33" s="11">
        <f t="shared" si="4"/>
        <v>1.2199999999999989E-2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1826512.9011677711</v>
      </c>
      <c r="D34" s="11">
        <v>1.1900000000000001E-2</v>
      </c>
      <c r="E34" s="10">
        <f t="shared" si="2"/>
        <v>21479.892799581401</v>
      </c>
      <c r="F34" s="3"/>
      <c r="G34" s="28"/>
      <c r="H34" s="10"/>
      <c r="I34" s="10">
        <f t="shared" si="5"/>
        <v>1702</v>
      </c>
      <c r="J34" s="10">
        <f t="shared" ref="J34:J65" si="6">IF(I34="","",I34*C34)</f>
        <v>3108724957.7875462</v>
      </c>
      <c r="K34" s="11">
        <f t="shared" ref="K34:K65" si="7">IFERROR(J34/J35-1,"")</f>
        <v>1.1900000000000022E-2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1805033.0083681897</v>
      </c>
      <c r="D35" s="11">
        <v>1.1599999999999999E-2</v>
      </c>
      <c r="E35" s="10">
        <f t="shared" si="2"/>
        <v>20698.282816400751</v>
      </c>
      <c r="F35" s="3"/>
      <c r="G35" s="28"/>
      <c r="H35" s="10"/>
      <c r="I35" s="10">
        <f t="shared" ref="I35:I66" si="8">IF(H35&lt;&gt;"",H35,I34/(1+IF(G34="",0,G34)/100))</f>
        <v>1702</v>
      </c>
      <c r="J35" s="10">
        <f t="shared" si="6"/>
        <v>3072166180.2426586</v>
      </c>
      <c r="K35" s="11">
        <f t="shared" si="7"/>
        <v>1.1599999999999833E-2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1784334.7255517889</v>
      </c>
      <c r="D36" s="11">
        <v>1.1299999999999999E-2</v>
      </c>
      <c r="E36" s="10">
        <f t="shared" si="2"/>
        <v>19937.686540824128</v>
      </c>
      <c r="F36" s="3"/>
      <c r="G36" s="28"/>
      <c r="H36" s="10"/>
      <c r="I36" s="10">
        <f t="shared" si="8"/>
        <v>1702</v>
      </c>
      <c r="J36" s="10">
        <f t="shared" si="6"/>
        <v>3036937702.8891449</v>
      </c>
      <c r="K36" s="11">
        <f t="shared" si="7"/>
        <v>1.1300000000000088E-2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1764397.0390109648</v>
      </c>
      <c r="D37" s="11">
        <v>1.0999999999999999E-2</v>
      </c>
      <c r="E37" s="10">
        <f t="shared" si="2"/>
        <v>19197.198248388246</v>
      </c>
      <c r="F37" s="3"/>
      <c r="G37" s="28"/>
      <c r="H37" s="10"/>
      <c r="I37" s="10">
        <f t="shared" si="8"/>
        <v>1702</v>
      </c>
      <c r="J37" s="10">
        <f t="shared" si="6"/>
        <v>3003003760.3966622</v>
      </c>
      <c r="K37" s="11">
        <f t="shared" si="7"/>
        <v>1.0999999999999899E-2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1745199.8407625766</v>
      </c>
      <c r="D38" s="11">
        <v>1.0699999999999999E-2</v>
      </c>
      <c r="E38" s="10">
        <f t="shared" si="2"/>
        <v>18475.945677411044</v>
      </c>
      <c r="F38" s="3"/>
      <c r="G38" s="28"/>
      <c r="H38" s="10"/>
      <c r="I38" s="10">
        <f t="shared" si="8"/>
        <v>1702</v>
      </c>
      <c r="J38" s="10">
        <f t="shared" si="6"/>
        <v>2970330128.9779053</v>
      </c>
      <c r="K38" s="11">
        <f t="shared" si="7"/>
        <v>1.0699999999999932E-2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1726723.8950851655</v>
      </c>
      <c r="D39" s="11">
        <v>1.0500000000000001E-2</v>
      </c>
      <c r="E39" s="10">
        <f t="shared" si="2"/>
        <v>17942.20771736186</v>
      </c>
      <c r="F39" s="3"/>
      <c r="G39" s="28"/>
      <c r="H39" s="10"/>
      <c r="I39" s="10">
        <f t="shared" si="8"/>
        <v>1702</v>
      </c>
      <c r="J39" s="10">
        <f t="shared" si="6"/>
        <v>2938884069.4349518</v>
      </c>
      <c r="K39" s="11">
        <f t="shared" si="7"/>
        <v>1.0499999999999954E-2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1708781.6873678036</v>
      </c>
      <c r="D40" s="11">
        <v>1.03E-2</v>
      </c>
      <c r="E40" s="10">
        <f t="shared" si="2"/>
        <v>17421.014926149044</v>
      </c>
      <c r="F40" s="3"/>
      <c r="G40" s="28"/>
      <c r="H40" s="10"/>
      <c r="I40" s="10">
        <f t="shared" si="8"/>
        <v>1702</v>
      </c>
      <c r="J40" s="10">
        <f t="shared" si="6"/>
        <v>2908346431.900002</v>
      </c>
      <c r="K40" s="11">
        <f t="shared" si="7"/>
        <v>1.0300000000000198E-2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1691360.6724416546</v>
      </c>
      <c r="D41" s="11">
        <v>1.49E-2</v>
      </c>
      <c r="E41" s="10">
        <f t="shared" si="2"/>
        <v>24831.28783070296</v>
      </c>
      <c r="F41" s="3"/>
      <c r="G41" s="28"/>
      <c r="H41" s="10"/>
      <c r="I41" s="10">
        <f t="shared" si="8"/>
        <v>1702</v>
      </c>
      <c r="J41" s="10">
        <f t="shared" si="6"/>
        <v>2878695864.4956961</v>
      </c>
      <c r="K41" s="11">
        <f t="shared" si="7"/>
        <v>1.4899999999999913E-2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1666529.3846109516</v>
      </c>
      <c r="D42" s="11">
        <v>1.95E-2</v>
      </c>
      <c r="E42" s="10">
        <f t="shared" si="2"/>
        <v>31875.745953814359</v>
      </c>
      <c r="F42" s="3"/>
      <c r="G42" s="28"/>
      <c r="H42" s="10"/>
      <c r="I42" s="10">
        <f t="shared" si="8"/>
        <v>1702</v>
      </c>
      <c r="J42" s="10">
        <f t="shared" si="6"/>
        <v>2836433012.6078396</v>
      </c>
      <c r="K42" s="11">
        <f t="shared" si="7"/>
        <v>1.9500000000000073E-2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1634653.6386571373</v>
      </c>
      <c r="D43" s="11">
        <v>1.9300000000000001E-2</v>
      </c>
      <c r="E43" s="10">
        <f t="shared" si="2"/>
        <v>30951.452198649058</v>
      </c>
      <c r="F43" s="3"/>
      <c r="G43" s="28"/>
      <c r="H43" s="10"/>
      <c r="I43" s="10">
        <f t="shared" si="8"/>
        <v>1702</v>
      </c>
      <c r="J43" s="10">
        <f t="shared" si="6"/>
        <v>2782180492.9944477</v>
      </c>
      <c r="K43" s="11">
        <f t="shared" si="7"/>
        <v>1.9300000000000095E-2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1603702.1864584882</v>
      </c>
      <c r="D44" s="11">
        <v>1.9199999999999998E-2</v>
      </c>
      <c r="E44" s="10">
        <f t="shared" si="2"/>
        <v>30211.030200160109</v>
      </c>
      <c r="F44" s="3"/>
      <c r="G44" s="28"/>
      <c r="H44" s="10"/>
      <c r="I44" s="10">
        <f t="shared" si="8"/>
        <v>1702</v>
      </c>
      <c r="J44" s="10">
        <f t="shared" si="6"/>
        <v>2729501121.3523469</v>
      </c>
      <c r="K44" s="11">
        <f t="shared" si="7"/>
        <v>1.9200000000000106E-2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1573491.1562583281</v>
      </c>
      <c r="D45" s="11">
        <v>1.9599999999999999E-2</v>
      </c>
      <c r="E45" s="10">
        <f t="shared" si="2"/>
        <v>30247.574208182981</v>
      </c>
      <c r="F45" s="3"/>
      <c r="G45" s="28"/>
      <c r="H45" s="10"/>
      <c r="I45" s="10">
        <f t="shared" si="8"/>
        <v>1702</v>
      </c>
      <c r="J45" s="10">
        <f t="shared" si="6"/>
        <v>2678081947.9516745</v>
      </c>
      <c r="K45" s="11">
        <f t="shared" si="7"/>
        <v>1.9600000000000062E-2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1543243.5820501451</v>
      </c>
      <c r="D46" s="11">
        <v>2.07E-2</v>
      </c>
      <c r="E46" s="10">
        <f t="shared" si="2"/>
        <v>31297.288281020708</v>
      </c>
      <c r="F46" s="3"/>
      <c r="G46" s="28"/>
      <c r="H46" s="10"/>
      <c r="I46" s="10">
        <f t="shared" si="8"/>
        <v>1702</v>
      </c>
      <c r="J46" s="10">
        <f t="shared" si="6"/>
        <v>2626600576.6493468</v>
      </c>
      <c r="K46" s="11">
        <f t="shared" si="7"/>
        <v>2.0699999999999719E-2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1511946.2937691244</v>
      </c>
      <c r="D47" s="11">
        <v>2.2200000000000001E-2</v>
      </c>
      <c r="E47" s="10">
        <f t="shared" si="2"/>
        <v>32836.243124314817</v>
      </c>
      <c r="F47" s="3"/>
      <c r="G47" s="28"/>
      <c r="H47" s="10"/>
      <c r="I47" s="10">
        <f t="shared" si="8"/>
        <v>1702</v>
      </c>
      <c r="J47" s="10">
        <f t="shared" si="6"/>
        <v>2573332591.99505</v>
      </c>
      <c r="K47" s="11">
        <f t="shared" si="7"/>
        <v>2.220000000000022E-2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1479110.0506448096</v>
      </c>
      <c r="D48" s="11">
        <v>2.29E-2</v>
      </c>
      <c r="E48" s="10">
        <f t="shared" si="2"/>
        <v>33113.325016879477</v>
      </c>
      <c r="F48" s="3"/>
      <c r="G48" s="28"/>
      <c r="H48" s="10"/>
      <c r="I48" s="10">
        <f t="shared" si="8"/>
        <v>1702</v>
      </c>
      <c r="J48" s="10">
        <f t="shared" si="6"/>
        <v>2517445306.1974659</v>
      </c>
      <c r="K48" s="11">
        <f t="shared" si="7"/>
        <v>2.2899999999999698E-2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1445996.7256279301</v>
      </c>
      <c r="D49" s="11">
        <v>2.2499999999999999E-2</v>
      </c>
      <c r="E49" s="10">
        <f t="shared" si="2"/>
        <v>31818.998852448305</v>
      </c>
      <c r="F49" s="3"/>
      <c r="G49" s="28"/>
      <c r="H49" s="10"/>
      <c r="I49" s="10">
        <f t="shared" si="8"/>
        <v>1702</v>
      </c>
      <c r="J49" s="10">
        <f t="shared" si="6"/>
        <v>2461086427.0187373</v>
      </c>
      <c r="K49" s="11">
        <f t="shared" si="7"/>
        <v>2.2500000000000187E-2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1414177.7267754818</v>
      </c>
      <c r="D50" s="11">
        <v>2.18E-2</v>
      </c>
      <c r="E50" s="10">
        <f t="shared" si="2"/>
        <v>30171.339248097036</v>
      </c>
      <c r="F50" s="3"/>
      <c r="G50" s="28"/>
      <c r="H50" s="10"/>
      <c r="I50" s="10">
        <f t="shared" si="8"/>
        <v>1702</v>
      </c>
      <c r="J50" s="10">
        <f t="shared" si="6"/>
        <v>2406930490.9718699</v>
      </c>
      <c r="K50" s="11">
        <f t="shared" si="7"/>
        <v>2.1800000000000042E-2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1384006.3875273848</v>
      </c>
      <c r="D51" s="11">
        <v>2.12E-2</v>
      </c>
      <c r="E51" s="10">
        <f t="shared" si="2"/>
        <v>28731.820814317092</v>
      </c>
      <c r="F51" s="3"/>
      <c r="G51" s="28"/>
      <c r="H51" s="10"/>
      <c r="I51" s="10">
        <f t="shared" si="8"/>
        <v>1702</v>
      </c>
      <c r="J51" s="10">
        <f t="shared" si="6"/>
        <v>2355578871.571609</v>
      </c>
      <c r="K51" s="11">
        <f t="shared" si="7"/>
        <v>2.1200000000000108E-2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1355274.5667130677</v>
      </c>
      <c r="D52" s="11">
        <v>2.06E-2</v>
      </c>
      <c r="E52" s="10">
        <f t="shared" si="2"/>
        <v>27355.140186448349</v>
      </c>
      <c r="F52" s="3"/>
      <c r="G52" s="28"/>
      <c r="H52" s="10"/>
      <c r="I52" s="10">
        <f t="shared" si="8"/>
        <v>1702</v>
      </c>
      <c r="J52" s="10">
        <f t="shared" si="6"/>
        <v>2306677312.5456414</v>
      </c>
      <c r="K52" s="11">
        <f t="shared" si="7"/>
        <v>2.0600000000000174E-2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1327919.4265266194</v>
      </c>
      <c r="D53" s="11">
        <v>2.01E-2</v>
      </c>
      <c r="E53" s="10">
        <f t="shared" si="2"/>
        <v>26165.258771870518</v>
      </c>
      <c r="F53" s="3"/>
      <c r="G53" s="28"/>
      <c r="H53" s="10"/>
      <c r="I53" s="10">
        <f t="shared" si="8"/>
        <v>1702</v>
      </c>
      <c r="J53" s="10">
        <f t="shared" si="6"/>
        <v>2260118863.9483061</v>
      </c>
      <c r="K53" s="11">
        <f t="shared" si="7"/>
        <v>2.0100000000000007E-2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1301754.1677547488</v>
      </c>
      <c r="D54" s="11">
        <v>1.9599999999999999E-2</v>
      </c>
      <c r="E54" s="10">
        <f t="shared" si="2"/>
        <v>25023.912993323989</v>
      </c>
      <c r="F54" s="3"/>
      <c r="G54" s="28"/>
      <c r="H54" s="10"/>
      <c r="I54" s="10">
        <f t="shared" si="8"/>
        <v>1702</v>
      </c>
      <c r="J54" s="10">
        <f t="shared" si="6"/>
        <v>2215585593.5185823</v>
      </c>
      <c r="K54" s="11">
        <f t="shared" si="7"/>
        <v>1.959999999999984E-2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1276730.2547614248</v>
      </c>
      <c r="D55" s="11">
        <v>1.9099999999999999E-2</v>
      </c>
      <c r="E55" s="10">
        <f t="shared" si="2"/>
        <v>23928.513262626948</v>
      </c>
      <c r="F55" s="3"/>
      <c r="G55" s="28"/>
      <c r="H55" s="10"/>
      <c r="I55" s="10">
        <f t="shared" si="8"/>
        <v>1702</v>
      </c>
      <c r="J55" s="10">
        <f t="shared" si="6"/>
        <v>2172994893.6039453</v>
      </c>
      <c r="K55" s="11">
        <f t="shared" si="7"/>
        <v>1.9099999999999895E-2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1252801.7414987979</v>
      </c>
      <c r="D56" s="11">
        <v>1.8800000000000001E-2</v>
      </c>
      <c r="E56" s="10">
        <f t="shared" si="2"/>
        <v>23118.053337433608</v>
      </c>
      <c r="F56" s="3"/>
      <c r="G56" s="28"/>
      <c r="H56" s="10"/>
      <c r="I56" s="10">
        <f t="shared" si="8"/>
        <v>1702</v>
      </c>
      <c r="J56" s="10">
        <f t="shared" si="6"/>
        <v>2132268564.0309541</v>
      </c>
      <c r="K56" s="11">
        <f t="shared" si="7"/>
        <v>1.8799999999999928E-2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1229683.6881613643</v>
      </c>
      <c r="D57" s="11">
        <v>1.7999999999999999E-2</v>
      </c>
      <c r="E57" s="10">
        <f t="shared" si="2"/>
        <v>21742.933582420927</v>
      </c>
      <c r="F57" s="3"/>
      <c r="G57" s="28"/>
      <c r="H57" s="10"/>
      <c r="I57" s="10">
        <f t="shared" si="8"/>
        <v>1702</v>
      </c>
      <c r="J57" s="10">
        <f t="shared" si="6"/>
        <v>2092921637.2506421</v>
      </c>
      <c r="K57" s="11">
        <f t="shared" si="7"/>
        <v>1.8000000000000016E-2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1207940.7545789434</v>
      </c>
      <c r="D58" s="11">
        <v>1.7999999999999999E-2</v>
      </c>
      <c r="E58" s="10">
        <f t="shared" si="2"/>
        <v>21358.480925757438</v>
      </c>
      <c r="F58" s="3"/>
      <c r="G58" s="28"/>
      <c r="H58" s="10"/>
      <c r="I58" s="10">
        <f t="shared" si="8"/>
        <v>1702</v>
      </c>
      <c r="J58" s="10">
        <f t="shared" si="6"/>
        <v>2055915164.2933617</v>
      </c>
      <c r="K58" s="11">
        <f t="shared" si="7"/>
        <v>1.8000000000000238E-2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1186582.2736531859</v>
      </c>
      <c r="D59" s="11">
        <v>1.7999999999999999E-2</v>
      </c>
      <c r="E59" s="10">
        <f t="shared" si="2"/>
        <v>20980.826056736056</v>
      </c>
      <c r="F59" s="3"/>
      <c r="G59" s="28"/>
      <c r="H59" s="10"/>
      <c r="I59" s="10">
        <f t="shared" si="8"/>
        <v>1702</v>
      </c>
      <c r="J59" s="10">
        <f t="shared" si="6"/>
        <v>2019563029.7577224</v>
      </c>
      <c r="K59" s="11">
        <f t="shared" si="7"/>
        <v>1.8000000000000016E-2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1165601.4475964499</v>
      </c>
      <c r="D60" s="11">
        <v>1.7000000000000001E-2</v>
      </c>
      <c r="E60" s="10">
        <f t="shared" si="2"/>
        <v>19483.996665820479</v>
      </c>
      <c r="F60" s="3"/>
      <c r="G60" s="28"/>
      <c r="H60" s="10"/>
      <c r="I60" s="10">
        <f t="shared" si="8"/>
        <v>1702</v>
      </c>
      <c r="J60" s="10">
        <f t="shared" si="6"/>
        <v>1983853663.8091576</v>
      </c>
      <c r="K60" s="11">
        <f t="shared" si="7"/>
        <v>1.6999999999999682E-2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1146117.4509306294</v>
      </c>
      <c r="D61" s="11">
        <v>1.7000000000000001E-2</v>
      </c>
      <c r="E61" s="10">
        <f t="shared" si="2"/>
        <v>19158.305472783279</v>
      </c>
      <c r="F61" s="3"/>
      <c r="G61" s="28"/>
      <c r="H61" s="10"/>
      <c r="I61" s="10">
        <f t="shared" si="8"/>
        <v>1702</v>
      </c>
      <c r="J61" s="10">
        <f t="shared" si="6"/>
        <v>1950691901.4839313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1126959.1454578461</v>
      </c>
      <c r="D62" s="11">
        <v>1.7000000000000001E-2</v>
      </c>
      <c r="E62" s="10">
        <f t="shared" si="2"/>
        <v>18838.058478646213</v>
      </c>
      <c r="F62" s="3"/>
      <c r="G62" s="28"/>
      <c r="H62" s="10"/>
      <c r="I62" s="10">
        <f t="shared" si="8"/>
        <v>1702</v>
      </c>
      <c r="J62" s="10">
        <f t="shared" si="6"/>
        <v>1918084465.5692542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1108121.0869791999</v>
      </c>
      <c r="D63" s="11">
        <v>1.6E-2</v>
      </c>
      <c r="E63" s="10">
        <f t="shared" si="2"/>
        <v>17450.725779199973</v>
      </c>
      <c r="F63" s="3"/>
      <c r="G63" s="28"/>
      <c r="H63" s="10"/>
      <c r="I63" s="10">
        <f t="shared" si="8"/>
        <v>1702</v>
      </c>
      <c r="J63" s="10">
        <f t="shared" si="6"/>
        <v>1886022090.0385983</v>
      </c>
      <c r="K63" s="11">
        <f t="shared" si="7"/>
        <v>1.6000000000000014E-2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1090670.3611999999</v>
      </c>
      <c r="D64" s="11">
        <v>1.6E-2</v>
      </c>
      <c r="E64" s="10">
        <f t="shared" si="2"/>
        <v>17175.911199999973</v>
      </c>
      <c r="F64" s="3"/>
      <c r="G64" s="28"/>
      <c r="H64" s="10"/>
      <c r="I64" s="10">
        <f t="shared" si="8"/>
        <v>1702</v>
      </c>
      <c r="J64" s="10">
        <f t="shared" si="6"/>
        <v>1856320954.7623999</v>
      </c>
      <c r="K64" s="11">
        <f t="shared" si="7"/>
        <v>1.6000000000000014E-2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1073494.45</v>
      </c>
      <c r="D65" s="11">
        <v>1.4999999999999999E-2</v>
      </c>
      <c r="E65" s="10">
        <f t="shared" si="2"/>
        <v>15864.449999999953</v>
      </c>
      <c r="F65" s="3"/>
      <c r="G65" s="28"/>
      <c r="H65" s="10"/>
      <c r="I65" s="10">
        <f t="shared" si="8"/>
        <v>1702</v>
      </c>
      <c r="J65" s="10">
        <f t="shared" si="6"/>
        <v>1827087553.8999999</v>
      </c>
      <c r="K65" s="11">
        <f t="shared" si="7"/>
        <v>1.4999999999999902E-2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1057630</v>
      </c>
      <c r="D66" s="11">
        <v>1.4999999999999999E-2</v>
      </c>
      <c r="E66" s="10">
        <f t="shared" si="2"/>
        <v>15630</v>
      </c>
      <c r="F66" s="24">
        <f>SUM(F2)</f>
        <v>3307617</v>
      </c>
      <c r="G66" s="28"/>
      <c r="H66" s="10"/>
      <c r="I66" s="10">
        <f t="shared" si="8"/>
        <v>1702</v>
      </c>
      <c r="J66" s="10">
        <f t="shared" ref="J66:J67" si="9">IF(I66="","",I66*C66)</f>
        <v>1800086260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1042000</v>
      </c>
      <c r="D67" s="11">
        <v>1.4999999999999999E-2</v>
      </c>
      <c r="E67" s="3" t="s">
        <v>72</v>
      </c>
      <c r="F67" s="10">
        <f>SUM(C2)</f>
        <v>3307276.8290600143</v>
      </c>
      <c r="G67" s="28"/>
      <c r="H67" s="10"/>
      <c r="I67" s="10">
        <f t="shared" ref="I67" si="11">IF(H67&lt;&gt;"",H67,I66/(1+IF(G66="",0,G66)/100))</f>
        <v>1702</v>
      </c>
      <c r="J67" s="10">
        <f t="shared" si="9"/>
        <v>1773484000</v>
      </c>
      <c r="K67" s="11"/>
    </row>
  </sheetData>
  <dataValidations count="1">
    <dataValidation type="custom" allowBlank="1" showDropDown="1" sqref="D2:D67" xr:uid="{00000000-0002-0000-7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1640021.0724828092</v>
      </c>
      <c r="D2" s="11">
        <v>8.5000000000000006E-3</v>
      </c>
      <c r="E2" s="10">
        <f t="shared" ref="E2:E66" si="2">SUM(C2-C3)</f>
        <v>13822.686282700859</v>
      </c>
      <c r="F2" s="15">
        <v>1640804</v>
      </c>
      <c r="G2" s="28"/>
      <c r="H2" s="10"/>
      <c r="I2" s="10">
        <f>IF(H2&lt;&gt;"",H2,30992)</f>
        <v>30992</v>
      </c>
      <c r="J2" s="10">
        <f t="shared" ref="J2:J33" si="3">IF(I2="","",I2*C2)</f>
        <v>50827533078.387222</v>
      </c>
      <c r="K2" s="11">
        <f t="shared" ref="K2:K33" si="4">IFERROR(J2/J3-1,"")</f>
        <v>8.499999999999952E-3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1626198.3862001083</v>
      </c>
      <c r="D3" s="11">
        <v>7.0000000000000001E-3</v>
      </c>
      <c r="E3" s="10">
        <f t="shared" si="2"/>
        <v>11304.258891162463</v>
      </c>
      <c r="F3" s="3"/>
      <c r="G3" s="28"/>
      <c r="H3" s="10"/>
      <c r="I3" s="10">
        <f t="shared" ref="I3:I34" si="5">IF(H3&lt;&gt;"",H3,I2/(1+IF(G2="",0,G2)/100))</f>
        <v>30992</v>
      </c>
      <c r="J3" s="10">
        <f t="shared" si="3"/>
        <v>50399140385.113754</v>
      </c>
      <c r="K3" s="11">
        <f t="shared" si="4"/>
        <v>6.9999999999996732E-3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1614894.1273089459</v>
      </c>
      <c r="D4" s="11">
        <v>4.0000000000000001E-3</v>
      </c>
      <c r="E4" s="10">
        <f t="shared" si="2"/>
        <v>6433.8411446572281</v>
      </c>
      <c r="F4" s="3"/>
      <c r="G4" s="28"/>
      <c r="H4" s="10"/>
      <c r="I4" s="10">
        <f t="shared" si="5"/>
        <v>30992</v>
      </c>
      <c r="J4" s="10">
        <f t="shared" si="3"/>
        <v>50048798793.558853</v>
      </c>
      <c r="K4" s="11">
        <f t="shared" si="4"/>
        <v>4.0000000000000036E-3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1608460.2861642886</v>
      </c>
      <c r="D5" s="11">
        <v>1.0999999999999999E-2</v>
      </c>
      <c r="E5" s="10">
        <f t="shared" si="2"/>
        <v>17500.557020580629</v>
      </c>
      <c r="F5" s="3"/>
      <c r="G5" s="28"/>
      <c r="H5" s="10"/>
      <c r="I5" s="10">
        <f t="shared" si="5"/>
        <v>30992</v>
      </c>
      <c r="J5" s="10">
        <f t="shared" si="3"/>
        <v>49849401188.803635</v>
      </c>
      <c r="K5" s="11">
        <f t="shared" si="4"/>
        <v>1.0999999999999899E-2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1590959.729143708</v>
      </c>
      <c r="D6" s="11">
        <v>6.7000000000000002E-3</v>
      </c>
      <c r="E6" s="10">
        <f t="shared" si="2"/>
        <v>10588.487320217304</v>
      </c>
      <c r="F6" s="3"/>
      <c r="G6" s="28"/>
      <c r="H6" s="10"/>
      <c r="I6" s="10">
        <f t="shared" si="5"/>
        <v>30992</v>
      </c>
      <c r="J6" s="10">
        <f t="shared" si="3"/>
        <v>49307023925.621796</v>
      </c>
      <c r="K6" s="11">
        <f t="shared" si="4"/>
        <v>6.6999999999999282E-3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1580371.2418234907</v>
      </c>
      <c r="D7" s="11">
        <v>7.3000000000000001E-3</v>
      </c>
      <c r="E7" s="10">
        <f t="shared" si="2"/>
        <v>11453.10241766274</v>
      </c>
      <c r="F7" s="3"/>
      <c r="G7" s="28"/>
      <c r="H7" s="10"/>
      <c r="I7" s="10">
        <f t="shared" si="5"/>
        <v>30992</v>
      </c>
      <c r="J7" s="10">
        <f t="shared" si="3"/>
        <v>48978865526.59362</v>
      </c>
      <c r="K7" s="11">
        <f t="shared" si="4"/>
        <v>7.3000000000000842E-3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1568918.139405828</v>
      </c>
      <c r="D8" s="11">
        <v>2.2000000000000001E-3</v>
      </c>
      <c r="E8" s="10">
        <f t="shared" si="2"/>
        <v>3444.0430120662786</v>
      </c>
      <c r="F8" s="3"/>
      <c r="G8" s="28"/>
      <c r="H8" s="10"/>
      <c r="I8" s="10">
        <f t="shared" si="5"/>
        <v>30992</v>
      </c>
      <c r="J8" s="10">
        <f t="shared" si="3"/>
        <v>48623910976.465424</v>
      </c>
      <c r="K8" s="11">
        <f t="shared" si="4"/>
        <v>2.1999999999999797E-3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1565474.0963937617</v>
      </c>
      <c r="D9" s="11">
        <v>6.0000000000000001E-3</v>
      </c>
      <c r="E9" s="10">
        <f t="shared" si="2"/>
        <v>9336.8236365432385</v>
      </c>
      <c r="F9" s="3"/>
      <c r="G9" s="28"/>
      <c r="H9" s="10"/>
      <c r="I9" s="10">
        <f t="shared" si="5"/>
        <v>30992</v>
      </c>
      <c r="J9" s="10">
        <f t="shared" si="3"/>
        <v>48517173195.435463</v>
      </c>
      <c r="K9" s="11">
        <f t="shared" si="4"/>
        <v>6.0000000000000053E-3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1556137.2727572185</v>
      </c>
      <c r="D10" s="11">
        <v>8.6E-3</v>
      </c>
      <c r="E10" s="10">
        <f t="shared" si="2"/>
        <v>13268.669983850792</v>
      </c>
      <c r="F10" s="3"/>
      <c r="G10" s="28"/>
      <c r="H10" s="10"/>
      <c r="I10" s="10">
        <f t="shared" si="5"/>
        <v>30992</v>
      </c>
      <c r="J10" s="10">
        <f t="shared" si="3"/>
        <v>48227806357.291718</v>
      </c>
      <c r="K10" s="11">
        <f t="shared" si="4"/>
        <v>8.599999999999941E-3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1542868.6027733677</v>
      </c>
      <c r="D11" s="11">
        <v>6.4000000000000003E-3</v>
      </c>
      <c r="E11" s="10">
        <f t="shared" si="2"/>
        <v>9811.5650414840784</v>
      </c>
      <c r="F11" s="3"/>
      <c r="G11" s="28"/>
      <c r="H11" s="10"/>
      <c r="I11" s="10">
        <f t="shared" si="5"/>
        <v>30992</v>
      </c>
      <c r="J11" s="10">
        <f t="shared" si="3"/>
        <v>47816583737.152214</v>
      </c>
      <c r="K11" s="11">
        <f t="shared" si="4"/>
        <v>6.4000000000001833E-3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1533057.0377318836</v>
      </c>
      <c r="D12" s="11">
        <v>4.4000000000000003E-3</v>
      </c>
      <c r="E12" s="10">
        <f t="shared" si="2"/>
        <v>6715.9010016131215</v>
      </c>
      <c r="F12" s="3"/>
      <c r="G12" s="28"/>
      <c r="H12" s="10"/>
      <c r="I12" s="10">
        <f t="shared" si="5"/>
        <v>30992</v>
      </c>
      <c r="J12" s="10">
        <f t="shared" si="3"/>
        <v>47512503713.386536</v>
      </c>
      <c r="K12" s="11">
        <f t="shared" si="4"/>
        <v>4.3999999999999595E-3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1526341.1367302705</v>
      </c>
      <c r="D13" s="11">
        <v>7.7999999999999996E-3</v>
      </c>
      <c r="E13" s="10">
        <f t="shared" si="2"/>
        <v>11813.316993943416</v>
      </c>
      <c r="F13" s="3"/>
      <c r="G13" s="28"/>
      <c r="H13" s="10"/>
      <c r="I13" s="10">
        <f t="shared" si="5"/>
        <v>30992</v>
      </c>
      <c r="J13" s="10">
        <f t="shared" si="3"/>
        <v>47304364509.54454</v>
      </c>
      <c r="K13" s="11">
        <f t="shared" si="4"/>
        <v>7.8000000000000291E-3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1514527.819736327</v>
      </c>
      <c r="D14" s="11">
        <v>-2E-3</v>
      </c>
      <c r="E14" s="10">
        <f t="shared" si="2"/>
        <v>-3035.1258912552148</v>
      </c>
      <c r="F14" s="3"/>
      <c r="G14" s="28"/>
      <c r="H14" s="10"/>
      <c r="I14" s="10">
        <f t="shared" si="5"/>
        <v>30992</v>
      </c>
      <c r="J14" s="10">
        <f t="shared" si="3"/>
        <v>46938246189.26825</v>
      </c>
      <c r="K14" s="11">
        <f t="shared" si="4"/>
        <v>-2.0000000000000018E-3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1517562.9456275823</v>
      </c>
      <c r="D15" s="11">
        <v>4.4000000000000003E-3</v>
      </c>
      <c r="E15" s="10">
        <f t="shared" si="2"/>
        <v>6648.0256479105446</v>
      </c>
      <c r="F15" s="3"/>
      <c r="G15" s="28"/>
      <c r="H15" s="10"/>
      <c r="I15" s="10">
        <f t="shared" si="5"/>
        <v>30992</v>
      </c>
      <c r="J15" s="10">
        <f t="shared" si="3"/>
        <v>47032310810.89003</v>
      </c>
      <c r="K15" s="11">
        <f t="shared" si="4"/>
        <v>4.3999999999999595E-3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1510914.9199796717</v>
      </c>
      <c r="D16" s="11">
        <v>7.4000000000000003E-3</v>
      </c>
      <c r="E16" s="10">
        <f t="shared" si="2"/>
        <v>11098.640468383674</v>
      </c>
      <c r="F16" s="3"/>
      <c r="G16" s="28"/>
      <c r="H16" s="10"/>
      <c r="I16" s="10">
        <f t="shared" si="5"/>
        <v>30992</v>
      </c>
      <c r="J16" s="10">
        <f t="shared" si="3"/>
        <v>46826275200.009987</v>
      </c>
      <c r="K16" s="11">
        <f t="shared" si="4"/>
        <v>7.4000000000000732E-3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1499816.279511288</v>
      </c>
      <c r="D17" s="11">
        <v>8.8000000000000005E-3</v>
      </c>
      <c r="E17" s="10">
        <f t="shared" si="2"/>
        <v>13083.250653944444</v>
      </c>
      <c r="F17" s="3"/>
      <c r="G17" s="28"/>
      <c r="H17" s="10"/>
      <c r="I17" s="10">
        <f t="shared" si="5"/>
        <v>30992</v>
      </c>
      <c r="J17" s="10">
        <f t="shared" si="3"/>
        <v>46482306134.613838</v>
      </c>
      <c r="K17" s="11">
        <f t="shared" si="4"/>
        <v>8.799999999999919E-3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1486733.0288573436</v>
      </c>
      <c r="D18" s="11">
        <v>9.5999999999999992E-3</v>
      </c>
      <c r="E18" s="10">
        <f t="shared" si="2"/>
        <v>14136.922619879711</v>
      </c>
      <c r="F18" s="3"/>
      <c r="G18" s="28"/>
      <c r="H18" s="10"/>
      <c r="I18" s="10">
        <f t="shared" si="5"/>
        <v>30992</v>
      </c>
      <c r="J18" s="10">
        <f t="shared" si="3"/>
        <v>46076830030.346794</v>
      </c>
      <c r="K18" s="11">
        <f t="shared" si="4"/>
        <v>9.6000000000000529E-3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1472596.1062374639</v>
      </c>
      <c r="D19" s="11">
        <v>8.3000000000000001E-3</v>
      </c>
      <c r="E19" s="10">
        <f t="shared" si="2"/>
        <v>12121.935616156785</v>
      </c>
      <c r="F19" s="3"/>
      <c r="G19" s="28"/>
      <c r="H19" s="10"/>
      <c r="I19" s="10">
        <f t="shared" si="5"/>
        <v>30992</v>
      </c>
      <c r="J19" s="10">
        <f t="shared" si="3"/>
        <v>45638698524.511482</v>
      </c>
      <c r="K19" s="11">
        <f t="shared" si="4"/>
        <v>8.2999999999999741E-3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1460474.1706213071</v>
      </c>
      <c r="D20" s="11">
        <v>8.3000000000000001E-3</v>
      </c>
      <c r="E20" s="10">
        <f t="shared" si="2"/>
        <v>12022.151756577194</v>
      </c>
      <c r="F20" s="3"/>
      <c r="G20" s="28"/>
      <c r="H20" s="10"/>
      <c r="I20" s="10">
        <f t="shared" si="5"/>
        <v>30992</v>
      </c>
      <c r="J20" s="10">
        <f t="shared" si="3"/>
        <v>45263015495.895546</v>
      </c>
      <c r="K20" s="11">
        <f t="shared" si="4"/>
        <v>8.2999999999999741E-3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1448452.0188647299</v>
      </c>
      <c r="D21" s="11">
        <v>4.4400000000000002E-2</v>
      </c>
      <c r="E21" s="10">
        <f t="shared" si="2"/>
        <v>61577.240173873957</v>
      </c>
      <c r="F21" s="3"/>
      <c r="G21" s="28"/>
      <c r="H21" s="10"/>
      <c r="I21" s="10">
        <f t="shared" si="5"/>
        <v>30992</v>
      </c>
      <c r="J21" s="10">
        <f t="shared" si="3"/>
        <v>44890424968.655708</v>
      </c>
      <c r="K21" s="11">
        <f t="shared" si="4"/>
        <v>4.4399999999999995E-2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1386874.778690856</v>
      </c>
      <c r="D22" s="11">
        <v>1.9800000000000002E-2</v>
      </c>
      <c r="E22" s="10">
        <f t="shared" si="2"/>
        <v>26926.96667785733</v>
      </c>
      <c r="F22" s="3"/>
      <c r="G22" s="28"/>
      <c r="H22" s="10"/>
      <c r="I22" s="10">
        <f t="shared" si="5"/>
        <v>30992</v>
      </c>
      <c r="J22" s="10">
        <f t="shared" si="3"/>
        <v>42982023141.187004</v>
      </c>
      <c r="K22" s="11">
        <f t="shared" si="4"/>
        <v>1.9799999999999818E-2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1359947.8120129986</v>
      </c>
      <c r="D23" s="11">
        <v>2.2499999999999999E-2</v>
      </c>
      <c r="E23" s="10">
        <f t="shared" si="2"/>
        <v>29925.501975835999</v>
      </c>
      <c r="F23" s="3"/>
      <c r="G23" s="28"/>
      <c r="H23" s="10"/>
      <c r="I23" s="10">
        <f t="shared" si="5"/>
        <v>30992</v>
      </c>
      <c r="J23" s="10">
        <f t="shared" si="3"/>
        <v>42147502589.906853</v>
      </c>
      <c r="K23" s="11">
        <f t="shared" si="4"/>
        <v>2.2499999999999742E-2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1330022.3100371626</v>
      </c>
      <c r="D24" s="11">
        <v>1.72E-2</v>
      </c>
      <c r="E24" s="10">
        <f t="shared" si="2"/>
        <v>22489.563244828256</v>
      </c>
      <c r="F24" s="3"/>
      <c r="G24" s="28"/>
      <c r="H24" s="10"/>
      <c r="I24" s="10">
        <f t="shared" si="5"/>
        <v>30992</v>
      </c>
      <c r="J24" s="10">
        <f t="shared" si="3"/>
        <v>41220051432.671745</v>
      </c>
      <c r="K24" s="11">
        <f t="shared" si="4"/>
        <v>1.7200000000000104E-2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1307532.7467923344</v>
      </c>
      <c r="D25" s="11">
        <v>8.3999999999999995E-3</v>
      </c>
      <c r="E25" s="10">
        <f t="shared" si="2"/>
        <v>10891.784086727072</v>
      </c>
      <c r="F25" s="3"/>
      <c r="G25" s="28"/>
      <c r="H25" s="10"/>
      <c r="I25" s="10">
        <f t="shared" si="5"/>
        <v>30992</v>
      </c>
      <c r="J25" s="10">
        <f t="shared" si="3"/>
        <v>40523054888.588028</v>
      </c>
      <c r="K25" s="11">
        <f t="shared" si="4"/>
        <v>8.3999999999999631E-3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1296640.9627056073</v>
      </c>
      <c r="D26" s="11">
        <v>8.3000000000000001E-3</v>
      </c>
      <c r="E26" s="10">
        <f t="shared" si="2"/>
        <v>10673.529693996301</v>
      </c>
      <c r="F26" s="3"/>
      <c r="G26" s="28"/>
      <c r="H26" s="10"/>
      <c r="I26" s="10">
        <f t="shared" si="5"/>
        <v>30992</v>
      </c>
      <c r="J26" s="10">
        <f t="shared" si="3"/>
        <v>40185496716.17218</v>
      </c>
      <c r="K26" s="11">
        <f t="shared" si="4"/>
        <v>8.299999999999752E-3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1285967.433011611</v>
      </c>
      <c r="D27" s="11">
        <v>3.2000000000000002E-3</v>
      </c>
      <c r="E27" s="10">
        <f t="shared" si="2"/>
        <v>4101.969483290799</v>
      </c>
      <c r="F27" s="3"/>
      <c r="G27" s="28"/>
      <c r="H27" s="10"/>
      <c r="I27" s="10">
        <f t="shared" si="5"/>
        <v>30992</v>
      </c>
      <c r="J27" s="10">
        <f t="shared" si="3"/>
        <v>39854702683.895851</v>
      </c>
      <c r="K27" s="11">
        <f t="shared" si="4"/>
        <v>3.2000000000000917E-3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1281865.4635283202</v>
      </c>
      <c r="D28" s="11">
        <v>1.04E-2</v>
      </c>
      <c r="E28" s="10">
        <f t="shared" si="2"/>
        <v>13194.181334812427</v>
      </c>
      <c r="F28" s="3"/>
      <c r="G28" s="28"/>
      <c r="H28" s="10"/>
      <c r="I28" s="10">
        <f t="shared" si="5"/>
        <v>30992</v>
      </c>
      <c r="J28" s="10">
        <f t="shared" si="3"/>
        <v>39727574445.669701</v>
      </c>
      <c r="K28" s="11">
        <f t="shared" si="4"/>
        <v>1.0399999999999965E-2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1268671.2821935078</v>
      </c>
      <c r="D29" s="11">
        <v>8.3999999999999995E-3</v>
      </c>
      <c r="E29" s="10">
        <f t="shared" si="2"/>
        <v>10568.067007561913</v>
      </c>
      <c r="F29" s="3"/>
      <c r="G29" s="28"/>
      <c r="H29" s="10"/>
      <c r="I29" s="10">
        <f t="shared" si="5"/>
        <v>30992</v>
      </c>
      <c r="J29" s="10">
        <f t="shared" si="3"/>
        <v>39318660377.741196</v>
      </c>
      <c r="K29" s="11">
        <f t="shared" si="4"/>
        <v>8.4000000000001851E-3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1258103.2151859459</v>
      </c>
      <c r="D30" s="11">
        <v>1.01E-2</v>
      </c>
      <c r="E30" s="10">
        <f t="shared" si="2"/>
        <v>12579.786628430942</v>
      </c>
      <c r="F30" s="3"/>
      <c r="G30" s="28"/>
      <c r="H30" s="10"/>
      <c r="I30" s="10">
        <f t="shared" si="5"/>
        <v>30992</v>
      </c>
      <c r="J30" s="10">
        <f t="shared" si="3"/>
        <v>38991134845.042831</v>
      </c>
      <c r="K30" s="11">
        <f t="shared" si="4"/>
        <v>1.0099999999999998E-2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1245523.4285575149</v>
      </c>
      <c r="D31" s="11">
        <v>1.2500000000000001E-2</v>
      </c>
      <c r="E31" s="10">
        <f t="shared" si="2"/>
        <v>15376.832451327238</v>
      </c>
      <c r="F31" s="3"/>
      <c r="G31" s="28"/>
      <c r="H31" s="10"/>
      <c r="I31" s="10">
        <f t="shared" si="5"/>
        <v>30992</v>
      </c>
      <c r="J31" s="10">
        <f t="shared" si="3"/>
        <v>38601262097.8545</v>
      </c>
      <c r="K31" s="11">
        <f t="shared" si="4"/>
        <v>1.2499999999999734E-2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1230146.5961061877</v>
      </c>
      <c r="D32" s="11">
        <v>1.0699999999999999E-2</v>
      </c>
      <c r="E32" s="10">
        <f t="shared" si="2"/>
        <v>13023.220123019768</v>
      </c>
      <c r="F32" s="3"/>
      <c r="G32" s="28"/>
      <c r="H32" s="10"/>
      <c r="I32" s="10">
        <f t="shared" si="5"/>
        <v>30992</v>
      </c>
      <c r="J32" s="10">
        <f t="shared" si="3"/>
        <v>38124703306.522972</v>
      </c>
      <c r="K32" s="11">
        <f t="shared" si="4"/>
        <v>1.0700000000000154E-2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1217123.3759831679</v>
      </c>
      <c r="D33" s="11">
        <v>9.7999999999999997E-3</v>
      </c>
      <c r="E33" s="10">
        <f t="shared" si="2"/>
        <v>11812.050984982168</v>
      </c>
      <c r="F33" s="3"/>
      <c r="G33" s="28"/>
      <c r="H33" s="10"/>
      <c r="I33" s="10">
        <f t="shared" si="5"/>
        <v>30992</v>
      </c>
      <c r="J33" s="10">
        <f t="shared" si="3"/>
        <v>37721087668.470337</v>
      </c>
      <c r="K33" s="11">
        <f t="shared" si="4"/>
        <v>9.7999999999998089E-3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1205311.3249981857</v>
      </c>
      <c r="D34" s="11">
        <v>1.52E-2</v>
      </c>
      <c r="E34" s="10">
        <f t="shared" si="2"/>
        <v>18046.426457813708</v>
      </c>
      <c r="F34" s="3"/>
      <c r="G34" s="28"/>
      <c r="H34" s="10"/>
      <c r="I34" s="10">
        <f t="shared" si="5"/>
        <v>30992</v>
      </c>
      <c r="J34" s="10">
        <f t="shared" ref="J34:J65" si="6">IF(I34="","",I34*C34)</f>
        <v>37355008584.343773</v>
      </c>
      <c r="K34" s="11">
        <f t="shared" ref="K34:K65" si="7">IFERROR(J34/J35-1,"")</f>
        <v>1.5200000000000102E-2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1187264.898540372</v>
      </c>
      <c r="D35" s="11">
        <v>1.55E-2</v>
      </c>
      <c r="E35" s="10">
        <f t="shared" si="2"/>
        <v>18121.719278558157</v>
      </c>
      <c r="F35" s="3"/>
      <c r="G35" s="28"/>
      <c r="H35" s="10"/>
      <c r="I35" s="10">
        <f t="shared" ref="I35:I66" si="8">IF(H35&lt;&gt;"",H35,I34/(1+IF(G34="",0,G34)/100))</f>
        <v>30992</v>
      </c>
      <c r="J35" s="10">
        <f t="shared" si="6"/>
        <v>36795713735.56321</v>
      </c>
      <c r="K35" s="11">
        <f t="shared" si="7"/>
        <v>1.5500000000000069E-2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1169143.1792618139</v>
      </c>
      <c r="D36" s="11">
        <v>2.35E-2</v>
      </c>
      <c r="E36" s="10">
        <f t="shared" si="2"/>
        <v>26844.030007476918</v>
      </c>
      <c r="F36" s="3"/>
      <c r="G36" s="28"/>
      <c r="H36" s="10"/>
      <c r="I36" s="10">
        <f t="shared" si="8"/>
        <v>30992</v>
      </c>
      <c r="J36" s="10">
        <f t="shared" si="6"/>
        <v>36234085411.682137</v>
      </c>
      <c r="K36" s="11">
        <f t="shared" si="7"/>
        <v>2.3499999999999854E-2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1142299.149254337</v>
      </c>
      <c r="D37" s="11">
        <v>2.6700000000000002E-2</v>
      </c>
      <c r="E37" s="10">
        <f t="shared" si="2"/>
        <v>29706.230919538997</v>
      </c>
      <c r="F37" s="3"/>
      <c r="G37" s="28"/>
      <c r="H37" s="10"/>
      <c r="I37" s="10">
        <f t="shared" si="8"/>
        <v>30992</v>
      </c>
      <c r="J37" s="10">
        <f t="shared" si="6"/>
        <v>35402135233.690414</v>
      </c>
      <c r="K37" s="11">
        <f t="shared" si="7"/>
        <v>2.6699999999999946E-2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1112592.918334798</v>
      </c>
      <c r="D38" s="11">
        <v>5.4699999999999999E-2</v>
      </c>
      <c r="E38" s="10">
        <f t="shared" si="2"/>
        <v>57702.505577807315</v>
      </c>
      <c r="F38" s="3"/>
      <c r="G38" s="28"/>
      <c r="H38" s="10"/>
      <c r="I38" s="10">
        <f t="shared" si="8"/>
        <v>30992</v>
      </c>
      <c r="J38" s="10">
        <f t="shared" si="6"/>
        <v>34481479725.032059</v>
      </c>
      <c r="K38" s="11">
        <f t="shared" si="7"/>
        <v>5.4699999999999971E-2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1054890.4127569906</v>
      </c>
      <c r="D39" s="11">
        <v>1.8100000000000002E-2</v>
      </c>
      <c r="E39" s="10">
        <f t="shared" si="2"/>
        <v>18754.067842944176</v>
      </c>
      <c r="F39" s="3"/>
      <c r="G39" s="28"/>
      <c r="H39" s="10"/>
      <c r="I39" s="10">
        <f t="shared" si="8"/>
        <v>30992</v>
      </c>
      <c r="J39" s="10">
        <f t="shared" si="6"/>
        <v>32693163672.164654</v>
      </c>
      <c r="K39" s="11">
        <f t="shared" si="7"/>
        <v>1.8099999999999783E-2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1036136.3449140465</v>
      </c>
      <c r="D40" s="11">
        <v>1.44E-2</v>
      </c>
      <c r="E40" s="10">
        <f t="shared" si="2"/>
        <v>14708.560101303505</v>
      </c>
      <c r="F40" s="3"/>
      <c r="G40" s="28"/>
      <c r="H40" s="10"/>
      <c r="I40" s="10">
        <f t="shared" si="8"/>
        <v>30992</v>
      </c>
      <c r="J40" s="10">
        <f t="shared" si="6"/>
        <v>32111937601.57613</v>
      </c>
      <c r="K40" s="11">
        <f t="shared" si="7"/>
        <v>1.4399999999999968E-2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1021427.784812743</v>
      </c>
      <c r="D41" s="11">
        <v>1.26E-2</v>
      </c>
      <c r="E41" s="10">
        <f t="shared" si="2"/>
        <v>12709.846028679167</v>
      </c>
      <c r="F41" s="3"/>
      <c r="G41" s="28"/>
      <c r="H41" s="10"/>
      <c r="I41" s="10">
        <f t="shared" si="8"/>
        <v>30992</v>
      </c>
      <c r="J41" s="10">
        <f t="shared" si="6"/>
        <v>31656089906.916531</v>
      </c>
      <c r="K41" s="11">
        <f t="shared" si="7"/>
        <v>1.2599999999999945E-2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1008717.9387840638</v>
      </c>
      <c r="D42" s="11">
        <v>1.9E-2</v>
      </c>
      <c r="E42" s="10">
        <f t="shared" si="2"/>
        <v>18808.283451322</v>
      </c>
      <c r="F42" s="3"/>
      <c r="G42" s="28"/>
      <c r="H42" s="10"/>
      <c r="I42" s="10">
        <f t="shared" si="8"/>
        <v>30992</v>
      </c>
      <c r="J42" s="10">
        <f t="shared" si="6"/>
        <v>31262186358.795704</v>
      </c>
      <c r="K42" s="11">
        <f t="shared" si="7"/>
        <v>1.8999999999999906E-2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989909.65533274179</v>
      </c>
      <c r="D43" s="11">
        <v>3.1600000000000003E-2</v>
      </c>
      <c r="E43" s="10">
        <f t="shared" si="2"/>
        <v>30322.940198249999</v>
      </c>
      <c r="F43" s="3"/>
      <c r="G43" s="28"/>
      <c r="H43" s="10"/>
      <c r="I43" s="10">
        <f t="shared" si="8"/>
        <v>30992</v>
      </c>
      <c r="J43" s="10">
        <f t="shared" si="6"/>
        <v>30679280038.072334</v>
      </c>
      <c r="K43" s="11">
        <f t="shared" si="7"/>
        <v>3.1600000000000072E-2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959586.71513449179</v>
      </c>
      <c r="D44" s="11">
        <v>2.8199999999999999E-2</v>
      </c>
      <c r="E44" s="10">
        <f t="shared" si="2"/>
        <v>26318.172891259193</v>
      </c>
      <c r="F44" s="3"/>
      <c r="G44" s="28"/>
      <c r="H44" s="10"/>
      <c r="I44" s="10">
        <f t="shared" si="8"/>
        <v>30992</v>
      </c>
      <c r="J44" s="10">
        <f t="shared" si="6"/>
        <v>29739511475.44817</v>
      </c>
      <c r="K44" s="11">
        <f t="shared" si="7"/>
        <v>2.8200000000000003E-2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933268.5422432326</v>
      </c>
      <c r="D45" s="11">
        <v>1.9199999999999998E-2</v>
      </c>
      <c r="E45" s="10">
        <f t="shared" si="2"/>
        <v>17581.19702813006</v>
      </c>
      <c r="F45" s="3"/>
      <c r="G45" s="28"/>
      <c r="H45" s="10"/>
      <c r="I45" s="10">
        <f t="shared" si="8"/>
        <v>30992</v>
      </c>
      <c r="J45" s="10">
        <f t="shared" si="6"/>
        <v>28923858661.202263</v>
      </c>
      <c r="K45" s="11">
        <f t="shared" si="7"/>
        <v>1.9199999999999884E-2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915687.34521510254</v>
      </c>
      <c r="D46" s="11">
        <v>2.1600000000000001E-2</v>
      </c>
      <c r="E46" s="10">
        <f t="shared" si="2"/>
        <v>19360.656476748525</v>
      </c>
      <c r="F46" s="3"/>
      <c r="G46" s="28"/>
      <c r="H46" s="10"/>
      <c r="I46" s="10">
        <f t="shared" si="8"/>
        <v>30992</v>
      </c>
      <c r="J46" s="10">
        <f t="shared" si="6"/>
        <v>28378982202.90646</v>
      </c>
      <c r="K46" s="11">
        <f t="shared" si="7"/>
        <v>2.1600000000000286E-2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896326.68873835402</v>
      </c>
      <c r="D47" s="11">
        <v>2.4299999999999999E-2</v>
      </c>
      <c r="E47" s="10">
        <f t="shared" si="2"/>
        <v>21264.022782721906</v>
      </c>
      <c r="F47" s="3"/>
      <c r="G47" s="28"/>
      <c r="H47" s="10"/>
      <c r="I47" s="10">
        <f t="shared" si="8"/>
        <v>30992</v>
      </c>
      <c r="J47" s="10">
        <f t="shared" si="6"/>
        <v>27778956737.379066</v>
      </c>
      <c r="K47" s="11">
        <f t="shared" si="7"/>
        <v>2.4299999999999988E-2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875062.66595563211</v>
      </c>
      <c r="D48" s="11">
        <v>1.6E-2</v>
      </c>
      <c r="E48" s="10">
        <f t="shared" si="2"/>
        <v>13780.514424498193</v>
      </c>
      <c r="F48" s="3"/>
      <c r="G48" s="28"/>
      <c r="H48" s="10"/>
      <c r="I48" s="10">
        <f t="shared" si="8"/>
        <v>30992</v>
      </c>
      <c r="J48" s="10">
        <f t="shared" si="6"/>
        <v>27119942143.296951</v>
      </c>
      <c r="K48" s="11">
        <f t="shared" si="7"/>
        <v>1.6000000000000014E-2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861282.15153113392</v>
      </c>
      <c r="D49" s="11">
        <v>2.12E-2</v>
      </c>
      <c r="E49" s="10">
        <f t="shared" si="2"/>
        <v>17880.123004759196</v>
      </c>
      <c r="F49" s="3"/>
      <c r="G49" s="28"/>
      <c r="H49" s="10"/>
      <c r="I49" s="10">
        <f t="shared" si="8"/>
        <v>30992</v>
      </c>
      <c r="J49" s="10">
        <f t="shared" si="6"/>
        <v>26692856440.252903</v>
      </c>
      <c r="K49" s="11">
        <f t="shared" si="7"/>
        <v>2.1200000000000108E-2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843402.02852637472</v>
      </c>
      <c r="D50" s="11">
        <v>2.53E-2</v>
      </c>
      <c r="E50" s="10">
        <f t="shared" si="2"/>
        <v>20811.539375516819</v>
      </c>
      <c r="F50" s="3"/>
      <c r="G50" s="28"/>
      <c r="H50" s="10"/>
      <c r="I50" s="10">
        <f t="shared" si="8"/>
        <v>30992</v>
      </c>
      <c r="J50" s="10">
        <f t="shared" si="6"/>
        <v>26138715668.089405</v>
      </c>
      <c r="K50" s="11">
        <f t="shared" si="7"/>
        <v>2.53000000000001E-2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822590.4891508579</v>
      </c>
      <c r="D51" s="11">
        <v>8.8999999999999999E-3</v>
      </c>
      <c r="E51" s="10">
        <f t="shared" si="2"/>
        <v>7256.4727460031863</v>
      </c>
      <c r="F51" s="3"/>
      <c r="G51" s="28"/>
      <c r="H51" s="10"/>
      <c r="I51" s="10">
        <f t="shared" si="8"/>
        <v>30992</v>
      </c>
      <c r="J51" s="10">
        <f t="shared" si="6"/>
        <v>25493724439.76339</v>
      </c>
      <c r="K51" s="11">
        <f t="shared" si="7"/>
        <v>8.899999999999908E-3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815334.01640485472</v>
      </c>
      <c r="D52" s="11">
        <v>2.63E-2</v>
      </c>
      <c r="E52" s="10">
        <f t="shared" si="2"/>
        <v>20893.778263127431</v>
      </c>
      <c r="F52" s="3"/>
      <c r="G52" s="28"/>
      <c r="H52" s="10"/>
      <c r="I52" s="10">
        <f t="shared" si="8"/>
        <v>30992</v>
      </c>
      <c r="J52" s="10">
        <f t="shared" si="6"/>
        <v>25268831836.419258</v>
      </c>
      <c r="K52" s="11">
        <f t="shared" si="7"/>
        <v>2.629999999999999E-2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794440.23814172728</v>
      </c>
      <c r="D53" s="11">
        <v>2.4199999999999999E-2</v>
      </c>
      <c r="E53" s="10">
        <f t="shared" si="2"/>
        <v>18771.19094222784</v>
      </c>
      <c r="F53" s="3"/>
      <c r="G53" s="28"/>
      <c r="H53" s="10"/>
      <c r="I53" s="10">
        <f t="shared" si="8"/>
        <v>30992</v>
      </c>
      <c r="J53" s="10">
        <f t="shared" si="6"/>
        <v>24621291860.488411</v>
      </c>
      <c r="K53" s="11">
        <f t="shared" si="7"/>
        <v>2.4199999999999777E-2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775669.04719949944</v>
      </c>
      <c r="D54" s="11">
        <v>3.44E-2</v>
      </c>
      <c r="E54" s="10">
        <f t="shared" si="2"/>
        <v>25795.645034476765</v>
      </c>
      <c r="F54" s="3"/>
      <c r="G54" s="28"/>
      <c r="H54" s="10"/>
      <c r="I54" s="10">
        <f t="shared" si="8"/>
        <v>30992</v>
      </c>
      <c r="J54" s="10">
        <f t="shared" si="6"/>
        <v>24039535110.806889</v>
      </c>
      <c r="K54" s="11">
        <f t="shared" si="7"/>
        <v>3.4399999999999986E-2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749873.40216502268</v>
      </c>
      <c r="D55" s="11">
        <v>4.24E-2</v>
      </c>
      <c r="E55" s="10">
        <f t="shared" si="2"/>
        <v>30501.373994432972</v>
      </c>
      <c r="F55" s="3"/>
      <c r="G55" s="28"/>
      <c r="H55" s="10"/>
      <c r="I55" s="10">
        <f t="shared" si="8"/>
        <v>30992</v>
      </c>
      <c r="J55" s="10">
        <f t="shared" si="6"/>
        <v>23240076479.898384</v>
      </c>
      <c r="K55" s="11">
        <f t="shared" si="7"/>
        <v>4.2399999999999993E-2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719372.02817058971</v>
      </c>
      <c r="D56" s="11">
        <v>2.3400000000000001E-2</v>
      </c>
      <c r="E56" s="10">
        <f t="shared" si="2"/>
        <v>16448.412604252342</v>
      </c>
      <c r="F56" s="3"/>
      <c r="G56" s="28"/>
      <c r="H56" s="10"/>
      <c r="I56" s="10">
        <f t="shared" si="8"/>
        <v>30992</v>
      </c>
      <c r="J56" s="10">
        <f t="shared" si="6"/>
        <v>22294777897.062916</v>
      </c>
      <c r="K56" s="11">
        <f t="shared" si="7"/>
        <v>2.3400000000000087E-2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702923.61556633736</v>
      </c>
      <c r="D57" s="11">
        <v>2.4E-2</v>
      </c>
      <c r="E57" s="10">
        <f t="shared" si="2"/>
        <v>16474.772239836049</v>
      </c>
      <c r="F57" s="3"/>
      <c r="G57" s="28"/>
      <c r="H57" s="10"/>
      <c r="I57" s="10">
        <f t="shared" si="8"/>
        <v>30992</v>
      </c>
      <c r="J57" s="10">
        <f t="shared" si="6"/>
        <v>21785008693.631927</v>
      </c>
      <c r="K57" s="11">
        <f t="shared" si="7"/>
        <v>2.4000000000000021E-2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686448.84332650132</v>
      </c>
      <c r="D58" s="11">
        <v>2.5000000000000001E-2</v>
      </c>
      <c r="E58" s="10">
        <f t="shared" si="2"/>
        <v>16742.654715280514</v>
      </c>
      <c r="F58" s="3"/>
      <c r="G58" s="28"/>
      <c r="H58" s="10"/>
      <c r="I58" s="10">
        <f t="shared" si="8"/>
        <v>30992</v>
      </c>
      <c r="J58" s="10">
        <f t="shared" si="6"/>
        <v>21274422552.374928</v>
      </c>
      <c r="K58" s="11">
        <f t="shared" si="7"/>
        <v>2.4999999999999911E-2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669706.1886112208</v>
      </c>
      <c r="D59" s="11">
        <v>2.5000000000000001E-2</v>
      </c>
      <c r="E59" s="10">
        <f t="shared" si="2"/>
        <v>16334.297283200431</v>
      </c>
      <c r="F59" s="3"/>
      <c r="G59" s="28"/>
      <c r="H59" s="10"/>
      <c r="I59" s="10">
        <f t="shared" si="8"/>
        <v>30992</v>
      </c>
      <c r="J59" s="10">
        <f t="shared" si="6"/>
        <v>20755534197.438953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653371.89132802037</v>
      </c>
      <c r="D60" s="11">
        <v>2.5000000000000001E-2</v>
      </c>
      <c r="E60" s="10">
        <f t="shared" si="2"/>
        <v>15935.899788488285</v>
      </c>
      <c r="F60" s="3"/>
      <c r="G60" s="28"/>
      <c r="H60" s="10"/>
      <c r="I60" s="10">
        <f t="shared" si="8"/>
        <v>30992</v>
      </c>
      <c r="J60" s="10">
        <f t="shared" si="6"/>
        <v>20249301656.038006</v>
      </c>
      <c r="K60" s="11">
        <f t="shared" si="7"/>
        <v>2.4999999999999911E-2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637435.99153953209</v>
      </c>
      <c r="D61" s="11">
        <v>2.5000000000000001E-2</v>
      </c>
      <c r="E61" s="10">
        <f t="shared" si="2"/>
        <v>15547.219305842184</v>
      </c>
      <c r="F61" s="3"/>
      <c r="G61" s="28"/>
      <c r="H61" s="10"/>
      <c r="I61" s="10">
        <f t="shared" si="8"/>
        <v>30992</v>
      </c>
      <c r="J61" s="10">
        <f t="shared" si="6"/>
        <v>19755416249.793179</v>
      </c>
      <c r="K61" s="11">
        <f t="shared" si="7"/>
        <v>2.4999999999999911E-2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621888.7722336899</v>
      </c>
      <c r="D62" s="11">
        <v>2.7E-2</v>
      </c>
      <c r="E62" s="10">
        <f t="shared" si="2"/>
        <v>16349.558763689944</v>
      </c>
      <c r="F62" s="3"/>
      <c r="G62" s="28"/>
      <c r="H62" s="10"/>
      <c r="I62" s="10">
        <f t="shared" si="8"/>
        <v>30992</v>
      </c>
      <c r="J62" s="10">
        <f t="shared" si="6"/>
        <v>19273576829.066517</v>
      </c>
      <c r="K62" s="11">
        <f t="shared" si="7"/>
        <v>2.6999999999999913E-2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605539.21346999996</v>
      </c>
      <c r="D63" s="11">
        <v>2.8000000000000001E-2</v>
      </c>
      <c r="E63" s="10">
        <f t="shared" si="2"/>
        <v>16493.285969999968</v>
      </c>
      <c r="F63" s="3"/>
      <c r="G63" s="28"/>
      <c r="H63" s="10"/>
      <c r="I63" s="10">
        <f t="shared" si="8"/>
        <v>30992</v>
      </c>
      <c r="J63" s="10">
        <f t="shared" si="6"/>
        <v>18766871303.86224</v>
      </c>
      <c r="K63" s="11">
        <f t="shared" si="7"/>
        <v>2.8000000000000025E-2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589045.92749999999</v>
      </c>
      <c r="D64" s="11">
        <v>2.8000000000000001E-2</v>
      </c>
      <c r="E64" s="10">
        <f t="shared" si="2"/>
        <v>16044.052499999991</v>
      </c>
      <c r="F64" s="3"/>
      <c r="G64" s="28"/>
      <c r="H64" s="10"/>
      <c r="I64" s="10">
        <f t="shared" si="8"/>
        <v>30992</v>
      </c>
      <c r="J64" s="10">
        <f t="shared" si="6"/>
        <v>18255711385.079998</v>
      </c>
      <c r="K64" s="11">
        <f t="shared" si="7"/>
        <v>2.7999999999999803E-2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573001.875</v>
      </c>
      <c r="D65" s="11">
        <v>0.03</v>
      </c>
      <c r="E65" s="10">
        <f t="shared" si="2"/>
        <v>16689.375</v>
      </c>
      <c r="F65" s="3"/>
      <c r="G65" s="28"/>
      <c r="H65" s="10"/>
      <c r="I65" s="10">
        <f t="shared" si="8"/>
        <v>30992</v>
      </c>
      <c r="J65" s="10">
        <f t="shared" si="6"/>
        <v>17758474110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556312.5</v>
      </c>
      <c r="D66" s="11">
        <v>3.5000000000000003E-2</v>
      </c>
      <c r="E66" s="10">
        <f t="shared" si="2"/>
        <v>18812.5</v>
      </c>
      <c r="F66" s="24">
        <f>SUM(F2)</f>
        <v>1640804</v>
      </c>
      <c r="G66" s="28"/>
      <c r="H66" s="10"/>
      <c r="I66" s="10">
        <f t="shared" si="8"/>
        <v>30992</v>
      </c>
      <c r="J66" s="10">
        <f t="shared" ref="J66:J67" si="9">IF(I66="","",I66*C66)</f>
        <v>17241237000</v>
      </c>
      <c r="K66" s="11">
        <f t="shared" ref="K66" si="10">IFERROR(J66/J67-1,"")</f>
        <v>3.499999999999992E-2</v>
      </c>
    </row>
    <row r="67" spans="1:11" ht="22.5" customHeight="1">
      <c r="A67" s="3">
        <f t="shared" si="0"/>
        <v>1950</v>
      </c>
      <c r="B67" s="3">
        <v>1700</v>
      </c>
      <c r="C67" s="10">
        <v>537500</v>
      </c>
      <c r="D67" s="11">
        <v>0.04</v>
      </c>
      <c r="E67" s="3" t="s">
        <v>72</v>
      </c>
      <c r="F67" s="10">
        <f>SUM(C2)</f>
        <v>1640021.0724828092</v>
      </c>
      <c r="G67" s="28"/>
      <c r="H67" s="10"/>
      <c r="I67" s="10">
        <f t="shared" ref="I67" si="11">IF(H67&lt;&gt;"",H67,I66/(1+IF(G66="",0,G66)/100))</f>
        <v>30992</v>
      </c>
      <c r="J67" s="10">
        <f t="shared" si="9"/>
        <v>16658200000</v>
      </c>
      <c r="K67" s="11"/>
    </row>
  </sheetData>
  <dataValidations count="1">
    <dataValidation type="custom" allowBlank="1" showDropDown="1" sqref="D2:D67" xr:uid="{00000000-0002-0000-7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143974128.2677395</v>
      </c>
      <c r="D2" s="11">
        <v>8.8999999999999999E-3</v>
      </c>
      <c r="E2" s="10">
        <f t="shared" ref="E2:E66" si="2">SUM(C2-C3)</f>
        <v>1270066.1528227329</v>
      </c>
      <c r="F2" s="15">
        <v>143972723</v>
      </c>
      <c r="G2" s="28"/>
      <c r="H2" s="10"/>
      <c r="I2" s="10">
        <f>IF(H2&lt;&gt;"",H2,5000)</f>
        <v>5000</v>
      </c>
      <c r="J2" s="10">
        <f t="shared" ref="J2:J33" si="3">IF(I2="","",I2*C2)</f>
        <v>719870641338.69751</v>
      </c>
      <c r="K2" s="11">
        <f t="shared" ref="K2:K33" si="4">IFERROR(J2/J3-1,"")</f>
        <v>8.8999999999996859E-3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142704062.11491677</v>
      </c>
      <c r="D3" s="11">
        <v>9.1000000000000004E-3</v>
      </c>
      <c r="E3" s="10">
        <f t="shared" si="2"/>
        <v>1286896.2097371519</v>
      </c>
      <c r="F3" s="3"/>
      <c r="G3" s="28"/>
      <c r="H3" s="10"/>
      <c r="I3" s="10">
        <f t="shared" ref="I3:I34" si="5">IF(H3&lt;&gt;"",H3,I2/(1+IF(G2="",0,G2)/100))</f>
        <v>5000</v>
      </c>
      <c r="J3" s="10">
        <f t="shared" si="3"/>
        <v>713520310574.58386</v>
      </c>
      <c r="K3" s="11">
        <f t="shared" si="4"/>
        <v>9.100000000000108E-3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141417165.90517962</v>
      </c>
      <c r="D4" s="11">
        <v>9.4000000000000004E-3</v>
      </c>
      <c r="E4" s="10">
        <f t="shared" si="2"/>
        <v>1316942.1037335992</v>
      </c>
      <c r="F4" s="3"/>
      <c r="G4" s="28"/>
      <c r="H4" s="10"/>
      <c r="I4" s="10">
        <f t="shared" si="5"/>
        <v>5000</v>
      </c>
      <c r="J4" s="10">
        <f t="shared" si="3"/>
        <v>707085829525.89807</v>
      </c>
      <c r="K4" s="11">
        <f t="shared" si="4"/>
        <v>9.400000000000075E-3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140100223.80144602</v>
      </c>
      <c r="D5" s="11">
        <v>9.5999999999999992E-3</v>
      </c>
      <c r="E5" s="10">
        <f t="shared" si="2"/>
        <v>1332173.284958303</v>
      </c>
      <c r="F5" s="3"/>
      <c r="G5" s="28"/>
      <c r="H5" s="10"/>
      <c r="I5" s="10">
        <f t="shared" si="5"/>
        <v>5000</v>
      </c>
      <c r="J5" s="10">
        <f t="shared" si="3"/>
        <v>700501119007.2301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138768050.51648772</v>
      </c>
      <c r="D6" s="11">
        <v>9.1000000000000004E-3</v>
      </c>
      <c r="E6" s="10">
        <f t="shared" si="2"/>
        <v>1251401.5059954822</v>
      </c>
      <c r="F6" s="3"/>
      <c r="G6" s="28"/>
      <c r="H6" s="10"/>
      <c r="I6" s="10">
        <f t="shared" si="5"/>
        <v>5000</v>
      </c>
      <c r="J6" s="10">
        <f t="shared" si="3"/>
        <v>693840252582.4386</v>
      </c>
      <c r="K6" s="11">
        <f t="shared" si="4"/>
        <v>9.100000000000108E-3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137516649.01049224</v>
      </c>
      <c r="D7" s="11">
        <v>8.8000000000000005E-3</v>
      </c>
      <c r="E7" s="10">
        <f t="shared" si="2"/>
        <v>1199590.1182517111</v>
      </c>
      <c r="F7" s="3"/>
      <c r="G7" s="28"/>
      <c r="H7" s="10"/>
      <c r="I7" s="10">
        <f t="shared" si="5"/>
        <v>5000</v>
      </c>
      <c r="J7" s="10">
        <f t="shared" si="3"/>
        <v>687583245052.46118</v>
      </c>
      <c r="K7" s="11">
        <f t="shared" si="4"/>
        <v>8.799999999999919E-3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136317058.89224052</v>
      </c>
      <c r="D8" s="11">
        <v>9.2999999999999992E-3</v>
      </c>
      <c r="E8" s="10">
        <f t="shared" si="2"/>
        <v>1256067.2225283384</v>
      </c>
      <c r="F8" s="3"/>
      <c r="G8" s="28"/>
      <c r="H8" s="10"/>
      <c r="I8" s="10">
        <f t="shared" si="5"/>
        <v>5000</v>
      </c>
      <c r="J8" s="10">
        <f t="shared" si="3"/>
        <v>681585294461.20264</v>
      </c>
      <c r="K8" s="11">
        <f t="shared" si="4"/>
        <v>9.300000000000086E-3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135060991.66971219</v>
      </c>
      <c r="D9" s="11">
        <v>0.01</v>
      </c>
      <c r="E9" s="10">
        <f t="shared" si="2"/>
        <v>1337237.5412842929</v>
      </c>
      <c r="F9" s="3"/>
      <c r="G9" s="28"/>
      <c r="H9" s="10"/>
      <c r="I9" s="10">
        <f t="shared" si="5"/>
        <v>5000</v>
      </c>
      <c r="J9" s="10">
        <f t="shared" si="3"/>
        <v>675304958348.56091</v>
      </c>
      <c r="K9" s="11">
        <f t="shared" si="4"/>
        <v>1.0000000000000231E-2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133723754.12842789</v>
      </c>
      <c r="D10" s="11">
        <v>1.0800000000000001E-2</v>
      </c>
      <c r="E10" s="10">
        <f t="shared" si="2"/>
        <v>1428785.6594647914</v>
      </c>
      <c r="F10" s="3"/>
      <c r="G10" s="28"/>
      <c r="H10" s="10"/>
      <c r="I10" s="10">
        <f t="shared" si="5"/>
        <v>5000</v>
      </c>
      <c r="J10" s="10">
        <f t="shared" si="3"/>
        <v>668618770642.1394</v>
      </c>
      <c r="K10" s="11">
        <f t="shared" si="4"/>
        <v>1.0799999999999699E-2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132294968.4689631</v>
      </c>
      <c r="D11" s="11">
        <v>1.1599999999999999E-2</v>
      </c>
      <c r="E11" s="10">
        <f t="shared" si="2"/>
        <v>1517024.1540529579</v>
      </c>
      <c r="F11" s="3"/>
      <c r="G11" s="28"/>
      <c r="H11" s="10"/>
      <c r="I11" s="10">
        <f t="shared" si="5"/>
        <v>5000</v>
      </c>
      <c r="J11" s="10">
        <f t="shared" si="3"/>
        <v>661474842344.81555</v>
      </c>
      <c r="K11" s="11">
        <f t="shared" si="4"/>
        <v>1.1600000000000055E-2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130777944.31491014</v>
      </c>
      <c r="D12" s="11">
        <v>1.26E-2</v>
      </c>
      <c r="E12" s="10">
        <f t="shared" si="2"/>
        <v>1627298.1417814195</v>
      </c>
      <c r="F12" s="3"/>
      <c r="G12" s="28"/>
      <c r="H12" s="10"/>
      <c r="I12" s="10">
        <f t="shared" si="5"/>
        <v>5000</v>
      </c>
      <c r="J12" s="10">
        <f t="shared" si="3"/>
        <v>653889721574.55066</v>
      </c>
      <c r="K12" s="11">
        <f t="shared" si="4"/>
        <v>1.2599999999999723E-2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129150646.17312872</v>
      </c>
      <c r="D13" s="11">
        <v>1.3599999999999999E-2</v>
      </c>
      <c r="E13" s="10">
        <f t="shared" si="2"/>
        <v>1732881.5982187837</v>
      </c>
      <c r="F13" s="3"/>
      <c r="G13" s="28"/>
      <c r="H13" s="10"/>
      <c r="I13" s="10">
        <f t="shared" si="5"/>
        <v>5000</v>
      </c>
      <c r="J13" s="10">
        <f t="shared" si="3"/>
        <v>645753230865.64368</v>
      </c>
      <c r="K13" s="11">
        <f t="shared" si="4"/>
        <v>1.3600000000000279E-2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127417764.57490994</v>
      </c>
      <c r="D14" s="11">
        <v>1.46E-2</v>
      </c>
      <c r="E14" s="10">
        <f t="shared" si="2"/>
        <v>1833529.8273148835</v>
      </c>
      <c r="F14" s="3"/>
      <c r="G14" s="28"/>
      <c r="H14" s="10"/>
      <c r="I14" s="10">
        <f t="shared" si="5"/>
        <v>5000</v>
      </c>
      <c r="J14" s="10">
        <f t="shared" si="3"/>
        <v>637088822874.54968</v>
      </c>
      <c r="K14" s="11">
        <f t="shared" si="4"/>
        <v>1.4599999999999946E-2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125584234.74759506</v>
      </c>
      <c r="D15" s="11">
        <v>1.54E-2</v>
      </c>
      <c r="E15" s="10">
        <f t="shared" si="2"/>
        <v>1904665.3684390187</v>
      </c>
      <c r="F15" s="3"/>
      <c r="G15" s="28"/>
      <c r="H15" s="10"/>
      <c r="I15" s="10">
        <f t="shared" si="5"/>
        <v>5000</v>
      </c>
      <c r="J15" s="10">
        <f t="shared" si="3"/>
        <v>627921173737.97534</v>
      </c>
      <c r="K15" s="11">
        <f t="shared" si="4"/>
        <v>1.5400000000000302E-2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123679569.37915604</v>
      </c>
      <c r="D16" s="11">
        <v>1.67E-2</v>
      </c>
      <c r="E16" s="10">
        <f t="shared" si="2"/>
        <v>2031522.3848056495</v>
      </c>
      <c r="F16" s="3"/>
      <c r="G16" s="28"/>
      <c r="H16" s="10"/>
      <c r="I16" s="10">
        <f t="shared" si="5"/>
        <v>5000</v>
      </c>
      <c r="J16" s="10">
        <f t="shared" si="3"/>
        <v>618397846895.78015</v>
      </c>
      <c r="K16" s="11">
        <f t="shared" si="4"/>
        <v>1.6699999999999937E-2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121648046.99435039</v>
      </c>
      <c r="D17" s="11">
        <v>1.83E-2</v>
      </c>
      <c r="E17" s="10">
        <f t="shared" si="2"/>
        <v>2186152.6662050635</v>
      </c>
      <c r="F17" s="3"/>
      <c r="G17" s="28"/>
      <c r="H17" s="10"/>
      <c r="I17" s="10">
        <f t="shared" si="5"/>
        <v>5000</v>
      </c>
      <c r="J17" s="10">
        <f t="shared" si="3"/>
        <v>608240234971.75195</v>
      </c>
      <c r="K17" s="11">
        <f t="shared" si="4"/>
        <v>1.8299999999999983E-2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119461894.32814533</v>
      </c>
      <c r="D18" s="11">
        <v>1.9E-2</v>
      </c>
      <c r="E18" s="10">
        <f t="shared" si="2"/>
        <v>2227454.3594060391</v>
      </c>
      <c r="F18" s="3"/>
      <c r="G18" s="28"/>
      <c r="H18" s="10"/>
      <c r="I18" s="10">
        <f t="shared" si="5"/>
        <v>5000</v>
      </c>
      <c r="J18" s="10">
        <f t="shared" si="3"/>
        <v>597309471640.72668</v>
      </c>
      <c r="K18" s="11">
        <f t="shared" si="4"/>
        <v>1.9000000000000128E-2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117234439.96873929</v>
      </c>
      <c r="D19" s="11">
        <v>1.89E-2</v>
      </c>
      <c r="E19" s="10">
        <f t="shared" si="2"/>
        <v>2174630.400833413</v>
      </c>
      <c r="F19" s="3"/>
      <c r="G19" s="28"/>
      <c r="H19" s="10"/>
      <c r="I19" s="10">
        <f t="shared" si="5"/>
        <v>5000</v>
      </c>
      <c r="J19" s="10">
        <f t="shared" si="3"/>
        <v>586172199843.69641</v>
      </c>
      <c r="K19" s="11">
        <f t="shared" si="4"/>
        <v>1.8899999999999695E-2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115059809.56790587</v>
      </c>
      <c r="D20" s="11">
        <v>1.8499999999999999E-2</v>
      </c>
      <c r="E20" s="10">
        <f t="shared" si="2"/>
        <v>2089942.5400159657</v>
      </c>
      <c r="F20" s="3"/>
      <c r="G20" s="28"/>
      <c r="H20" s="10"/>
      <c r="I20" s="10">
        <f t="shared" si="5"/>
        <v>5000</v>
      </c>
      <c r="J20" s="10">
        <f t="shared" si="3"/>
        <v>575299047839.52942</v>
      </c>
      <c r="K20" s="11">
        <f t="shared" si="4"/>
        <v>1.8499999999999961E-2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112969867.02788991</v>
      </c>
      <c r="D21" s="11">
        <v>1.83E-2</v>
      </c>
      <c r="E21" s="10">
        <f t="shared" si="2"/>
        <v>2030195.9801732153</v>
      </c>
      <c r="F21" s="3"/>
      <c r="G21" s="28"/>
      <c r="H21" s="10"/>
      <c r="I21" s="10">
        <f t="shared" si="5"/>
        <v>5000</v>
      </c>
      <c r="J21" s="10">
        <f t="shared" si="3"/>
        <v>564849335139.44958</v>
      </c>
      <c r="K21" s="11">
        <f t="shared" si="4"/>
        <v>1.8299999999999983E-2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110939671.04771669</v>
      </c>
      <c r="D22" s="11">
        <v>1.8599999999999998E-2</v>
      </c>
      <c r="E22" s="10">
        <f t="shared" si="2"/>
        <v>2025798.037981078</v>
      </c>
      <c r="F22" s="3"/>
      <c r="G22" s="28"/>
      <c r="H22" s="10"/>
      <c r="I22" s="10">
        <f t="shared" si="5"/>
        <v>5000</v>
      </c>
      <c r="J22" s="10">
        <f t="shared" si="3"/>
        <v>554698355238.5835</v>
      </c>
      <c r="K22" s="11">
        <f t="shared" si="4"/>
        <v>1.859999999999995E-2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108913873.00973561</v>
      </c>
      <c r="D23" s="11">
        <v>1.8499999999999999E-2</v>
      </c>
      <c r="E23" s="10">
        <f t="shared" si="2"/>
        <v>1978307.9535396248</v>
      </c>
      <c r="F23" s="3"/>
      <c r="G23" s="28"/>
      <c r="H23" s="10"/>
      <c r="I23" s="10">
        <f t="shared" si="5"/>
        <v>5000</v>
      </c>
      <c r="J23" s="10">
        <f t="shared" si="3"/>
        <v>544569365048.6781</v>
      </c>
      <c r="K23" s="11">
        <f t="shared" si="4"/>
        <v>1.8500000000000183E-2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106935565.05619599</v>
      </c>
      <c r="D24" s="11">
        <v>1.8599999999999998E-2</v>
      </c>
      <c r="E24" s="10">
        <f t="shared" si="2"/>
        <v>1952681.6316957027</v>
      </c>
      <c r="F24" s="3"/>
      <c r="G24" s="28"/>
      <c r="H24" s="10"/>
      <c r="I24" s="10">
        <f t="shared" si="5"/>
        <v>5000</v>
      </c>
      <c r="J24" s="10">
        <f t="shared" si="3"/>
        <v>534677825280.97992</v>
      </c>
      <c r="K24" s="11">
        <f t="shared" si="4"/>
        <v>1.859999999999995E-2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104982883.42450029</v>
      </c>
      <c r="D25" s="11">
        <v>1.8800000000000001E-2</v>
      </c>
      <c r="E25" s="10">
        <f t="shared" si="2"/>
        <v>1937257.7624465972</v>
      </c>
      <c r="F25" s="3"/>
      <c r="G25" s="28"/>
      <c r="H25" s="10"/>
      <c r="I25" s="10">
        <f t="shared" si="5"/>
        <v>5000</v>
      </c>
      <c r="J25" s="10">
        <f t="shared" si="3"/>
        <v>524914417122.5014</v>
      </c>
      <c r="K25" s="11">
        <f t="shared" si="4"/>
        <v>1.8799999999999928E-2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103045625.66205369</v>
      </c>
      <c r="D26" s="11">
        <v>1.9099999999999999E-2</v>
      </c>
      <c r="E26" s="10">
        <f t="shared" si="2"/>
        <v>1931283.927136898</v>
      </c>
      <c r="F26" s="3"/>
      <c r="G26" s="28"/>
      <c r="H26" s="10"/>
      <c r="I26" s="10">
        <f t="shared" si="5"/>
        <v>5000</v>
      </c>
      <c r="J26" s="10">
        <f t="shared" si="3"/>
        <v>515228128310.26843</v>
      </c>
      <c r="K26" s="11">
        <f t="shared" si="4"/>
        <v>1.9099999999999895E-2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101114341.73491679</v>
      </c>
      <c r="D27" s="11">
        <v>1.9900000000000001E-2</v>
      </c>
      <c r="E27" s="10">
        <f t="shared" si="2"/>
        <v>1972914.4038874805</v>
      </c>
      <c r="F27" s="3"/>
      <c r="G27" s="28"/>
      <c r="H27" s="10"/>
      <c r="I27" s="10">
        <f t="shared" si="5"/>
        <v>5000</v>
      </c>
      <c r="J27" s="10">
        <f t="shared" si="3"/>
        <v>505571708674.58398</v>
      </c>
      <c r="K27" s="11">
        <f t="shared" si="4"/>
        <v>1.9900000000000029E-2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99141427.331029311</v>
      </c>
      <c r="D28" s="11">
        <v>2.0500000000000001E-2</v>
      </c>
      <c r="E28" s="10">
        <f t="shared" si="2"/>
        <v>1991572.0335973501</v>
      </c>
      <c r="F28" s="3"/>
      <c r="G28" s="28"/>
      <c r="H28" s="10"/>
      <c r="I28" s="10">
        <f t="shared" si="5"/>
        <v>5000</v>
      </c>
      <c r="J28" s="10">
        <f t="shared" si="3"/>
        <v>495707136655.14655</v>
      </c>
      <c r="K28" s="11">
        <f t="shared" si="4"/>
        <v>2.0499999999999963E-2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97149855.297431961</v>
      </c>
      <c r="D29" s="11">
        <v>2.1299999999999999E-2</v>
      </c>
      <c r="E29" s="10">
        <f t="shared" si="2"/>
        <v>2026135.2372812182</v>
      </c>
      <c r="F29" s="3"/>
      <c r="G29" s="28"/>
      <c r="H29" s="10"/>
      <c r="I29" s="10">
        <f t="shared" si="5"/>
        <v>5000</v>
      </c>
      <c r="J29" s="10">
        <f t="shared" si="3"/>
        <v>485749276487.15979</v>
      </c>
      <c r="K29" s="11">
        <f t="shared" si="4"/>
        <v>2.1300000000000097E-2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95123720.060150743</v>
      </c>
      <c r="D30" s="11">
        <v>2.24E-2</v>
      </c>
      <c r="E30" s="10">
        <f t="shared" si="2"/>
        <v>2084087.763446182</v>
      </c>
      <c r="F30" s="3"/>
      <c r="G30" s="28"/>
      <c r="H30" s="10"/>
      <c r="I30" s="10">
        <f t="shared" si="5"/>
        <v>5000</v>
      </c>
      <c r="J30" s="10">
        <f t="shared" si="3"/>
        <v>475618600300.75372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93039632.296704561</v>
      </c>
      <c r="D31" s="11">
        <v>2.35E-2</v>
      </c>
      <c r="E31" s="10">
        <f t="shared" si="2"/>
        <v>2136229.9550293684</v>
      </c>
      <c r="F31" s="3"/>
      <c r="G31" s="28"/>
      <c r="H31" s="10"/>
      <c r="I31" s="10">
        <f t="shared" si="5"/>
        <v>5000</v>
      </c>
      <c r="J31" s="10">
        <f t="shared" si="3"/>
        <v>465198161483.52283</v>
      </c>
      <c r="K31" s="11">
        <f t="shared" si="4"/>
        <v>2.3500000000000076E-2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90903402.341675192</v>
      </c>
      <c r="D32" s="11">
        <v>2.46E-2</v>
      </c>
      <c r="E32" s="10">
        <f t="shared" si="2"/>
        <v>2182533.3765422702</v>
      </c>
      <c r="F32" s="3"/>
      <c r="G32" s="28"/>
      <c r="H32" s="10"/>
      <c r="I32" s="10">
        <f t="shared" si="5"/>
        <v>5000</v>
      </c>
      <c r="J32" s="10">
        <f t="shared" si="3"/>
        <v>454517011708.37598</v>
      </c>
      <c r="K32" s="11">
        <f t="shared" si="4"/>
        <v>2.4599999999999955E-2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88720868.965132922</v>
      </c>
      <c r="D33" s="11">
        <v>2.5700000000000001E-2</v>
      </c>
      <c r="E33" s="10">
        <f t="shared" si="2"/>
        <v>2222995.3518610895</v>
      </c>
      <c r="F33" s="3"/>
      <c r="G33" s="28"/>
      <c r="H33" s="10"/>
      <c r="I33" s="10">
        <f t="shared" si="5"/>
        <v>5000</v>
      </c>
      <c r="J33" s="10">
        <f t="shared" si="3"/>
        <v>443604344825.66461</v>
      </c>
      <c r="K33" s="11">
        <f t="shared" si="4"/>
        <v>2.5700000000000056E-2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86497873.613271832</v>
      </c>
      <c r="D34" s="11">
        <v>2.6800000000000001E-2</v>
      </c>
      <c r="E34" s="10">
        <f t="shared" si="2"/>
        <v>2257638.306228742</v>
      </c>
      <c r="F34" s="3"/>
      <c r="G34" s="28"/>
      <c r="H34" s="10"/>
      <c r="I34" s="10">
        <f t="shared" si="5"/>
        <v>5000</v>
      </c>
      <c r="J34" s="10">
        <f t="shared" ref="J34:J65" si="6">IF(I34="","",I34*C34)</f>
        <v>432489368066.35919</v>
      </c>
      <c r="K34" s="11">
        <f t="shared" ref="K34:K65" si="7">IFERROR(J34/J35-1,"")</f>
        <v>2.6799999999999935E-2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84240235.30704309</v>
      </c>
      <c r="D35" s="11">
        <v>2.7400000000000001E-2</v>
      </c>
      <c r="E35" s="10">
        <f t="shared" si="2"/>
        <v>2246624.9244821817</v>
      </c>
      <c r="F35" s="3"/>
      <c r="G35" s="28"/>
      <c r="H35" s="10"/>
      <c r="I35" s="10">
        <f t="shared" ref="I35:I66" si="8">IF(H35&lt;&gt;"",H35,I34/(1+IF(G34="",0,G34)/100))</f>
        <v>5000</v>
      </c>
      <c r="J35" s="10">
        <f t="shared" si="6"/>
        <v>421201176535.21545</v>
      </c>
      <c r="K35" s="11">
        <f t="shared" si="7"/>
        <v>2.7400000000000091E-2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81993610.382560909</v>
      </c>
      <c r="D36" s="11">
        <v>2.5600000000000001E-2</v>
      </c>
      <c r="E36" s="10">
        <f t="shared" si="2"/>
        <v>2046642.3808439523</v>
      </c>
      <c r="F36" s="3"/>
      <c r="G36" s="28"/>
      <c r="H36" s="10"/>
      <c r="I36" s="10">
        <f t="shared" si="8"/>
        <v>5000</v>
      </c>
      <c r="J36" s="10">
        <f t="shared" si="6"/>
        <v>409968051912.80457</v>
      </c>
      <c r="K36" s="11">
        <f t="shared" si="7"/>
        <v>2.5600000000000067E-2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79946968.001716956</v>
      </c>
      <c r="D37" s="11">
        <v>2.3900000000000001E-2</v>
      </c>
      <c r="E37" s="10">
        <f t="shared" si="2"/>
        <v>1866131.9808975905</v>
      </c>
      <c r="F37" s="3"/>
      <c r="G37" s="28"/>
      <c r="H37" s="10"/>
      <c r="I37" s="10">
        <f t="shared" si="8"/>
        <v>5000</v>
      </c>
      <c r="J37" s="10">
        <f t="shared" si="6"/>
        <v>399734840008.58478</v>
      </c>
      <c r="K37" s="11">
        <f t="shared" si="7"/>
        <v>2.3900000000000254E-2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78080836.020819366</v>
      </c>
      <c r="D38" s="11">
        <v>2.41E-2</v>
      </c>
      <c r="E38" s="10">
        <f t="shared" si="2"/>
        <v>1837465.2359161675</v>
      </c>
      <c r="F38" s="3"/>
      <c r="G38" s="28"/>
      <c r="H38" s="10"/>
      <c r="I38" s="10">
        <f t="shared" si="8"/>
        <v>5000</v>
      </c>
      <c r="J38" s="10">
        <f t="shared" si="6"/>
        <v>390404180104.0968</v>
      </c>
      <c r="K38" s="11">
        <f t="shared" si="7"/>
        <v>2.410000000000001E-2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76243370.784903198</v>
      </c>
      <c r="D39" s="11">
        <v>2.4400000000000002E-2</v>
      </c>
      <c r="E39" s="10">
        <f t="shared" si="2"/>
        <v>1816027.1838653237</v>
      </c>
      <c r="F39" s="3"/>
      <c r="G39" s="28"/>
      <c r="H39" s="10"/>
      <c r="I39" s="10">
        <f t="shared" si="8"/>
        <v>5000</v>
      </c>
      <c r="J39" s="10">
        <f t="shared" si="6"/>
        <v>381216853924.51599</v>
      </c>
      <c r="K39" s="11">
        <f t="shared" si="7"/>
        <v>2.4399999999999977E-2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74427343.601037875</v>
      </c>
      <c r="D40" s="11">
        <v>2.4899999999999999E-2</v>
      </c>
      <c r="E40" s="10">
        <f t="shared" si="2"/>
        <v>1808216.2705296427</v>
      </c>
      <c r="F40" s="3"/>
      <c r="G40" s="28"/>
      <c r="H40" s="10"/>
      <c r="I40" s="10">
        <f t="shared" si="8"/>
        <v>5000</v>
      </c>
      <c r="J40" s="10">
        <f t="shared" si="6"/>
        <v>372136718005.18939</v>
      </c>
      <c r="K40" s="11">
        <f t="shared" si="7"/>
        <v>2.4899999999999922E-2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72619127.330508232</v>
      </c>
      <c r="D41" s="11">
        <v>2.5399999999999999E-2</v>
      </c>
      <c r="E41" s="10">
        <f t="shared" si="2"/>
        <v>1798835.4146624953</v>
      </c>
      <c r="F41" s="3"/>
      <c r="G41" s="28"/>
      <c r="H41" s="10"/>
      <c r="I41" s="10">
        <f t="shared" si="8"/>
        <v>5000</v>
      </c>
      <c r="J41" s="10">
        <f t="shared" si="6"/>
        <v>363095636652.54114</v>
      </c>
      <c r="K41" s="11">
        <f t="shared" si="7"/>
        <v>2.5400000000000089E-2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70820291.915845737</v>
      </c>
      <c r="D42" s="11">
        <v>2.6200000000000001E-2</v>
      </c>
      <c r="E42" s="10">
        <f t="shared" si="2"/>
        <v>1808118.9321722388</v>
      </c>
      <c r="F42" s="3"/>
      <c r="G42" s="28"/>
      <c r="H42" s="10"/>
      <c r="I42" s="10">
        <f t="shared" si="8"/>
        <v>5000</v>
      </c>
      <c r="J42" s="10">
        <f t="shared" si="6"/>
        <v>354101459579.2287</v>
      </c>
      <c r="K42" s="11">
        <f t="shared" si="7"/>
        <v>2.6200000000000001E-2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69012172.983673498</v>
      </c>
      <c r="D43" s="11">
        <v>2.8299999999999999E-2</v>
      </c>
      <c r="E43" s="10">
        <f t="shared" si="2"/>
        <v>1899294.4621588588</v>
      </c>
      <c r="F43" s="3"/>
      <c r="G43" s="28"/>
      <c r="H43" s="10"/>
      <c r="I43" s="10">
        <f t="shared" si="8"/>
        <v>5000</v>
      </c>
      <c r="J43" s="10">
        <f t="shared" si="6"/>
        <v>345060864918.36749</v>
      </c>
      <c r="K43" s="11">
        <f t="shared" si="7"/>
        <v>2.8299999999999992E-2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67112878.521514639</v>
      </c>
      <c r="D44" s="11">
        <v>2.86E-2</v>
      </c>
      <c r="E44" s="10">
        <f t="shared" si="2"/>
        <v>1866059.0372499675</v>
      </c>
      <c r="F44" s="3"/>
      <c r="G44" s="28"/>
      <c r="H44" s="10"/>
      <c r="I44" s="10">
        <f t="shared" si="8"/>
        <v>5000</v>
      </c>
      <c r="J44" s="10">
        <f t="shared" si="6"/>
        <v>335564392607.57318</v>
      </c>
      <c r="K44" s="11">
        <f t="shared" si="7"/>
        <v>2.8599999999999959E-2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65246819.484264672</v>
      </c>
      <c r="D45" s="11">
        <v>1.9199999999999998E-2</v>
      </c>
      <c r="E45" s="10">
        <f t="shared" si="2"/>
        <v>1229139.4565324634</v>
      </c>
      <c r="F45" s="3"/>
      <c r="G45" s="28"/>
      <c r="H45" s="10"/>
      <c r="I45" s="10">
        <f t="shared" si="8"/>
        <v>5000</v>
      </c>
      <c r="J45" s="10">
        <f t="shared" si="6"/>
        <v>326234097421.32336</v>
      </c>
      <c r="K45" s="11">
        <f t="shared" si="7"/>
        <v>1.9200000000000106E-2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64017680.027732208</v>
      </c>
      <c r="D46" s="11">
        <v>1.7500000000000002E-2</v>
      </c>
      <c r="E46" s="10">
        <f t="shared" si="2"/>
        <v>1101041.1798381507</v>
      </c>
      <c r="F46" s="3"/>
      <c r="G46" s="28"/>
      <c r="H46" s="10"/>
      <c r="I46" s="10">
        <f t="shared" si="8"/>
        <v>5000</v>
      </c>
      <c r="J46" s="10">
        <f t="shared" si="6"/>
        <v>320088400138.66107</v>
      </c>
      <c r="K46" s="11">
        <f t="shared" si="7"/>
        <v>1.7500000000000293E-2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62916638.847894058</v>
      </c>
      <c r="D47" s="11">
        <v>2.5899999999999999E-2</v>
      </c>
      <c r="E47" s="10">
        <f t="shared" si="2"/>
        <v>1588401.3511652797</v>
      </c>
      <c r="F47" s="3"/>
      <c r="G47" s="28"/>
      <c r="H47" s="10"/>
      <c r="I47" s="10">
        <f t="shared" si="8"/>
        <v>5000</v>
      </c>
      <c r="J47" s="10">
        <f t="shared" si="6"/>
        <v>314583194239.47028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61328237.496728778</v>
      </c>
      <c r="D48" s="11">
        <v>2.8400000000000002E-2</v>
      </c>
      <c r="E48" s="10">
        <f t="shared" si="2"/>
        <v>1693623.0502791703</v>
      </c>
      <c r="F48" s="3"/>
      <c r="G48" s="28"/>
      <c r="H48" s="10"/>
      <c r="I48" s="10">
        <f t="shared" si="8"/>
        <v>5000</v>
      </c>
      <c r="J48" s="10">
        <f t="shared" si="6"/>
        <v>306641187483.64386</v>
      </c>
      <c r="K48" s="11">
        <f t="shared" si="7"/>
        <v>2.8399999999999981E-2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59634614.446449608</v>
      </c>
      <c r="D49" s="11">
        <v>2.9399999999999999E-2</v>
      </c>
      <c r="E49" s="10">
        <f t="shared" si="2"/>
        <v>1703184.0535512194</v>
      </c>
      <c r="F49" s="3"/>
      <c r="G49" s="28"/>
      <c r="H49" s="10"/>
      <c r="I49" s="10">
        <f t="shared" si="8"/>
        <v>5000</v>
      </c>
      <c r="J49" s="10">
        <f t="shared" si="6"/>
        <v>298173072232.24805</v>
      </c>
      <c r="K49" s="11">
        <f t="shared" si="7"/>
        <v>2.9400000000000093E-2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57931430.392898388</v>
      </c>
      <c r="D50" s="11">
        <v>2.9399999999999999E-2</v>
      </c>
      <c r="E50" s="10">
        <f t="shared" si="2"/>
        <v>1654540.5610561669</v>
      </c>
      <c r="F50" s="3"/>
      <c r="G50" s="28"/>
      <c r="H50" s="10"/>
      <c r="I50" s="10">
        <f t="shared" si="8"/>
        <v>5000</v>
      </c>
      <c r="J50" s="10">
        <f t="shared" si="6"/>
        <v>289657151964.49194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56276889.831842221</v>
      </c>
      <c r="D51" s="11">
        <v>2.9100000000000001E-2</v>
      </c>
      <c r="E51" s="10">
        <f t="shared" si="2"/>
        <v>1591349.2314708009</v>
      </c>
      <c r="F51" s="3"/>
      <c r="G51" s="28"/>
      <c r="H51" s="10"/>
      <c r="I51" s="10">
        <f t="shared" si="8"/>
        <v>5000</v>
      </c>
      <c r="J51" s="10">
        <f t="shared" si="6"/>
        <v>281384449159.21112</v>
      </c>
      <c r="K51" s="11">
        <f t="shared" si="7"/>
        <v>2.9099999999999904E-2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54685540.60037142</v>
      </c>
      <c r="D52" s="11">
        <v>2.92E-2</v>
      </c>
      <c r="E52" s="10">
        <f t="shared" si="2"/>
        <v>1551513.588739641</v>
      </c>
      <c r="F52" s="3"/>
      <c r="G52" s="28"/>
      <c r="H52" s="10"/>
      <c r="I52" s="10">
        <f t="shared" si="8"/>
        <v>5000</v>
      </c>
      <c r="J52" s="10">
        <f t="shared" si="6"/>
        <v>273427703001.85712</v>
      </c>
      <c r="K52" s="11">
        <f t="shared" si="7"/>
        <v>2.9199999999999893E-2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53134027.011631779</v>
      </c>
      <c r="D53" s="11">
        <v>2.92E-2</v>
      </c>
      <c r="E53" s="10">
        <f t="shared" si="2"/>
        <v>1507494.7422654927</v>
      </c>
      <c r="F53" s="3"/>
      <c r="G53" s="28"/>
      <c r="H53" s="10"/>
      <c r="I53" s="10">
        <f t="shared" si="8"/>
        <v>5000</v>
      </c>
      <c r="J53" s="10">
        <f t="shared" si="6"/>
        <v>265670135058.15891</v>
      </c>
      <c r="K53" s="11">
        <f t="shared" si="7"/>
        <v>2.9200000000000115E-2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51626532.269366287</v>
      </c>
      <c r="D54" s="11">
        <v>2.9100000000000001E-2</v>
      </c>
      <c r="E54" s="10">
        <f t="shared" si="2"/>
        <v>1459850.4411996454</v>
      </c>
      <c r="F54" s="3"/>
      <c r="G54" s="28"/>
      <c r="H54" s="10"/>
      <c r="I54" s="10">
        <f t="shared" si="8"/>
        <v>5000</v>
      </c>
      <c r="J54" s="10">
        <f t="shared" si="6"/>
        <v>258132661346.83142</v>
      </c>
      <c r="K54" s="11">
        <f t="shared" si="7"/>
        <v>2.9099999999999904E-2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50166681.828166641</v>
      </c>
      <c r="D55" s="11">
        <v>2.9000000000000001E-2</v>
      </c>
      <c r="E55" s="10">
        <f t="shared" si="2"/>
        <v>1413832.6268385127</v>
      </c>
      <c r="F55" s="3"/>
      <c r="G55" s="28"/>
      <c r="H55" s="10"/>
      <c r="I55" s="10">
        <f t="shared" si="8"/>
        <v>5000</v>
      </c>
      <c r="J55" s="10">
        <f t="shared" si="6"/>
        <v>250833409140.83322</v>
      </c>
      <c r="K55" s="11">
        <f t="shared" si="7"/>
        <v>2.8999999999999915E-2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48752849.201328129</v>
      </c>
      <c r="D56" s="11">
        <v>2.8199999999999999E-2</v>
      </c>
      <c r="E56" s="10">
        <f t="shared" si="2"/>
        <v>1337123.4657434896</v>
      </c>
      <c r="F56" s="3"/>
      <c r="G56" s="28"/>
      <c r="H56" s="10"/>
      <c r="I56" s="10">
        <f t="shared" si="8"/>
        <v>5000</v>
      </c>
      <c r="J56" s="10">
        <f t="shared" si="6"/>
        <v>243764246006.64066</v>
      </c>
      <c r="K56" s="11">
        <f t="shared" si="7"/>
        <v>2.8200000000000225E-2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47415725.735584639</v>
      </c>
      <c r="D57" s="11">
        <v>2.8000000000000001E-2</v>
      </c>
      <c r="E57" s="10">
        <f t="shared" si="2"/>
        <v>1291478.9110859632</v>
      </c>
      <c r="F57" s="3"/>
      <c r="G57" s="28"/>
      <c r="H57" s="10"/>
      <c r="I57" s="10">
        <f t="shared" si="8"/>
        <v>5000</v>
      </c>
      <c r="J57" s="10">
        <f t="shared" si="6"/>
        <v>237078628677.92319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46124246.824498676</v>
      </c>
      <c r="D58" s="11">
        <v>2.8000000000000001E-2</v>
      </c>
      <c r="E58" s="10">
        <f t="shared" si="2"/>
        <v>1256302.4426906258</v>
      </c>
      <c r="F58" s="3"/>
      <c r="G58" s="28"/>
      <c r="H58" s="10"/>
      <c r="I58" s="10">
        <f t="shared" si="8"/>
        <v>5000</v>
      </c>
      <c r="J58" s="10">
        <f t="shared" si="6"/>
        <v>230621234122.49338</v>
      </c>
      <c r="K58" s="11">
        <f t="shared" si="7"/>
        <v>2.8000000000000025E-2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44867944.38180805</v>
      </c>
      <c r="D59" s="11">
        <v>2.7E-2</v>
      </c>
      <c r="E59" s="10">
        <f t="shared" si="2"/>
        <v>1179585.6848187074</v>
      </c>
      <c r="F59" s="3"/>
      <c r="G59" s="28"/>
      <c r="H59" s="10"/>
      <c r="I59" s="10">
        <f t="shared" si="8"/>
        <v>5000</v>
      </c>
      <c r="J59" s="10">
        <f t="shared" si="6"/>
        <v>224339721909.04025</v>
      </c>
      <c r="K59" s="11">
        <f t="shared" si="7"/>
        <v>2.6999999999999913E-2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43688358.696989343</v>
      </c>
      <c r="D60" s="11">
        <v>2.7E-2</v>
      </c>
      <c r="E60" s="10">
        <f t="shared" si="2"/>
        <v>1148574.1819072142</v>
      </c>
      <c r="F60" s="3"/>
      <c r="G60" s="28"/>
      <c r="H60" s="10"/>
      <c r="I60" s="10">
        <f t="shared" si="8"/>
        <v>5000</v>
      </c>
      <c r="J60" s="10">
        <f t="shared" si="6"/>
        <v>218441793484.94672</v>
      </c>
      <c r="K60" s="11">
        <f t="shared" si="7"/>
        <v>2.6999999999999913E-2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42539784.515082128</v>
      </c>
      <c r="D61" s="11">
        <v>2.7E-2</v>
      </c>
      <c r="E61" s="10">
        <f t="shared" si="2"/>
        <v>1118377.9765406176</v>
      </c>
      <c r="F61" s="3"/>
      <c r="G61" s="28"/>
      <c r="H61" s="10"/>
      <c r="I61" s="10">
        <f t="shared" si="8"/>
        <v>5000</v>
      </c>
      <c r="J61" s="10">
        <f t="shared" si="6"/>
        <v>212698922575.41064</v>
      </c>
      <c r="K61" s="11">
        <f t="shared" si="7"/>
        <v>2.6999999999999913E-2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41421406.538541511</v>
      </c>
      <c r="D62" s="11">
        <v>2.7E-2</v>
      </c>
      <c r="E62" s="10">
        <f t="shared" si="2"/>
        <v>1088975.6344115064</v>
      </c>
      <c r="F62" s="3"/>
      <c r="G62" s="28"/>
      <c r="H62" s="10"/>
      <c r="I62" s="10">
        <f t="shared" si="8"/>
        <v>5000</v>
      </c>
      <c r="J62" s="10">
        <f t="shared" si="6"/>
        <v>207107032692.70755</v>
      </c>
      <c r="K62" s="11">
        <f t="shared" si="7"/>
        <v>2.6999999999999913E-2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40332430.904130004</v>
      </c>
      <c r="D63" s="11">
        <v>2.5999999999999999E-2</v>
      </c>
      <c r="E63" s="10">
        <f t="shared" si="2"/>
        <v>1022069.3991300017</v>
      </c>
      <c r="F63" s="3"/>
      <c r="G63" s="28"/>
      <c r="H63" s="10"/>
      <c r="I63" s="10">
        <f t="shared" si="8"/>
        <v>5000</v>
      </c>
      <c r="J63" s="10">
        <f t="shared" si="6"/>
        <v>201662154520.65002</v>
      </c>
      <c r="K63" s="11">
        <f t="shared" si="7"/>
        <v>2.6000000000000023E-2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39310361.505000003</v>
      </c>
      <c r="D64" s="11">
        <v>2.5999999999999999E-2</v>
      </c>
      <c r="E64" s="10">
        <f t="shared" si="2"/>
        <v>996169.00500000268</v>
      </c>
      <c r="F64" s="3"/>
      <c r="G64" s="28"/>
      <c r="H64" s="10"/>
      <c r="I64" s="10">
        <f t="shared" si="8"/>
        <v>5000</v>
      </c>
      <c r="J64" s="10">
        <f t="shared" si="6"/>
        <v>196551807525</v>
      </c>
      <c r="K64" s="11">
        <f t="shared" si="7"/>
        <v>2.6000000000000023E-2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38314192.5</v>
      </c>
      <c r="D65" s="11">
        <v>2.5000000000000001E-2</v>
      </c>
      <c r="E65" s="10">
        <f t="shared" si="2"/>
        <v>934492.5</v>
      </c>
      <c r="F65" s="3"/>
      <c r="G65" s="28"/>
      <c r="H65" s="10"/>
      <c r="I65" s="10">
        <f t="shared" si="8"/>
        <v>5000</v>
      </c>
      <c r="J65" s="10">
        <f t="shared" si="6"/>
        <v>191570962500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37379700</v>
      </c>
      <c r="D66" s="11">
        <v>2.5000000000000001E-2</v>
      </c>
      <c r="E66" s="10">
        <f t="shared" si="2"/>
        <v>911700</v>
      </c>
      <c r="F66" s="24">
        <f>SUM(F2)</f>
        <v>143972723</v>
      </c>
      <c r="G66" s="28"/>
      <c r="H66" s="10"/>
      <c r="I66" s="10">
        <f t="shared" si="8"/>
        <v>5000</v>
      </c>
      <c r="J66" s="10">
        <f t="shared" ref="J66:J67" si="9">IF(I66="","",I66*C66)</f>
        <v>186898500000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36468000</v>
      </c>
      <c r="D67" s="11">
        <v>2.4E-2</v>
      </c>
      <c r="E67" s="3" t="s">
        <v>72</v>
      </c>
      <c r="F67" s="10">
        <f>SUM(C2)</f>
        <v>143974128.2677395</v>
      </c>
      <c r="G67" s="28"/>
      <c r="H67" s="10"/>
      <c r="I67" s="10">
        <f t="shared" ref="I67" si="11">IF(H67&lt;&gt;"",H67,I66/(1+IF(G66="",0,G66)/100))</f>
        <v>5000</v>
      </c>
      <c r="J67" s="10">
        <f t="shared" si="9"/>
        <v>182340000000</v>
      </c>
      <c r="K67" s="11"/>
    </row>
  </sheetData>
  <dataValidations count="1">
    <dataValidation type="custom" allowBlank="1" showDropDown="1" sqref="D2:D67" xr:uid="{00000000-0002-0000-7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301117757.75661606</v>
      </c>
      <c r="D2" s="11">
        <v>1.44E-2</v>
      </c>
      <c r="E2" s="10">
        <f t="shared" ref="E2:E66" si="2">SUM(C2-C3)</f>
        <v>4274542.302538693</v>
      </c>
      <c r="F2" s="15">
        <v>301115278</v>
      </c>
      <c r="G2" s="28"/>
      <c r="H2" s="10"/>
      <c r="I2" s="10">
        <f>IF(H2&lt;&gt;"",H2,28492)</f>
        <v>28492</v>
      </c>
      <c r="J2" s="10">
        <f t="shared" ref="J2:J33" si="3">IF(I2="","",I2*C2)</f>
        <v>8579447154001.5049</v>
      </c>
      <c r="K2" s="11">
        <f t="shared" ref="K2:K33" si="4">IFERROR(J2/J3-1,"")</f>
        <v>1.4399999999999968E-2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296843215.45407736</v>
      </c>
      <c r="D3" s="11">
        <v>1.49E-2</v>
      </c>
      <c r="E3" s="10">
        <f t="shared" si="2"/>
        <v>4358029.2740818858</v>
      </c>
      <c r="F3" s="3"/>
      <c r="G3" s="28"/>
      <c r="H3" s="10"/>
      <c r="I3" s="10">
        <f t="shared" ref="I3:I34" si="5">IF(H3&lt;&gt;"",H3,I2/(1+IF(G2="",0,G2)/100))</f>
        <v>28492</v>
      </c>
      <c r="J3" s="10">
        <f t="shared" si="3"/>
        <v>8457656894717.5723</v>
      </c>
      <c r="K3" s="11">
        <f t="shared" si="4"/>
        <v>1.4899999999999913E-2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292485186.17999548</v>
      </c>
      <c r="D4" s="11">
        <v>1.72E-2</v>
      </c>
      <c r="E4" s="10">
        <f t="shared" si="2"/>
        <v>4945679.5146440864</v>
      </c>
      <c r="F4" s="3"/>
      <c r="G4" s="28"/>
      <c r="H4" s="10"/>
      <c r="I4" s="10">
        <f t="shared" si="5"/>
        <v>28492</v>
      </c>
      <c r="J4" s="10">
        <f t="shared" si="3"/>
        <v>8333487924640.4307</v>
      </c>
      <c r="K4" s="11">
        <f t="shared" si="4"/>
        <v>1.7200000000000104E-2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287539506.66535139</v>
      </c>
      <c r="D5" s="11">
        <v>1.7500000000000002E-2</v>
      </c>
      <c r="E5" s="10">
        <f t="shared" si="2"/>
        <v>4945396.9205343127</v>
      </c>
      <c r="F5" s="3"/>
      <c r="G5" s="28"/>
      <c r="H5" s="10"/>
      <c r="I5" s="10">
        <f t="shared" si="5"/>
        <v>28492</v>
      </c>
      <c r="J5" s="10">
        <f t="shared" si="3"/>
        <v>8192575623909.1914</v>
      </c>
      <c r="K5" s="11">
        <f t="shared" si="4"/>
        <v>1.7500000000000071E-2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282594109.74481708</v>
      </c>
      <c r="D6" s="11">
        <v>1.3899999999999999E-2</v>
      </c>
      <c r="E6" s="10">
        <f t="shared" si="2"/>
        <v>3874206.6529765725</v>
      </c>
      <c r="F6" s="3"/>
      <c r="G6" s="28"/>
      <c r="H6" s="10"/>
      <c r="I6" s="10">
        <f t="shared" si="5"/>
        <v>28492</v>
      </c>
      <c r="J6" s="10">
        <f t="shared" si="3"/>
        <v>8051671374849.3281</v>
      </c>
      <c r="K6" s="11">
        <f t="shared" si="4"/>
        <v>1.3900000000000023E-2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278719903.09184051</v>
      </c>
      <c r="D7" s="11">
        <v>1.5599999999999999E-2</v>
      </c>
      <c r="E7" s="10">
        <f t="shared" si="2"/>
        <v>4281243.0959361196</v>
      </c>
      <c r="F7" s="3"/>
      <c r="G7" s="28"/>
      <c r="H7" s="10"/>
      <c r="I7" s="10">
        <f t="shared" si="5"/>
        <v>28492</v>
      </c>
      <c r="J7" s="10">
        <f t="shared" si="3"/>
        <v>7941287478892.7197</v>
      </c>
      <c r="K7" s="11">
        <f t="shared" si="4"/>
        <v>1.5600000000000058E-2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274438659.99590439</v>
      </c>
      <c r="D8" s="11">
        <v>2.06E-2</v>
      </c>
      <c r="E8" s="10">
        <f t="shared" si="2"/>
        <v>5539326.2746576667</v>
      </c>
      <c r="F8" s="3"/>
      <c r="G8" s="28"/>
      <c r="H8" s="10"/>
      <c r="I8" s="10">
        <f t="shared" si="5"/>
        <v>28492</v>
      </c>
      <c r="J8" s="10">
        <f t="shared" si="3"/>
        <v>7819306300603.3076</v>
      </c>
      <c r="K8" s="11">
        <f t="shared" si="4"/>
        <v>2.0599999999999952E-2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268899333.72124672</v>
      </c>
      <c r="D9" s="11">
        <v>0.02</v>
      </c>
      <c r="E9" s="10">
        <f t="shared" si="2"/>
        <v>5272535.9553185701</v>
      </c>
      <c r="F9" s="3"/>
      <c r="G9" s="28"/>
      <c r="H9" s="10"/>
      <c r="I9" s="10">
        <f t="shared" si="5"/>
        <v>28492</v>
      </c>
      <c r="J9" s="10">
        <f t="shared" si="3"/>
        <v>7661479816385.7617</v>
      </c>
      <c r="K9" s="11">
        <f t="shared" si="4"/>
        <v>2.0000000000000018E-2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263626797.76592815</v>
      </c>
      <c r="D10" s="11">
        <v>1.8200000000000001E-2</v>
      </c>
      <c r="E10" s="10">
        <f t="shared" si="2"/>
        <v>4712244.8628362715</v>
      </c>
      <c r="F10" s="3"/>
      <c r="G10" s="28"/>
      <c r="H10" s="10"/>
      <c r="I10" s="10">
        <f t="shared" si="5"/>
        <v>28492</v>
      </c>
      <c r="J10" s="10">
        <f t="shared" si="3"/>
        <v>7511254721946.8252</v>
      </c>
      <c r="K10" s="11">
        <f t="shared" si="4"/>
        <v>1.8199999999999994E-2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258914552.90309188</v>
      </c>
      <c r="D11" s="11">
        <v>1.35E-2</v>
      </c>
      <c r="E11" s="10">
        <f t="shared" si="2"/>
        <v>3448787.8285069168</v>
      </c>
      <c r="F11" s="3"/>
      <c r="G11" s="28"/>
      <c r="H11" s="10"/>
      <c r="I11" s="10">
        <f t="shared" si="5"/>
        <v>28492</v>
      </c>
      <c r="J11" s="10">
        <f t="shared" si="3"/>
        <v>7376993441314.8936</v>
      </c>
      <c r="K11" s="11">
        <f t="shared" si="4"/>
        <v>1.3500000000000068E-2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255465765.07458496</v>
      </c>
      <c r="D12" s="11">
        <v>1.2200000000000001E-2</v>
      </c>
      <c r="E12" s="10">
        <f t="shared" si="2"/>
        <v>3079117.1052261889</v>
      </c>
      <c r="F12" s="3"/>
      <c r="G12" s="28"/>
      <c r="H12" s="10"/>
      <c r="I12" s="10">
        <f t="shared" si="5"/>
        <v>28492</v>
      </c>
      <c r="J12" s="10">
        <f t="shared" si="3"/>
        <v>7278730578505.0742</v>
      </c>
      <c r="K12" s="11">
        <f t="shared" si="4"/>
        <v>1.2199999999999989E-2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252386647.96935877</v>
      </c>
      <c r="D13" s="11">
        <v>1.0699999999999999E-2</v>
      </c>
      <c r="E13" s="10">
        <f t="shared" si="2"/>
        <v>2671947.2971921563</v>
      </c>
      <c r="F13" s="3"/>
      <c r="G13" s="28"/>
      <c r="H13" s="10"/>
      <c r="I13" s="10">
        <f t="shared" si="5"/>
        <v>28492</v>
      </c>
      <c r="J13" s="10">
        <f t="shared" si="3"/>
        <v>7191000373942.9697</v>
      </c>
      <c r="K13" s="11">
        <f t="shared" si="4"/>
        <v>1.0699999999999932E-2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249714700.67216662</v>
      </c>
      <c r="D14" s="11">
        <v>1.15E-2</v>
      </c>
      <c r="E14" s="10">
        <f t="shared" si="2"/>
        <v>2839069.7555412054</v>
      </c>
      <c r="F14" s="3"/>
      <c r="G14" s="28"/>
      <c r="H14" s="10"/>
      <c r="I14" s="10">
        <f t="shared" si="5"/>
        <v>28492</v>
      </c>
      <c r="J14" s="10">
        <f t="shared" si="3"/>
        <v>7114871251551.3711</v>
      </c>
      <c r="K14" s="11">
        <f t="shared" si="4"/>
        <v>1.1500000000000066E-2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246875630.91662541</v>
      </c>
      <c r="D15" s="11">
        <v>1.14E-2</v>
      </c>
      <c r="E15" s="10">
        <f t="shared" si="2"/>
        <v>2782659.8699323237</v>
      </c>
      <c r="F15" s="3"/>
      <c r="G15" s="28"/>
      <c r="H15" s="10"/>
      <c r="I15" s="10">
        <f t="shared" si="5"/>
        <v>28492</v>
      </c>
      <c r="J15" s="10">
        <f t="shared" si="3"/>
        <v>7033980476076.4912</v>
      </c>
      <c r="K15" s="11">
        <f t="shared" si="4"/>
        <v>1.1400000000000077E-2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244092971.04669309</v>
      </c>
      <c r="D16" s="11">
        <v>1.2800000000000001E-2</v>
      </c>
      <c r="E16" s="10">
        <f t="shared" si="2"/>
        <v>3084903.2675727308</v>
      </c>
      <c r="F16" s="3"/>
      <c r="G16" s="28"/>
      <c r="H16" s="10"/>
      <c r="I16" s="10">
        <f t="shared" si="5"/>
        <v>28492</v>
      </c>
      <c r="J16" s="10">
        <f t="shared" si="3"/>
        <v>6954696931062.3799</v>
      </c>
      <c r="K16" s="11">
        <f t="shared" si="4"/>
        <v>1.2799999999999923E-2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241008067.77912036</v>
      </c>
      <c r="D17" s="11">
        <v>1.14E-2</v>
      </c>
      <c r="E17" s="10">
        <f t="shared" si="2"/>
        <v>2716523.603600949</v>
      </c>
      <c r="F17" s="3"/>
      <c r="G17" s="28"/>
      <c r="H17" s="10"/>
      <c r="I17" s="10">
        <f t="shared" si="5"/>
        <v>28492</v>
      </c>
      <c r="J17" s="10">
        <f t="shared" si="3"/>
        <v>6866801867162.6973</v>
      </c>
      <c r="K17" s="11">
        <f t="shared" si="4"/>
        <v>1.1400000000000077E-2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238291544.17551941</v>
      </c>
      <c r="D18" s="11">
        <v>1.09E-2</v>
      </c>
      <c r="E18" s="10">
        <f t="shared" si="2"/>
        <v>2569371.6801989675</v>
      </c>
      <c r="F18" s="3"/>
      <c r="G18" s="28"/>
      <c r="H18" s="10"/>
      <c r="I18" s="10">
        <f t="shared" si="5"/>
        <v>28492</v>
      </c>
      <c r="J18" s="10">
        <f t="shared" si="3"/>
        <v>6789402676648.8994</v>
      </c>
      <c r="K18" s="11">
        <f t="shared" si="4"/>
        <v>1.089999999999991E-2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235722172.49532044</v>
      </c>
      <c r="D19" s="11">
        <v>0.01</v>
      </c>
      <c r="E19" s="10">
        <f t="shared" si="2"/>
        <v>2333882.8959932625</v>
      </c>
      <c r="F19" s="3"/>
      <c r="G19" s="28"/>
      <c r="H19" s="10"/>
      <c r="I19" s="10">
        <f t="shared" si="5"/>
        <v>28492</v>
      </c>
      <c r="J19" s="10">
        <f t="shared" si="3"/>
        <v>6716196138736.6699</v>
      </c>
      <c r="K19" s="11">
        <f t="shared" si="4"/>
        <v>1.0000000000000009E-2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233388289.59932718</v>
      </c>
      <c r="D20" s="11">
        <v>1.0800000000000001E-2</v>
      </c>
      <c r="E20" s="10">
        <f t="shared" si="2"/>
        <v>2493661.9783070087</v>
      </c>
      <c r="F20" s="3"/>
      <c r="G20" s="28"/>
      <c r="H20" s="10"/>
      <c r="I20" s="10">
        <f t="shared" si="5"/>
        <v>28492</v>
      </c>
      <c r="J20" s="10">
        <f t="shared" si="3"/>
        <v>6649699147264.0303</v>
      </c>
      <c r="K20" s="11">
        <f t="shared" si="4"/>
        <v>1.0800000000000143E-2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230894627.62102017</v>
      </c>
      <c r="D21" s="11">
        <v>1.21E-2</v>
      </c>
      <c r="E21" s="10">
        <f t="shared" si="2"/>
        <v>2760423.8654424846</v>
      </c>
      <c r="F21" s="3"/>
      <c r="G21" s="28"/>
      <c r="H21" s="10"/>
      <c r="I21" s="10">
        <f t="shared" si="5"/>
        <v>28492</v>
      </c>
      <c r="J21" s="10">
        <f t="shared" si="3"/>
        <v>6578649730178.1064</v>
      </c>
      <c r="K21" s="11">
        <f t="shared" si="4"/>
        <v>1.21E-2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228134203.75557768</v>
      </c>
      <c r="D22" s="11">
        <v>1.11E-2</v>
      </c>
      <c r="E22" s="10">
        <f t="shared" si="2"/>
        <v>2504489.8246335089</v>
      </c>
      <c r="F22" s="3"/>
      <c r="G22" s="28"/>
      <c r="H22" s="10"/>
      <c r="I22" s="10">
        <f t="shared" si="5"/>
        <v>28492</v>
      </c>
      <c r="J22" s="10">
        <f t="shared" si="3"/>
        <v>6499999733403.9189</v>
      </c>
      <c r="K22" s="11">
        <f t="shared" si="4"/>
        <v>1.110000000000011E-2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225629713.93094417</v>
      </c>
      <c r="D23" s="11">
        <v>9.5999999999999992E-3</v>
      </c>
      <c r="E23" s="10">
        <f t="shared" si="2"/>
        <v>2145448.943875879</v>
      </c>
      <c r="F23" s="3"/>
      <c r="G23" s="28"/>
      <c r="H23" s="10"/>
      <c r="I23" s="10">
        <f t="shared" si="5"/>
        <v>28492</v>
      </c>
      <c r="J23" s="10">
        <f t="shared" si="3"/>
        <v>6428641809320.4609</v>
      </c>
      <c r="K23" s="11">
        <f t="shared" si="4"/>
        <v>9.6000000000000529E-3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223484264.9870683</v>
      </c>
      <c r="D24" s="11">
        <v>8.8999999999999999E-3</v>
      </c>
      <c r="E24" s="10">
        <f t="shared" si="2"/>
        <v>1971463.92941311</v>
      </c>
      <c r="F24" s="3"/>
      <c r="G24" s="28"/>
      <c r="H24" s="10"/>
      <c r="I24" s="10">
        <f t="shared" si="5"/>
        <v>28492</v>
      </c>
      <c r="J24" s="10">
        <f t="shared" si="3"/>
        <v>6367513678011.5498</v>
      </c>
      <c r="K24" s="11">
        <f t="shared" si="4"/>
        <v>8.899999999999908E-3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221512801.05765519</v>
      </c>
      <c r="D25" s="11">
        <v>1.12E-2</v>
      </c>
      <c r="E25" s="10">
        <f t="shared" si="2"/>
        <v>2453464.5686765909</v>
      </c>
      <c r="F25" s="3"/>
      <c r="G25" s="28"/>
      <c r="H25" s="10"/>
      <c r="I25" s="10">
        <f t="shared" si="5"/>
        <v>28492</v>
      </c>
      <c r="J25" s="10">
        <f t="shared" si="3"/>
        <v>6311342727734.7119</v>
      </c>
      <c r="K25" s="11">
        <f t="shared" si="4"/>
        <v>1.1200000000000099E-2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219059336.48897859</v>
      </c>
      <c r="D26" s="11">
        <v>1.2699999999999999E-2</v>
      </c>
      <c r="E26" s="10">
        <f t="shared" si="2"/>
        <v>2747164.5832033455</v>
      </c>
      <c r="F26" s="3"/>
      <c r="G26" s="28"/>
      <c r="H26" s="10"/>
      <c r="I26" s="10">
        <f t="shared" si="5"/>
        <v>28492</v>
      </c>
      <c r="J26" s="10">
        <f t="shared" si="3"/>
        <v>6241438615243.9785</v>
      </c>
      <c r="K26" s="11">
        <f t="shared" si="4"/>
        <v>1.2699999999999934E-2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216312171.90577525</v>
      </c>
      <c r="D27" s="11">
        <v>1.4800000000000001E-2</v>
      </c>
      <c r="E27" s="10">
        <f t="shared" si="2"/>
        <v>3154730.1381606758</v>
      </c>
      <c r="F27" s="3"/>
      <c r="G27" s="28"/>
      <c r="H27" s="10"/>
      <c r="I27" s="10">
        <f t="shared" si="5"/>
        <v>28492</v>
      </c>
      <c r="J27" s="10">
        <f t="shared" si="3"/>
        <v>6163166401939.3486</v>
      </c>
      <c r="K27" s="11">
        <f t="shared" si="4"/>
        <v>1.4799999999999924E-2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213157441.76761457</v>
      </c>
      <c r="D28" s="11">
        <v>1.6899999999999998E-2</v>
      </c>
      <c r="E28" s="10">
        <f t="shared" si="2"/>
        <v>3542492.6402524114</v>
      </c>
      <c r="F28" s="3"/>
      <c r="G28" s="28"/>
      <c r="H28" s="10"/>
      <c r="I28" s="10">
        <f t="shared" si="5"/>
        <v>28492</v>
      </c>
      <c r="J28" s="10">
        <f t="shared" si="3"/>
        <v>6073281830842.874</v>
      </c>
      <c r="K28" s="11">
        <f t="shared" si="4"/>
        <v>1.6899999999999915E-2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209614949.12736216</v>
      </c>
      <c r="D29" s="11">
        <v>1.6400000000000001E-2</v>
      </c>
      <c r="E29" s="10">
        <f t="shared" si="2"/>
        <v>3382216.8100046515</v>
      </c>
      <c r="F29" s="3"/>
      <c r="G29" s="28"/>
      <c r="H29" s="10"/>
      <c r="I29" s="10">
        <f t="shared" si="5"/>
        <v>28492</v>
      </c>
      <c r="J29" s="10">
        <f t="shared" si="3"/>
        <v>5972349130536.8027</v>
      </c>
      <c r="K29" s="11">
        <f t="shared" si="4"/>
        <v>1.639999999999997E-2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206232732.31735751</v>
      </c>
      <c r="D30" s="11">
        <v>1.52E-2</v>
      </c>
      <c r="E30" s="10">
        <f t="shared" si="2"/>
        <v>3087802.9267374575</v>
      </c>
      <c r="F30" s="3"/>
      <c r="G30" s="28"/>
      <c r="H30" s="10"/>
      <c r="I30" s="10">
        <f t="shared" si="5"/>
        <v>28492</v>
      </c>
      <c r="J30" s="10">
        <f t="shared" si="3"/>
        <v>5875983009186.1504</v>
      </c>
      <c r="K30" s="11">
        <f t="shared" si="4"/>
        <v>1.5200000000000102E-2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203144929.39062005</v>
      </c>
      <c r="D31" s="11">
        <v>1.4500000000000001E-2</v>
      </c>
      <c r="E31" s="10">
        <f t="shared" si="2"/>
        <v>2903500.7157850862</v>
      </c>
      <c r="F31" s="3"/>
      <c r="G31" s="28"/>
      <c r="H31" s="10"/>
      <c r="I31" s="10">
        <f t="shared" si="5"/>
        <v>28492</v>
      </c>
      <c r="J31" s="10">
        <f t="shared" si="3"/>
        <v>5788005328197.5469</v>
      </c>
      <c r="K31" s="11">
        <f t="shared" si="4"/>
        <v>1.4499999999999957E-2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200241428.67483497</v>
      </c>
      <c r="D32" s="11">
        <v>1.3299999999999999E-2</v>
      </c>
      <c r="E32" s="10">
        <f t="shared" si="2"/>
        <v>2628255.2071206272</v>
      </c>
      <c r="F32" s="3"/>
      <c r="G32" s="28"/>
      <c r="H32" s="10"/>
      <c r="I32" s="10">
        <f t="shared" si="5"/>
        <v>28492</v>
      </c>
      <c r="J32" s="10">
        <f t="shared" si="3"/>
        <v>5705278785803.3975</v>
      </c>
      <c r="K32" s="11">
        <f t="shared" si="4"/>
        <v>1.330000000000009E-2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197613173.46771434</v>
      </c>
      <c r="D33" s="11">
        <v>1.2E-2</v>
      </c>
      <c r="E33" s="10">
        <f t="shared" si="2"/>
        <v>2343239.2110796273</v>
      </c>
      <c r="F33" s="3"/>
      <c r="G33" s="28"/>
      <c r="H33" s="10"/>
      <c r="I33" s="10">
        <f t="shared" si="5"/>
        <v>28492</v>
      </c>
      <c r="J33" s="10">
        <f t="shared" si="3"/>
        <v>5630394538442.1172</v>
      </c>
      <c r="K33" s="11">
        <f t="shared" si="4"/>
        <v>1.2000000000000011E-2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195269934.25663471</v>
      </c>
      <c r="D34" s="11">
        <v>1.37E-2</v>
      </c>
      <c r="E34" s="10">
        <f t="shared" si="2"/>
        <v>2639043.2073748708</v>
      </c>
      <c r="F34" s="3"/>
      <c r="G34" s="28"/>
      <c r="H34" s="10"/>
      <c r="I34" s="10">
        <f t="shared" si="5"/>
        <v>28492</v>
      </c>
      <c r="J34" s="10">
        <f t="shared" ref="J34:J65" si="6">IF(I34="","",I34*C34)</f>
        <v>5563630966840.0361</v>
      </c>
      <c r="K34" s="11">
        <f t="shared" ref="K34:K65" si="7">IFERROR(J34/J35-1,"")</f>
        <v>1.3700000000000045E-2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192630891.04925984</v>
      </c>
      <c r="D35" s="11">
        <v>1.7299999999999999E-2</v>
      </c>
      <c r="E35" s="10">
        <f t="shared" si="2"/>
        <v>3275842.3426248133</v>
      </c>
      <c r="F35" s="3"/>
      <c r="G35" s="28"/>
      <c r="H35" s="10"/>
      <c r="I35" s="10">
        <f t="shared" ref="I35:I66" si="8">IF(H35&lt;&gt;"",H35,I34/(1+IF(G34="",0,G34)/100))</f>
        <v>28492</v>
      </c>
      <c r="J35" s="10">
        <f t="shared" si="6"/>
        <v>5488439347775.5117</v>
      </c>
      <c r="K35" s="11">
        <f t="shared" si="7"/>
        <v>1.7300000000000093E-2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189355048.70663503</v>
      </c>
      <c r="D36" s="11">
        <v>1.5599999999999999E-2</v>
      </c>
      <c r="E36" s="10">
        <f t="shared" si="2"/>
        <v>2908565.1435836256</v>
      </c>
      <c r="F36" s="3"/>
      <c r="G36" s="28"/>
      <c r="H36" s="10"/>
      <c r="I36" s="10">
        <f t="shared" si="8"/>
        <v>28492</v>
      </c>
      <c r="J36" s="10">
        <f t="shared" si="6"/>
        <v>5395104047749.4453</v>
      </c>
      <c r="K36" s="11">
        <f t="shared" si="7"/>
        <v>1.5600000000000058E-2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186446483.5630514</v>
      </c>
      <c r="D37" s="11">
        <v>1.2200000000000001E-2</v>
      </c>
      <c r="E37" s="10">
        <f t="shared" si="2"/>
        <v>2247230.8827002943</v>
      </c>
      <c r="F37" s="3"/>
      <c r="G37" s="28"/>
      <c r="H37" s="10"/>
      <c r="I37" s="10">
        <f t="shared" si="8"/>
        <v>28492</v>
      </c>
      <c r="J37" s="10">
        <f t="shared" si="6"/>
        <v>5312233209678.4609</v>
      </c>
      <c r="K37" s="11">
        <f t="shared" si="7"/>
        <v>1.2200000000000211E-2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184199252.68035111</v>
      </c>
      <c r="D38" s="11">
        <v>1.0800000000000001E-2</v>
      </c>
      <c r="E38" s="10">
        <f t="shared" si="2"/>
        <v>1968096.4868893623</v>
      </c>
      <c r="F38" s="3"/>
      <c r="G38" s="28"/>
      <c r="H38" s="10"/>
      <c r="I38" s="10">
        <f t="shared" si="8"/>
        <v>28492</v>
      </c>
      <c r="J38" s="10">
        <f t="shared" si="6"/>
        <v>5248205107368.5635</v>
      </c>
      <c r="K38" s="11">
        <f t="shared" si="7"/>
        <v>1.0799999999999699E-2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182231156.19346175</v>
      </c>
      <c r="D39" s="11">
        <v>1.1599999999999999E-2</v>
      </c>
      <c r="E39" s="10">
        <f t="shared" si="2"/>
        <v>2089641.5696363747</v>
      </c>
      <c r="F39" s="3"/>
      <c r="G39" s="28"/>
      <c r="H39" s="10"/>
      <c r="I39" s="10">
        <f t="shared" si="8"/>
        <v>28492</v>
      </c>
      <c r="J39" s="10">
        <f t="shared" si="6"/>
        <v>5192130102264.1123</v>
      </c>
      <c r="K39" s="11">
        <f t="shared" si="7"/>
        <v>1.1600000000000055E-2</v>
      </c>
      <c r="L39" t="s">
        <v>138</v>
      </c>
      <c r="M39" t="s">
        <v>139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180141514.62382537</v>
      </c>
      <c r="D40" s="11">
        <v>1.1299999999999999E-2</v>
      </c>
      <c r="E40" s="10">
        <f t="shared" si="2"/>
        <v>2012853.8665571511</v>
      </c>
      <c r="F40" s="3"/>
      <c r="G40" s="28"/>
      <c r="H40" s="10"/>
      <c r="I40" s="10">
        <f t="shared" si="8"/>
        <v>28492</v>
      </c>
      <c r="J40" s="10">
        <f t="shared" si="6"/>
        <v>5132592034662.0322</v>
      </c>
      <c r="K40" s="11">
        <f t="shared" si="7"/>
        <v>1.1300000000000088E-2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178128660.75726822</v>
      </c>
      <c r="D41" s="11">
        <v>0.01</v>
      </c>
      <c r="E41" s="10">
        <f t="shared" si="2"/>
        <v>1763650.1065075994</v>
      </c>
      <c r="F41" s="3"/>
      <c r="G41" s="28"/>
      <c r="H41" s="10"/>
      <c r="I41" s="10">
        <f t="shared" si="8"/>
        <v>28492</v>
      </c>
      <c r="J41" s="10">
        <f t="shared" si="6"/>
        <v>5075241802296.0859</v>
      </c>
      <c r="K41" s="11">
        <f t="shared" si="7"/>
        <v>1.0000000000000009E-2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176365010.65076062</v>
      </c>
      <c r="D42" s="11">
        <v>1.23E-2</v>
      </c>
      <c r="E42" s="10">
        <f t="shared" si="2"/>
        <v>2142931.572660625</v>
      </c>
      <c r="F42" s="3"/>
      <c r="G42" s="28"/>
      <c r="H42" s="10"/>
      <c r="I42" s="10">
        <f t="shared" si="8"/>
        <v>28492</v>
      </c>
      <c r="J42" s="10">
        <f t="shared" si="6"/>
        <v>5024991883461.4717</v>
      </c>
      <c r="K42" s="11">
        <f t="shared" si="7"/>
        <v>1.2299999999999978E-2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174222079.0781</v>
      </c>
      <c r="D43" s="11">
        <v>2.53E-2</v>
      </c>
      <c r="E43" s="10">
        <f t="shared" si="2"/>
        <v>4299052.5706387758</v>
      </c>
      <c r="F43" s="3"/>
      <c r="G43" s="28"/>
      <c r="H43" s="10"/>
      <c r="I43" s="10">
        <f t="shared" si="8"/>
        <v>28492</v>
      </c>
      <c r="J43" s="10">
        <f t="shared" si="6"/>
        <v>4963935477093.2246</v>
      </c>
      <c r="K43" s="11">
        <f t="shared" si="7"/>
        <v>2.5299999999999878E-2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169923026.50746122</v>
      </c>
      <c r="D44" s="11">
        <v>1.5299999999999999E-2</v>
      </c>
      <c r="E44" s="10">
        <f t="shared" si="2"/>
        <v>2560644.4455473125</v>
      </c>
      <c r="F44" s="3"/>
      <c r="G44" s="28"/>
      <c r="H44" s="10"/>
      <c r="I44" s="10">
        <f t="shared" si="8"/>
        <v>28492</v>
      </c>
      <c r="J44" s="10">
        <f t="shared" si="6"/>
        <v>4841446871250.585</v>
      </c>
      <c r="K44" s="11">
        <f t="shared" si="7"/>
        <v>1.5300000000000313E-2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167362382.06191391</v>
      </c>
      <c r="D45" s="11">
        <v>1.84E-2</v>
      </c>
      <c r="E45" s="10">
        <f t="shared" si="2"/>
        <v>3023829.3695396781</v>
      </c>
      <c r="F45" s="3"/>
      <c r="G45" s="28"/>
      <c r="H45" s="10"/>
      <c r="I45" s="10">
        <f t="shared" si="8"/>
        <v>28492</v>
      </c>
      <c r="J45" s="10">
        <f t="shared" si="6"/>
        <v>4768488989708.0508</v>
      </c>
      <c r="K45" s="11">
        <f t="shared" si="7"/>
        <v>1.839999999999975E-2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164338552.69237423</v>
      </c>
      <c r="D46" s="11">
        <v>3.3799999999999997E-2</v>
      </c>
      <c r="E46" s="10">
        <f t="shared" si="2"/>
        <v>5373034.5144150257</v>
      </c>
      <c r="F46" s="3"/>
      <c r="G46" s="28"/>
      <c r="H46" s="10"/>
      <c r="I46" s="10">
        <f t="shared" si="8"/>
        <v>28492</v>
      </c>
      <c r="J46" s="10">
        <f t="shared" si="6"/>
        <v>4682334043311.127</v>
      </c>
      <c r="K46" s="11">
        <f t="shared" si="7"/>
        <v>3.3800000000000052E-2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158965518.1779592</v>
      </c>
      <c r="D47" s="11">
        <v>1.9699999999999999E-2</v>
      </c>
      <c r="E47" s="10">
        <f t="shared" si="2"/>
        <v>3071119.650981456</v>
      </c>
      <c r="F47" s="3"/>
      <c r="G47" s="28"/>
      <c r="H47" s="10"/>
      <c r="I47" s="10">
        <f t="shared" si="8"/>
        <v>28492</v>
      </c>
      <c r="J47" s="10">
        <f t="shared" si="6"/>
        <v>4529245543926.4141</v>
      </c>
      <c r="K47" s="11">
        <f t="shared" si="7"/>
        <v>1.9700000000000051E-2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155894398.52697775</v>
      </c>
      <c r="D48" s="11">
        <v>2.0899999999999998E-2</v>
      </c>
      <c r="E48" s="10">
        <f t="shared" si="2"/>
        <v>3191490.7720774114</v>
      </c>
      <c r="F48" s="3"/>
      <c r="G48" s="28"/>
      <c r="H48" s="10"/>
      <c r="I48" s="10">
        <f t="shared" si="8"/>
        <v>28492</v>
      </c>
      <c r="J48" s="10">
        <f t="shared" si="6"/>
        <v>4441743202830.6504</v>
      </c>
      <c r="K48" s="11">
        <f t="shared" si="7"/>
        <v>2.0899999999999919E-2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152702907.75490034</v>
      </c>
      <c r="D49" s="11">
        <v>1.7600000000000001E-2</v>
      </c>
      <c r="E49" s="10">
        <f t="shared" si="2"/>
        <v>2641088.0272074044</v>
      </c>
      <c r="F49" s="3"/>
      <c r="G49" s="28"/>
      <c r="H49" s="10"/>
      <c r="I49" s="10">
        <f t="shared" si="8"/>
        <v>28492</v>
      </c>
      <c r="J49" s="10">
        <f t="shared" si="6"/>
        <v>4350811247752.6206</v>
      </c>
      <c r="K49" s="11">
        <f t="shared" si="7"/>
        <v>1.760000000000006E-2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150061819.72769293</v>
      </c>
      <c r="D50" s="11">
        <v>1.26E-2</v>
      </c>
      <c r="E50" s="10">
        <f t="shared" si="2"/>
        <v>1867251.5589264631</v>
      </c>
      <c r="F50" s="3"/>
      <c r="G50" s="28"/>
      <c r="H50" s="10"/>
      <c r="I50" s="10">
        <f t="shared" si="8"/>
        <v>28492</v>
      </c>
      <c r="J50" s="10">
        <f t="shared" si="6"/>
        <v>4275561367681.4272</v>
      </c>
      <c r="K50" s="11">
        <f t="shared" si="7"/>
        <v>1.2600000000000167E-2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148194568.16876647</v>
      </c>
      <c r="D51" s="11">
        <v>2.2800000000000001E-2</v>
      </c>
      <c r="E51" s="10">
        <f t="shared" si="2"/>
        <v>3303515.9896830916</v>
      </c>
      <c r="F51" s="3"/>
      <c r="G51" s="28"/>
      <c r="H51" s="10"/>
      <c r="I51" s="10">
        <f t="shared" si="8"/>
        <v>28492</v>
      </c>
      <c r="J51" s="10">
        <f t="shared" si="6"/>
        <v>4222359636264.4941</v>
      </c>
      <c r="K51" s="11">
        <f t="shared" si="7"/>
        <v>2.2799999999999931E-2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144891052.17908338</v>
      </c>
      <c r="D52" s="11">
        <v>1.9599999999999999E-2</v>
      </c>
      <c r="E52" s="10">
        <f t="shared" si="2"/>
        <v>2785273.266683042</v>
      </c>
      <c r="F52" s="3"/>
      <c r="G52" s="28"/>
      <c r="H52" s="10"/>
      <c r="I52" s="10">
        <f t="shared" si="8"/>
        <v>28492</v>
      </c>
      <c r="J52" s="10">
        <f t="shared" si="6"/>
        <v>4128235858686.4434</v>
      </c>
      <c r="K52" s="11">
        <f t="shared" si="7"/>
        <v>1.959999999999984E-2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142105778.91240034</v>
      </c>
      <c r="D53" s="11">
        <v>1.9599999999999999E-2</v>
      </c>
      <c r="E53" s="10">
        <f t="shared" si="2"/>
        <v>2731731.3325647712</v>
      </c>
      <c r="F53" s="3"/>
      <c r="G53" s="28"/>
      <c r="H53" s="10"/>
      <c r="I53" s="10">
        <f t="shared" si="8"/>
        <v>28492</v>
      </c>
      <c r="J53" s="10">
        <f t="shared" si="6"/>
        <v>4048877852772.1104</v>
      </c>
      <c r="K53" s="11">
        <f t="shared" si="7"/>
        <v>1.9600000000000062E-2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139374047.57983556</v>
      </c>
      <c r="D54" s="11">
        <v>1.9199999999999998E-2</v>
      </c>
      <c r="E54" s="10">
        <f t="shared" si="2"/>
        <v>2625570.7550361753</v>
      </c>
      <c r="F54" s="3"/>
      <c r="G54" s="28"/>
      <c r="H54" s="10"/>
      <c r="I54" s="10">
        <f t="shared" si="8"/>
        <v>28492</v>
      </c>
      <c r="J54" s="10">
        <f t="shared" si="6"/>
        <v>3971045363644.6748</v>
      </c>
      <c r="K54" s="11">
        <f t="shared" si="7"/>
        <v>1.9200000000000106E-2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136748476.82479939</v>
      </c>
      <c r="D55" s="11">
        <v>2.4400000000000002E-2</v>
      </c>
      <c r="E55" s="10">
        <f t="shared" si="2"/>
        <v>3257187.4604891688</v>
      </c>
      <c r="F55" s="3"/>
      <c r="G55" s="28"/>
      <c r="H55" s="10"/>
      <c r="I55" s="10">
        <f t="shared" si="8"/>
        <v>28492</v>
      </c>
      <c r="J55" s="10">
        <f t="shared" si="6"/>
        <v>3896237601692.1841</v>
      </c>
      <c r="K55" s="11">
        <f t="shared" si="7"/>
        <v>2.4399999999999977E-2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133491289.36431022</v>
      </c>
      <c r="D56" s="11">
        <v>1.9900000000000001E-2</v>
      </c>
      <c r="E56" s="10">
        <f t="shared" si="2"/>
        <v>2604644.2380133122</v>
      </c>
      <c r="F56" s="3"/>
      <c r="G56" s="28"/>
      <c r="H56" s="10"/>
      <c r="I56" s="10">
        <f t="shared" si="8"/>
        <v>28492</v>
      </c>
      <c r="J56" s="10">
        <f t="shared" si="6"/>
        <v>3803433816567.9268</v>
      </c>
      <c r="K56" s="11">
        <f t="shared" si="7"/>
        <v>1.9900000000000029E-2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130886645.12629691</v>
      </c>
      <c r="D57" s="11">
        <v>0.02</v>
      </c>
      <c r="E57" s="10">
        <f t="shared" si="2"/>
        <v>2566404.8063979745</v>
      </c>
      <c r="F57" s="3"/>
      <c r="G57" s="28"/>
      <c r="H57" s="10"/>
      <c r="I57" s="10">
        <f t="shared" si="8"/>
        <v>28492</v>
      </c>
      <c r="J57" s="10">
        <f t="shared" si="6"/>
        <v>3729222292938.4517</v>
      </c>
      <c r="K57" s="11">
        <f t="shared" si="7"/>
        <v>2.0000000000000018E-2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128320240.31989893</v>
      </c>
      <c r="D58" s="11">
        <v>2.1000000000000001E-2</v>
      </c>
      <c r="E58" s="10">
        <f t="shared" si="2"/>
        <v>2639299.7519273907</v>
      </c>
      <c r="F58" s="3"/>
      <c r="G58" s="28"/>
      <c r="H58" s="10"/>
      <c r="I58" s="10">
        <f t="shared" si="8"/>
        <v>28492</v>
      </c>
      <c r="J58" s="10">
        <f t="shared" si="6"/>
        <v>3656100287194.5605</v>
      </c>
      <c r="K58" s="11">
        <f t="shared" si="7"/>
        <v>2.0999999999999908E-2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125680940.56797154</v>
      </c>
      <c r="D59" s="11">
        <v>2.1000000000000001E-2</v>
      </c>
      <c r="E59" s="10">
        <f t="shared" si="2"/>
        <v>2585014.4485087097</v>
      </c>
      <c r="F59" s="3"/>
      <c r="G59" s="28"/>
      <c r="H59" s="10"/>
      <c r="I59" s="10">
        <f t="shared" si="8"/>
        <v>28492</v>
      </c>
      <c r="J59" s="10">
        <f t="shared" si="6"/>
        <v>3580901358662.645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123095926.11946283</v>
      </c>
      <c r="D60" s="11">
        <v>2.1000000000000001E-2</v>
      </c>
      <c r="E60" s="10">
        <f t="shared" si="2"/>
        <v>2531845.6890388876</v>
      </c>
      <c r="F60" s="3"/>
      <c r="G60" s="28"/>
      <c r="H60" s="10"/>
      <c r="I60" s="10">
        <f t="shared" si="8"/>
        <v>28492</v>
      </c>
      <c r="J60" s="10">
        <f t="shared" si="6"/>
        <v>3507249126995.7349</v>
      </c>
      <c r="K60" s="11">
        <f t="shared" si="7"/>
        <v>2.0999999999999686E-2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120564080.43042395</v>
      </c>
      <c r="D61" s="11">
        <v>2.1000000000000001E-2</v>
      </c>
      <c r="E61" s="10">
        <f t="shared" si="2"/>
        <v>2479770.5083632618</v>
      </c>
      <c r="F61" s="3"/>
      <c r="G61" s="28"/>
      <c r="H61" s="10"/>
      <c r="I61" s="10">
        <f t="shared" si="8"/>
        <v>28492</v>
      </c>
      <c r="J61" s="10">
        <f t="shared" si="6"/>
        <v>3435111779623.6392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118084309.92206068</v>
      </c>
      <c r="D62" s="11">
        <v>2.1999999999999999E-2</v>
      </c>
      <c r="E62" s="10">
        <f t="shared" si="2"/>
        <v>2541932.3075198978</v>
      </c>
      <c r="F62" s="3"/>
      <c r="G62" s="28"/>
      <c r="H62" s="10"/>
      <c r="I62" s="10">
        <f t="shared" si="8"/>
        <v>28492</v>
      </c>
      <c r="J62" s="10">
        <f t="shared" si="6"/>
        <v>3364458158299.353</v>
      </c>
      <c r="K62" s="11">
        <f t="shared" si="7"/>
        <v>2.200000000000002E-2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115542377.61454079</v>
      </c>
      <c r="D63" s="11">
        <v>2.1999999999999999E-2</v>
      </c>
      <c r="E63" s="10">
        <f t="shared" si="2"/>
        <v>2487213.6081407964</v>
      </c>
      <c r="F63" s="3"/>
      <c r="G63" s="28"/>
      <c r="H63" s="10"/>
      <c r="I63" s="10">
        <f t="shared" si="8"/>
        <v>28492</v>
      </c>
      <c r="J63" s="10">
        <f t="shared" si="6"/>
        <v>3292033422993.4961</v>
      </c>
      <c r="K63" s="11">
        <f t="shared" si="7"/>
        <v>2.200000000000002E-2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113055164.00639999</v>
      </c>
      <c r="D64" s="11">
        <v>2.1999999999999999E-2</v>
      </c>
      <c r="E64" s="10">
        <f t="shared" si="2"/>
        <v>2433672.806400001</v>
      </c>
      <c r="F64" s="3"/>
      <c r="G64" s="28"/>
      <c r="H64" s="10"/>
      <c r="I64" s="10">
        <f t="shared" si="8"/>
        <v>28492</v>
      </c>
      <c r="J64" s="10">
        <f t="shared" si="6"/>
        <v>3221167732870.3486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110621491.19999999</v>
      </c>
      <c r="D65" s="11">
        <v>2.3E-2</v>
      </c>
      <c r="E65" s="10">
        <f t="shared" si="2"/>
        <v>2487091.1999999881</v>
      </c>
      <c r="F65" s="3"/>
      <c r="G65" s="28"/>
      <c r="H65" s="10"/>
      <c r="I65" s="10">
        <f t="shared" si="8"/>
        <v>28492</v>
      </c>
      <c r="J65" s="10">
        <f t="shared" si="6"/>
        <v>3151827527270.3999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108134400</v>
      </c>
      <c r="D66" s="11">
        <v>2.4E-2</v>
      </c>
      <c r="E66" s="10">
        <f t="shared" si="2"/>
        <v>2534400</v>
      </c>
      <c r="F66" s="24">
        <f>SUM(F2)</f>
        <v>301115278</v>
      </c>
      <c r="G66" s="28"/>
      <c r="H66" s="10"/>
      <c r="I66" s="10">
        <f t="shared" si="8"/>
        <v>28492</v>
      </c>
      <c r="J66" s="10">
        <f t="shared" ref="J66:J67" si="9">IF(I66="","",I66*C66)</f>
        <v>3080965324800</v>
      </c>
      <c r="K66" s="11">
        <f t="shared" ref="K66" si="10">IFERROR(J66/J67-1,"")</f>
        <v>2.4000000000000021E-2</v>
      </c>
    </row>
    <row r="67" spans="1:11" ht="22.5" customHeight="1">
      <c r="A67" s="3">
        <f t="shared" si="0"/>
        <v>1950</v>
      </c>
      <c r="B67" s="3">
        <v>1700</v>
      </c>
      <c r="C67" s="10">
        <v>105600000</v>
      </c>
      <c r="D67" s="11">
        <v>2.5000000000000001E-2</v>
      </c>
      <c r="E67" s="3" t="s">
        <v>72</v>
      </c>
      <c r="F67" s="10">
        <f>SUM(C2)</f>
        <v>301117757.75661606</v>
      </c>
      <c r="G67" s="28"/>
      <c r="H67" s="10"/>
      <c r="I67" s="10">
        <f t="shared" ref="I67" si="11">IF(H67&lt;&gt;"",H67,I66/(1+IF(G66="",0,G66)/100))</f>
        <v>28492</v>
      </c>
      <c r="J67" s="10">
        <f t="shared" si="9"/>
        <v>3008755200000</v>
      </c>
      <c r="K67" s="11"/>
    </row>
  </sheetData>
  <dataValidations count="1">
    <dataValidation type="custom" allowBlank="1" showDropDown="1" sqref="D2:D67" xr:uid="{00000000-0002-0000-7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8871997.5144445822</v>
      </c>
      <c r="D2" s="11">
        <v>2.52E-2</v>
      </c>
      <c r="E2" s="10">
        <f t="shared" ref="E2:E66" si="2">SUM(C2-C3)</f>
        <v>218078.75279360451</v>
      </c>
      <c r="F2" s="15">
        <v>8871251</v>
      </c>
      <c r="G2" s="28"/>
      <c r="H2" s="10"/>
      <c r="I2" s="10">
        <f>IF(H2&lt;&gt;"",H2,7619)</f>
        <v>7619</v>
      </c>
      <c r="J2" s="10">
        <f t="shared" ref="J2:J33" si="3">IF(I2="","",I2*C2)</f>
        <v>67595749062.553268</v>
      </c>
      <c r="K2" s="11">
        <f t="shared" ref="K2:K33" si="4">IFERROR(J2/J3-1,"")</f>
        <v>2.5199999999999889E-2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8653918.7616509777</v>
      </c>
      <c r="D3" s="11">
        <v>2.53E-2</v>
      </c>
      <c r="E3" s="10">
        <f t="shared" si="2"/>
        <v>213541.5436162781</v>
      </c>
      <c r="F3" s="3"/>
      <c r="G3" s="28"/>
      <c r="H3" s="10"/>
      <c r="I3" s="10">
        <f t="shared" ref="I3:I34" si="5">IF(H3&lt;&gt;"",H3,I2/(1+IF(G2="",0,G2)/100))</f>
        <v>7619</v>
      </c>
      <c r="J3" s="10">
        <f t="shared" si="3"/>
        <v>65934207045.018799</v>
      </c>
      <c r="K3" s="11">
        <f t="shared" si="4"/>
        <v>2.53000000000001E-2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8440377.2180346996</v>
      </c>
      <c r="D4" s="11">
        <v>2.5700000000000001E-2</v>
      </c>
      <c r="E4" s="10">
        <f t="shared" si="2"/>
        <v>211482.59189187177</v>
      </c>
      <c r="F4" s="3"/>
      <c r="G4" s="28"/>
      <c r="H4" s="10"/>
      <c r="I4" s="10">
        <f t="shared" si="5"/>
        <v>7619</v>
      </c>
      <c r="J4" s="10">
        <f t="shared" si="3"/>
        <v>64307234024.206375</v>
      </c>
      <c r="K4" s="11">
        <f t="shared" si="4"/>
        <v>2.5700000000000056E-2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8228894.6261428278</v>
      </c>
      <c r="D5" s="11">
        <v>2.63E-2</v>
      </c>
      <c r="E5" s="10">
        <f t="shared" si="2"/>
        <v>210873.94394188467</v>
      </c>
      <c r="F5" s="3"/>
      <c r="G5" s="28"/>
      <c r="H5" s="10"/>
      <c r="I5" s="10">
        <f t="shared" si="5"/>
        <v>7619</v>
      </c>
      <c r="J5" s="10">
        <f t="shared" si="3"/>
        <v>62695948156.582207</v>
      </c>
      <c r="K5" s="11">
        <f t="shared" si="4"/>
        <v>2.629999999999999E-2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8018020.6822009431</v>
      </c>
      <c r="D6" s="11">
        <v>2.69E-2</v>
      </c>
      <c r="E6" s="10">
        <f t="shared" si="2"/>
        <v>210034.81970124133</v>
      </c>
      <c r="F6" s="3"/>
      <c r="G6" s="28"/>
      <c r="H6" s="10"/>
      <c r="I6" s="10">
        <f t="shared" si="5"/>
        <v>7619</v>
      </c>
      <c r="J6" s="10">
        <f t="shared" si="3"/>
        <v>61089299577.688988</v>
      </c>
      <c r="K6" s="11">
        <f t="shared" si="4"/>
        <v>2.6899999999999924E-2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7807985.8624997018</v>
      </c>
      <c r="D7" s="11">
        <v>2.7199999999999998E-2</v>
      </c>
      <c r="E7" s="10">
        <f t="shared" si="2"/>
        <v>206753.5197235113</v>
      </c>
      <c r="F7" s="3"/>
      <c r="G7" s="28"/>
      <c r="H7" s="10"/>
      <c r="I7" s="10">
        <f t="shared" si="5"/>
        <v>7619</v>
      </c>
      <c r="J7" s="10">
        <f t="shared" si="3"/>
        <v>59489044286.385231</v>
      </c>
      <c r="K7" s="11">
        <f t="shared" si="4"/>
        <v>2.7199999999999891E-2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7601232.3427761905</v>
      </c>
      <c r="D8" s="11">
        <v>2.8299999999999999E-2</v>
      </c>
      <c r="E8" s="10">
        <f t="shared" si="2"/>
        <v>209194.66624580976</v>
      </c>
      <c r="F8" s="3"/>
      <c r="G8" s="28"/>
      <c r="H8" s="10"/>
      <c r="I8" s="10">
        <f t="shared" si="5"/>
        <v>7619</v>
      </c>
      <c r="J8" s="10">
        <f t="shared" si="3"/>
        <v>57913789219.611794</v>
      </c>
      <c r="K8" s="11">
        <f t="shared" si="4"/>
        <v>2.8299999999999992E-2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7392037.6765303807</v>
      </c>
      <c r="D9" s="11">
        <v>2.87E-2</v>
      </c>
      <c r="E9" s="10">
        <f t="shared" si="2"/>
        <v>206232.60553749558</v>
      </c>
      <c r="F9" s="3"/>
      <c r="G9" s="28"/>
      <c r="H9" s="10"/>
      <c r="I9" s="10">
        <f t="shared" si="5"/>
        <v>7619</v>
      </c>
      <c r="J9" s="10">
        <f t="shared" si="3"/>
        <v>56319935057.48497</v>
      </c>
      <c r="K9" s="11">
        <f t="shared" si="4"/>
        <v>2.8699999999999948E-2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7185805.0709928852</v>
      </c>
      <c r="D10" s="11">
        <v>2.9100000000000001E-2</v>
      </c>
      <c r="E10" s="10">
        <f t="shared" si="2"/>
        <v>203193.98267018981</v>
      </c>
      <c r="F10" s="3"/>
      <c r="G10" s="28"/>
      <c r="H10" s="10"/>
      <c r="I10" s="10">
        <f t="shared" si="5"/>
        <v>7619</v>
      </c>
      <c r="J10" s="10">
        <f t="shared" si="3"/>
        <v>54748648835.894791</v>
      </c>
      <c r="K10" s="11">
        <f t="shared" si="4"/>
        <v>2.9099999999999904E-2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6982611.0883226953</v>
      </c>
      <c r="D11" s="11">
        <v>2.8000000000000001E-2</v>
      </c>
      <c r="E11" s="10">
        <f t="shared" si="2"/>
        <v>190187.85065470356</v>
      </c>
      <c r="F11" s="3"/>
      <c r="G11" s="28"/>
      <c r="H11" s="10"/>
      <c r="I11" s="10">
        <f t="shared" si="5"/>
        <v>7619</v>
      </c>
      <c r="J11" s="10">
        <f t="shared" si="3"/>
        <v>53200513881.930618</v>
      </c>
      <c r="K11" s="11">
        <f t="shared" si="4"/>
        <v>2.8000000000000025E-2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6792423.2376679918</v>
      </c>
      <c r="D12" s="11">
        <v>2.5700000000000001E-2</v>
      </c>
      <c r="E12" s="10">
        <f t="shared" si="2"/>
        <v>170191.35927470773</v>
      </c>
      <c r="F12" s="3"/>
      <c r="G12" s="28"/>
      <c r="H12" s="10"/>
      <c r="I12" s="10">
        <f t="shared" si="5"/>
        <v>7619</v>
      </c>
      <c r="J12" s="10">
        <f t="shared" si="3"/>
        <v>51751472647.792427</v>
      </c>
      <c r="K12" s="11">
        <f t="shared" si="4"/>
        <v>2.5700000000000056E-2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6622231.878393284</v>
      </c>
      <c r="D13" s="11">
        <v>2.5700000000000001E-2</v>
      </c>
      <c r="E13" s="10">
        <f t="shared" si="2"/>
        <v>165927.03448835667</v>
      </c>
      <c r="F13" s="3"/>
      <c r="G13" s="28"/>
      <c r="H13" s="10"/>
      <c r="I13" s="10">
        <f t="shared" si="5"/>
        <v>7619</v>
      </c>
      <c r="J13" s="10">
        <f t="shared" si="3"/>
        <v>50454784681.478432</v>
      </c>
      <c r="K13" s="11">
        <f t="shared" si="4"/>
        <v>2.5700000000000056E-2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6456304.8439049274</v>
      </c>
      <c r="D14" s="11">
        <v>2.53E-2</v>
      </c>
      <c r="E14" s="10">
        <f t="shared" si="2"/>
        <v>159313.87159933243</v>
      </c>
      <c r="F14" s="3"/>
      <c r="G14" s="28"/>
      <c r="H14" s="10"/>
      <c r="I14" s="10">
        <f t="shared" si="5"/>
        <v>7619</v>
      </c>
      <c r="J14" s="10">
        <f t="shared" si="3"/>
        <v>49190586605.711639</v>
      </c>
      <c r="K14" s="11">
        <f t="shared" si="4"/>
        <v>2.53000000000001E-2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6296990.9723055949</v>
      </c>
      <c r="D15" s="11">
        <v>2.5399999999999999E-2</v>
      </c>
      <c r="E15" s="10">
        <f t="shared" si="2"/>
        <v>155981.63711387012</v>
      </c>
      <c r="F15" s="3"/>
      <c r="G15" s="28"/>
      <c r="H15" s="10"/>
      <c r="I15" s="10">
        <f t="shared" si="5"/>
        <v>7619</v>
      </c>
      <c r="J15" s="10">
        <f t="shared" si="3"/>
        <v>47976774217.99633</v>
      </c>
      <c r="K15" s="11">
        <f t="shared" si="4"/>
        <v>2.5400000000000089E-2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6141009.3351917248</v>
      </c>
      <c r="D16" s="11">
        <v>2.64E-2</v>
      </c>
      <c r="E16" s="10">
        <f t="shared" si="2"/>
        <v>157952.69529331755</v>
      </c>
      <c r="F16" s="3"/>
      <c r="G16" s="28"/>
      <c r="H16" s="10"/>
      <c r="I16" s="10">
        <f t="shared" si="5"/>
        <v>7619</v>
      </c>
      <c r="J16" s="10">
        <f t="shared" si="3"/>
        <v>46788350124.825752</v>
      </c>
      <c r="K16" s="11">
        <f t="shared" si="4"/>
        <v>2.6399999999999979E-2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5983056.6398984073</v>
      </c>
      <c r="D17" s="11">
        <v>2.76E-2</v>
      </c>
      <c r="E17" s="10">
        <f t="shared" si="2"/>
        <v>160697.12267535646</v>
      </c>
      <c r="F17" s="3"/>
      <c r="G17" s="28"/>
      <c r="H17" s="10"/>
      <c r="I17" s="10">
        <f t="shared" si="5"/>
        <v>7619</v>
      </c>
      <c r="J17" s="10">
        <f t="shared" si="3"/>
        <v>45584908539.385963</v>
      </c>
      <c r="K17" s="11">
        <f t="shared" si="4"/>
        <v>2.7599999999999847E-2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5822359.5172230508</v>
      </c>
      <c r="D18" s="11">
        <v>2.8299999999999999E-2</v>
      </c>
      <c r="E18" s="10">
        <f t="shared" si="2"/>
        <v>160238.0378658101</v>
      </c>
      <c r="F18" s="3"/>
      <c r="G18" s="28"/>
      <c r="H18" s="10"/>
      <c r="I18" s="10">
        <f t="shared" si="5"/>
        <v>7619</v>
      </c>
      <c r="J18" s="10">
        <f t="shared" si="3"/>
        <v>44360557161.722427</v>
      </c>
      <c r="K18" s="11">
        <f t="shared" si="4"/>
        <v>2.8300000000000214E-2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5662121.4793572407</v>
      </c>
      <c r="D19" s="11">
        <v>2.8400000000000002E-2</v>
      </c>
      <c r="E19" s="10">
        <f t="shared" si="2"/>
        <v>156363.52587878797</v>
      </c>
      <c r="F19" s="3"/>
      <c r="G19" s="28"/>
      <c r="H19" s="10"/>
      <c r="I19" s="10">
        <f t="shared" si="5"/>
        <v>7619</v>
      </c>
      <c r="J19" s="10">
        <f t="shared" si="3"/>
        <v>43139703551.222816</v>
      </c>
      <c r="K19" s="11">
        <f t="shared" si="4"/>
        <v>2.8399999999999981E-2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5505757.9534784527</v>
      </c>
      <c r="D20" s="11">
        <v>3.1600000000000003E-2</v>
      </c>
      <c r="E20" s="10">
        <f t="shared" si="2"/>
        <v>168652.53133958858</v>
      </c>
      <c r="F20" s="3"/>
      <c r="G20" s="28"/>
      <c r="H20" s="10"/>
      <c r="I20" s="10">
        <f t="shared" si="5"/>
        <v>7619</v>
      </c>
      <c r="J20" s="10">
        <f t="shared" si="3"/>
        <v>41948369847.55233</v>
      </c>
      <c r="K20" s="11">
        <f t="shared" si="4"/>
        <v>3.1600000000000072E-2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5337105.4221388642</v>
      </c>
      <c r="D21" s="11">
        <v>3.7199999999999997E-2</v>
      </c>
      <c r="E21" s="10">
        <f t="shared" si="2"/>
        <v>191419.51571882516</v>
      </c>
      <c r="F21" s="3"/>
      <c r="G21" s="28"/>
      <c r="H21" s="10"/>
      <c r="I21" s="10">
        <f t="shared" si="5"/>
        <v>7619</v>
      </c>
      <c r="J21" s="10">
        <f t="shared" si="3"/>
        <v>40663406211.276009</v>
      </c>
      <c r="K21" s="11">
        <f t="shared" si="4"/>
        <v>3.7200000000000122E-2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5145685.906420039</v>
      </c>
      <c r="D22" s="11">
        <v>4.3499999999999997E-2</v>
      </c>
      <c r="E22" s="10">
        <f t="shared" si="2"/>
        <v>214506.31234237831</v>
      </c>
      <c r="F22" s="3"/>
      <c r="G22" s="28"/>
      <c r="H22" s="10"/>
      <c r="I22" s="10">
        <f t="shared" si="5"/>
        <v>7619</v>
      </c>
      <c r="J22" s="10">
        <f t="shared" si="3"/>
        <v>39204980921.014275</v>
      </c>
      <c r="K22" s="11">
        <f t="shared" si="4"/>
        <v>4.3500000000000094E-2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4931179.5940776607</v>
      </c>
      <c r="D23" s="11">
        <v>3.7000000000000002E-3</v>
      </c>
      <c r="E23" s="10">
        <f t="shared" si="2"/>
        <v>18178.105507709086</v>
      </c>
      <c r="F23" s="3"/>
      <c r="G23" s="28"/>
      <c r="H23" s="10"/>
      <c r="I23" s="10">
        <f t="shared" si="5"/>
        <v>7619</v>
      </c>
      <c r="J23" s="10">
        <f t="shared" si="3"/>
        <v>37570657327.277695</v>
      </c>
      <c r="K23" s="11">
        <f t="shared" si="4"/>
        <v>3.7000000000000366E-3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4913001.4885699516</v>
      </c>
      <c r="D24" s="11">
        <v>-6.1999999999999998E-3</v>
      </c>
      <c r="E24" s="10">
        <f t="shared" si="2"/>
        <v>-30650.643217079341</v>
      </c>
      <c r="F24" s="3"/>
      <c r="G24" s="28"/>
      <c r="H24" s="10"/>
      <c r="I24" s="10">
        <f t="shared" si="5"/>
        <v>7619</v>
      </c>
      <c r="J24" s="10">
        <f t="shared" si="3"/>
        <v>37432158341.414459</v>
      </c>
      <c r="K24" s="11">
        <f t="shared" si="4"/>
        <v>-6.1999999999999833E-3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4943652.131787031</v>
      </c>
      <c r="D25" s="11">
        <v>2.8299999999999999E-2</v>
      </c>
      <c r="E25" s="10">
        <f t="shared" si="2"/>
        <v>136054.99886178412</v>
      </c>
      <c r="F25" s="3"/>
      <c r="G25" s="28"/>
      <c r="H25" s="10"/>
      <c r="I25" s="10">
        <f t="shared" si="5"/>
        <v>7619</v>
      </c>
      <c r="J25" s="10">
        <f t="shared" si="3"/>
        <v>37665685592.085388</v>
      </c>
      <c r="K25" s="11">
        <f t="shared" si="4"/>
        <v>2.8299999999999992E-2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4807597.1329252468</v>
      </c>
      <c r="D26" s="11">
        <v>2.8799999999999999E-2</v>
      </c>
      <c r="E26" s="10">
        <f t="shared" si="2"/>
        <v>134582.81243025512</v>
      </c>
      <c r="F26" s="3"/>
      <c r="G26" s="28"/>
      <c r="H26" s="10"/>
      <c r="I26" s="10">
        <f t="shared" si="5"/>
        <v>7619</v>
      </c>
      <c r="J26" s="10">
        <f t="shared" si="3"/>
        <v>36629082555.757454</v>
      </c>
      <c r="K26" s="11">
        <f t="shared" si="4"/>
        <v>2.8799999999999937E-2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4673014.3204949917</v>
      </c>
      <c r="D27" s="11">
        <v>2.93E-2</v>
      </c>
      <c r="E27" s="10">
        <f t="shared" si="2"/>
        <v>133021.78139561228</v>
      </c>
      <c r="F27" s="3"/>
      <c r="G27" s="28"/>
      <c r="H27" s="10"/>
      <c r="I27" s="10">
        <f t="shared" si="5"/>
        <v>7619</v>
      </c>
      <c r="J27" s="10">
        <f t="shared" si="3"/>
        <v>35603696107.851341</v>
      </c>
      <c r="K27" s="11">
        <f t="shared" si="4"/>
        <v>2.9300000000000104E-2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4539992.5390993794</v>
      </c>
      <c r="D28" s="11">
        <v>2.9700000000000001E-2</v>
      </c>
      <c r="E28" s="10">
        <f t="shared" si="2"/>
        <v>130948.60484728776</v>
      </c>
      <c r="F28" s="3"/>
      <c r="G28" s="28"/>
      <c r="H28" s="10"/>
      <c r="I28" s="10">
        <f t="shared" si="5"/>
        <v>7619</v>
      </c>
      <c r="J28" s="10">
        <f t="shared" si="3"/>
        <v>34590203155.39817</v>
      </c>
      <c r="K28" s="11">
        <f t="shared" si="4"/>
        <v>2.970000000000006E-2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4409043.9342520917</v>
      </c>
      <c r="D29" s="11">
        <v>3.0200000000000001E-2</v>
      </c>
      <c r="E29" s="10">
        <f t="shared" si="2"/>
        <v>129249.78335703071</v>
      </c>
      <c r="F29" s="3"/>
      <c r="G29" s="28"/>
      <c r="H29" s="10"/>
      <c r="I29" s="10">
        <f t="shared" si="5"/>
        <v>7619</v>
      </c>
      <c r="J29" s="10">
        <f t="shared" si="3"/>
        <v>33592505735.066685</v>
      </c>
      <c r="K29" s="11">
        <f t="shared" si="4"/>
        <v>3.0200000000000005E-2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4279794.150895061</v>
      </c>
      <c r="D30" s="11">
        <v>3.04E-2</v>
      </c>
      <c r="E30" s="10">
        <f t="shared" si="2"/>
        <v>126267.21873758687</v>
      </c>
      <c r="F30" s="3"/>
      <c r="G30" s="28"/>
      <c r="H30" s="10"/>
      <c r="I30" s="10">
        <f t="shared" si="5"/>
        <v>7619</v>
      </c>
      <c r="J30" s="10">
        <f t="shared" si="3"/>
        <v>32607751635.669468</v>
      </c>
      <c r="K30" s="11">
        <f t="shared" si="4"/>
        <v>3.0399999999999761E-2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4153526.9321574741</v>
      </c>
      <c r="D31" s="11">
        <v>3.0599999999999999E-2</v>
      </c>
      <c r="E31" s="10">
        <f t="shared" si="2"/>
        <v>123324.20349700982</v>
      </c>
      <c r="F31" s="3"/>
      <c r="G31" s="28"/>
      <c r="H31" s="10"/>
      <c r="I31" s="10">
        <f t="shared" si="5"/>
        <v>7619</v>
      </c>
      <c r="J31" s="10">
        <f t="shared" si="3"/>
        <v>31645721696.107796</v>
      </c>
      <c r="K31" s="11">
        <f t="shared" si="4"/>
        <v>3.0599999999999961E-2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4030202.7286604643</v>
      </c>
      <c r="D32" s="11">
        <v>3.2000000000000001E-2</v>
      </c>
      <c r="E32" s="10">
        <f t="shared" si="2"/>
        <v>124967.52647009213</v>
      </c>
      <c r="F32" s="3"/>
      <c r="G32" s="28"/>
      <c r="H32" s="10"/>
      <c r="I32" s="10">
        <f t="shared" si="5"/>
        <v>7619</v>
      </c>
      <c r="J32" s="10">
        <f t="shared" si="3"/>
        <v>30706114589.664078</v>
      </c>
      <c r="K32" s="11">
        <f t="shared" si="4"/>
        <v>3.2000000000000028E-2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3905235.2021903722</v>
      </c>
      <c r="D33" s="11">
        <v>3.3500000000000002E-2</v>
      </c>
      <c r="E33" s="10">
        <f t="shared" si="2"/>
        <v>126584.78884700313</v>
      </c>
      <c r="F33" s="3"/>
      <c r="G33" s="28"/>
      <c r="H33" s="10"/>
      <c r="I33" s="10">
        <f t="shared" si="5"/>
        <v>7619</v>
      </c>
      <c r="J33" s="10">
        <f t="shared" si="3"/>
        <v>29753987005.488445</v>
      </c>
      <c r="K33" s="11">
        <f t="shared" si="4"/>
        <v>3.3500000000000085E-2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3778650.413343369</v>
      </c>
      <c r="D34" s="11">
        <v>3.4000000000000002E-2</v>
      </c>
      <c r="E34" s="10">
        <f t="shared" si="2"/>
        <v>124249.62674436625</v>
      </c>
      <c r="F34" s="3"/>
      <c r="G34" s="28"/>
      <c r="H34" s="10"/>
      <c r="I34" s="10">
        <f t="shared" si="5"/>
        <v>7619</v>
      </c>
      <c r="J34" s="10">
        <f t="shared" ref="J34:J65" si="6">IF(I34="","",I34*C34)</f>
        <v>28789537499.26313</v>
      </c>
      <c r="K34" s="11">
        <f t="shared" ref="K34:K65" si="7">IFERROR(J34/J35-1,"")</f>
        <v>3.400000000000003E-2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3654400.7865990028</v>
      </c>
      <c r="D35" s="11">
        <v>3.3300000000000003E-2</v>
      </c>
      <c r="E35" s="10">
        <f t="shared" si="2"/>
        <v>117769.81147173839</v>
      </c>
      <c r="F35" s="3"/>
      <c r="G35" s="28"/>
      <c r="H35" s="10"/>
      <c r="I35" s="10">
        <f t="shared" ref="I35:I66" si="8">IF(H35&lt;&gt;"",H35,I34/(1+IF(G34="",0,G34)/100))</f>
        <v>7619</v>
      </c>
      <c r="J35" s="10">
        <f t="shared" si="6"/>
        <v>27842879593.097801</v>
      </c>
      <c r="K35" s="11">
        <f t="shared" si="7"/>
        <v>3.3300000000000107E-2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3536630.9751272644</v>
      </c>
      <c r="D36" s="11">
        <v>3.1099999999999999E-2</v>
      </c>
      <c r="E36" s="10">
        <f t="shared" si="2"/>
        <v>106671.73244734528</v>
      </c>
      <c r="F36" s="3"/>
      <c r="G36" s="28"/>
      <c r="H36" s="10"/>
      <c r="I36" s="10">
        <f t="shared" si="8"/>
        <v>7619</v>
      </c>
      <c r="J36" s="10">
        <f t="shared" si="6"/>
        <v>26945591399.494629</v>
      </c>
      <c r="K36" s="11">
        <f t="shared" si="7"/>
        <v>3.1100000000000128E-2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3429959.2426799191</v>
      </c>
      <c r="D37" s="11">
        <v>2.81E-2</v>
      </c>
      <c r="E37" s="10">
        <f t="shared" si="2"/>
        <v>93747.54860354634</v>
      </c>
      <c r="F37" s="3"/>
      <c r="G37" s="28"/>
      <c r="H37" s="10"/>
      <c r="I37" s="10">
        <f t="shared" si="8"/>
        <v>7619</v>
      </c>
      <c r="J37" s="10">
        <f t="shared" si="6"/>
        <v>26132859469.978302</v>
      </c>
      <c r="K37" s="11">
        <f t="shared" si="7"/>
        <v>2.8100000000000014E-2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3336211.6940763728</v>
      </c>
      <c r="D38" s="11">
        <v>2.5600000000000001E-2</v>
      </c>
      <c r="E38" s="10">
        <f t="shared" si="2"/>
        <v>83275.174891142175</v>
      </c>
      <c r="F38" s="3"/>
      <c r="G38" s="28"/>
      <c r="H38" s="10"/>
      <c r="I38" s="10">
        <f t="shared" si="8"/>
        <v>7619</v>
      </c>
      <c r="J38" s="10">
        <f t="shared" si="6"/>
        <v>25418596897.167885</v>
      </c>
      <c r="K38" s="11">
        <f t="shared" si="7"/>
        <v>2.5600000000000067E-2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3252936.5191852306</v>
      </c>
      <c r="D39" s="11">
        <v>2.4199999999999999E-2</v>
      </c>
      <c r="E39" s="10">
        <f t="shared" si="2"/>
        <v>76861.026912988164</v>
      </c>
      <c r="F39" s="3"/>
      <c r="G39" s="28"/>
      <c r="H39" s="10"/>
      <c r="I39" s="10">
        <f t="shared" si="8"/>
        <v>7619</v>
      </c>
      <c r="J39" s="10">
        <f t="shared" si="6"/>
        <v>24784123339.672272</v>
      </c>
      <c r="K39" s="11">
        <f t="shared" si="7"/>
        <v>2.4199999999999999E-2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3176075.4922722424</v>
      </c>
      <c r="D40" s="11">
        <v>2.4E-2</v>
      </c>
      <c r="E40" s="10">
        <f t="shared" si="2"/>
        <v>74439.269350130577</v>
      </c>
      <c r="F40" s="3"/>
      <c r="G40" s="28"/>
      <c r="H40" s="10"/>
      <c r="I40" s="10">
        <f t="shared" si="8"/>
        <v>7619</v>
      </c>
      <c r="J40" s="10">
        <f t="shared" si="6"/>
        <v>24198519175.622215</v>
      </c>
      <c r="K40" s="11">
        <f t="shared" si="7"/>
        <v>2.4000000000000021E-2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3101636.2229221119</v>
      </c>
      <c r="D41" s="11">
        <v>2.4199999999999999E-2</v>
      </c>
      <c r="E41" s="10">
        <f t="shared" si="2"/>
        <v>73286.073613273911</v>
      </c>
      <c r="F41" s="3"/>
      <c r="G41" s="28"/>
      <c r="H41" s="10"/>
      <c r="I41" s="10">
        <f t="shared" si="8"/>
        <v>7619</v>
      </c>
      <c r="J41" s="10">
        <f t="shared" si="6"/>
        <v>23631366382.443569</v>
      </c>
      <c r="K41" s="11">
        <f t="shared" si="7"/>
        <v>2.4199999999999999E-2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3028350.149308838</v>
      </c>
      <c r="D42" s="11">
        <v>2.47E-2</v>
      </c>
      <c r="E42" s="10">
        <f t="shared" si="2"/>
        <v>72997.217417710461</v>
      </c>
      <c r="F42" s="3"/>
      <c r="G42" s="28"/>
      <c r="H42" s="10"/>
      <c r="I42" s="10">
        <f t="shared" si="8"/>
        <v>7619</v>
      </c>
      <c r="J42" s="10">
        <f t="shared" si="6"/>
        <v>23072999787.584038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2955352.9318911275</v>
      </c>
      <c r="D43" s="11">
        <v>2.5399999999999999E-2</v>
      </c>
      <c r="E43" s="10">
        <f t="shared" si="2"/>
        <v>73206.518890223</v>
      </c>
      <c r="F43" s="3"/>
      <c r="G43" s="28"/>
      <c r="H43" s="10"/>
      <c r="I43" s="10">
        <f t="shared" si="8"/>
        <v>7619</v>
      </c>
      <c r="J43" s="10">
        <f t="shared" si="6"/>
        <v>22516833988.078499</v>
      </c>
      <c r="K43" s="11">
        <f t="shared" si="7"/>
        <v>2.5399999999999867E-2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2882146.4130009045</v>
      </c>
      <c r="D44" s="11">
        <v>2.64E-2</v>
      </c>
      <c r="E44" s="10">
        <f t="shared" si="2"/>
        <v>74131.591293086298</v>
      </c>
      <c r="F44" s="3"/>
      <c r="G44" s="28"/>
      <c r="H44" s="10"/>
      <c r="I44" s="10">
        <f t="shared" si="8"/>
        <v>7619</v>
      </c>
      <c r="J44" s="10">
        <f t="shared" si="6"/>
        <v>21959073520.653893</v>
      </c>
      <c r="K44" s="11">
        <f t="shared" si="7"/>
        <v>2.6399999999999979E-2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2808014.8217078182</v>
      </c>
      <c r="D45" s="11">
        <v>2.8500000000000001E-2</v>
      </c>
      <c r="E45" s="10">
        <f t="shared" si="2"/>
        <v>77810.814213585574</v>
      </c>
      <c r="F45" s="3"/>
      <c r="G45" s="28"/>
      <c r="H45" s="10"/>
      <c r="I45" s="10">
        <f t="shared" si="8"/>
        <v>7619</v>
      </c>
      <c r="J45" s="10">
        <f t="shared" si="6"/>
        <v>21394264926.591866</v>
      </c>
      <c r="K45" s="11">
        <f t="shared" si="7"/>
        <v>2.849999999999997E-2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2730204.0074942326</v>
      </c>
      <c r="D46" s="11">
        <v>3.2099999999999997E-2</v>
      </c>
      <c r="E46" s="10">
        <f t="shared" si="2"/>
        <v>84913.815173495561</v>
      </c>
      <c r="F46" s="3"/>
      <c r="G46" s="28"/>
      <c r="H46" s="10"/>
      <c r="I46" s="10">
        <f t="shared" si="8"/>
        <v>7619</v>
      </c>
      <c r="J46" s="10">
        <f t="shared" si="6"/>
        <v>20801424333.098557</v>
      </c>
      <c r="K46" s="11">
        <f t="shared" si="7"/>
        <v>3.2100000000000017E-2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2645290.1923207371</v>
      </c>
      <c r="D47" s="11">
        <v>3.6299999999999999E-2</v>
      </c>
      <c r="E47" s="10">
        <f t="shared" si="2"/>
        <v>92660.459308349527</v>
      </c>
      <c r="F47" s="3"/>
      <c r="G47" s="28"/>
      <c r="H47" s="10"/>
      <c r="I47" s="10">
        <f t="shared" si="8"/>
        <v>7619</v>
      </c>
      <c r="J47" s="10">
        <f t="shared" si="6"/>
        <v>20154465975.291695</v>
      </c>
      <c r="K47" s="11">
        <f t="shared" si="7"/>
        <v>3.6299999999999999E-2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2552629.7330123875</v>
      </c>
      <c r="D48" s="11">
        <v>3.9899999999999998E-2</v>
      </c>
      <c r="E48" s="10">
        <f t="shared" si="2"/>
        <v>97942.038991435897</v>
      </c>
      <c r="F48" s="3"/>
      <c r="G48" s="28"/>
      <c r="H48" s="10"/>
      <c r="I48" s="10">
        <f t="shared" si="8"/>
        <v>7619</v>
      </c>
      <c r="J48" s="10">
        <f t="shared" si="6"/>
        <v>19448485935.821381</v>
      </c>
      <c r="K48" s="11">
        <f t="shared" si="7"/>
        <v>3.9899999999999824E-2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2454687.6940209516</v>
      </c>
      <c r="D49" s="11">
        <v>4.1399999999999999E-2</v>
      </c>
      <c r="E49" s="10">
        <f t="shared" si="2"/>
        <v>97584.089238014072</v>
      </c>
      <c r="F49" s="3"/>
      <c r="G49" s="28"/>
      <c r="H49" s="10"/>
      <c r="I49" s="10">
        <f t="shared" si="8"/>
        <v>7619</v>
      </c>
      <c r="J49" s="10">
        <f t="shared" si="6"/>
        <v>18702265540.745632</v>
      </c>
      <c r="K49" s="11">
        <f t="shared" si="7"/>
        <v>4.1400000000000325E-2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2357103.6047829376</v>
      </c>
      <c r="D50" s="11">
        <v>3.95E-2</v>
      </c>
      <c r="E50" s="10">
        <f t="shared" si="2"/>
        <v>89567.669445816427</v>
      </c>
      <c r="F50" s="3"/>
      <c r="G50" s="28"/>
      <c r="H50" s="10"/>
      <c r="I50" s="10">
        <f t="shared" si="8"/>
        <v>7619</v>
      </c>
      <c r="J50" s="10">
        <f t="shared" si="6"/>
        <v>17958772364.841202</v>
      </c>
      <c r="K50" s="11">
        <f t="shared" si="7"/>
        <v>3.9500000000000091E-2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2267535.9353371211</v>
      </c>
      <c r="D51" s="11">
        <v>3.4299999999999997E-2</v>
      </c>
      <c r="E51" s="10">
        <f t="shared" si="2"/>
        <v>75197.21800450841</v>
      </c>
      <c r="F51" s="3"/>
      <c r="G51" s="28"/>
      <c r="H51" s="10"/>
      <c r="I51" s="10">
        <f t="shared" si="8"/>
        <v>7619</v>
      </c>
      <c r="J51" s="10">
        <f t="shared" si="6"/>
        <v>17276356291.333527</v>
      </c>
      <c r="K51" s="11">
        <f t="shared" si="7"/>
        <v>3.4299999999999997E-2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2192338.7173326127</v>
      </c>
      <c r="D52" s="11">
        <v>2.75E-2</v>
      </c>
      <c r="E52" s="10">
        <f t="shared" si="2"/>
        <v>58675.732094060164</v>
      </c>
      <c r="F52" s="3"/>
      <c r="G52" s="28"/>
      <c r="H52" s="10"/>
      <c r="I52" s="10">
        <f t="shared" si="8"/>
        <v>7619</v>
      </c>
      <c r="J52" s="10">
        <f t="shared" si="6"/>
        <v>16703428687.357176</v>
      </c>
      <c r="K52" s="11">
        <f t="shared" si="7"/>
        <v>2.7499999999999858E-2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2133662.9852385526</v>
      </c>
      <c r="D53" s="11">
        <v>2.1499999999999998E-2</v>
      </c>
      <c r="E53" s="10">
        <f t="shared" si="2"/>
        <v>44908.227295769844</v>
      </c>
      <c r="F53" s="3"/>
      <c r="G53" s="28"/>
      <c r="H53" s="10"/>
      <c r="I53" s="10">
        <f t="shared" si="8"/>
        <v>7619</v>
      </c>
      <c r="J53" s="10">
        <f t="shared" si="6"/>
        <v>16256378284.532532</v>
      </c>
      <c r="K53" s="11">
        <f t="shared" si="7"/>
        <v>2.1500000000000075E-2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2088754.7579427827</v>
      </c>
      <c r="D54" s="11">
        <v>1.84E-2</v>
      </c>
      <c r="E54" s="10">
        <f t="shared" si="2"/>
        <v>37738.695548062678</v>
      </c>
      <c r="F54" s="3"/>
      <c r="G54" s="28"/>
      <c r="H54" s="10"/>
      <c r="I54" s="10">
        <f t="shared" si="8"/>
        <v>7619</v>
      </c>
      <c r="J54" s="10">
        <f t="shared" si="6"/>
        <v>15914222500.766062</v>
      </c>
      <c r="K54" s="11">
        <f t="shared" si="7"/>
        <v>1.8399999999999972E-2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2051016.06239472</v>
      </c>
      <c r="D55" s="11">
        <v>1.7600000000000001E-2</v>
      </c>
      <c r="E55" s="10">
        <f t="shared" si="2"/>
        <v>35473.548248965293</v>
      </c>
      <c r="F55" s="3"/>
      <c r="G55" s="28"/>
      <c r="H55" s="10"/>
      <c r="I55" s="10">
        <f t="shared" si="8"/>
        <v>7619</v>
      </c>
      <c r="J55" s="10">
        <f t="shared" si="6"/>
        <v>15626691379.385372</v>
      </c>
      <c r="K55" s="11">
        <f t="shared" si="7"/>
        <v>1.760000000000006E-2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2015542.5141457547</v>
      </c>
      <c r="D56" s="11">
        <v>1.7500000000000002E-2</v>
      </c>
      <c r="E56" s="10">
        <f t="shared" si="2"/>
        <v>34665.350366143277</v>
      </c>
      <c r="F56" s="3"/>
      <c r="G56" s="28"/>
      <c r="H56" s="10"/>
      <c r="I56" s="10">
        <f t="shared" si="8"/>
        <v>7619</v>
      </c>
      <c r="J56" s="10">
        <f t="shared" si="6"/>
        <v>15356418415.276505</v>
      </c>
      <c r="K56" s="11">
        <f t="shared" si="7"/>
        <v>1.7499999999999849E-2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1980877.1637796115</v>
      </c>
      <c r="D57" s="11">
        <v>1.7999999999999999E-2</v>
      </c>
      <c r="E57" s="10">
        <f t="shared" si="2"/>
        <v>35025.332954845857</v>
      </c>
      <c r="F57" s="3"/>
      <c r="G57" s="28"/>
      <c r="H57" s="10"/>
      <c r="I57" s="10">
        <f t="shared" si="8"/>
        <v>7619</v>
      </c>
      <c r="J57" s="10">
        <f t="shared" si="6"/>
        <v>15092303110.836861</v>
      </c>
      <c r="K57" s="11">
        <f t="shared" si="7"/>
        <v>1.8000000000000238E-2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1945851.8308247656</v>
      </c>
      <c r="D58" s="11">
        <v>1.9E-2</v>
      </c>
      <c r="E58" s="10">
        <f t="shared" si="2"/>
        <v>36281.830015378073</v>
      </c>
      <c r="F58" s="3"/>
      <c r="G58" s="28"/>
      <c r="H58" s="10"/>
      <c r="I58" s="10">
        <f t="shared" si="8"/>
        <v>7619</v>
      </c>
      <c r="J58" s="10">
        <f t="shared" si="6"/>
        <v>14825445099.053888</v>
      </c>
      <c r="K58" s="11">
        <f t="shared" si="7"/>
        <v>1.8999999999999906E-2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1909570.0008093875</v>
      </c>
      <c r="D59" s="11">
        <v>0.02</v>
      </c>
      <c r="E59" s="10">
        <f t="shared" si="2"/>
        <v>37442.54903547815</v>
      </c>
      <c r="F59" s="3"/>
      <c r="G59" s="28"/>
      <c r="H59" s="10"/>
      <c r="I59" s="10">
        <f t="shared" si="8"/>
        <v>7619</v>
      </c>
      <c r="J59" s="10">
        <f t="shared" si="6"/>
        <v>14549013836.166723</v>
      </c>
      <c r="K59" s="11">
        <f t="shared" si="7"/>
        <v>1.9999999999999796E-2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1872127.4517739094</v>
      </c>
      <c r="D60" s="11">
        <v>0.02</v>
      </c>
      <c r="E60" s="10">
        <f t="shared" si="2"/>
        <v>36708.381407331675</v>
      </c>
      <c r="F60" s="3"/>
      <c r="G60" s="28"/>
      <c r="H60" s="10"/>
      <c r="I60" s="10">
        <f t="shared" si="8"/>
        <v>7619</v>
      </c>
      <c r="J60" s="10">
        <f t="shared" si="6"/>
        <v>14263739055.065416</v>
      </c>
      <c r="K60" s="11">
        <f t="shared" si="7"/>
        <v>2.000000000000024E-2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1835419.0703665777</v>
      </c>
      <c r="D61" s="11">
        <v>0.02</v>
      </c>
      <c r="E61" s="10">
        <f t="shared" si="2"/>
        <v>35988.609222874045</v>
      </c>
      <c r="F61" s="3"/>
      <c r="G61" s="28"/>
      <c r="H61" s="10"/>
      <c r="I61" s="10">
        <f t="shared" si="8"/>
        <v>7619</v>
      </c>
      <c r="J61" s="10">
        <f t="shared" si="6"/>
        <v>13984057897.122955</v>
      </c>
      <c r="K61" s="11">
        <f t="shared" si="7"/>
        <v>2.0000000000000018E-2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1799430.4611437037</v>
      </c>
      <c r="D62" s="11">
        <v>0.02</v>
      </c>
      <c r="E62" s="10">
        <f t="shared" si="2"/>
        <v>35282.950218504062</v>
      </c>
      <c r="F62" s="3"/>
      <c r="G62" s="28"/>
      <c r="H62" s="10"/>
      <c r="I62" s="10">
        <f t="shared" si="8"/>
        <v>7619</v>
      </c>
      <c r="J62" s="10">
        <f t="shared" si="6"/>
        <v>13709860683.453878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1764147.5109251996</v>
      </c>
      <c r="D63" s="11">
        <v>0.02</v>
      </c>
      <c r="E63" s="10">
        <f t="shared" si="2"/>
        <v>34591.127665200038</v>
      </c>
      <c r="F63" s="3"/>
      <c r="G63" s="28"/>
      <c r="H63" s="10"/>
      <c r="I63" s="10">
        <f t="shared" si="8"/>
        <v>7619</v>
      </c>
      <c r="J63" s="10">
        <f t="shared" si="6"/>
        <v>13441039885.739096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1729556.3832599996</v>
      </c>
      <c r="D64" s="11">
        <v>0.02</v>
      </c>
      <c r="E64" s="10">
        <f t="shared" si="2"/>
        <v>33912.870259999996</v>
      </c>
      <c r="F64" s="3"/>
      <c r="G64" s="28"/>
      <c r="H64" s="10"/>
      <c r="I64" s="10">
        <f t="shared" si="8"/>
        <v>7619</v>
      </c>
      <c r="J64" s="10">
        <f t="shared" si="6"/>
        <v>13177490084.057938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1695643.5129999996</v>
      </c>
      <c r="D65" s="11">
        <v>1.9E-2</v>
      </c>
      <c r="E65" s="10">
        <f t="shared" si="2"/>
        <v>31616.512999999803</v>
      </c>
      <c r="F65" s="3"/>
      <c r="G65" s="28"/>
      <c r="H65" s="10"/>
      <c r="I65" s="10">
        <f t="shared" si="8"/>
        <v>7619</v>
      </c>
      <c r="J65" s="10">
        <f t="shared" si="6"/>
        <v>12919107925.546997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1664026.9999999998</v>
      </c>
      <c r="D66" s="11">
        <v>1.9E-2</v>
      </c>
      <c r="E66" s="10">
        <f t="shared" si="2"/>
        <v>31026.999999999767</v>
      </c>
      <c r="F66" s="24">
        <f>SUM(F2)</f>
        <v>8871251</v>
      </c>
      <c r="G66" s="28"/>
      <c r="H66" s="10"/>
      <c r="I66" s="10">
        <f t="shared" si="8"/>
        <v>7619</v>
      </c>
      <c r="J66" s="10">
        <f t="shared" ref="J66:J67" si="9">IF(I66="","",I66*C66)</f>
        <v>12678221712.999998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1633000</v>
      </c>
      <c r="D67" s="11">
        <v>1.7999999999999999E-2</v>
      </c>
      <c r="E67" s="3" t="s">
        <v>72</v>
      </c>
      <c r="F67" s="10">
        <f>SUM(C2)</f>
        <v>8871997.5144445822</v>
      </c>
      <c r="G67" s="28"/>
      <c r="H67" s="10"/>
      <c r="I67" s="10">
        <f t="shared" ref="I67" si="11">IF(H67&lt;&gt;"",H67,I66/(1+IF(G66="",0,G66)/100))</f>
        <v>7619</v>
      </c>
      <c r="J67" s="10">
        <f t="shared" si="9"/>
        <v>12441827000</v>
      </c>
      <c r="K67" s="11"/>
    </row>
  </sheetData>
  <dataValidations count="1">
    <dataValidation type="custom" allowBlank="1" showDropDown="1" sqref="D2:D67" xr:uid="{00000000-0002-0000-7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82727.340634671142</v>
      </c>
      <c r="D2" s="11">
        <v>4.5999999999999999E-3</v>
      </c>
      <c r="E2" s="10">
        <f t="shared" ref="E2:E66" si="2">SUM(C2-C3)</f>
        <v>378.8032718688919</v>
      </c>
      <c r="F2" s="15">
        <v>82798</v>
      </c>
      <c r="G2" s="28"/>
      <c r="H2" s="10"/>
      <c r="I2" s="10">
        <f>IF(H2&lt;&gt;"",H2,5040)</f>
        <v>5040</v>
      </c>
      <c r="J2" s="10">
        <f t="shared" ref="J2:J33" si="3">IF(I2="","",I2*C2)</f>
        <v>416945796.79874253</v>
      </c>
      <c r="K2" s="11">
        <f t="shared" ref="K2:K33" si="4">IFERROR(J2/J3-1,"")</f>
        <v>4.5999999999999375E-3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82348.53736280225</v>
      </c>
      <c r="D3" s="11">
        <v>4.4000000000000003E-3</v>
      </c>
      <c r="E3" s="10">
        <f t="shared" si="2"/>
        <v>360.74628076098452</v>
      </c>
      <c r="F3" s="3"/>
      <c r="G3" s="28"/>
      <c r="H3" s="10"/>
      <c r="I3" s="10">
        <f t="shared" ref="I3:I34" si="5">IF(H3&lt;&gt;"",H3,I2/(1+IF(G2="",0,G2)/100))</f>
        <v>5040</v>
      </c>
      <c r="J3" s="10">
        <f t="shared" si="3"/>
        <v>415036628.30852336</v>
      </c>
      <c r="K3" s="11">
        <f t="shared" si="4"/>
        <v>4.4000000000001815E-3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81987.791082041265</v>
      </c>
      <c r="D4" s="11">
        <v>3.8999999999999998E-3</v>
      </c>
      <c r="E4" s="10">
        <f t="shared" si="2"/>
        <v>318.51019545768213</v>
      </c>
      <c r="F4" s="3"/>
      <c r="G4" s="28"/>
      <c r="H4" s="10"/>
      <c r="I4" s="10">
        <f t="shared" si="5"/>
        <v>5040</v>
      </c>
      <c r="J4" s="10">
        <f t="shared" si="3"/>
        <v>413218467.05348796</v>
      </c>
      <c r="K4" s="11">
        <f t="shared" si="4"/>
        <v>3.9000000000000146E-3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81669.280886583583</v>
      </c>
      <c r="D5" s="11">
        <v>3.3E-3</v>
      </c>
      <c r="E5" s="10">
        <f t="shared" si="2"/>
        <v>268.62217375234468</v>
      </c>
      <c r="F5" s="3"/>
      <c r="G5" s="28"/>
      <c r="H5" s="10"/>
      <c r="I5" s="10">
        <f t="shared" si="5"/>
        <v>5040</v>
      </c>
      <c r="J5" s="10">
        <f t="shared" si="3"/>
        <v>411613175.66838127</v>
      </c>
      <c r="K5" s="11">
        <f t="shared" si="4"/>
        <v>3.3000000000000806E-3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81400.658712831239</v>
      </c>
      <c r="D6" s="11">
        <v>2.8999999999999998E-3</v>
      </c>
      <c r="E6" s="10">
        <f t="shared" si="2"/>
        <v>235.37931026742444</v>
      </c>
      <c r="F6" s="3"/>
      <c r="G6" s="28"/>
      <c r="H6" s="10"/>
      <c r="I6" s="10">
        <f t="shared" si="5"/>
        <v>5040</v>
      </c>
      <c r="J6" s="10">
        <f t="shared" si="3"/>
        <v>410259319.91266942</v>
      </c>
      <c r="K6" s="11">
        <f t="shared" si="4"/>
        <v>2.8999999999999027E-3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81165.279402563814</v>
      </c>
      <c r="D7" s="11">
        <v>1.9E-3</v>
      </c>
      <c r="E7" s="10">
        <f t="shared" si="2"/>
        <v>153.92157986313396</v>
      </c>
      <c r="F7" s="3"/>
      <c r="G7" s="28"/>
      <c r="H7" s="10"/>
      <c r="I7" s="10">
        <f t="shared" si="5"/>
        <v>5040</v>
      </c>
      <c r="J7" s="10">
        <f t="shared" si="3"/>
        <v>409073008.18892163</v>
      </c>
      <c r="K7" s="11">
        <f t="shared" si="4"/>
        <v>1.9000000000000128E-3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81011.35782270068</v>
      </c>
      <c r="D8" s="11">
        <v>1.6000000000000001E-3</v>
      </c>
      <c r="E8" s="10">
        <f t="shared" si="2"/>
        <v>129.41111473274941</v>
      </c>
      <c r="F8" s="3"/>
      <c r="G8" s="28"/>
      <c r="H8" s="10"/>
      <c r="I8" s="10">
        <f t="shared" si="5"/>
        <v>5040</v>
      </c>
      <c r="J8" s="10">
        <f t="shared" si="3"/>
        <v>408297243.42641145</v>
      </c>
      <c r="K8" s="11">
        <f t="shared" si="4"/>
        <v>1.6000000000000458E-3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80881.946707967931</v>
      </c>
      <c r="D9" s="11">
        <v>2.0999999999999999E-3</v>
      </c>
      <c r="E9" s="10">
        <f t="shared" si="2"/>
        <v>169.49614617975021</v>
      </c>
      <c r="F9" s="3"/>
      <c r="G9" s="28"/>
      <c r="H9" s="10"/>
      <c r="I9" s="10">
        <f t="shared" si="5"/>
        <v>5040</v>
      </c>
      <c r="J9" s="10">
        <f t="shared" si="3"/>
        <v>407645011.40815836</v>
      </c>
      <c r="K9" s="11">
        <f t="shared" si="4"/>
        <v>2.0999999999999908E-3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80712.45056178818</v>
      </c>
      <c r="D10" s="11">
        <v>5.0000000000000001E-3</v>
      </c>
      <c r="E10" s="10">
        <f t="shared" si="2"/>
        <v>401.55448040689225</v>
      </c>
      <c r="F10" s="3"/>
      <c r="G10" s="28"/>
      <c r="H10" s="10"/>
      <c r="I10" s="10">
        <f t="shared" si="5"/>
        <v>5040</v>
      </c>
      <c r="J10" s="10">
        <f t="shared" si="3"/>
        <v>406790750.83141243</v>
      </c>
      <c r="K10" s="11">
        <f t="shared" si="4"/>
        <v>4.9999999999998934E-3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80310.896081381288</v>
      </c>
      <c r="D11" s="11">
        <v>9.1999999999999998E-3</v>
      </c>
      <c r="E11" s="10">
        <f t="shared" si="2"/>
        <v>732.12469673871237</v>
      </c>
      <c r="F11" s="3"/>
      <c r="G11" s="28"/>
      <c r="H11" s="10"/>
      <c r="I11" s="10">
        <f t="shared" si="5"/>
        <v>5040</v>
      </c>
      <c r="J11" s="10">
        <f t="shared" si="3"/>
        <v>404766916.25016171</v>
      </c>
      <c r="K11" s="11">
        <f t="shared" si="4"/>
        <v>9.1999999999998749E-3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79578.771384642576</v>
      </c>
      <c r="D12" s="11">
        <v>1.4200000000000001E-2</v>
      </c>
      <c r="E12" s="10">
        <f t="shared" si="2"/>
        <v>1114.1969568743079</v>
      </c>
      <c r="F12" s="3"/>
      <c r="G12" s="28"/>
      <c r="H12" s="10"/>
      <c r="I12" s="10">
        <f t="shared" si="5"/>
        <v>5040</v>
      </c>
      <c r="J12" s="10">
        <f t="shared" si="3"/>
        <v>401077007.77859861</v>
      </c>
      <c r="K12" s="11">
        <f t="shared" si="4"/>
        <v>1.419999999999999E-2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78464.574427768268</v>
      </c>
      <c r="D13" s="11">
        <v>1.8700000000000001E-2</v>
      </c>
      <c r="E13" s="10">
        <f t="shared" si="2"/>
        <v>1440.3529417878308</v>
      </c>
      <c r="F13" s="3"/>
      <c r="G13" s="28"/>
      <c r="H13" s="10"/>
      <c r="I13" s="10">
        <f t="shared" si="5"/>
        <v>5040</v>
      </c>
      <c r="J13" s="10">
        <f t="shared" si="3"/>
        <v>395461455.11595207</v>
      </c>
      <c r="K13" s="11">
        <f t="shared" si="4"/>
        <v>1.8699999999999939E-2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77024.221485980437</v>
      </c>
      <c r="D14" s="11">
        <v>2.07E-2</v>
      </c>
      <c r="E14" s="10">
        <f t="shared" si="2"/>
        <v>1562.0666060152726</v>
      </c>
      <c r="F14" s="3"/>
      <c r="G14" s="28"/>
      <c r="H14" s="10"/>
      <c r="I14" s="10">
        <f t="shared" si="5"/>
        <v>5040</v>
      </c>
      <c r="J14" s="10">
        <f t="shared" si="3"/>
        <v>388202076.28934139</v>
      </c>
      <c r="K14" s="11">
        <f t="shared" si="4"/>
        <v>2.0699999999999941E-2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75462.154879965165</v>
      </c>
      <c r="D15" s="11">
        <v>1.84E-2</v>
      </c>
      <c r="E15" s="10">
        <f t="shared" si="2"/>
        <v>1363.4167810205836</v>
      </c>
      <c r="F15" s="3"/>
      <c r="G15" s="28"/>
      <c r="H15" s="10"/>
      <c r="I15" s="10">
        <f t="shared" si="5"/>
        <v>5040</v>
      </c>
      <c r="J15" s="10">
        <f t="shared" si="3"/>
        <v>380329260.59502441</v>
      </c>
      <c r="K15" s="11">
        <f t="shared" si="4"/>
        <v>1.8399999999999972E-2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74098.738098944581</v>
      </c>
      <c r="D16" s="11">
        <v>1.29E-2</v>
      </c>
      <c r="E16" s="10">
        <f t="shared" si="2"/>
        <v>943.6999915849301</v>
      </c>
      <c r="F16" s="3"/>
      <c r="G16" s="28"/>
      <c r="H16" s="10"/>
      <c r="I16" s="10">
        <f t="shared" si="5"/>
        <v>5040</v>
      </c>
      <c r="J16" s="10">
        <f t="shared" si="3"/>
        <v>373457640.01868069</v>
      </c>
      <c r="K16" s="11">
        <f t="shared" si="4"/>
        <v>1.2899999999999912E-2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73155.038107359651</v>
      </c>
      <c r="D17" s="11">
        <v>6.6E-3</v>
      </c>
      <c r="E17" s="10">
        <f t="shared" si="2"/>
        <v>479.65751192983589</v>
      </c>
      <c r="F17" s="3"/>
      <c r="G17" s="28"/>
      <c r="H17" s="10"/>
      <c r="I17" s="10">
        <f t="shared" si="5"/>
        <v>5040</v>
      </c>
      <c r="J17" s="10">
        <f t="shared" si="3"/>
        <v>368701392.06109262</v>
      </c>
      <c r="K17" s="11">
        <f t="shared" si="4"/>
        <v>6.5999999999999392E-3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72675.380595429815</v>
      </c>
      <c r="D18" s="11">
        <v>1.1999999999999999E-3</v>
      </c>
      <c r="E18" s="10">
        <f t="shared" si="2"/>
        <v>87.105929598998046</v>
      </c>
      <c r="F18" s="3"/>
      <c r="G18" s="28"/>
      <c r="H18" s="10"/>
      <c r="I18" s="10">
        <f t="shared" si="5"/>
        <v>5040</v>
      </c>
      <c r="J18" s="10">
        <f t="shared" si="3"/>
        <v>366283918.20096624</v>
      </c>
      <c r="K18" s="11">
        <f t="shared" si="4"/>
        <v>1.1999999999998678E-3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72588.274665830817</v>
      </c>
      <c r="D19" s="11">
        <v>-1.9E-3</v>
      </c>
      <c r="E19" s="10">
        <f t="shared" si="2"/>
        <v>-138.18026436737273</v>
      </c>
      <c r="F19" s="3"/>
      <c r="G19" s="28"/>
      <c r="H19" s="10"/>
      <c r="I19" s="10">
        <f t="shared" si="5"/>
        <v>5040</v>
      </c>
      <c r="J19" s="10">
        <f t="shared" si="3"/>
        <v>365844904.31578732</v>
      </c>
      <c r="K19" s="11">
        <f t="shared" si="4"/>
        <v>-1.9000000000000128E-3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72726.45493019819</v>
      </c>
      <c r="D20" s="11">
        <v>-1.4E-3</v>
      </c>
      <c r="E20" s="10">
        <f t="shared" si="2"/>
        <v>-101.95978059510526</v>
      </c>
      <c r="F20" s="3"/>
      <c r="G20" s="28"/>
      <c r="H20" s="10"/>
      <c r="I20" s="10">
        <f t="shared" si="5"/>
        <v>5040</v>
      </c>
      <c r="J20" s="10">
        <f t="shared" si="3"/>
        <v>366541332.84819889</v>
      </c>
      <c r="K20" s="11">
        <f t="shared" si="4"/>
        <v>-1.3999999999998458E-3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72828.414710793295</v>
      </c>
      <c r="D21" s="11">
        <v>1.4E-3</v>
      </c>
      <c r="E21" s="10">
        <f t="shared" si="2"/>
        <v>101.81723646406317</v>
      </c>
      <c r="F21" s="3"/>
      <c r="G21" s="28"/>
      <c r="H21" s="10"/>
      <c r="I21" s="10">
        <f t="shared" si="5"/>
        <v>5040</v>
      </c>
      <c r="J21" s="10">
        <f t="shared" si="3"/>
        <v>367055210.14239818</v>
      </c>
      <c r="K21" s="11">
        <f t="shared" si="4"/>
        <v>1.3999999999998458E-3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72726.597474329232</v>
      </c>
      <c r="D22" s="11">
        <v>4.7999999999999996E-3</v>
      </c>
      <c r="E22" s="10">
        <f t="shared" si="2"/>
        <v>347.42005162895657</v>
      </c>
      <c r="F22" s="3"/>
      <c r="G22" s="28"/>
      <c r="H22" s="10"/>
      <c r="I22" s="10">
        <f t="shared" si="5"/>
        <v>5040</v>
      </c>
      <c r="J22" s="10">
        <f t="shared" si="3"/>
        <v>366542051.27061933</v>
      </c>
      <c r="K22" s="11">
        <f t="shared" si="4"/>
        <v>4.7999999999999154E-3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72379.177422700275</v>
      </c>
      <c r="D23" s="11">
        <v>7.7000000000000002E-3</v>
      </c>
      <c r="E23" s="10">
        <f t="shared" si="2"/>
        <v>553.06109571777051</v>
      </c>
      <c r="F23" s="3"/>
      <c r="G23" s="28"/>
      <c r="H23" s="10"/>
      <c r="I23" s="10">
        <f t="shared" si="5"/>
        <v>5040</v>
      </c>
      <c r="J23" s="10">
        <f t="shared" si="3"/>
        <v>364791054.2104094</v>
      </c>
      <c r="K23" s="11">
        <f t="shared" si="4"/>
        <v>7.7000000000000401E-3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71826.116326982505</v>
      </c>
      <c r="D24" s="11">
        <v>1.18E-2</v>
      </c>
      <c r="E24" s="10">
        <f t="shared" si="2"/>
        <v>837.66374052026367</v>
      </c>
      <c r="F24" s="3"/>
      <c r="G24" s="28"/>
      <c r="H24" s="10"/>
      <c r="I24" s="10">
        <f t="shared" si="5"/>
        <v>5040</v>
      </c>
      <c r="J24" s="10">
        <f t="shared" si="3"/>
        <v>362003626.28799182</v>
      </c>
      <c r="K24" s="11">
        <f t="shared" si="4"/>
        <v>1.1800000000000033E-2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70988.452586462241</v>
      </c>
      <c r="D25" s="11">
        <v>1.72E-2</v>
      </c>
      <c r="E25" s="10">
        <f t="shared" si="2"/>
        <v>1200.355273778172</v>
      </c>
      <c r="F25" s="3"/>
      <c r="G25" s="28"/>
      <c r="H25" s="10"/>
      <c r="I25" s="10">
        <f t="shared" si="5"/>
        <v>5040</v>
      </c>
      <c r="J25" s="10">
        <f t="shared" si="3"/>
        <v>357781801.0357697</v>
      </c>
      <c r="K25" s="11">
        <f t="shared" si="4"/>
        <v>1.7200000000000104E-2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69788.097312684069</v>
      </c>
      <c r="D26" s="11">
        <v>2.3800000000000002E-2</v>
      </c>
      <c r="E26" s="10">
        <f t="shared" si="2"/>
        <v>1622.3449072493531</v>
      </c>
      <c r="F26" s="3"/>
      <c r="G26" s="28"/>
      <c r="H26" s="10"/>
      <c r="I26" s="10">
        <f t="shared" si="5"/>
        <v>5040</v>
      </c>
      <c r="J26" s="10">
        <f t="shared" si="3"/>
        <v>351732010.45592773</v>
      </c>
      <c r="K26" s="11">
        <f t="shared" si="4"/>
        <v>2.3800000000000043E-2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68165.752405434716</v>
      </c>
      <c r="D27" s="11">
        <v>3.09E-2</v>
      </c>
      <c r="E27" s="10">
        <f t="shared" si="2"/>
        <v>2043.18726290419</v>
      </c>
      <c r="F27" s="3"/>
      <c r="G27" s="28"/>
      <c r="H27" s="10"/>
      <c r="I27" s="10">
        <f t="shared" si="5"/>
        <v>5040</v>
      </c>
      <c r="J27" s="10">
        <f t="shared" si="3"/>
        <v>343555392.12339097</v>
      </c>
      <c r="K27" s="11">
        <f t="shared" si="4"/>
        <v>3.0899999999999928E-2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66122.565142530526</v>
      </c>
      <c r="D28" s="11">
        <v>3.8600000000000002E-2</v>
      </c>
      <c r="E28" s="10">
        <f t="shared" si="2"/>
        <v>2457.4725731770377</v>
      </c>
      <c r="F28" s="3"/>
      <c r="G28" s="28"/>
      <c r="H28" s="10"/>
      <c r="I28" s="10">
        <f t="shared" si="5"/>
        <v>5040</v>
      </c>
      <c r="J28" s="10">
        <f t="shared" si="3"/>
        <v>333257728.31835383</v>
      </c>
      <c r="K28" s="11">
        <f t="shared" si="4"/>
        <v>3.8599999999999746E-2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63665.092569353488</v>
      </c>
      <c r="D29" s="11">
        <v>4.4600000000000001E-2</v>
      </c>
      <c r="E29" s="10">
        <f t="shared" si="2"/>
        <v>2718.2300675791339</v>
      </c>
      <c r="F29" s="3"/>
      <c r="G29" s="28"/>
      <c r="H29" s="10"/>
      <c r="I29" s="10">
        <f t="shared" si="5"/>
        <v>5040</v>
      </c>
      <c r="J29" s="10">
        <f t="shared" si="3"/>
        <v>320872066.54954159</v>
      </c>
      <c r="K29" s="11">
        <f t="shared" si="4"/>
        <v>4.4599999999999973E-2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60946.862501774354</v>
      </c>
      <c r="D30" s="11">
        <v>4.7500000000000001E-2</v>
      </c>
      <c r="E30" s="10">
        <f t="shared" si="2"/>
        <v>2763.7002089110174</v>
      </c>
      <c r="F30" s="3"/>
      <c r="G30" s="28"/>
      <c r="H30" s="10"/>
      <c r="I30" s="10">
        <f t="shared" si="5"/>
        <v>5040</v>
      </c>
      <c r="J30" s="10">
        <f t="shared" si="3"/>
        <v>307172187.00894272</v>
      </c>
      <c r="K30" s="11">
        <f t="shared" si="4"/>
        <v>4.7500000000000098E-2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58183.162292863337</v>
      </c>
      <c r="D31" s="11">
        <v>4.7899999999999998E-2</v>
      </c>
      <c r="E31" s="10">
        <f t="shared" si="2"/>
        <v>2659.5796104858819</v>
      </c>
      <c r="F31" s="3"/>
      <c r="G31" s="28"/>
      <c r="H31" s="10"/>
      <c r="I31" s="10">
        <f t="shared" si="5"/>
        <v>5040</v>
      </c>
      <c r="J31" s="10">
        <f t="shared" si="3"/>
        <v>293243137.9560312</v>
      </c>
      <c r="K31" s="11">
        <f t="shared" si="4"/>
        <v>4.7900000000000054E-2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55523.582682377455</v>
      </c>
      <c r="D32" s="11">
        <v>4.7199999999999999E-2</v>
      </c>
      <c r="E32" s="10">
        <f t="shared" si="2"/>
        <v>2502.5908160888212</v>
      </c>
      <c r="F32" s="3"/>
      <c r="G32" s="28"/>
      <c r="H32" s="10"/>
      <c r="I32" s="10">
        <f t="shared" si="5"/>
        <v>5040</v>
      </c>
      <c r="J32" s="10">
        <f t="shared" si="3"/>
        <v>279838856.71918237</v>
      </c>
      <c r="K32" s="11">
        <f t="shared" si="4"/>
        <v>4.7199999999999909E-2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53020.991866288634</v>
      </c>
      <c r="D33" s="11">
        <v>4.7100000000000003E-2</v>
      </c>
      <c r="E33" s="10">
        <f t="shared" si="2"/>
        <v>2384.957231307606</v>
      </c>
      <c r="F33" s="3"/>
      <c r="G33" s="28"/>
      <c r="H33" s="10"/>
      <c r="I33" s="10">
        <f t="shared" si="5"/>
        <v>5040</v>
      </c>
      <c r="J33" s="10">
        <f t="shared" si="3"/>
        <v>267225799.00609472</v>
      </c>
      <c r="K33" s="11">
        <f t="shared" si="4"/>
        <v>4.7100000000000142E-2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50636.034634981028</v>
      </c>
      <c r="D34" s="11">
        <v>4.5499999999999999E-2</v>
      </c>
      <c r="E34" s="10">
        <f t="shared" si="2"/>
        <v>2203.6724781364319</v>
      </c>
      <c r="F34" s="3"/>
      <c r="G34" s="28"/>
      <c r="H34" s="10"/>
      <c r="I34" s="10">
        <f t="shared" si="5"/>
        <v>5040</v>
      </c>
      <c r="J34" s="10">
        <f t="shared" ref="J34:J65" si="6">IF(I34="","",I34*C34)</f>
        <v>255205614.56030437</v>
      </c>
      <c r="K34" s="11">
        <f t="shared" ref="K34:K65" si="7">IFERROR(J34/J35-1,"")</f>
        <v>4.5500000000000096E-2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48432.362156844596</v>
      </c>
      <c r="D35" s="11">
        <v>4.4400000000000002E-2</v>
      </c>
      <c r="E35" s="10">
        <f t="shared" si="2"/>
        <v>2058.9782456567409</v>
      </c>
      <c r="F35" s="3"/>
      <c r="G35" s="28"/>
      <c r="H35" s="10"/>
      <c r="I35" s="10">
        <f t="shared" ref="I35:I66" si="8">IF(H35&lt;&gt;"",H35,I34/(1+IF(G34="",0,G34)/100))</f>
        <v>5040</v>
      </c>
      <c r="J35" s="10">
        <f t="shared" si="6"/>
        <v>244099105.27049676</v>
      </c>
      <c r="K35" s="11">
        <f t="shared" si="7"/>
        <v>4.4399999999999995E-2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46373.383911187855</v>
      </c>
      <c r="D36" s="11">
        <v>4.19E-2</v>
      </c>
      <c r="E36" s="10">
        <f t="shared" si="2"/>
        <v>1864.9052556663519</v>
      </c>
      <c r="F36" s="3"/>
      <c r="G36" s="28"/>
      <c r="H36" s="10"/>
      <c r="I36" s="10">
        <f t="shared" si="8"/>
        <v>5040</v>
      </c>
      <c r="J36" s="10">
        <f t="shared" si="6"/>
        <v>233721854.91238678</v>
      </c>
      <c r="K36" s="11">
        <f t="shared" si="7"/>
        <v>4.1900000000000048E-2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44508.478655521503</v>
      </c>
      <c r="D37" s="11">
        <v>3.8600000000000002E-2</v>
      </c>
      <c r="E37" s="10">
        <f t="shared" si="2"/>
        <v>1654.1760794368674</v>
      </c>
      <c r="F37" s="3"/>
      <c r="G37" s="28"/>
      <c r="H37" s="10"/>
      <c r="I37" s="10">
        <f t="shared" si="8"/>
        <v>5040</v>
      </c>
      <c r="J37" s="10">
        <f t="shared" si="6"/>
        <v>224322732.42382836</v>
      </c>
      <c r="K37" s="11">
        <f t="shared" si="7"/>
        <v>3.8599999999999968E-2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42854.302576084636</v>
      </c>
      <c r="D38" s="11">
        <v>3.5200000000000002E-2</v>
      </c>
      <c r="E38" s="10">
        <f t="shared" si="2"/>
        <v>1457.1787583830883</v>
      </c>
      <c r="F38" s="3"/>
      <c r="G38" s="28"/>
      <c r="H38" s="10"/>
      <c r="I38" s="10">
        <f t="shared" si="8"/>
        <v>5040</v>
      </c>
      <c r="J38" s="10">
        <f t="shared" si="6"/>
        <v>215985684.98346657</v>
      </c>
      <c r="K38" s="11">
        <f t="shared" si="7"/>
        <v>3.5199999999999898E-2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41397.123817701548</v>
      </c>
      <c r="D39" s="11">
        <v>3.3000000000000002E-2</v>
      </c>
      <c r="E39" s="10">
        <f t="shared" si="2"/>
        <v>1322.463781204402</v>
      </c>
      <c r="F39" s="3"/>
      <c r="G39" s="28"/>
      <c r="H39" s="10"/>
      <c r="I39" s="10">
        <f t="shared" si="8"/>
        <v>5040</v>
      </c>
      <c r="J39" s="10">
        <f t="shared" si="6"/>
        <v>208641504.04121581</v>
      </c>
      <c r="K39" s="11">
        <f t="shared" si="7"/>
        <v>3.2999999999999918E-2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40074.660036497145</v>
      </c>
      <c r="D40" s="11">
        <v>3.4500000000000003E-2</v>
      </c>
      <c r="E40" s="10">
        <f t="shared" si="2"/>
        <v>1336.4676377565484</v>
      </c>
      <c r="F40" s="3"/>
      <c r="G40" s="28"/>
      <c r="H40" s="10"/>
      <c r="I40" s="10">
        <f t="shared" si="8"/>
        <v>5040</v>
      </c>
      <c r="J40" s="10">
        <f t="shared" si="6"/>
        <v>201976286.5839456</v>
      </c>
      <c r="K40" s="11">
        <f t="shared" si="7"/>
        <v>3.4499999999999753E-2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38738.192398740597</v>
      </c>
      <c r="D41" s="11">
        <v>3.7199999999999997E-2</v>
      </c>
      <c r="E41" s="10">
        <f t="shared" si="2"/>
        <v>1389.3759711079329</v>
      </c>
      <c r="F41" s="3"/>
      <c r="G41" s="28"/>
      <c r="H41" s="10"/>
      <c r="I41" s="10">
        <f t="shared" si="8"/>
        <v>5040</v>
      </c>
      <c r="J41" s="10">
        <f t="shared" si="6"/>
        <v>195240489.68965262</v>
      </c>
      <c r="K41" s="11">
        <f t="shared" si="7"/>
        <v>3.7200000000000122E-2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37348.816427632664</v>
      </c>
      <c r="D42" s="11">
        <v>4.19E-2</v>
      </c>
      <c r="E42" s="10">
        <f t="shared" si="2"/>
        <v>1501.9823479391562</v>
      </c>
      <c r="F42" s="3"/>
      <c r="G42" s="28"/>
      <c r="H42" s="10"/>
      <c r="I42" s="10">
        <f t="shared" si="8"/>
        <v>5040</v>
      </c>
      <c r="J42" s="10">
        <f t="shared" si="6"/>
        <v>188238034.79526863</v>
      </c>
      <c r="K42" s="11">
        <f t="shared" si="7"/>
        <v>4.1900000000000048E-2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35846.834079693508</v>
      </c>
      <c r="D43" s="11">
        <v>4.5499999999999999E-2</v>
      </c>
      <c r="E43" s="10">
        <f t="shared" si="2"/>
        <v>1560.0487332626071</v>
      </c>
      <c r="F43" s="3"/>
      <c r="G43" s="28"/>
      <c r="H43" s="10"/>
      <c r="I43" s="10">
        <f t="shared" si="8"/>
        <v>5040</v>
      </c>
      <c r="J43" s="10">
        <f t="shared" si="6"/>
        <v>180668043.76165527</v>
      </c>
      <c r="K43" s="11">
        <f t="shared" si="7"/>
        <v>4.5499999999999874E-2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34286.785346430901</v>
      </c>
      <c r="D44" s="11">
        <v>4.8300000000000003E-2</v>
      </c>
      <c r="E44" s="10">
        <f t="shared" si="2"/>
        <v>1579.7498161142939</v>
      </c>
      <c r="F44" s="3"/>
      <c r="G44" s="28"/>
      <c r="H44" s="10"/>
      <c r="I44" s="10">
        <f t="shared" si="8"/>
        <v>5040</v>
      </c>
      <c r="J44" s="10">
        <f t="shared" si="6"/>
        <v>172805398.14601174</v>
      </c>
      <c r="K44" s="11">
        <f t="shared" si="7"/>
        <v>4.830000000000001E-2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32707.035530316607</v>
      </c>
      <c r="D45" s="11">
        <v>4.7199999999999999E-2</v>
      </c>
      <c r="E45" s="10">
        <f t="shared" si="2"/>
        <v>1474.190295102122</v>
      </c>
      <c r="F45" s="3"/>
      <c r="G45" s="28"/>
      <c r="H45" s="10"/>
      <c r="I45" s="10">
        <f t="shared" si="8"/>
        <v>5040</v>
      </c>
      <c r="J45" s="10">
        <f t="shared" si="6"/>
        <v>164843459.07279569</v>
      </c>
      <c r="K45" s="11">
        <f t="shared" si="7"/>
        <v>4.7199999999999909E-2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31232.845235214485</v>
      </c>
      <c r="D46" s="11">
        <v>4.3700000000000003E-2</v>
      </c>
      <c r="E46" s="10">
        <f t="shared" si="2"/>
        <v>1307.7276389564759</v>
      </c>
      <c r="F46" s="3"/>
      <c r="G46" s="28"/>
      <c r="H46" s="10"/>
      <c r="I46" s="10">
        <f t="shared" si="8"/>
        <v>5040</v>
      </c>
      <c r="J46" s="10">
        <f t="shared" si="6"/>
        <v>157413539.98548099</v>
      </c>
      <c r="K46" s="11">
        <f t="shared" si="7"/>
        <v>4.369999999999985E-2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29925.117596258009</v>
      </c>
      <c r="D47" s="11">
        <v>3.8800000000000001E-2</v>
      </c>
      <c r="E47" s="10">
        <f t="shared" si="2"/>
        <v>1117.7267642807165</v>
      </c>
      <c r="F47" s="3"/>
      <c r="G47" s="28"/>
      <c r="H47" s="10"/>
      <c r="I47" s="10">
        <f t="shared" si="8"/>
        <v>5040</v>
      </c>
      <c r="J47" s="10">
        <f t="shared" si="6"/>
        <v>150822592.68514037</v>
      </c>
      <c r="K47" s="11">
        <f t="shared" si="7"/>
        <v>3.8799999999999946E-2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28807.390831977293</v>
      </c>
      <c r="D48" s="11">
        <v>3.3700000000000001E-2</v>
      </c>
      <c r="E48" s="10">
        <f t="shared" si="2"/>
        <v>939.15939928183798</v>
      </c>
      <c r="F48" s="3"/>
      <c r="G48" s="28"/>
      <c r="H48" s="10"/>
      <c r="I48" s="10">
        <f t="shared" si="8"/>
        <v>5040</v>
      </c>
      <c r="J48" s="10">
        <f t="shared" si="6"/>
        <v>145189249.79316556</v>
      </c>
      <c r="K48" s="11">
        <f t="shared" si="7"/>
        <v>3.3700000000000063E-2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27868.231432695455</v>
      </c>
      <c r="D49" s="11">
        <v>3.1199999999999999E-2</v>
      </c>
      <c r="E49" s="10">
        <f t="shared" si="2"/>
        <v>843.18155614826901</v>
      </c>
      <c r="F49" s="3"/>
      <c r="G49" s="28"/>
      <c r="H49" s="10"/>
      <c r="I49" s="10">
        <f t="shared" si="8"/>
        <v>5040</v>
      </c>
      <c r="J49" s="10">
        <f t="shared" si="6"/>
        <v>140455886.4207851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27025.049876547186</v>
      </c>
      <c r="D50" s="11">
        <v>3.0300000000000001E-2</v>
      </c>
      <c r="E50" s="10">
        <f t="shared" si="2"/>
        <v>794.77726027310564</v>
      </c>
      <c r="F50" s="3"/>
      <c r="G50" s="28"/>
      <c r="H50" s="10"/>
      <c r="I50" s="10">
        <f t="shared" si="8"/>
        <v>5040</v>
      </c>
      <c r="J50" s="10">
        <f t="shared" si="6"/>
        <v>136206251.37779781</v>
      </c>
      <c r="K50" s="11">
        <f t="shared" si="7"/>
        <v>3.0299999999999994E-2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26230.27261627408</v>
      </c>
      <c r="D51" s="11">
        <v>3.1399999999999997E-2</v>
      </c>
      <c r="E51" s="10">
        <f t="shared" si="2"/>
        <v>798.55590474210476</v>
      </c>
      <c r="F51" s="3"/>
      <c r="G51" s="28"/>
      <c r="H51" s="10"/>
      <c r="I51" s="10">
        <f t="shared" si="8"/>
        <v>5040</v>
      </c>
      <c r="J51" s="10">
        <f t="shared" si="6"/>
        <v>132200573.98602137</v>
      </c>
      <c r="K51" s="11">
        <f t="shared" si="7"/>
        <v>3.1400000000000095E-2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25431.716711531975</v>
      </c>
      <c r="D52" s="11">
        <v>3.3700000000000001E-2</v>
      </c>
      <c r="E52" s="10">
        <f t="shared" si="2"/>
        <v>829.10791639608215</v>
      </c>
      <c r="F52" s="3"/>
      <c r="G52" s="28"/>
      <c r="H52" s="10"/>
      <c r="I52" s="10">
        <f t="shared" si="8"/>
        <v>5040</v>
      </c>
      <c r="J52" s="10">
        <f t="shared" si="6"/>
        <v>128175852.22612116</v>
      </c>
      <c r="K52" s="11">
        <f t="shared" si="7"/>
        <v>3.3700000000000063E-2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24602.608795135893</v>
      </c>
      <c r="D53" s="11">
        <v>3.6499999999999998E-2</v>
      </c>
      <c r="E53" s="10">
        <f t="shared" si="2"/>
        <v>866.37262037863911</v>
      </c>
      <c r="F53" s="3"/>
      <c r="G53" s="28"/>
      <c r="H53" s="10"/>
      <c r="I53" s="10">
        <f t="shared" si="8"/>
        <v>5040</v>
      </c>
      <c r="J53" s="10">
        <f t="shared" si="6"/>
        <v>123997148.32748491</v>
      </c>
      <c r="K53" s="11">
        <f t="shared" si="7"/>
        <v>3.6499999999999977E-2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23736.236174757254</v>
      </c>
      <c r="D54" s="11">
        <v>3.56E-2</v>
      </c>
      <c r="E54" s="10">
        <f t="shared" si="2"/>
        <v>815.96176885029126</v>
      </c>
      <c r="F54" s="3"/>
      <c r="G54" s="28"/>
      <c r="H54" s="10"/>
      <c r="I54" s="10">
        <f t="shared" si="8"/>
        <v>5040</v>
      </c>
      <c r="J54" s="10">
        <f t="shared" si="6"/>
        <v>119630630.32077657</v>
      </c>
      <c r="K54" s="11">
        <f t="shared" si="7"/>
        <v>3.5600000000000298E-2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22920.274405906963</v>
      </c>
      <c r="D55" s="11">
        <v>3.2099999999999997E-2</v>
      </c>
      <c r="E55" s="10">
        <f t="shared" si="2"/>
        <v>712.85806455732381</v>
      </c>
      <c r="F55" s="3"/>
      <c r="G55" s="28"/>
      <c r="H55" s="10"/>
      <c r="I55" s="10">
        <f t="shared" si="8"/>
        <v>5040</v>
      </c>
      <c r="J55" s="10">
        <f t="shared" si="6"/>
        <v>115518183.00577109</v>
      </c>
      <c r="K55" s="11">
        <f t="shared" si="7"/>
        <v>3.2100000000000017E-2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22207.416341349639</v>
      </c>
      <c r="D56" s="11">
        <v>2.5700000000000001E-2</v>
      </c>
      <c r="E56" s="10">
        <f t="shared" si="2"/>
        <v>556.43034022880602</v>
      </c>
      <c r="F56" s="3"/>
      <c r="G56" s="28"/>
      <c r="H56" s="10"/>
      <c r="I56" s="10">
        <f t="shared" si="8"/>
        <v>5040</v>
      </c>
      <c r="J56" s="10">
        <f t="shared" si="6"/>
        <v>111925378.36040218</v>
      </c>
      <c r="K56" s="11">
        <f t="shared" si="7"/>
        <v>2.5700000000000056E-2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21650.986001120833</v>
      </c>
      <c r="D57" s="11">
        <v>1.7999999999999999E-2</v>
      </c>
      <c r="E57" s="10">
        <f t="shared" si="2"/>
        <v>382.82686445989748</v>
      </c>
      <c r="F57" s="3"/>
      <c r="G57" s="28"/>
      <c r="H57" s="10"/>
      <c r="I57" s="10">
        <f t="shared" si="8"/>
        <v>5040</v>
      </c>
      <c r="J57" s="10">
        <f t="shared" si="6"/>
        <v>109120969.445649</v>
      </c>
      <c r="K57" s="11">
        <f t="shared" si="7"/>
        <v>1.8000000000000016E-2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21268.159136660935</v>
      </c>
      <c r="D58" s="11">
        <v>1.4999999999999999E-2</v>
      </c>
      <c r="E58" s="10">
        <f t="shared" si="2"/>
        <v>314.30777049252356</v>
      </c>
      <c r="F58" s="3"/>
      <c r="G58" s="28"/>
      <c r="H58" s="10"/>
      <c r="I58" s="10">
        <f t="shared" si="8"/>
        <v>5040</v>
      </c>
      <c r="J58" s="10">
        <f t="shared" si="6"/>
        <v>107191522.04877111</v>
      </c>
      <c r="K58" s="11">
        <f t="shared" si="7"/>
        <v>1.4999999999999902E-2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20953.851366168412</v>
      </c>
      <c r="D59" s="11">
        <v>1.2E-2</v>
      </c>
      <c r="E59" s="10">
        <f t="shared" si="2"/>
        <v>248.46464070555521</v>
      </c>
      <c r="F59" s="3"/>
      <c r="G59" s="28"/>
      <c r="H59" s="10"/>
      <c r="I59" s="10">
        <f t="shared" si="8"/>
        <v>5040</v>
      </c>
      <c r="J59" s="10">
        <f t="shared" si="6"/>
        <v>105607410.88548879</v>
      </c>
      <c r="K59" s="11">
        <f t="shared" si="7"/>
        <v>1.2000000000000011E-2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20705.386725462857</v>
      </c>
      <c r="D60" s="11">
        <v>0.01</v>
      </c>
      <c r="E60" s="10">
        <f t="shared" si="2"/>
        <v>205.00382896497831</v>
      </c>
      <c r="F60" s="3"/>
      <c r="G60" s="28"/>
      <c r="H60" s="10"/>
      <c r="I60" s="10">
        <f t="shared" si="8"/>
        <v>5040</v>
      </c>
      <c r="J60" s="10">
        <f t="shared" si="6"/>
        <v>104355149.0963328</v>
      </c>
      <c r="K60" s="11">
        <f t="shared" si="7"/>
        <v>1.0000000000000009E-2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20500.382896497878</v>
      </c>
      <c r="D61" s="11">
        <v>8.9999999999999993E-3</v>
      </c>
      <c r="E61" s="10">
        <f t="shared" si="2"/>
        <v>182.85772652970991</v>
      </c>
      <c r="F61" s="3"/>
      <c r="G61" s="28"/>
      <c r="H61" s="10"/>
      <c r="I61" s="10">
        <f t="shared" si="8"/>
        <v>5040</v>
      </c>
      <c r="J61" s="10">
        <f t="shared" si="6"/>
        <v>103321929.79834931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20317.525169968168</v>
      </c>
      <c r="D62" s="11">
        <v>8.0000000000000002E-3</v>
      </c>
      <c r="E62" s="10">
        <f t="shared" si="2"/>
        <v>161.25019976165277</v>
      </c>
      <c r="F62" s="3"/>
      <c r="G62" s="28"/>
      <c r="H62" s="10"/>
      <c r="I62" s="10">
        <f t="shared" si="8"/>
        <v>5040</v>
      </c>
      <c r="J62" s="10">
        <f t="shared" si="6"/>
        <v>102400326.85663956</v>
      </c>
      <c r="K62" s="11">
        <f t="shared" si="7"/>
        <v>8.0000000000000071E-3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20156.274970206516</v>
      </c>
      <c r="D63" s="11">
        <v>7.0000000000000001E-3</v>
      </c>
      <c r="E63" s="10">
        <f t="shared" si="2"/>
        <v>140.11313286141376</v>
      </c>
      <c r="F63" s="3"/>
      <c r="G63" s="28"/>
      <c r="H63" s="10"/>
      <c r="I63" s="10">
        <f t="shared" si="8"/>
        <v>5040</v>
      </c>
      <c r="J63" s="10">
        <f t="shared" si="6"/>
        <v>101587625.84984083</v>
      </c>
      <c r="K63" s="11">
        <f t="shared" si="7"/>
        <v>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20016.161837345102</v>
      </c>
      <c r="D64" s="11">
        <v>5.7999999999999996E-3</v>
      </c>
      <c r="E64" s="10">
        <f t="shared" si="2"/>
        <v>115.42427784510073</v>
      </c>
      <c r="F64" s="3"/>
      <c r="G64" s="28"/>
      <c r="H64" s="10"/>
      <c r="I64" s="10">
        <f t="shared" si="8"/>
        <v>5040</v>
      </c>
      <c r="J64" s="10">
        <f t="shared" si="6"/>
        <v>100881455.66021931</v>
      </c>
      <c r="K64" s="11">
        <f t="shared" si="7"/>
        <v>5.8000000000000274E-3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19900.737559500001</v>
      </c>
      <c r="D65" s="11">
        <v>8.5000000000000006E-3</v>
      </c>
      <c r="E65" s="10">
        <f t="shared" si="2"/>
        <v>167.7305594999998</v>
      </c>
      <c r="F65" s="3"/>
      <c r="G65" s="28"/>
      <c r="H65" s="10"/>
      <c r="I65" s="10">
        <f t="shared" si="8"/>
        <v>5040</v>
      </c>
      <c r="J65" s="10">
        <f t="shared" si="6"/>
        <v>100299717.29988001</v>
      </c>
      <c r="K65" s="11">
        <f t="shared" si="7"/>
        <v>8.5000000000001741E-3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19733.007000000001</v>
      </c>
      <c r="D66" s="11">
        <v>7.3000000000000001E-3</v>
      </c>
      <c r="E66" s="10">
        <f t="shared" si="2"/>
        <v>143.00700000000143</v>
      </c>
      <c r="F66" s="24">
        <f>SUM(F2)</f>
        <v>82798</v>
      </c>
      <c r="G66" s="28"/>
      <c r="H66" s="10"/>
      <c r="I66" s="10">
        <f t="shared" si="8"/>
        <v>5040</v>
      </c>
      <c r="J66" s="10">
        <f t="shared" ref="J66:J67" si="9">IF(I66="","",I66*C66)</f>
        <v>99454355.280000001</v>
      </c>
      <c r="K66" s="11">
        <f t="shared" ref="K66" si="10">IFERROR(J66/J67-1,"")</f>
        <v>7.3000000000000842E-3</v>
      </c>
    </row>
    <row r="67" spans="1:11" ht="22.5" customHeight="1">
      <c r="A67" s="3">
        <f t="shared" si="0"/>
        <v>1950</v>
      </c>
      <c r="B67" s="3">
        <v>1700</v>
      </c>
      <c r="C67" s="10">
        <v>19590</v>
      </c>
      <c r="D67" s="11">
        <v>1.0500000000000001E-2</v>
      </c>
      <c r="E67" s="3" t="s">
        <v>72</v>
      </c>
      <c r="F67" s="10">
        <f>SUM(C2)</f>
        <v>82727.340634671142</v>
      </c>
      <c r="G67" s="28"/>
      <c r="H67" s="10"/>
      <c r="I67" s="10">
        <f t="shared" ref="I67" si="11">IF(H67&lt;&gt;"",H67,I66/(1+IF(G66="",0,G66)/100))</f>
        <v>5040</v>
      </c>
      <c r="J67" s="10">
        <f t="shared" si="9"/>
        <v>98733600</v>
      </c>
      <c r="K67" s="11"/>
    </row>
  </sheetData>
  <dataValidations count="1">
    <dataValidation type="custom" allowBlank="1" showDropDown="1" sqref="D2:D67" xr:uid="{00000000-0002-0000-7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3625515.5776931201</v>
      </c>
      <c r="D2" s="11">
        <v>2.8899999999999999E-2</v>
      </c>
      <c r="E2" s="10">
        <f t="shared" ref="E2:E66" si="2">SUM(C2-C3)</f>
        <v>101834.38642757386</v>
      </c>
      <c r="F2" s="15">
        <v>3626297</v>
      </c>
      <c r="G2" s="28"/>
      <c r="H2" s="10"/>
      <c r="I2" s="10">
        <f>IF(H2&lt;&gt;"",H2,12937)</f>
        <v>12937</v>
      </c>
      <c r="J2" s="10">
        <f t="shared" ref="J2:J33" si="3">IF(I2="","",I2*C2)</f>
        <v>46903295028.615898</v>
      </c>
      <c r="K2" s="11">
        <f t="shared" ref="K2:K33" si="4">IFERROR(J2/J3-1,"")</f>
        <v>2.8899999999999926E-2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3523681.1912655463</v>
      </c>
      <c r="D3" s="11">
        <v>2.4199999999999999E-2</v>
      </c>
      <c r="E3" s="10">
        <f t="shared" si="2"/>
        <v>83258.235528828576</v>
      </c>
      <c r="F3" s="3"/>
      <c r="G3" s="28"/>
      <c r="H3" s="10"/>
      <c r="I3" s="10">
        <f t="shared" ref="I3:I34" si="5">IF(H3&lt;&gt;"",H3,I2/(1+IF(G2="",0,G2)/100))</f>
        <v>12937</v>
      </c>
      <c r="J3" s="10">
        <f t="shared" si="3"/>
        <v>45585863571.402374</v>
      </c>
      <c r="K3" s="11">
        <f t="shared" si="4"/>
        <v>2.4200000000000221E-2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3440422.9557367177</v>
      </c>
      <c r="D4" s="11">
        <v>1.9900000000000001E-2</v>
      </c>
      <c r="E4" s="10">
        <f t="shared" si="2"/>
        <v>67128.558504913002</v>
      </c>
      <c r="F4" s="3"/>
      <c r="G4" s="28"/>
      <c r="H4" s="10"/>
      <c r="I4" s="10">
        <f t="shared" si="5"/>
        <v>12937</v>
      </c>
      <c r="J4" s="10">
        <f t="shared" si="3"/>
        <v>44508751778.365913</v>
      </c>
      <c r="K4" s="11">
        <f t="shared" si="4"/>
        <v>1.9900000000000029E-2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3373294.3972318047</v>
      </c>
      <c r="D5" s="11">
        <v>2.0899999999999998E-2</v>
      </c>
      <c r="E5" s="10">
        <f t="shared" si="2"/>
        <v>69058.529632818419</v>
      </c>
      <c r="F5" s="3"/>
      <c r="G5" s="28"/>
      <c r="H5" s="10"/>
      <c r="I5" s="10">
        <f t="shared" si="5"/>
        <v>12937</v>
      </c>
      <c r="J5" s="10">
        <f t="shared" si="3"/>
        <v>43640309616.987854</v>
      </c>
      <c r="K5" s="11">
        <f t="shared" si="4"/>
        <v>2.0899999999999919E-2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3304235.8675989863</v>
      </c>
      <c r="D6" s="11">
        <v>2.1700000000000001E-2</v>
      </c>
      <c r="E6" s="10">
        <f t="shared" si="2"/>
        <v>70179.033304197248</v>
      </c>
      <c r="F6" s="3"/>
      <c r="G6" s="28"/>
      <c r="H6" s="10"/>
      <c r="I6" s="10">
        <f t="shared" si="5"/>
        <v>12937</v>
      </c>
      <c r="J6" s="10">
        <f t="shared" si="3"/>
        <v>42746899419.128082</v>
      </c>
      <c r="K6" s="11">
        <f t="shared" si="4"/>
        <v>2.1700000000000053E-2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3234056.834294789</v>
      </c>
      <c r="D7" s="11">
        <v>2.1999999999999999E-2</v>
      </c>
      <c r="E7" s="10">
        <f t="shared" si="2"/>
        <v>69617.661794995423</v>
      </c>
      <c r="F7" s="3"/>
      <c r="G7" s="28"/>
      <c r="H7" s="10"/>
      <c r="I7" s="10">
        <f t="shared" si="5"/>
        <v>12937</v>
      </c>
      <c r="J7" s="10">
        <f t="shared" si="3"/>
        <v>41838993265.271683</v>
      </c>
      <c r="K7" s="11">
        <f t="shared" si="4"/>
        <v>2.200000000000002E-2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3164439.1724997936</v>
      </c>
      <c r="D8" s="11">
        <v>2.2200000000000001E-2</v>
      </c>
      <c r="E8" s="10">
        <f t="shared" si="2"/>
        <v>68724.857786632143</v>
      </c>
      <c r="F8" s="3"/>
      <c r="G8" s="28"/>
      <c r="H8" s="10"/>
      <c r="I8" s="10">
        <f t="shared" si="5"/>
        <v>12937</v>
      </c>
      <c r="J8" s="10">
        <f t="shared" si="3"/>
        <v>40938349574.629829</v>
      </c>
      <c r="K8" s="11">
        <f t="shared" si="4"/>
        <v>2.2199999999999998E-2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3095714.3147131614</v>
      </c>
      <c r="D9" s="11">
        <v>2.2700000000000001E-2</v>
      </c>
      <c r="E9" s="10">
        <f t="shared" si="2"/>
        <v>68712.931401181966</v>
      </c>
      <c r="F9" s="3"/>
      <c r="G9" s="28"/>
      <c r="H9" s="10"/>
      <c r="I9" s="10">
        <f t="shared" si="5"/>
        <v>12937</v>
      </c>
      <c r="J9" s="10">
        <f t="shared" si="3"/>
        <v>40049256089.444168</v>
      </c>
      <c r="K9" s="11">
        <f t="shared" si="4"/>
        <v>2.2699999999999942E-2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3027001.3833119795</v>
      </c>
      <c r="D10" s="11">
        <v>2.3300000000000001E-2</v>
      </c>
      <c r="E10" s="10">
        <f t="shared" si="2"/>
        <v>68923.221177728381</v>
      </c>
      <c r="F10" s="3"/>
      <c r="G10" s="28"/>
      <c r="H10" s="10"/>
      <c r="I10" s="10">
        <f t="shared" si="5"/>
        <v>12937</v>
      </c>
      <c r="J10" s="10">
        <f t="shared" si="3"/>
        <v>39160316895.907082</v>
      </c>
      <c r="K10" s="11">
        <f t="shared" si="4"/>
        <v>2.3300000000000098E-2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2958078.1621342511</v>
      </c>
      <c r="D11" s="11">
        <v>2.3599999999999999E-2</v>
      </c>
      <c r="E11" s="10">
        <f t="shared" si="2"/>
        <v>68201.098697116598</v>
      </c>
      <c r="F11" s="3"/>
      <c r="G11" s="28"/>
      <c r="H11" s="10"/>
      <c r="I11" s="10">
        <f t="shared" si="5"/>
        <v>12937</v>
      </c>
      <c r="J11" s="10">
        <f t="shared" si="3"/>
        <v>38268657183.530807</v>
      </c>
      <c r="K11" s="11">
        <f t="shared" si="4"/>
        <v>2.3600000000000065E-2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2889877.0634371345</v>
      </c>
      <c r="D12" s="11">
        <v>2.3900000000000001E-2</v>
      </c>
      <c r="E12" s="10">
        <f t="shared" si="2"/>
        <v>67455.866604304872</v>
      </c>
      <c r="F12" s="3"/>
      <c r="G12" s="28"/>
      <c r="H12" s="10"/>
      <c r="I12" s="10">
        <f t="shared" si="5"/>
        <v>12937</v>
      </c>
      <c r="J12" s="10">
        <f t="shared" si="3"/>
        <v>37386339569.686211</v>
      </c>
      <c r="K12" s="11">
        <f t="shared" si="4"/>
        <v>2.3900000000000254E-2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2822421.1968328296</v>
      </c>
      <c r="D13" s="11">
        <v>2.4199999999999999E-2</v>
      </c>
      <c r="E13" s="10">
        <f t="shared" si="2"/>
        <v>66688.725799018051</v>
      </c>
      <c r="F13" s="3"/>
      <c r="G13" s="28"/>
      <c r="H13" s="10"/>
      <c r="I13" s="10">
        <f t="shared" si="5"/>
        <v>12937</v>
      </c>
      <c r="J13" s="10">
        <f t="shared" si="3"/>
        <v>36513663023.426315</v>
      </c>
      <c r="K13" s="11">
        <f t="shared" si="4"/>
        <v>2.4199999999999999E-2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2755732.4710338116</v>
      </c>
      <c r="D14" s="11">
        <v>2.4899999999999999E-2</v>
      </c>
      <c r="E14" s="10">
        <f t="shared" si="2"/>
        <v>66950.666922374628</v>
      </c>
      <c r="F14" s="3"/>
      <c r="G14" s="28"/>
      <c r="H14" s="10"/>
      <c r="I14" s="10">
        <f t="shared" si="5"/>
        <v>12937</v>
      </c>
      <c r="J14" s="10">
        <f t="shared" si="3"/>
        <v>35650910977.76442</v>
      </c>
      <c r="K14" s="11">
        <f t="shared" si="4"/>
        <v>2.4899999999999922E-2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2688781.8041114369</v>
      </c>
      <c r="D15" s="11">
        <v>2.58E-2</v>
      </c>
      <c r="E15" s="10">
        <f t="shared" si="2"/>
        <v>67625.824279659893</v>
      </c>
      <c r="F15" s="3"/>
      <c r="G15" s="28"/>
      <c r="H15" s="10"/>
      <c r="I15" s="10">
        <f t="shared" si="5"/>
        <v>12937</v>
      </c>
      <c r="J15" s="10">
        <f t="shared" si="3"/>
        <v>34784770199.789658</v>
      </c>
      <c r="K15" s="11">
        <f t="shared" si="4"/>
        <v>2.5800000000000045E-2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2621155.979831777</v>
      </c>
      <c r="D16" s="11">
        <v>2.6800000000000001E-2</v>
      </c>
      <c r="E16" s="10">
        <f t="shared" si="2"/>
        <v>68413.498499699403</v>
      </c>
      <c r="F16" s="3"/>
      <c r="G16" s="28"/>
      <c r="H16" s="10"/>
      <c r="I16" s="10">
        <f t="shared" si="5"/>
        <v>12937</v>
      </c>
      <c r="J16" s="10">
        <f t="shared" si="3"/>
        <v>33909894911.083698</v>
      </c>
      <c r="K16" s="11">
        <f t="shared" si="4"/>
        <v>2.6799999999999935E-2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2552742.4813320776</v>
      </c>
      <c r="D17" s="11">
        <v>2.7699999999999999E-2</v>
      </c>
      <c r="E17" s="10">
        <f t="shared" si="2"/>
        <v>68805.066393790767</v>
      </c>
      <c r="F17" s="3"/>
      <c r="G17" s="28"/>
      <c r="H17" s="10"/>
      <c r="I17" s="10">
        <f t="shared" si="5"/>
        <v>12937</v>
      </c>
      <c r="J17" s="10">
        <f t="shared" si="3"/>
        <v>33024829480.993088</v>
      </c>
      <c r="K17" s="11">
        <f t="shared" si="4"/>
        <v>2.7700000000000058E-2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2483937.4149382869</v>
      </c>
      <c r="D18" s="11">
        <v>3.2599999999999997E-2</v>
      </c>
      <c r="E18" s="10">
        <f t="shared" si="2"/>
        <v>78419.871902951971</v>
      </c>
      <c r="F18" s="3"/>
      <c r="G18" s="28"/>
      <c r="H18" s="10"/>
      <c r="I18" s="10">
        <f t="shared" si="5"/>
        <v>12937</v>
      </c>
      <c r="J18" s="10">
        <f t="shared" si="3"/>
        <v>32134698337.056618</v>
      </c>
      <c r="K18" s="11">
        <f t="shared" si="4"/>
        <v>3.2599999999999962E-2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2405517.5430353349</v>
      </c>
      <c r="D19" s="11">
        <v>3.7699999999999997E-2</v>
      </c>
      <c r="E19" s="10">
        <f t="shared" si="2"/>
        <v>87393.284545082599</v>
      </c>
      <c r="F19" s="3"/>
      <c r="G19" s="28"/>
      <c r="H19" s="10"/>
      <c r="I19" s="10">
        <f t="shared" si="5"/>
        <v>12937</v>
      </c>
      <c r="J19" s="10">
        <f t="shared" si="3"/>
        <v>31120180454.248127</v>
      </c>
      <c r="K19" s="11">
        <f t="shared" si="4"/>
        <v>3.7700000000000067E-2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2318124.2584902523</v>
      </c>
      <c r="D20" s="11">
        <v>3.8399999999999997E-2</v>
      </c>
      <c r="E20" s="10">
        <f t="shared" si="2"/>
        <v>85724.163642166648</v>
      </c>
      <c r="F20" s="3"/>
      <c r="G20" s="28"/>
      <c r="H20" s="10"/>
      <c r="I20" s="10">
        <f t="shared" si="5"/>
        <v>12937</v>
      </c>
      <c r="J20" s="10">
        <f t="shared" si="3"/>
        <v>29989573532.088394</v>
      </c>
      <c r="K20" s="11">
        <f t="shared" si="4"/>
        <v>3.8400000000000212E-2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2232400.0948480857</v>
      </c>
      <c r="D21" s="11">
        <v>3.8699999999999998E-2</v>
      </c>
      <c r="E21" s="10">
        <f t="shared" si="2"/>
        <v>83175.010754424613</v>
      </c>
      <c r="F21" s="3"/>
      <c r="G21" s="28"/>
      <c r="H21" s="10"/>
      <c r="I21" s="10">
        <f t="shared" si="5"/>
        <v>12937</v>
      </c>
      <c r="J21" s="10">
        <f t="shared" si="3"/>
        <v>28880560027.049683</v>
      </c>
      <c r="K21" s="11">
        <f t="shared" si="4"/>
        <v>3.8699999999999957E-2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2149225.084093661</v>
      </c>
      <c r="D22" s="11">
        <v>3.9E-2</v>
      </c>
      <c r="E22" s="10">
        <f t="shared" si="2"/>
        <v>80673.51133749052</v>
      </c>
      <c r="F22" s="3"/>
      <c r="G22" s="28"/>
      <c r="H22" s="10"/>
      <c r="I22" s="10">
        <f t="shared" si="5"/>
        <v>12937</v>
      </c>
      <c r="J22" s="10">
        <f t="shared" si="3"/>
        <v>27804524912.919693</v>
      </c>
      <c r="K22" s="11">
        <f t="shared" si="4"/>
        <v>3.8999999999999924E-2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2068551.5727561705</v>
      </c>
      <c r="D23" s="11">
        <v>3.9300000000000002E-2</v>
      </c>
      <c r="E23" s="10">
        <f t="shared" si="2"/>
        <v>78220.029644296505</v>
      </c>
      <c r="F23" s="3"/>
      <c r="G23" s="28"/>
      <c r="H23" s="10"/>
      <c r="I23" s="10">
        <f t="shared" si="5"/>
        <v>12937</v>
      </c>
      <c r="J23" s="10">
        <f t="shared" si="3"/>
        <v>26760851696.746578</v>
      </c>
      <c r="K23" s="11">
        <f t="shared" si="4"/>
        <v>3.9299999999999891E-2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1990331.543111874</v>
      </c>
      <c r="D24" s="11">
        <v>3.9800000000000002E-2</v>
      </c>
      <c r="E24" s="10">
        <f t="shared" si="2"/>
        <v>76183.107728267554</v>
      </c>
      <c r="F24" s="3"/>
      <c r="G24" s="28"/>
      <c r="H24" s="10"/>
      <c r="I24" s="10">
        <f t="shared" si="5"/>
        <v>12937</v>
      </c>
      <c r="J24" s="10">
        <f t="shared" si="3"/>
        <v>25748919173.238316</v>
      </c>
      <c r="K24" s="11">
        <f t="shared" si="4"/>
        <v>3.9800000000000058E-2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1914148.4353836065</v>
      </c>
      <c r="D25" s="11">
        <v>3.9899999999999998E-2</v>
      </c>
      <c r="E25" s="10">
        <f t="shared" si="2"/>
        <v>73444.102867396781</v>
      </c>
      <c r="F25" s="3"/>
      <c r="G25" s="28"/>
      <c r="H25" s="10"/>
      <c r="I25" s="10">
        <f t="shared" si="5"/>
        <v>12937</v>
      </c>
      <c r="J25" s="10">
        <f t="shared" si="3"/>
        <v>24763338308.557716</v>
      </c>
      <c r="K25" s="11">
        <f t="shared" si="4"/>
        <v>3.9900000000000047E-2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1840704.3325162097</v>
      </c>
      <c r="D26" s="11">
        <v>3.9699999999999999E-2</v>
      </c>
      <c r="E26" s="10">
        <f t="shared" si="2"/>
        <v>70285.622776660137</v>
      </c>
      <c r="F26" s="3"/>
      <c r="G26" s="28"/>
      <c r="H26" s="10"/>
      <c r="I26" s="10">
        <f t="shared" si="5"/>
        <v>12937</v>
      </c>
      <c r="J26" s="10">
        <f t="shared" si="3"/>
        <v>23813191949.762203</v>
      </c>
      <c r="K26" s="11">
        <f t="shared" si="4"/>
        <v>3.9700000000000069E-2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1770418.7097395496</v>
      </c>
      <c r="D27" s="11">
        <v>3.9300000000000002E-2</v>
      </c>
      <c r="E27" s="10">
        <f t="shared" si="2"/>
        <v>66946.459436894162</v>
      </c>
      <c r="F27" s="3"/>
      <c r="G27" s="28"/>
      <c r="H27" s="10"/>
      <c r="I27" s="10">
        <f t="shared" si="5"/>
        <v>12937</v>
      </c>
      <c r="J27" s="10">
        <f t="shared" si="3"/>
        <v>22903906847.900551</v>
      </c>
      <c r="K27" s="11">
        <f t="shared" si="4"/>
        <v>3.9299999999999891E-2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1703472.2503026554</v>
      </c>
      <c r="D28" s="11">
        <v>3.8699999999999998E-2</v>
      </c>
      <c r="E28" s="10">
        <f t="shared" si="2"/>
        <v>63468.158358248416</v>
      </c>
      <c r="F28" s="3"/>
      <c r="G28" s="28"/>
      <c r="H28" s="10"/>
      <c r="I28" s="10">
        <f t="shared" si="5"/>
        <v>12937</v>
      </c>
      <c r="J28" s="10">
        <f t="shared" si="3"/>
        <v>22037820502.165451</v>
      </c>
      <c r="K28" s="11">
        <f t="shared" si="4"/>
        <v>3.8699999999999735E-2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1640004.091944407</v>
      </c>
      <c r="D29" s="11">
        <v>3.8300000000000001E-2</v>
      </c>
      <c r="E29" s="10">
        <f t="shared" si="2"/>
        <v>60495.190909631783</v>
      </c>
      <c r="F29" s="3"/>
      <c r="G29" s="28"/>
      <c r="H29" s="10"/>
      <c r="I29" s="10">
        <f t="shared" si="5"/>
        <v>12937</v>
      </c>
      <c r="J29" s="10">
        <f t="shared" si="3"/>
        <v>21216732937.484795</v>
      </c>
      <c r="K29" s="11">
        <f t="shared" si="4"/>
        <v>3.8300000000000001E-2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1579508.9010347752</v>
      </c>
      <c r="D30" s="11">
        <v>3.8600000000000002E-2</v>
      </c>
      <c r="E30" s="10">
        <f t="shared" si="2"/>
        <v>58703.103774256073</v>
      </c>
      <c r="F30" s="3"/>
      <c r="G30" s="28"/>
      <c r="H30" s="10"/>
      <c r="I30" s="10">
        <f t="shared" si="5"/>
        <v>12937</v>
      </c>
      <c r="J30" s="10">
        <f t="shared" si="3"/>
        <v>20434106652.686886</v>
      </c>
      <c r="K30" s="11">
        <f t="shared" si="4"/>
        <v>3.8599999999999968E-2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1520805.7972605191</v>
      </c>
      <c r="D31" s="11">
        <v>3.9100000000000003E-2</v>
      </c>
      <c r="E31" s="10">
        <f t="shared" si="2"/>
        <v>57225.971199005144</v>
      </c>
      <c r="F31" s="3"/>
      <c r="G31" s="28"/>
      <c r="H31" s="10"/>
      <c r="I31" s="10">
        <f t="shared" si="5"/>
        <v>12937</v>
      </c>
      <c r="J31" s="10">
        <f t="shared" si="3"/>
        <v>19674664599.159336</v>
      </c>
      <c r="K31" s="11">
        <f t="shared" si="4"/>
        <v>3.9100000000000135E-2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1463579.826061514</v>
      </c>
      <c r="D32" s="11">
        <v>3.9600000000000003E-2</v>
      </c>
      <c r="E32" s="10">
        <f t="shared" si="2"/>
        <v>55750.058784182416</v>
      </c>
      <c r="F32" s="3"/>
      <c r="G32" s="28"/>
      <c r="H32" s="10"/>
      <c r="I32" s="10">
        <f t="shared" si="5"/>
        <v>12937</v>
      </c>
      <c r="J32" s="10">
        <f t="shared" si="3"/>
        <v>18934332209.757805</v>
      </c>
      <c r="K32" s="11">
        <f t="shared" si="4"/>
        <v>3.960000000000008E-2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1407829.7672773316</v>
      </c>
      <c r="D33" s="11">
        <v>3.9899999999999998E-2</v>
      </c>
      <c r="E33" s="10">
        <f t="shared" si="2"/>
        <v>54017.124448856339</v>
      </c>
      <c r="F33" s="3"/>
      <c r="G33" s="28"/>
      <c r="H33" s="10"/>
      <c r="I33" s="10">
        <f t="shared" si="5"/>
        <v>12937</v>
      </c>
      <c r="J33" s="10">
        <f t="shared" si="3"/>
        <v>18213093699.266838</v>
      </c>
      <c r="K33" s="11">
        <f t="shared" si="4"/>
        <v>3.9900000000000047E-2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1353812.6428284752</v>
      </c>
      <c r="D34" s="11">
        <v>4.0099999999999997E-2</v>
      </c>
      <c r="E34" s="10">
        <f t="shared" si="2"/>
        <v>52194.872586695477</v>
      </c>
      <c r="F34" s="3"/>
      <c r="G34" s="28"/>
      <c r="H34" s="10"/>
      <c r="I34" s="10">
        <f t="shared" si="5"/>
        <v>12937</v>
      </c>
      <c r="J34" s="10">
        <f t="shared" ref="J34:J65" si="6">IF(I34="","",I34*C34)</f>
        <v>17514274160.271984</v>
      </c>
      <c r="K34" s="11">
        <f t="shared" ref="K34:K65" si="7">IFERROR(J34/J35-1,"")</f>
        <v>4.0100000000000025E-2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1301617.7702417797</v>
      </c>
      <c r="D35" s="11">
        <v>4.02E-2</v>
      </c>
      <c r="E35" s="10">
        <f t="shared" si="2"/>
        <v>50302.859415227314</v>
      </c>
      <c r="F35" s="3"/>
      <c r="G35" s="28"/>
      <c r="H35" s="10"/>
      <c r="I35" s="10">
        <f t="shared" ref="I35:I66" si="8">IF(H35&lt;&gt;"",H35,I34/(1+IF(G34="",0,G34)/100))</f>
        <v>12937</v>
      </c>
      <c r="J35" s="10">
        <f t="shared" si="6"/>
        <v>16839029093.617905</v>
      </c>
      <c r="K35" s="11">
        <f t="shared" si="7"/>
        <v>4.0199999999999791E-2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1251314.9108265524</v>
      </c>
      <c r="D36" s="11">
        <v>0.04</v>
      </c>
      <c r="E36" s="10">
        <f t="shared" si="2"/>
        <v>48127.496570252115</v>
      </c>
      <c r="F36" s="3"/>
      <c r="G36" s="28"/>
      <c r="H36" s="10"/>
      <c r="I36" s="10">
        <f t="shared" si="8"/>
        <v>12937</v>
      </c>
      <c r="J36" s="10">
        <f t="shared" si="6"/>
        <v>16188261001.36311</v>
      </c>
      <c r="K36" s="11">
        <f t="shared" si="7"/>
        <v>4.0000000000000258E-2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1203187.4142563003</v>
      </c>
      <c r="D37" s="11">
        <v>3.95E-2</v>
      </c>
      <c r="E37" s="10">
        <f t="shared" si="2"/>
        <v>45719.964274289552</v>
      </c>
      <c r="F37" s="3"/>
      <c r="G37" s="28"/>
      <c r="H37" s="10"/>
      <c r="I37" s="10">
        <f t="shared" si="8"/>
        <v>12937</v>
      </c>
      <c r="J37" s="10">
        <f t="shared" si="6"/>
        <v>15565635578.233757</v>
      </c>
      <c r="K37" s="11">
        <f t="shared" si="7"/>
        <v>3.9500000000000091E-2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1157467.4499820108</v>
      </c>
      <c r="D38" s="11">
        <v>3.8600000000000002E-2</v>
      </c>
      <c r="E38" s="10">
        <f t="shared" si="2"/>
        <v>43017.758106398629</v>
      </c>
      <c r="F38" s="3"/>
      <c r="G38" s="28"/>
      <c r="H38" s="10"/>
      <c r="I38" s="10">
        <f t="shared" si="8"/>
        <v>12937</v>
      </c>
      <c r="J38" s="10">
        <f t="shared" si="6"/>
        <v>14974156400.417273</v>
      </c>
      <c r="K38" s="11">
        <f t="shared" si="7"/>
        <v>3.8599999999999968E-2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1114449.6918756121</v>
      </c>
      <c r="D39" s="11">
        <v>3.7699999999999997E-2</v>
      </c>
      <c r="E39" s="10">
        <f t="shared" si="2"/>
        <v>40488.342857965268</v>
      </c>
      <c r="F39" s="3"/>
      <c r="G39" s="28"/>
      <c r="H39" s="10"/>
      <c r="I39" s="10">
        <f t="shared" si="8"/>
        <v>12937</v>
      </c>
      <c r="J39" s="10">
        <f t="shared" si="6"/>
        <v>14417635663.794794</v>
      </c>
      <c r="K39" s="11">
        <f t="shared" si="7"/>
        <v>3.7700000000000067E-2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1073961.3490176469</v>
      </c>
      <c r="D40" s="11">
        <v>3.6700000000000003E-2</v>
      </c>
      <c r="E40" s="10">
        <f t="shared" si="2"/>
        <v>38019.081227884279</v>
      </c>
      <c r="F40" s="3"/>
      <c r="G40" s="28"/>
      <c r="H40" s="10"/>
      <c r="I40" s="10">
        <f t="shared" si="8"/>
        <v>12937</v>
      </c>
      <c r="J40" s="10">
        <f t="shared" si="6"/>
        <v>13893837972.241297</v>
      </c>
      <c r="K40" s="11">
        <f t="shared" si="7"/>
        <v>3.6699999999999955E-2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1035942.2677897626</v>
      </c>
      <c r="D41" s="11">
        <v>4.07E-2</v>
      </c>
      <c r="E41" s="10">
        <f t="shared" si="2"/>
        <v>40513.933217107086</v>
      </c>
      <c r="F41" s="3"/>
      <c r="G41" s="28"/>
      <c r="H41" s="10"/>
      <c r="I41" s="10">
        <f t="shared" si="8"/>
        <v>12937</v>
      </c>
      <c r="J41" s="10">
        <f t="shared" si="6"/>
        <v>13401985118.396158</v>
      </c>
      <c r="K41" s="11">
        <f t="shared" si="7"/>
        <v>4.0699999999999958E-2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995428.3345726555</v>
      </c>
      <c r="D42" s="11">
        <v>4.5600000000000002E-2</v>
      </c>
      <c r="E42" s="10">
        <f t="shared" si="2"/>
        <v>43411.947261393652</v>
      </c>
      <c r="F42" s="3"/>
      <c r="G42" s="28"/>
      <c r="H42" s="10"/>
      <c r="I42" s="10">
        <f t="shared" si="8"/>
        <v>12937</v>
      </c>
      <c r="J42" s="10">
        <f t="shared" si="6"/>
        <v>12877856364.366444</v>
      </c>
      <c r="K42" s="11">
        <f t="shared" si="7"/>
        <v>4.5600000000000085E-2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952016.38731126185</v>
      </c>
      <c r="D43" s="11">
        <v>4.5699999999999998E-2</v>
      </c>
      <c r="E43" s="10">
        <f t="shared" si="2"/>
        <v>41605.765420411946</v>
      </c>
      <c r="F43" s="3"/>
      <c r="G43" s="28"/>
      <c r="H43" s="10"/>
      <c r="I43" s="10">
        <f t="shared" si="8"/>
        <v>12937</v>
      </c>
      <c r="J43" s="10">
        <f t="shared" si="6"/>
        <v>12316236002.645794</v>
      </c>
      <c r="K43" s="11">
        <f t="shared" si="7"/>
        <v>4.5700000000000074E-2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910410.6218908499</v>
      </c>
      <c r="D44" s="11">
        <v>4.5499999999999999E-2</v>
      </c>
      <c r="E44" s="10">
        <f t="shared" si="2"/>
        <v>39620.930938339327</v>
      </c>
      <c r="F44" s="3"/>
      <c r="G44" s="28"/>
      <c r="H44" s="10"/>
      <c r="I44" s="10">
        <f t="shared" si="8"/>
        <v>12937</v>
      </c>
      <c r="J44" s="10">
        <f t="shared" si="6"/>
        <v>11777982215.401926</v>
      </c>
      <c r="K44" s="11">
        <f t="shared" si="7"/>
        <v>4.5500000000000318E-2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870789.69095251057</v>
      </c>
      <c r="D45" s="11">
        <v>4.48E-2</v>
      </c>
      <c r="E45" s="10">
        <f t="shared" si="2"/>
        <v>37338.608494135202</v>
      </c>
      <c r="F45" s="3"/>
      <c r="G45" s="28"/>
      <c r="H45" s="10"/>
      <c r="I45" s="10">
        <f t="shared" si="8"/>
        <v>12937</v>
      </c>
      <c r="J45" s="10">
        <f t="shared" si="6"/>
        <v>11265406231.852629</v>
      </c>
      <c r="K45" s="11">
        <f t="shared" si="7"/>
        <v>4.4799999999999951E-2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833451.08245837537</v>
      </c>
      <c r="D46" s="11">
        <v>4.3299999999999998E-2</v>
      </c>
      <c r="E46" s="10">
        <f t="shared" si="2"/>
        <v>34590.656446321867</v>
      </c>
      <c r="F46" s="3"/>
      <c r="G46" s="28"/>
      <c r="H46" s="10"/>
      <c r="I46" s="10">
        <f t="shared" si="8"/>
        <v>12937</v>
      </c>
      <c r="J46" s="10">
        <f t="shared" si="6"/>
        <v>10782356653.764002</v>
      </c>
      <c r="K46" s="11">
        <f t="shared" si="7"/>
        <v>4.3299999999999894E-2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798860.4260120535</v>
      </c>
      <c r="D47" s="11">
        <v>4.1399999999999999E-2</v>
      </c>
      <c r="E47" s="10">
        <f t="shared" si="2"/>
        <v>31758.038829363417</v>
      </c>
      <c r="F47" s="3"/>
      <c r="G47" s="28"/>
      <c r="H47" s="10"/>
      <c r="I47" s="10">
        <f t="shared" si="8"/>
        <v>12937</v>
      </c>
      <c r="J47" s="10">
        <f t="shared" si="6"/>
        <v>10334857331.317936</v>
      </c>
      <c r="K47" s="11">
        <f t="shared" si="7"/>
        <v>4.1400000000000103E-2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767102.38718269009</v>
      </c>
      <c r="D48" s="11">
        <v>3.9699999999999999E-2</v>
      </c>
      <c r="E48" s="10">
        <f t="shared" si="2"/>
        <v>29291.107791817631</v>
      </c>
      <c r="F48" s="3"/>
      <c r="G48" s="28"/>
      <c r="H48" s="10"/>
      <c r="I48" s="10">
        <f t="shared" si="8"/>
        <v>12937</v>
      </c>
      <c r="J48" s="10">
        <f t="shared" si="6"/>
        <v>9924003582.9824619</v>
      </c>
      <c r="K48" s="11">
        <f t="shared" si="7"/>
        <v>3.9700000000000069E-2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737811.27939087246</v>
      </c>
      <c r="D49" s="11">
        <v>3.8899999999999997E-2</v>
      </c>
      <c r="E49" s="10">
        <f t="shared" si="2"/>
        <v>27626.199603720219</v>
      </c>
      <c r="F49" s="3"/>
      <c r="G49" s="28"/>
      <c r="H49" s="10"/>
      <c r="I49" s="10">
        <f t="shared" si="8"/>
        <v>12937</v>
      </c>
      <c r="J49" s="10">
        <f t="shared" si="6"/>
        <v>9545064521.4797173</v>
      </c>
      <c r="K49" s="11">
        <f t="shared" si="7"/>
        <v>3.8899999999999935E-2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710185.07978715224</v>
      </c>
      <c r="D50" s="11">
        <v>3.8699999999999998E-2</v>
      </c>
      <c r="E50" s="10">
        <f t="shared" si="2"/>
        <v>26460.154604566051</v>
      </c>
      <c r="F50" s="3"/>
      <c r="G50" s="28"/>
      <c r="H50" s="10"/>
      <c r="I50" s="10">
        <f t="shared" si="8"/>
        <v>12937</v>
      </c>
      <c r="J50" s="10">
        <f t="shared" si="6"/>
        <v>9187664377.2063885</v>
      </c>
      <c r="K50" s="11">
        <f t="shared" si="7"/>
        <v>3.8699999999999957E-2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683724.92518258619</v>
      </c>
      <c r="D51" s="11">
        <v>3.8699999999999998E-2</v>
      </c>
      <c r="E51" s="10">
        <f t="shared" si="2"/>
        <v>25474.29922457505</v>
      </c>
      <c r="F51" s="3"/>
      <c r="G51" s="28"/>
      <c r="H51" s="10"/>
      <c r="I51" s="10">
        <f t="shared" si="8"/>
        <v>12937</v>
      </c>
      <c r="J51" s="10">
        <f t="shared" si="6"/>
        <v>8845349357.0871181</v>
      </c>
      <c r="K51" s="11">
        <f t="shared" si="7"/>
        <v>3.8700000000000179E-2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658250.62595801114</v>
      </c>
      <c r="D52" s="11">
        <v>3.8699999999999998E-2</v>
      </c>
      <c r="E52" s="10">
        <f t="shared" si="2"/>
        <v>24525.17495386058</v>
      </c>
      <c r="F52" s="3"/>
      <c r="G52" s="28"/>
      <c r="H52" s="10"/>
      <c r="I52" s="10">
        <f t="shared" si="8"/>
        <v>12937</v>
      </c>
      <c r="J52" s="10">
        <f t="shared" si="6"/>
        <v>8515788348.0187902</v>
      </c>
      <c r="K52" s="11">
        <f t="shared" si="7"/>
        <v>3.8699999999999957E-2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633725.45100415056</v>
      </c>
      <c r="D53" s="11">
        <v>3.8600000000000002E-2</v>
      </c>
      <c r="E53" s="10">
        <f t="shared" si="2"/>
        <v>23552.669371038093</v>
      </c>
      <c r="F53" s="3"/>
      <c r="G53" s="28"/>
      <c r="H53" s="10"/>
      <c r="I53" s="10">
        <f t="shared" si="8"/>
        <v>12937</v>
      </c>
      <c r="J53" s="10">
        <f t="shared" si="6"/>
        <v>8198506159.6406956</v>
      </c>
      <c r="K53" s="11">
        <f t="shared" si="7"/>
        <v>3.8599999999999968E-2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610172.78163311246</v>
      </c>
      <c r="D54" s="11">
        <v>3.85E-2</v>
      </c>
      <c r="E54" s="10">
        <f t="shared" si="2"/>
        <v>22620.753098579473</v>
      </c>
      <c r="F54" s="3"/>
      <c r="G54" s="28"/>
      <c r="H54" s="10"/>
      <c r="I54" s="10">
        <f t="shared" si="8"/>
        <v>12937</v>
      </c>
      <c r="J54" s="10">
        <f t="shared" si="6"/>
        <v>7893805275.9875755</v>
      </c>
      <c r="K54" s="11">
        <f t="shared" si="7"/>
        <v>3.8499999999999757E-2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587552.02853453299</v>
      </c>
      <c r="D55" s="11">
        <v>3.78E-2</v>
      </c>
      <c r="E55" s="10">
        <f t="shared" si="2"/>
        <v>21400.526766819647</v>
      </c>
      <c r="F55" s="3"/>
      <c r="G55" s="28"/>
      <c r="H55" s="10"/>
      <c r="I55" s="10">
        <f t="shared" si="8"/>
        <v>12937</v>
      </c>
      <c r="J55" s="10">
        <f t="shared" si="6"/>
        <v>7601160593.1512537</v>
      </c>
      <c r="K55" s="11">
        <f t="shared" si="7"/>
        <v>3.7800000000000056E-2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566151.50176771334</v>
      </c>
      <c r="D56" s="11">
        <v>3.6499999999999998E-2</v>
      </c>
      <c r="E56" s="10">
        <f t="shared" si="2"/>
        <v>19936.835325153428</v>
      </c>
      <c r="F56" s="3"/>
      <c r="G56" s="28"/>
      <c r="H56" s="10"/>
      <c r="I56" s="10">
        <f t="shared" si="8"/>
        <v>12937</v>
      </c>
      <c r="J56" s="10">
        <f t="shared" si="6"/>
        <v>7324301978.3689079</v>
      </c>
      <c r="K56" s="11">
        <f t="shared" si="7"/>
        <v>3.6499999999999977E-2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546214.66644255992</v>
      </c>
      <c r="D57" s="11">
        <v>3.5999999999999997E-2</v>
      </c>
      <c r="E57" s="10">
        <f t="shared" si="2"/>
        <v>18980.43242464494</v>
      </c>
      <c r="F57" s="3"/>
      <c r="G57" s="28"/>
      <c r="H57" s="10"/>
      <c r="I57" s="10">
        <f t="shared" si="8"/>
        <v>12937</v>
      </c>
      <c r="J57" s="10">
        <f t="shared" si="6"/>
        <v>7066379139.7673979</v>
      </c>
      <c r="K57" s="11">
        <f t="shared" si="7"/>
        <v>3.6000000000000032E-2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527234.23401791498</v>
      </c>
      <c r="D58" s="11">
        <v>3.5000000000000003E-2</v>
      </c>
      <c r="E58" s="10">
        <f t="shared" si="2"/>
        <v>17829.176995774906</v>
      </c>
      <c r="F58" s="3"/>
      <c r="G58" s="28"/>
      <c r="H58" s="10"/>
      <c r="I58" s="10">
        <f t="shared" si="8"/>
        <v>12937</v>
      </c>
      <c r="J58" s="10">
        <f t="shared" si="6"/>
        <v>6820829285.4897661</v>
      </c>
      <c r="K58" s="11">
        <f t="shared" si="7"/>
        <v>3.5000000000000142E-2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509405.05702214007</v>
      </c>
      <c r="D59" s="11">
        <v>3.4000000000000002E-2</v>
      </c>
      <c r="E59" s="10">
        <f t="shared" si="2"/>
        <v>16750.262996859557</v>
      </c>
      <c r="F59" s="3"/>
      <c r="G59" s="28"/>
      <c r="H59" s="10"/>
      <c r="I59" s="10">
        <f t="shared" si="8"/>
        <v>12937</v>
      </c>
      <c r="J59" s="10">
        <f t="shared" si="6"/>
        <v>6590173222.695426</v>
      </c>
      <c r="K59" s="11">
        <f t="shared" si="7"/>
        <v>3.400000000000003E-2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492654.79402528051</v>
      </c>
      <c r="D60" s="11">
        <v>3.3000000000000002E-2</v>
      </c>
      <c r="E60" s="10">
        <f t="shared" si="2"/>
        <v>15738.246082124126</v>
      </c>
      <c r="F60" s="3"/>
      <c r="G60" s="28"/>
      <c r="H60" s="10"/>
      <c r="I60" s="10">
        <f t="shared" si="8"/>
        <v>12937</v>
      </c>
      <c r="J60" s="10">
        <f t="shared" si="6"/>
        <v>6373475070.3050537</v>
      </c>
      <c r="K60" s="11">
        <f t="shared" si="7"/>
        <v>3.2999999999999918E-2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476916.54794315639</v>
      </c>
      <c r="D61" s="11">
        <v>3.2000000000000001E-2</v>
      </c>
      <c r="E61" s="10">
        <f t="shared" si="2"/>
        <v>14788.110013741301</v>
      </c>
      <c r="F61" s="3"/>
      <c r="G61" s="28"/>
      <c r="H61" s="10"/>
      <c r="I61" s="10">
        <f t="shared" si="8"/>
        <v>12937</v>
      </c>
      <c r="J61" s="10">
        <f t="shared" si="6"/>
        <v>6169869380.7406139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462128.43792941509</v>
      </c>
      <c r="D62" s="11">
        <v>3.1E-2</v>
      </c>
      <c r="E62" s="10">
        <f t="shared" si="2"/>
        <v>13895.229462475108</v>
      </c>
      <c r="F62" s="3"/>
      <c r="G62" s="28"/>
      <c r="H62" s="10"/>
      <c r="I62" s="10">
        <f t="shared" si="8"/>
        <v>12937</v>
      </c>
      <c r="J62" s="10">
        <f t="shared" si="6"/>
        <v>5978555601.4928427</v>
      </c>
      <c r="K62" s="11">
        <f t="shared" si="7"/>
        <v>3.0999999999999917E-2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448233.20846693998</v>
      </c>
      <c r="D63" s="11">
        <v>0.03</v>
      </c>
      <c r="E63" s="10">
        <f t="shared" si="2"/>
        <v>13055.336168940004</v>
      </c>
      <c r="F63" s="3"/>
      <c r="G63" s="28"/>
      <c r="H63" s="10"/>
      <c r="I63" s="10">
        <f t="shared" si="8"/>
        <v>12937</v>
      </c>
      <c r="J63" s="10">
        <f t="shared" si="6"/>
        <v>5798793017.9368029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435177.87229799997</v>
      </c>
      <c r="D64" s="11">
        <v>2.8000000000000001E-2</v>
      </c>
      <c r="E64" s="10">
        <f t="shared" si="2"/>
        <v>11853.093798000016</v>
      </c>
      <c r="F64" s="3"/>
      <c r="G64" s="28"/>
      <c r="H64" s="10"/>
      <c r="I64" s="10">
        <f t="shared" si="8"/>
        <v>12937</v>
      </c>
      <c r="J64" s="10">
        <f t="shared" si="6"/>
        <v>5629896133.9192257</v>
      </c>
      <c r="K64" s="11">
        <f t="shared" si="7"/>
        <v>2.8000000000000025E-2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423324.77849999996</v>
      </c>
      <c r="D65" s="11">
        <v>2.7E-2</v>
      </c>
      <c r="E65" s="10">
        <f t="shared" si="2"/>
        <v>11129.278499999957</v>
      </c>
      <c r="F65" s="3"/>
      <c r="G65" s="28"/>
      <c r="H65" s="10"/>
      <c r="I65" s="10">
        <f t="shared" si="8"/>
        <v>12937</v>
      </c>
      <c r="J65" s="10">
        <f t="shared" si="6"/>
        <v>5476552659.4544992</v>
      </c>
      <c r="K65" s="11">
        <f t="shared" si="7"/>
        <v>2.6999999999999913E-2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412195.5</v>
      </c>
      <c r="D66" s="11">
        <v>2.5999999999999999E-2</v>
      </c>
      <c r="E66" s="10">
        <f t="shared" si="2"/>
        <v>10445.5</v>
      </c>
      <c r="F66" s="24">
        <f>SUM(F2)</f>
        <v>3626297</v>
      </c>
      <c r="G66" s="28"/>
      <c r="H66" s="10"/>
      <c r="I66" s="10">
        <f t="shared" si="8"/>
        <v>12937</v>
      </c>
      <c r="J66" s="10">
        <f t="shared" ref="J66:J67" si="9">IF(I66="","",I66*C66)</f>
        <v>5332573183.5</v>
      </c>
      <c r="K66" s="11">
        <f t="shared" ref="K66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401750</v>
      </c>
      <c r="D67" s="11">
        <v>2.5000000000000001E-2</v>
      </c>
      <c r="E67" s="3" t="s">
        <v>72</v>
      </c>
      <c r="F67" s="10">
        <f>SUM(C2)</f>
        <v>3625515.5776931201</v>
      </c>
      <c r="G67" s="28"/>
      <c r="H67" s="10"/>
      <c r="I67" s="10">
        <f t="shared" ref="I67" si="11">IF(H67&lt;&gt;"",H67,I66/(1+IF(G66="",0,G66)/100))</f>
        <v>12937</v>
      </c>
      <c r="J67" s="10">
        <f t="shared" si="9"/>
        <v>5197439750</v>
      </c>
      <c r="K67" s="11"/>
    </row>
  </sheetData>
  <dataValidations count="1">
    <dataValidation type="custom" allowBlank="1" showDropDown="1" sqref="D2:D67" xr:uid="{00000000-0002-0000-7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233718.10206313126</v>
      </c>
      <c r="D2" s="11">
        <v>1.95E-2</v>
      </c>
      <c r="E2" s="10">
        <f t="shared" ref="E2:E66" si="2">SUM(C2-C3)</f>
        <v>4470.3315254841291</v>
      </c>
      <c r="F2" s="15">
        <v>233966</v>
      </c>
      <c r="G2" s="28"/>
      <c r="H2" s="10"/>
      <c r="I2" s="10">
        <f>IF(H2&lt;&gt;"",H2,6151)</f>
        <v>6151</v>
      </c>
      <c r="J2" s="10">
        <f t="shared" ref="J2:J33" si="3">IF(I2="","",I2*C2)</f>
        <v>1437600045.7903204</v>
      </c>
      <c r="K2" s="11">
        <f t="shared" ref="K2:K33" si="4">IFERROR(J2/J3-1,"")</f>
        <v>1.9500000000000073E-2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229247.77053764713</v>
      </c>
      <c r="D3" s="11">
        <v>2.12E-2</v>
      </c>
      <c r="E3" s="10">
        <f t="shared" si="2"/>
        <v>4759.1585736370471</v>
      </c>
      <c r="G3" s="28"/>
      <c r="H3" s="10"/>
      <c r="I3" s="10">
        <f t="shared" ref="I3:I34" si="5">IF(H3&lt;&gt;"",H3,I2/(1+IF(G2="",0,G2)/100))</f>
        <v>6151</v>
      </c>
      <c r="J3" s="10">
        <f t="shared" si="3"/>
        <v>1410103036.5770674</v>
      </c>
      <c r="K3" s="11">
        <f t="shared" si="4"/>
        <v>2.1200000000000108E-2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224488.61196401008</v>
      </c>
      <c r="D4" s="11">
        <v>2.41E-2</v>
      </c>
      <c r="E4" s="10">
        <f t="shared" si="2"/>
        <v>5282.8586547531013</v>
      </c>
      <c r="F4" s="3"/>
      <c r="G4" s="28"/>
      <c r="H4" s="10"/>
      <c r="I4" s="10">
        <f t="shared" si="5"/>
        <v>6151</v>
      </c>
      <c r="J4" s="10">
        <f t="shared" si="3"/>
        <v>1380829452.1906259</v>
      </c>
      <c r="K4" s="11">
        <f t="shared" si="4"/>
        <v>2.410000000000001E-2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219205.75330925698</v>
      </c>
      <c r="D5" s="11">
        <v>1.66E-2</v>
      </c>
      <c r="E5" s="10">
        <f t="shared" si="2"/>
        <v>3579.3975063285907</v>
      </c>
      <c r="F5" s="3"/>
      <c r="G5" s="28"/>
      <c r="H5" s="10"/>
      <c r="I5" s="10">
        <f t="shared" si="5"/>
        <v>6151</v>
      </c>
      <c r="J5" s="10">
        <f t="shared" si="3"/>
        <v>1348334588.6052396</v>
      </c>
      <c r="K5" s="11">
        <f t="shared" si="4"/>
        <v>1.6599999999999948E-2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215626.35580292839</v>
      </c>
      <c r="D6" s="11">
        <v>5.4999999999999997E-3</v>
      </c>
      <c r="E6" s="10">
        <f t="shared" si="2"/>
        <v>1179.4579382557131</v>
      </c>
      <c r="F6" s="3"/>
      <c r="G6" s="28"/>
      <c r="H6" s="10"/>
      <c r="I6" s="10">
        <f t="shared" si="5"/>
        <v>6151</v>
      </c>
      <c r="J6" s="10">
        <f t="shared" si="3"/>
        <v>1326317714.5438125</v>
      </c>
      <c r="K6" s="11">
        <f t="shared" si="4"/>
        <v>5.5000000000000604E-3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214446.89786467268</v>
      </c>
      <c r="D7" s="11">
        <v>2.7000000000000001E-3</v>
      </c>
      <c r="E7" s="10">
        <f t="shared" si="2"/>
        <v>577.44751594154513</v>
      </c>
      <c r="F7" s="3"/>
      <c r="G7" s="28"/>
      <c r="H7" s="10"/>
      <c r="I7" s="10">
        <f t="shared" si="5"/>
        <v>6151</v>
      </c>
      <c r="J7" s="10">
        <f t="shared" si="3"/>
        <v>1319062868.7656016</v>
      </c>
      <c r="K7" s="11">
        <f t="shared" si="4"/>
        <v>2.6999999999999247E-3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213869.45034873113</v>
      </c>
      <c r="D8" s="11">
        <v>6.9999999999999999E-4</v>
      </c>
      <c r="E8" s="10">
        <f t="shared" si="2"/>
        <v>149.60389251934248</v>
      </c>
      <c r="F8" s="3"/>
      <c r="G8" s="28"/>
      <c r="H8" s="10"/>
      <c r="I8" s="10">
        <f t="shared" si="5"/>
        <v>6151</v>
      </c>
      <c r="J8" s="10">
        <f t="shared" si="3"/>
        <v>1315510989.0950451</v>
      </c>
      <c r="K8" s="11">
        <f t="shared" si="4"/>
        <v>6.9999999999992291E-4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213719.84645621179</v>
      </c>
      <c r="D9" s="11">
        <v>-1.1000000000000001E-3</v>
      </c>
      <c r="E9" s="10">
        <f t="shared" si="2"/>
        <v>-235.35071689041797</v>
      </c>
      <c r="F9" s="3"/>
      <c r="G9" s="28"/>
      <c r="H9" s="10"/>
      <c r="I9" s="10">
        <f t="shared" si="5"/>
        <v>6151</v>
      </c>
      <c r="J9" s="10">
        <f t="shared" si="3"/>
        <v>1314590775.5521586</v>
      </c>
      <c r="K9" s="11">
        <f t="shared" si="4"/>
        <v>-1.1000000000001009E-3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213955.19717310221</v>
      </c>
      <c r="D10" s="11">
        <v>-1.4E-3</v>
      </c>
      <c r="E10" s="10">
        <f t="shared" si="2"/>
        <v>-299.95721614494687</v>
      </c>
      <c r="F10" s="3"/>
      <c r="G10" s="28"/>
      <c r="H10" s="10"/>
      <c r="I10" s="10">
        <f t="shared" si="5"/>
        <v>6151</v>
      </c>
      <c r="J10" s="10">
        <f t="shared" si="3"/>
        <v>1316038417.8117516</v>
      </c>
      <c r="K10" s="11">
        <f t="shared" si="4"/>
        <v>-1.3999999999999568E-3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214255.15438924715</v>
      </c>
      <c r="D11" s="11">
        <v>-1.5E-3</v>
      </c>
      <c r="E11" s="10">
        <f t="shared" si="2"/>
        <v>-321.86552987867617</v>
      </c>
      <c r="F11" s="3"/>
      <c r="G11" s="28"/>
      <c r="H11" s="10"/>
      <c r="I11" s="10">
        <f t="shared" si="5"/>
        <v>6151</v>
      </c>
      <c r="J11" s="10">
        <f t="shared" si="3"/>
        <v>1317883454.6482592</v>
      </c>
      <c r="K11" s="11">
        <f t="shared" si="4"/>
        <v>-1.4999999999999458E-3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214577.01991912583</v>
      </c>
      <c r="D12" s="11">
        <v>-1.1000000000000001E-3</v>
      </c>
      <c r="E12" s="10">
        <f t="shared" si="2"/>
        <v>-236.29464602164808</v>
      </c>
      <c r="F12" s="3"/>
      <c r="G12" s="28"/>
      <c r="H12" s="10"/>
      <c r="I12" s="10">
        <f t="shared" si="5"/>
        <v>6151</v>
      </c>
      <c r="J12" s="10">
        <f t="shared" si="3"/>
        <v>1319863249.522543</v>
      </c>
      <c r="K12" s="11">
        <f t="shared" si="4"/>
        <v>-1.0999999999998789E-3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214813.31456514748</v>
      </c>
      <c r="D13" s="11">
        <v>1E-4</v>
      </c>
      <c r="E13" s="10">
        <f t="shared" si="2"/>
        <v>21.479183538147481</v>
      </c>
      <c r="F13" s="3"/>
      <c r="G13" s="28"/>
      <c r="H13" s="10"/>
      <c r="I13" s="10">
        <f t="shared" si="5"/>
        <v>6151</v>
      </c>
      <c r="J13" s="10">
        <f t="shared" si="3"/>
        <v>1321316697.8902221</v>
      </c>
      <c r="K13" s="11">
        <f t="shared" si="4"/>
        <v>9.9999999999988987E-5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214791.83538160933</v>
      </c>
      <c r="D14" s="11">
        <v>-2.3E-3</v>
      </c>
      <c r="E14" s="10">
        <f t="shared" si="2"/>
        <v>-495.16008958374732</v>
      </c>
      <c r="F14" s="3"/>
      <c r="G14" s="28"/>
      <c r="H14" s="10"/>
      <c r="I14" s="10">
        <f t="shared" si="5"/>
        <v>6151</v>
      </c>
      <c r="J14" s="10">
        <f t="shared" si="3"/>
        <v>1321184579.4322789</v>
      </c>
      <c r="K14" s="11">
        <f t="shared" si="4"/>
        <v>-2.3000000000000798E-3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215286.99547119308</v>
      </c>
      <c r="D15" s="11">
        <v>-4.7000000000000002E-3</v>
      </c>
      <c r="E15" s="10">
        <f t="shared" si="2"/>
        <v>-1016.6270257355645</v>
      </c>
      <c r="F15" s="3"/>
      <c r="G15" s="28"/>
      <c r="H15" s="10"/>
      <c r="I15" s="10">
        <f t="shared" si="5"/>
        <v>6151</v>
      </c>
      <c r="J15" s="10">
        <f t="shared" si="3"/>
        <v>1324230309.1433086</v>
      </c>
      <c r="K15" s="11">
        <f t="shared" si="4"/>
        <v>-4.7000000000000375E-3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216303.62249692864</v>
      </c>
      <c r="D16" s="11">
        <v>-3.7000000000000002E-3</v>
      </c>
      <c r="E16" s="10">
        <f t="shared" si="2"/>
        <v>-803.29559694734053</v>
      </c>
      <c r="F16" s="3"/>
      <c r="G16" s="28"/>
      <c r="H16" s="10"/>
      <c r="I16" s="10">
        <f t="shared" si="5"/>
        <v>6151</v>
      </c>
      <c r="J16" s="10">
        <f t="shared" si="3"/>
        <v>1330483581.9786081</v>
      </c>
      <c r="K16" s="11">
        <f t="shared" si="4"/>
        <v>-3.7000000000000366E-3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217106.91809387598</v>
      </c>
      <c r="D17" s="11">
        <v>-1.9E-3</v>
      </c>
      <c r="E17" s="10">
        <f t="shared" si="2"/>
        <v>-413.28839232376777</v>
      </c>
      <c r="F17" s="3"/>
      <c r="G17" s="28"/>
      <c r="H17" s="10"/>
      <c r="I17" s="10">
        <f t="shared" si="5"/>
        <v>6151</v>
      </c>
      <c r="J17" s="10">
        <f t="shared" si="3"/>
        <v>1335424653.1954312</v>
      </c>
      <c r="K17" s="11">
        <f t="shared" si="4"/>
        <v>-1.8999999999999018E-3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217520.20648619975</v>
      </c>
      <c r="D18" s="11">
        <v>-1.1000000000000001E-3</v>
      </c>
      <c r="E18" s="10">
        <f t="shared" si="2"/>
        <v>-239.53571642289171</v>
      </c>
      <c r="F18" s="3"/>
      <c r="G18" s="28"/>
      <c r="H18" s="10"/>
      <c r="I18" s="10">
        <f t="shared" si="5"/>
        <v>6151</v>
      </c>
      <c r="J18" s="10">
        <f t="shared" si="3"/>
        <v>1337966790.0966146</v>
      </c>
      <c r="K18" s="11">
        <f t="shared" si="4"/>
        <v>-1.1000000000002119E-3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217759.74220262264</v>
      </c>
      <c r="D19" s="11">
        <v>1E-4</v>
      </c>
      <c r="E19" s="10">
        <f t="shared" si="2"/>
        <v>21.773796840570867</v>
      </c>
      <c r="F19" s="3"/>
      <c r="G19" s="28"/>
      <c r="H19" s="10"/>
      <c r="I19" s="10">
        <f t="shared" si="5"/>
        <v>6151</v>
      </c>
      <c r="J19" s="10">
        <f t="shared" si="3"/>
        <v>1339440174.288332</v>
      </c>
      <c r="K19" s="11">
        <f t="shared" si="4"/>
        <v>9.9999999999988987E-5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217737.96840578207</v>
      </c>
      <c r="D20" s="11">
        <v>1.4E-3</v>
      </c>
      <c r="E20" s="10">
        <f t="shared" si="2"/>
        <v>304.40698598773452</v>
      </c>
      <c r="F20" s="3"/>
      <c r="G20" s="28"/>
      <c r="H20" s="10"/>
      <c r="I20" s="10">
        <f t="shared" si="5"/>
        <v>6151</v>
      </c>
      <c r="J20" s="10">
        <f t="shared" si="3"/>
        <v>1339306243.6639655</v>
      </c>
      <c r="K20" s="11">
        <f t="shared" si="4"/>
        <v>1.4000000000000679E-3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217433.56141979434</v>
      </c>
      <c r="D21" s="11">
        <v>1.8E-3</v>
      </c>
      <c r="E21" s="10">
        <f t="shared" si="2"/>
        <v>390.6771916107391</v>
      </c>
      <c r="F21" s="3"/>
      <c r="G21" s="28"/>
      <c r="H21" s="10"/>
      <c r="I21" s="10">
        <f t="shared" si="5"/>
        <v>6151</v>
      </c>
      <c r="J21" s="10">
        <f t="shared" si="3"/>
        <v>1337433836.293155</v>
      </c>
      <c r="K21" s="11">
        <f t="shared" si="4"/>
        <v>1.8000000000000238E-3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217042.8842281836</v>
      </c>
      <c r="D22" s="11">
        <v>2.8E-3</v>
      </c>
      <c r="E22" s="10">
        <f t="shared" si="2"/>
        <v>606.02321084850701</v>
      </c>
      <c r="F22" s="3"/>
      <c r="G22" s="28"/>
      <c r="H22" s="10"/>
      <c r="I22" s="10">
        <f t="shared" si="5"/>
        <v>6151</v>
      </c>
      <c r="J22" s="10">
        <f t="shared" si="3"/>
        <v>1335030780.8875573</v>
      </c>
      <c r="K22" s="11">
        <f t="shared" si="4"/>
        <v>2.7999999999999137E-3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216436.86101733509</v>
      </c>
      <c r="D23" s="11">
        <v>3.5000000000000001E-3</v>
      </c>
      <c r="E23" s="10">
        <f t="shared" si="2"/>
        <v>754.8869093778485</v>
      </c>
      <c r="F23" s="3"/>
      <c r="G23" s="28"/>
      <c r="H23" s="10"/>
      <c r="I23" s="10">
        <f t="shared" si="5"/>
        <v>6151</v>
      </c>
      <c r="J23" s="10">
        <f t="shared" si="3"/>
        <v>1331303132.1176281</v>
      </c>
      <c r="K23" s="11">
        <f t="shared" si="4"/>
        <v>3.5000000000000586E-3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215681.97410795724</v>
      </c>
      <c r="D24" s="11">
        <v>8.0999999999999996E-3</v>
      </c>
      <c r="E24" s="10">
        <f t="shared" si="2"/>
        <v>1732.9867972169886</v>
      </c>
      <c r="F24" s="3"/>
      <c r="G24" s="28"/>
      <c r="H24" s="10"/>
      <c r="I24" s="10">
        <f t="shared" si="5"/>
        <v>6151</v>
      </c>
      <c r="J24" s="10">
        <f t="shared" si="3"/>
        <v>1326659822.738045</v>
      </c>
      <c r="K24" s="11">
        <f t="shared" si="4"/>
        <v>8.0999999999999961E-3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213948.98731074025</v>
      </c>
      <c r="D25" s="11">
        <v>1.72E-2</v>
      </c>
      <c r="E25" s="10">
        <f t="shared" si="2"/>
        <v>3617.6981731662818</v>
      </c>
      <c r="F25" s="3"/>
      <c r="G25" s="28"/>
      <c r="H25" s="10"/>
      <c r="I25" s="10">
        <f t="shared" si="5"/>
        <v>6151</v>
      </c>
      <c r="J25" s="10">
        <f t="shared" si="3"/>
        <v>1316000220.9483633</v>
      </c>
      <c r="K25" s="11">
        <f t="shared" si="4"/>
        <v>1.7199999999999882E-2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210331.28913757397</v>
      </c>
      <c r="D26" s="11">
        <v>2.3400000000000001E-2</v>
      </c>
      <c r="E26" s="10">
        <f t="shared" si="2"/>
        <v>4809.2164997256768</v>
      </c>
      <c r="F26" s="3"/>
      <c r="G26" s="28"/>
      <c r="H26" s="10"/>
      <c r="I26" s="10">
        <f t="shared" si="5"/>
        <v>6151</v>
      </c>
      <c r="J26" s="10">
        <f t="shared" si="3"/>
        <v>1293747759.4852176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205522.07263784829</v>
      </c>
      <c r="D27" s="11">
        <v>2.4400000000000002E-2</v>
      </c>
      <c r="E27" s="10">
        <f t="shared" si="2"/>
        <v>4895.2934130842332</v>
      </c>
      <c r="F27" s="3"/>
      <c r="G27" s="28"/>
      <c r="H27" s="10"/>
      <c r="I27" s="10">
        <f t="shared" si="5"/>
        <v>6151</v>
      </c>
      <c r="J27" s="10">
        <f t="shared" si="3"/>
        <v>1264166268.7954049</v>
      </c>
      <c r="K27" s="11">
        <f t="shared" si="4"/>
        <v>2.4399999999999977E-2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200626.77922476406</v>
      </c>
      <c r="D28" s="11">
        <v>2.4299999999999999E-2</v>
      </c>
      <c r="E28" s="10">
        <f t="shared" si="2"/>
        <v>4759.5731086222513</v>
      </c>
      <c r="F28" s="3"/>
      <c r="G28" s="28"/>
      <c r="H28" s="10"/>
      <c r="I28" s="10">
        <f t="shared" si="5"/>
        <v>6151</v>
      </c>
      <c r="J28" s="10">
        <f t="shared" si="3"/>
        <v>1234055319.0115237</v>
      </c>
      <c r="K28" s="11">
        <f t="shared" si="4"/>
        <v>2.4299999999999988E-2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195867.20611614181</v>
      </c>
      <c r="D29" s="11">
        <v>2.4199999999999999E-2</v>
      </c>
      <c r="E29" s="10">
        <f t="shared" si="2"/>
        <v>4627.9890529297409</v>
      </c>
      <c r="F29" s="3"/>
      <c r="G29" s="28"/>
      <c r="H29" s="10"/>
      <c r="I29" s="10">
        <f t="shared" si="5"/>
        <v>6151</v>
      </c>
      <c r="J29" s="10">
        <f t="shared" si="3"/>
        <v>1204779184.8203883</v>
      </c>
      <c r="K29" s="11">
        <f t="shared" si="4"/>
        <v>2.4199999999999999E-2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191239.21706321207</v>
      </c>
      <c r="D30" s="11">
        <v>2.3099999999999999E-2</v>
      </c>
      <c r="E30" s="10">
        <f t="shared" si="2"/>
        <v>4317.8828209952044</v>
      </c>
      <c r="F30" s="3"/>
      <c r="G30" s="28"/>
      <c r="H30" s="10"/>
      <c r="I30" s="10">
        <f t="shared" si="5"/>
        <v>6151</v>
      </c>
      <c r="J30" s="10">
        <f t="shared" si="3"/>
        <v>1176312424.1558175</v>
      </c>
      <c r="K30" s="11">
        <f t="shared" si="4"/>
        <v>2.3099999999999898E-2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186921.33424221686</v>
      </c>
      <c r="D31" s="11">
        <v>2.2100000000000002E-2</v>
      </c>
      <c r="E31" s="10">
        <f t="shared" si="2"/>
        <v>4041.6412158820021</v>
      </c>
      <c r="F31" s="3"/>
      <c r="G31" s="28"/>
      <c r="H31" s="10"/>
      <c r="I31" s="10">
        <f t="shared" si="5"/>
        <v>6151</v>
      </c>
      <c r="J31" s="10">
        <f t="shared" si="3"/>
        <v>1149753126.923876</v>
      </c>
      <c r="K31" s="11">
        <f t="shared" si="4"/>
        <v>2.2100000000000009E-2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182879.69302633486</v>
      </c>
      <c r="D32" s="11">
        <v>2.06E-2</v>
      </c>
      <c r="E32" s="10">
        <f t="shared" si="2"/>
        <v>3691.2812819346436</v>
      </c>
      <c r="F32" s="3"/>
      <c r="G32" s="28"/>
      <c r="H32" s="10"/>
      <c r="I32" s="10">
        <f t="shared" si="5"/>
        <v>6151</v>
      </c>
      <c r="J32" s="10">
        <f t="shared" si="3"/>
        <v>1124892991.8049858</v>
      </c>
      <c r="K32" s="11">
        <f t="shared" si="4"/>
        <v>2.0599999999999952E-2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179188.41174440022</v>
      </c>
      <c r="D33" s="11">
        <v>1.9400000000000001E-2</v>
      </c>
      <c r="E33" s="10">
        <f t="shared" si="2"/>
        <v>3410.0992621555633</v>
      </c>
      <c r="F33" s="3"/>
      <c r="G33" s="28"/>
      <c r="H33" s="10"/>
      <c r="I33" s="10">
        <f t="shared" si="5"/>
        <v>6151</v>
      </c>
      <c r="J33" s="10">
        <f t="shared" si="3"/>
        <v>1102187920.6398058</v>
      </c>
      <c r="K33" s="11">
        <f t="shared" si="4"/>
        <v>1.9400000000000084E-2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175778.31248224466</v>
      </c>
      <c r="D34" s="11">
        <v>2.1700000000000001E-2</v>
      </c>
      <c r="E34" s="10">
        <f t="shared" si="2"/>
        <v>3733.3751403197821</v>
      </c>
      <c r="F34" s="3"/>
      <c r="G34" s="28"/>
      <c r="H34" s="10"/>
      <c r="I34" s="10">
        <f t="shared" si="5"/>
        <v>6151</v>
      </c>
      <c r="J34" s="10">
        <f t="shared" ref="J34:J65" si="6">IF(I34="","",I34*C34)</f>
        <v>1081212400.0782869</v>
      </c>
      <c r="K34" s="11">
        <f t="shared" ref="K34:K65" si="7">IFERROR(J34/J35-1,"")</f>
        <v>2.1700000000000053E-2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172044.93734192487</v>
      </c>
      <c r="D35" s="11">
        <v>2.53E-2</v>
      </c>
      <c r="E35" s="10">
        <f t="shared" si="2"/>
        <v>4245.3300641282694</v>
      </c>
      <c r="F35" s="3"/>
      <c r="G35" s="28"/>
      <c r="H35" s="10"/>
      <c r="I35" s="10">
        <f t="shared" ref="I35:I66" si="8">IF(H35&lt;&gt;"",H35,I34/(1+IF(G34="",0,G34)/100))</f>
        <v>6151</v>
      </c>
      <c r="J35" s="10">
        <f t="shared" si="6"/>
        <v>1058248409.5901799</v>
      </c>
      <c r="K35" s="11">
        <f t="shared" si="7"/>
        <v>2.53000000000001E-2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167799.6072777966</v>
      </c>
      <c r="D36" s="11">
        <v>2.4500000000000001E-2</v>
      </c>
      <c r="E36" s="10">
        <f t="shared" si="2"/>
        <v>4012.7773336320242</v>
      </c>
      <c r="F36" s="3"/>
      <c r="G36" s="28"/>
      <c r="H36" s="10"/>
      <c r="I36" s="10">
        <f t="shared" si="8"/>
        <v>6151</v>
      </c>
      <c r="J36" s="10">
        <f t="shared" si="6"/>
        <v>1032135384.3657269</v>
      </c>
      <c r="K36" s="11">
        <f t="shared" si="7"/>
        <v>2.4499999999999966E-2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163786.82994416458</v>
      </c>
      <c r="D37" s="11">
        <v>2.3900000000000001E-2</v>
      </c>
      <c r="E37" s="10">
        <f t="shared" si="2"/>
        <v>3823.1323719753418</v>
      </c>
      <c r="F37" s="3"/>
      <c r="G37" s="28"/>
      <c r="H37" s="10"/>
      <c r="I37" s="10">
        <f t="shared" si="8"/>
        <v>6151</v>
      </c>
      <c r="J37" s="10">
        <f t="shared" si="6"/>
        <v>1007452790.9865563</v>
      </c>
      <c r="K37" s="11">
        <f t="shared" si="7"/>
        <v>2.3900000000000032E-2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159963.69757218924</v>
      </c>
      <c r="D38" s="11">
        <v>2.3E-2</v>
      </c>
      <c r="E38" s="10">
        <f t="shared" si="2"/>
        <v>3596.4467684851843</v>
      </c>
      <c r="F38" s="3"/>
      <c r="G38" s="28"/>
      <c r="H38" s="10"/>
      <c r="I38" s="10">
        <f t="shared" si="8"/>
        <v>6151</v>
      </c>
      <c r="J38" s="10">
        <f t="shared" si="6"/>
        <v>983936703.766536</v>
      </c>
      <c r="K38" s="11">
        <f t="shared" si="7"/>
        <v>2.2999999999999909E-2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156367.25080370405</v>
      </c>
      <c r="D39" s="11">
        <v>1.8700000000000001E-2</v>
      </c>
      <c r="E39" s="10">
        <f t="shared" si="2"/>
        <v>2870.3912732200406</v>
      </c>
      <c r="F39" s="3"/>
      <c r="G39" s="28"/>
      <c r="H39" s="10"/>
      <c r="I39" s="10">
        <f t="shared" si="8"/>
        <v>6151</v>
      </c>
      <c r="J39" s="10">
        <f t="shared" si="6"/>
        <v>961814959.69358361</v>
      </c>
      <c r="K39" s="11">
        <f t="shared" si="7"/>
        <v>1.8699999999999939E-2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153496.85953048401</v>
      </c>
      <c r="D40" s="11">
        <v>1.3899999999999999E-2</v>
      </c>
      <c r="E40" s="10">
        <f t="shared" si="2"/>
        <v>2104.355801828322</v>
      </c>
      <c r="F40" s="3"/>
      <c r="G40" s="28"/>
      <c r="H40" s="10"/>
      <c r="I40" s="10">
        <f t="shared" si="8"/>
        <v>6151</v>
      </c>
      <c r="J40" s="10">
        <f t="shared" si="6"/>
        <v>944159182.97200716</v>
      </c>
      <c r="K40" s="11">
        <f t="shared" si="7"/>
        <v>1.3900000000000023E-2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151392.50372865569</v>
      </c>
      <c r="D41" s="11">
        <v>1.0999999999999999E-2</v>
      </c>
      <c r="E41" s="10">
        <f t="shared" si="2"/>
        <v>1647.1983590654854</v>
      </c>
      <c r="F41" s="3"/>
      <c r="G41" s="28"/>
      <c r="H41" s="10"/>
      <c r="I41" s="10">
        <f t="shared" si="8"/>
        <v>6151</v>
      </c>
      <c r="J41" s="10">
        <f t="shared" si="6"/>
        <v>931215290.4349612</v>
      </c>
      <c r="K41" s="11">
        <f t="shared" si="7"/>
        <v>1.0999999999999899E-2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149745.30536959021</v>
      </c>
      <c r="D42" s="11">
        <v>9.1999999999999998E-3</v>
      </c>
      <c r="E42" s="10">
        <f t="shared" si="2"/>
        <v>1365.097908640746</v>
      </c>
      <c r="F42" s="3"/>
      <c r="G42" s="28"/>
      <c r="H42" s="10"/>
      <c r="I42" s="10">
        <f t="shared" si="8"/>
        <v>6151</v>
      </c>
      <c r="J42" s="10">
        <f t="shared" si="6"/>
        <v>921083373.32834935</v>
      </c>
      <c r="K42" s="11">
        <f t="shared" si="7"/>
        <v>9.200000000000097E-3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148380.20746094946</v>
      </c>
      <c r="D43" s="11">
        <v>8.3000000000000001E-3</v>
      </c>
      <c r="E43" s="10">
        <f t="shared" si="2"/>
        <v>1221.4179529166722</v>
      </c>
      <c r="F43" s="3"/>
      <c r="G43" s="28"/>
      <c r="H43" s="10"/>
      <c r="I43" s="10">
        <f t="shared" si="8"/>
        <v>6151</v>
      </c>
      <c r="J43" s="10">
        <f t="shared" si="6"/>
        <v>912686656.09230018</v>
      </c>
      <c r="K43" s="11">
        <f t="shared" si="7"/>
        <v>8.2999999999999741E-3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147158.78950803279</v>
      </c>
      <c r="D44" s="11">
        <v>7.9000000000000008E-3</v>
      </c>
      <c r="E44" s="10">
        <f t="shared" si="2"/>
        <v>1153.4422433906875</v>
      </c>
      <c r="F44" s="3"/>
      <c r="G44" s="28"/>
      <c r="H44" s="10"/>
      <c r="I44" s="10">
        <f t="shared" si="8"/>
        <v>6151</v>
      </c>
      <c r="J44" s="10">
        <f t="shared" si="6"/>
        <v>905173714.2639097</v>
      </c>
      <c r="K44" s="11">
        <f t="shared" si="7"/>
        <v>7.9000000000002402E-3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146005.3472646421</v>
      </c>
      <c r="D45" s="11">
        <v>7.4000000000000003E-3</v>
      </c>
      <c r="E45" s="10">
        <f t="shared" si="2"/>
        <v>1072.5030472090293</v>
      </c>
      <c r="F45" s="3"/>
      <c r="G45" s="28"/>
      <c r="H45" s="10"/>
      <c r="I45" s="10">
        <f t="shared" si="8"/>
        <v>6151</v>
      </c>
      <c r="J45" s="10">
        <f t="shared" si="6"/>
        <v>898078891.02481353</v>
      </c>
      <c r="K45" s="11">
        <f t="shared" si="7"/>
        <v>7.4000000000000732E-3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144932.84421743307</v>
      </c>
      <c r="D46" s="11">
        <v>7.7000000000000002E-3</v>
      </c>
      <c r="E46" s="10">
        <f t="shared" si="2"/>
        <v>1107.4554931767925</v>
      </c>
      <c r="F46" s="3"/>
      <c r="G46" s="28"/>
      <c r="H46" s="10"/>
      <c r="I46" s="10">
        <f t="shared" si="8"/>
        <v>6151</v>
      </c>
      <c r="J46" s="10">
        <f t="shared" si="6"/>
        <v>891481924.78143084</v>
      </c>
      <c r="K46" s="11">
        <f t="shared" si="7"/>
        <v>7.7000000000002622E-3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143825.38872425628</v>
      </c>
      <c r="D47" s="11">
        <v>1.9400000000000001E-2</v>
      </c>
      <c r="E47" s="10">
        <f t="shared" si="2"/>
        <v>2737.1125576324994</v>
      </c>
      <c r="F47" s="3"/>
      <c r="G47" s="28"/>
      <c r="H47" s="10"/>
      <c r="I47" s="10">
        <f t="shared" si="8"/>
        <v>6151</v>
      </c>
      <c r="J47" s="10">
        <f t="shared" si="6"/>
        <v>884669966.04290032</v>
      </c>
      <c r="K47" s="11">
        <f t="shared" si="7"/>
        <v>1.9400000000000084E-2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141088.27616662378</v>
      </c>
      <c r="D48" s="11">
        <v>3.9199999999999999E-2</v>
      </c>
      <c r="E48" s="10">
        <f t="shared" si="2"/>
        <v>5322.036591350683</v>
      </c>
      <c r="F48" s="3"/>
      <c r="G48" s="28"/>
      <c r="H48" s="10"/>
      <c r="I48" s="10">
        <f t="shared" si="8"/>
        <v>6151</v>
      </c>
      <c r="J48" s="10">
        <f t="shared" si="6"/>
        <v>867833986.70090282</v>
      </c>
      <c r="K48" s="11">
        <f t="shared" si="7"/>
        <v>3.919999999999968E-2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135766.2395752731</v>
      </c>
      <c r="D49" s="11">
        <v>3.1E-2</v>
      </c>
      <c r="E49" s="10">
        <f t="shared" si="2"/>
        <v>4082.2050696735678</v>
      </c>
      <c r="F49" s="3"/>
      <c r="G49" s="28"/>
      <c r="H49" s="10"/>
      <c r="I49" s="10">
        <f t="shared" si="8"/>
        <v>6151</v>
      </c>
      <c r="J49" s="10">
        <f t="shared" si="6"/>
        <v>835098139.62750483</v>
      </c>
      <c r="K49" s="11">
        <f t="shared" si="7"/>
        <v>3.0999999999999917E-2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131684.03450559953</v>
      </c>
      <c r="D50" s="11">
        <v>1.5100000000000001E-2</v>
      </c>
      <c r="E50" s="10">
        <f t="shared" si="2"/>
        <v>1958.8502817796543</v>
      </c>
      <c r="F50" s="3"/>
      <c r="G50" s="28"/>
      <c r="H50" s="10"/>
      <c r="I50" s="10">
        <f t="shared" si="8"/>
        <v>6151</v>
      </c>
      <c r="J50" s="10">
        <f t="shared" si="6"/>
        <v>809988496.24394274</v>
      </c>
      <c r="K50" s="11">
        <f t="shared" si="7"/>
        <v>1.5099999999999891E-2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129725.18422381987</v>
      </c>
      <c r="D51" s="11">
        <v>3.5499999999999997E-2</v>
      </c>
      <c r="E51" s="10">
        <f t="shared" si="2"/>
        <v>4447.3626653265237</v>
      </c>
      <c r="F51" s="3"/>
      <c r="G51" s="28"/>
      <c r="H51" s="10"/>
      <c r="I51" s="10">
        <f t="shared" si="8"/>
        <v>6151</v>
      </c>
      <c r="J51" s="10">
        <f t="shared" si="6"/>
        <v>797939608.16071606</v>
      </c>
      <c r="K51" s="11">
        <f t="shared" si="7"/>
        <v>3.5500000000000087E-2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125277.82155849335</v>
      </c>
      <c r="D52" s="11">
        <v>5.5899999999999998E-2</v>
      </c>
      <c r="E52" s="10">
        <f t="shared" si="2"/>
        <v>6632.2854674872506</v>
      </c>
      <c r="F52" s="3"/>
      <c r="G52" s="28"/>
      <c r="H52" s="10"/>
      <c r="I52" s="10">
        <f t="shared" si="8"/>
        <v>6151</v>
      </c>
      <c r="J52" s="10">
        <f t="shared" si="6"/>
        <v>770583880.40629256</v>
      </c>
      <c r="K52" s="11">
        <f t="shared" si="7"/>
        <v>5.5900000000000061E-2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118645.5360910061</v>
      </c>
      <c r="D53" s="11">
        <v>5.3800000000000001E-2</v>
      </c>
      <c r="E53" s="10">
        <f t="shared" si="2"/>
        <v>6057.2498023307417</v>
      </c>
      <c r="F53" s="3"/>
      <c r="G53" s="28"/>
      <c r="H53" s="10"/>
      <c r="I53" s="10">
        <f t="shared" si="8"/>
        <v>6151</v>
      </c>
      <c r="J53" s="10">
        <f t="shared" si="6"/>
        <v>729788692.49577856</v>
      </c>
      <c r="K53" s="11">
        <f t="shared" si="7"/>
        <v>5.380000000000007E-2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112588.28628867536</v>
      </c>
      <c r="D54" s="11">
        <v>4.8399999999999999E-2</v>
      </c>
      <c r="E54" s="10">
        <f t="shared" si="2"/>
        <v>5197.7041743341106</v>
      </c>
      <c r="F54" s="3"/>
      <c r="G54" s="28"/>
      <c r="H54" s="10"/>
      <c r="I54" s="10">
        <f t="shared" si="8"/>
        <v>6151</v>
      </c>
      <c r="J54" s="10">
        <f t="shared" si="6"/>
        <v>692530548.96164215</v>
      </c>
      <c r="K54" s="11">
        <f t="shared" si="7"/>
        <v>4.8399999999999999E-2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107390.58211434125</v>
      </c>
      <c r="D55" s="11">
        <v>4.2000000000000003E-2</v>
      </c>
      <c r="E55" s="10">
        <f t="shared" si="2"/>
        <v>4328.60311785253</v>
      </c>
      <c r="F55" s="3"/>
      <c r="G55" s="28"/>
      <c r="H55" s="10"/>
      <c r="I55" s="10">
        <f t="shared" si="8"/>
        <v>6151</v>
      </c>
      <c r="J55" s="10">
        <f t="shared" si="6"/>
        <v>660559470.58531296</v>
      </c>
      <c r="K55" s="11">
        <f t="shared" si="7"/>
        <v>4.1999999999999815E-2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103061.97899648872</v>
      </c>
      <c r="D56" s="11">
        <v>3.56E-2</v>
      </c>
      <c r="E56" s="10">
        <f t="shared" si="2"/>
        <v>3542.879926878144</v>
      </c>
      <c r="F56" s="3"/>
      <c r="G56" s="28"/>
      <c r="H56" s="10"/>
      <c r="I56" s="10">
        <f t="shared" si="8"/>
        <v>6151</v>
      </c>
      <c r="J56" s="10">
        <f t="shared" si="6"/>
        <v>633934232.80740213</v>
      </c>
      <c r="K56" s="11">
        <f t="shared" si="7"/>
        <v>3.5600000000000076E-2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99519.099069610573</v>
      </c>
      <c r="D57" s="11">
        <v>3.44E-2</v>
      </c>
      <c r="E57" s="10">
        <f t="shared" si="2"/>
        <v>3309.6065429182199</v>
      </c>
      <c r="F57" s="3"/>
      <c r="G57" s="28"/>
      <c r="H57" s="10"/>
      <c r="I57" s="10">
        <f t="shared" si="8"/>
        <v>6151</v>
      </c>
      <c r="J57" s="10">
        <f t="shared" si="6"/>
        <v>612141978.37717462</v>
      </c>
      <c r="K57" s="11">
        <f t="shared" si="7"/>
        <v>3.4399999999999986E-2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96209.492526692353</v>
      </c>
      <c r="D58" s="11">
        <v>3.6499999999999998E-2</v>
      </c>
      <c r="E58" s="10">
        <f t="shared" si="2"/>
        <v>3387.9850238536164</v>
      </c>
      <c r="F58" s="3"/>
      <c r="G58" s="28"/>
      <c r="H58" s="10"/>
      <c r="I58" s="10">
        <f t="shared" si="8"/>
        <v>6151</v>
      </c>
      <c r="J58" s="10">
        <f t="shared" si="6"/>
        <v>591784588.53168464</v>
      </c>
      <c r="K58" s="11">
        <f t="shared" si="7"/>
        <v>3.6499999999999977E-2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92821.507502838736</v>
      </c>
      <c r="D59" s="11">
        <v>3.3399999999999999E-2</v>
      </c>
      <c r="E59" s="10">
        <f t="shared" si="2"/>
        <v>3000.0371110846027</v>
      </c>
      <c r="F59" s="3"/>
      <c r="G59" s="28"/>
      <c r="H59" s="10"/>
      <c r="I59" s="10">
        <f t="shared" si="8"/>
        <v>6151</v>
      </c>
      <c r="J59" s="10">
        <f t="shared" si="6"/>
        <v>570945092.64996111</v>
      </c>
      <c r="K59" s="11">
        <f t="shared" si="7"/>
        <v>3.3400000000000318E-2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89821.470391754134</v>
      </c>
      <c r="D60" s="11">
        <v>3.4099999999999998E-2</v>
      </c>
      <c r="E60" s="10">
        <f t="shared" si="2"/>
        <v>2961.9109760746651</v>
      </c>
      <c r="F60" s="3"/>
      <c r="G60" s="28"/>
      <c r="H60" s="10"/>
      <c r="I60" s="10">
        <f t="shared" si="8"/>
        <v>6151</v>
      </c>
      <c r="J60" s="10">
        <f t="shared" si="6"/>
        <v>552491864.37967968</v>
      </c>
      <c r="K60" s="11">
        <f t="shared" si="7"/>
        <v>3.4100000000000019E-2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86859.559415679469</v>
      </c>
      <c r="D61" s="11">
        <v>3.5000000000000003E-2</v>
      </c>
      <c r="E61" s="10">
        <f t="shared" si="2"/>
        <v>2937.2797870036447</v>
      </c>
      <c r="F61" s="3"/>
      <c r="G61" s="28"/>
      <c r="H61" s="10"/>
      <c r="I61" s="10">
        <f t="shared" si="8"/>
        <v>6151</v>
      </c>
      <c r="J61" s="10">
        <f t="shared" si="6"/>
        <v>534273149.96584439</v>
      </c>
      <c r="K61" s="11">
        <f t="shared" si="7"/>
        <v>3.499999999999992E-2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83922.279628675824</v>
      </c>
      <c r="D62" s="11">
        <v>2.7799999999999998E-2</v>
      </c>
      <c r="E62" s="10">
        <f t="shared" si="2"/>
        <v>2269.9351757902186</v>
      </c>
      <c r="F62" s="3"/>
      <c r="G62" s="28"/>
      <c r="H62" s="10"/>
      <c r="I62" s="10">
        <f t="shared" si="8"/>
        <v>6151</v>
      </c>
      <c r="J62" s="10">
        <f t="shared" si="6"/>
        <v>516205941.99598497</v>
      </c>
      <c r="K62" s="11">
        <f t="shared" si="7"/>
        <v>2.7799999999999825E-2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81652.344452885605</v>
      </c>
      <c r="D63" s="11">
        <v>2.3E-2</v>
      </c>
      <c r="E63" s="10">
        <f t="shared" si="2"/>
        <v>1835.7809603288042</v>
      </c>
      <c r="F63" s="3"/>
      <c r="G63" s="28"/>
      <c r="H63" s="10"/>
      <c r="I63" s="10">
        <f t="shared" si="8"/>
        <v>6151</v>
      </c>
      <c r="J63" s="10">
        <f t="shared" si="6"/>
        <v>502243570.72969937</v>
      </c>
      <c r="K63" s="11">
        <f t="shared" si="7"/>
        <v>2.3000000000000131E-2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79816.563492556801</v>
      </c>
      <c r="D64" s="11">
        <v>2.4400000000000002E-2</v>
      </c>
      <c r="E64" s="10">
        <f t="shared" si="2"/>
        <v>1901.1364205567952</v>
      </c>
      <c r="F64" s="3"/>
      <c r="G64" s="28"/>
      <c r="H64" s="10"/>
      <c r="I64" s="10">
        <f t="shared" si="8"/>
        <v>6151</v>
      </c>
      <c r="J64" s="10">
        <f t="shared" si="6"/>
        <v>490951682.04271686</v>
      </c>
      <c r="K64" s="11">
        <f t="shared" si="7"/>
        <v>2.4399999999999977E-2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77915.427072000006</v>
      </c>
      <c r="D65" s="11">
        <v>2.76E-2</v>
      </c>
      <c r="E65" s="10">
        <f t="shared" si="2"/>
        <v>2092.7070720000047</v>
      </c>
      <c r="F65" s="3"/>
      <c r="G65" s="28"/>
      <c r="H65" s="10"/>
      <c r="I65" s="10">
        <f t="shared" si="8"/>
        <v>6151</v>
      </c>
      <c r="J65" s="10">
        <f t="shared" si="6"/>
        <v>479257791.91987205</v>
      </c>
      <c r="K65" s="11">
        <f t="shared" si="7"/>
        <v>2.7600000000000069E-2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75822.720000000001</v>
      </c>
      <c r="D66" s="11">
        <v>3.0200000000000001E-2</v>
      </c>
      <c r="E66" s="10">
        <f t="shared" si="2"/>
        <v>2222.7200000000012</v>
      </c>
      <c r="F66" s="24">
        <f>SUM(F2)</f>
        <v>233966</v>
      </c>
      <c r="G66" s="28"/>
      <c r="H66" s="10"/>
      <c r="I66" s="10">
        <f t="shared" si="8"/>
        <v>6151</v>
      </c>
      <c r="J66" s="10">
        <f t="shared" ref="J66:J67" si="9">IF(I66="","",I66*C66)</f>
        <v>466385550.72000003</v>
      </c>
      <c r="K66" s="11">
        <f t="shared" ref="K66" si="10">IFERROR(J66/J67-1,"")</f>
        <v>3.0200000000000005E-2</v>
      </c>
    </row>
    <row r="67" spans="1:11" ht="22.5" customHeight="1">
      <c r="A67" s="3">
        <f t="shared" si="0"/>
        <v>1950</v>
      </c>
      <c r="B67" s="3">
        <v>1700</v>
      </c>
      <c r="C67" s="10">
        <v>73600</v>
      </c>
      <c r="D67" s="11">
        <v>3.0200000000000001E-2</v>
      </c>
      <c r="E67" s="3" t="s">
        <v>72</v>
      </c>
      <c r="F67" s="10">
        <f>SUM(C2)</f>
        <v>233718.10206313126</v>
      </c>
      <c r="G67" s="28"/>
      <c r="H67" s="10"/>
      <c r="I67" s="10">
        <f t="shared" ref="I67" si="11">IF(H67&lt;&gt;"",H67,I66/(1+IF(G66="",0,G66)/100))</f>
        <v>6151</v>
      </c>
      <c r="J67" s="10">
        <f t="shared" si="9"/>
        <v>452713600</v>
      </c>
      <c r="K67" s="11"/>
    </row>
  </sheetData>
  <dataValidations count="1">
    <dataValidation type="custom" allowBlank="1" showDropDown="1" sqref="D2:D67" xr:uid="{00000000-0002-0000-7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324055.76512182388</v>
      </c>
      <c r="D2" s="11">
        <v>2.2700000000000001E-2</v>
      </c>
      <c r="E2" s="10">
        <f t="shared" ref="E2:E66" si="2">SUM(C2-C3)</f>
        <v>7192.7895455806865</v>
      </c>
      <c r="F2" s="15">
        <v>324028</v>
      </c>
      <c r="G2" s="28"/>
      <c r="H2" s="10"/>
      <c r="I2" s="10">
        <f>IF(H2&lt;&gt;"",H2,2603)</f>
        <v>2603</v>
      </c>
      <c r="J2" s="10">
        <f t="shared" ref="J2:J33" si="3">IF(I2="","",I2*C2)</f>
        <v>843517156.61210752</v>
      </c>
      <c r="K2" s="11">
        <f t="shared" ref="K2:K33" si="4">IFERROR(J2/J3-1,"")</f>
        <v>2.2699999999999942E-2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316862.97557624319</v>
      </c>
      <c r="D3" s="11">
        <v>3.39E-2</v>
      </c>
      <c r="E3" s="10">
        <f t="shared" si="2"/>
        <v>10389.452434504929</v>
      </c>
      <c r="G3" s="28"/>
      <c r="H3" s="10"/>
      <c r="I3" s="10">
        <f t="shared" ref="I3:I34" si="5">IF(H3&lt;&gt;"",H3,I2/(1+IF(G2="",0,G2)/100))</f>
        <v>2603</v>
      </c>
      <c r="J3" s="10">
        <f t="shared" si="3"/>
        <v>824794325.42496097</v>
      </c>
      <c r="K3" s="11">
        <f t="shared" si="4"/>
        <v>3.3899999999999819E-2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306473.52314173826</v>
      </c>
      <c r="D4" s="11">
        <v>3.5900000000000001E-2</v>
      </c>
      <c r="E4" s="10">
        <f t="shared" si="2"/>
        <v>10621.101921795926</v>
      </c>
      <c r="F4" s="3"/>
      <c r="G4" s="28"/>
      <c r="H4" s="10"/>
      <c r="I4" s="10">
        <f t="shared" si="5"/>
        <v>2603</v>
      </c>
      <c r="J4" s="10">
        <f t="shared" si="3"/>
        <v>797750580.73794472</v>
      </c>
      <c r="K4" s="11">
        <f t="shared" si="4"/>
        <v>3.5900000000000043E-2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295852.42121994233</v>
      </c>
      <c r="D5" s="11">
        <v>3.5700000000000003E-2</v>
      </c>
      <c r="E5" s="10">
        <f t="shared" si="2"/>
        <v>10197.867565464869</v>
      </c>
      <c r="F5" s="3"/>
      <c r="G5" s="28"/>
      <c r="H5" s="10"/>
      <c r="I5" s="10">
        <f t="shared" si="5"/>
        <v>2603</v>
      </c>
      <c r="J5" s="10">
        <f t="shared" si="3"/>
        <v>770103852.43550992</v>
      </c>
      <c r="K5" s="11">
        <f t="shared" si="4"/>
        <v>3.5700000000000065E-2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285654.55365447747</v>
      </c>
      <c r="D6" s="11">
        <v>3.5799999999999998E-2</v>
      </c>
      <c r="E6" s="10">
        <f t="shared" si="2"/>
        <v>9872.980325188546</v>
      </c>
      <c r="F6" s="3"/>
      <c r="G6" s="28"/>
      <c r="H6" s="10"/>
      <c r="I6" s="10">
        <f t="shared" si="5"/>
        <v>2603</v>
      </c>
      <c r="J6" s="10">
        <f t="shared" si="3"/>
        <v>743558803.16260481</v>
      </c>
      <c r="K6" s="11">
        <f t="shared" si="4"/>
        <v>3.5800000000000054E-2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275781.57332928892</v>
      </c>
      <c r="D7" s="11">
        <v>3.5999999999999997E-2</v>
      </c>
      <c r="E7" s="10">
        <f t="shared" si="2"/>
        <v>9583.1434747629683</v>
      </c>
      <c r="F7" s="3"/>
      <c r="G7" s="28"/>
      <c r="H7" s="10"/>
      <c r="I7" s="10">
        <f t="shared" si="5"/>
        <v>2603</v>
      </c>
      <c r="J7" s="10">
        <f t="shared" si="3"/>
        <v>717859435.37613904</v>
      </c>
      <c r="K7" s="11">
        <f t="shared" si="4"/>
        <v>3.6000000000000032E-2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266198.42985452595</v>
      </c>
      <c r="D8" s="11">
        <v>4.6800000000000001E-2</v>
      </c>
      <c r="E8" s="10">
        <f t="shared" si="2"/>
        <v>11901.11436491381</v>
      </c>
      <c r="F8" s="3"/>
      <c r="G8" s="28"/>
      <c r="H8" s="10"/>
      <c r="I8" s="10">
        <f t="shared" si="5"/>
        <v>2603</v>
      </c>
      <c r="J8" s="10">
        <f t="shared" si="3"/>
        <v>692914512.91133106</v>
      </c>
      <c r="K8" s="11">
        <f t="shared" si="4"/>
        <v>4.6799999999999953E-2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254297.31548961214</v>
      </c>
      <c r="D9" s="11">
        <v>5.0700000000000002E-2</v>
      </c>
      <c r="E9" s="10">
        <f t="shared" si="2"/>
        <v>12270.747021341318</v>
      </c>
      <c r="F9" s="3"/>
      <c r="G9" s="28"/>
      <c r="H9" s="10"/>
      <c r="I9" s="10">
        <f t="shared" si="5"/>
        <v>2603</v>
      </c>
      <c r="J9" s="10">
        <f t="shared" si="3"/>
        <v>661935912.21946037</v>
      </c>
      <c r="K9" s="11">
        <f t="shared" si="4"/>
        <v>5.0699999999999967E-2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242026.56846827082</v>
      </c>
      <c r="D10" s="11">
        <v>4.1300000000000003E-2</v>
      </c>
      <c r="E10" s="10">
        <f t="shared" si="2"/>
        <v>9599.2483220393769</v>
      </c>
      <c r="F10" s="3"/>
      <c r="G10" s="28"/>
      <c r="H10" s="10"/>
      <c r="I10" s="10">
        <f t="shared" si="5"/>
        <v>2603</v>
      </c>
      <c r="J10" s="10">
        <f t="shared" si="3"/>
        <v>629995157.72290897</v>
      </c>
      <c r="K10" s="11">
        <f t="shared" si="4"/>
        <v>4.1300000000000114E-2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232427.32014623145</v>
      </c>
      <c r="D11" s="11">
        <v>3.6999999999999998E-2</v>
      </c>
      <c r="E11" s="10">
        <f t="shared" si="2"/>
        <v>8292.9709213216556</v>
      </c>
      <c r="F11" s="3"/>
      <c r="G11" s="28"/>
      <c r="H11" s="10"/>
      <c r="I11" s="10">
        <f t="shared" si="5"/>
        <v>2603</v>
      </c>
      <c r="J11" s="10">
        <f t="shared" si="3"/>
        <v>605008314.34064043</v>
      </c>
      <c r="K11" s="11">
        <f t="shared" si="4"/>
        <v>3.6999999999999922E-2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224134.34922490979</v>
      </c>
      <c r="D12" s="11">
        <v>3.5999999999999997E-2</v>
      </c>
      <c r="E12" s="10">
        <f t="shared" si="2"/>
        <v>7788.4522896686976</v>
      </c>
      <c r="F12" s="3"/>
      <c r="G12" s="28"/>
      <c r="H12" s="10"/>
      <c r="I12" s="10">
        <f t="shared" si="5"/>
        <v>2603</v>
      </c>
      <c r="J12" s="10">
        <f t="shared" si="3"/>
        <v>583421711.03244019</v>
      </c>
      <c r="K12" s="11">
        <f t="shared" si="4"/>
        <v>3.6000000000000032E-2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216345.89693524109</v>
      </c>
      <c r="D13" s="11">
        <v>3.7100000000000001E-2</v>
      </c>
      <c r="E13" s="10">
        <f t="shared" si="2"/>
        <v>7739.3045765089337</v>
      </c>
      <c r="F13" s="3"/>
      <c r="G13" s="28"/>
      <c r="H13" s="10"/>
      <c r="I13" s="10">
        <f t="shared" si="5"/>
        <v>2603</v>
      </c>
      <c r="J13" s="10">
        <f t="shared" si="3"/>
        <v>563148369.72243261</v>
      </c>
      <c r="K13" s="11">
        <f t="shared" si="4"/>
        <v>3.7099999999999911E-2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208606.59235873216</v>
      </c>
      <c r="D14" s="11">
        <v>3.73E-2</v>
      </c>
      <c r="E14" s="10">
        <f t="shared" si="2"/>
        <v>7501.230015406094</v>
      </c>
      <c r="F14" s="3"/>
      <c r="G14" s="28"/>
      <c r="H14" s="10"/>
      <c r="I14" s="10">
        <f t="shared" si="5"/>
        <v>2603</v>
      </c>
      <c r="J14" s="10">
        <f t="shared" si="3"/>
        <v>543002959.90977979</v>
      </c>
      <c r="K14" s="11">
        <f t="shared" si="4"/>
        <v>3.7300000000000111E-2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201105.36234332607</v>
      </c>
      <c r="D15" s="11">
        <v>3.1600000000000003E-2</v>
      </c>
      <c r="E15" s="10">
        <f t="shared" si="2"/>
        <v>6160.26507371958</v>
      </c>
      <c r="F15" s="3"/>
      <c r="G15" s="28"/>
      <c r="H15" s="10"/>
      <c r="I15" s="10">
        <f t="shared" si="5"/>
        <v>2603</v>
      </c>
      <c r="J15" s="10">
        <f t="shared" si="3"/>
        <v>523477258.17967772</v>
      </c>
      <c r="K15" s="11">
        <f t="shared" si="4"/>
        <v>3.1600000000000072E-2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194945.09726960649</v>
      </c>
      <c r="D16" s="11">
        <v>2.8199999999999999E-2</v>
      </c>
      <c r="E16" s="10">
        <f t="shared" si="2"/>
        <v>5346.6754940701358</v>
      </c>
      <c r="F16" s="3"/>
      <c r="G16" s="28"/>
      <c r="H16" s="10"/>
      <c r="I16" s="10">
        <f t="shared" si="5"/>
        <v>2603</v>
      </c>
      <c r="J16" s="10">
        <f t="shared" si="3"/>
        <v>507442088.19278568</v>
      </c>
      <c r="K16" s="11">
        <f t="shared" si="4"/>
        <v>2.8200000000000003E-2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189598.42177553635</v>
      </c>
      <c r="D17" s="11">
        <v>2.5100000000000001E-2</v>
      </c>
      <c r="E17" s="10">
        <f t="shared" si="2"/>
        <v>4642.396240918868</v>
      </c>
      <c r="F17" s="3"/>
      <c r="G17" s="28"/>
      <c r="H17" s="10"/>
      <c r="I17" s="10">
        <f t="shared" si="5"/>
        <v>2603</v>
      </c>
      <c r="J17" s="10">
        <f t="shared" si="3"/>
        <v>493524691.88172114</v>
      </c>
      <c r="K17" s="11">
        <f t="shared" si="4"/>
        <v>2.50999999999999E-2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184956.02553461748</v>
      </c>
      <c r="D18" s="11">
        <v>2.0799999999999999E-2</v>
      </c>
      <c r="E18" s="10">
        <f t="shared" si="2"/>
        <v>3768.6964450627274</v>
      </c>
      <c r="F18" s="3"/>
      <c r="G18" s="28"/>
      <c r="H18" s="10"/>
      <c r="I18" s="10">
        <f t="shared" si="5"/>
        <v>2603</v>
      </c>
      <c r="J18" s="10">
        <f t="shared" si="3"/>
        <v>481440534.4666093</v>
      </c>
      <c r="K18" s="11">
        <f t="shared" si="4"/>
        <v>2.079999999999993E-2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181187.32908955475</v>
      </c>
      <c r="D19" s="11">
        <v>2.4E-2</v>
      </c>
      <c r="E19" s="10">
        <f t="shared" si="2"/>
        <v>4246.5780255364371</v>
      </c>
      <c r="F19" s="3"/>
      <c r="G19" s="28"/>
      <c r="H19" s="10"/>
      <c r="I19" s="10">
        <f t="shared" si="5"/>
        <v>2603</v>
      </c>
      <c r="J19" s="10">
        <f t="shared" si="3"/>
        <v>471630617.62011105</v>
      </c>
      <c r="K19" s="11">
        <f t="shared" si="4"/>
        <v>2.4000000000000021E-2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176940.75106401832</v>
      </c>
      <c r="D20" s="11">
        <v>1.9099999999999999E-2</v>
      </c>
      <c r="E20" s="10">
        <f t="shared" si="2"/>
        <v>3316.2283832035318</v>
      </c>
      <c r="F20" s="3"/>
      <c r="G20" s="28"/>
      <c r="H20" s="10"/>
      <c r="I20" s="10">
        <f t="shared" si="5"/>
        <v>2603</v>
      </c>
      <c r="J20" s="10">
        <f t="shared" si="3"/>
        <v>460576775.01963967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173624.52268081479</v>
      </c>
      <c r="D21" s="11">
        <v>-1E-4</v>
      </c>
      <c r="E21" s="10">
        <f t="shared" si="2"/>
        <v>-17.364188686944544</v>
      </c>
      <c r="F21" s="3"/>
      <c r="G21" s="28"/>
      <c r="H21" s="10"/>
      <c r="I21" s="10">
        <f t="shared" si="5"/>
        <v>2603</v>
      </c>
      <c r="J21" s="10">
        <f t="shared" si="3"/>
        <v>451944632.53816086</v>
      </c>
      <c r="K21" s="11">
        <f t="shared" si="4"/>
        <v>-9.9999999999988987E-5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173641.88686950173</v>
      </c>
      <c r="D22" s="11">
        <v>6.9999999999999999E-4</v>
      </c>
      <c r="E22" s="10">
        <f t="shared" si="2"/>
        <v>121.4642958015902</v>
      </c>
      <c r="F22" s="3"/>
      <c r="G22" s="28"/>
      <c r="H22" s="10"/>
      <c r="I22" s="10">
        <f t="shared" si="5"/>
        <v>2603</v>
      </c>
      <c r="J22" s="10">
        <f t="shared" si="3"/>
        <v>451989831.52131301</v>
      </c>
      <c r="K22" s="11">
        <f t="shared" si="4"/>
        <v>6.9999999999992291E-4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173520.42257370014</v>
      </c>
      <c r="D23" s="11">
        <v>5.9900000000000002E-2</v>
      </c>
      <c r="E23" s="10">
        <f t="shared" si="2"/>
        <v>9806.4659988344647</v>
      </c>
      <c r="F23" s="3"/>
      <c r="G23" s="28"/>
      <c r="H23" s="10"/>
      <c r="I23" s="10">
        <f t="shared" si="5"/>
        <v>2603</v>
      </c>
      <c r="J23" s="10">
        <f t="shared" si="3"/>
        <v>451673659.95934147</v>
      </c>
      <c r="K23" s="11">
        <f t="shared" si="4"/>
        <v>5.9900000000000064E-2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163713.95657486568</v>
      </c>
      <c r="D24" s="11">
        <v>6.4999999999999997E-3</v>
      </c>
      <c r="E24" s="10">
        <f t="shared" si="2"/>
        <v>1057.268472664291</v>
      </c>
      <c r="F24" s="3"/>
      <c r="G24" s="28"/>
      <c r="H24" s="10"/>
      <c r="I24" s="10">
        <f t="shared" si="5"/>
        <v>2603</v>
      </c>
      <c r="J24" s="10">
        <f t="shared" si="3"/>
        <v>426147428.96437538</v>
      </c>
      <c r="K24" s="11">
        <f t="shared" si="4"/>
        <v>6.4999999999999503E-3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162656.68810220138</v>
      </c>
      <c r="D25" s="11">
        <v>-3.15E-2</v>
      </c>
      <c r="E25" s="10">
        <f t="shared" si="2"/>
        <v>-5290.3311050277262</v>
      </c>
      <c r="F25" s="3"/>
      <c r="G25" s="28"/>
      <c r="H25" s="10"/>
      <c r="I25" s="10">
        <f t="shared" si="5"/>
        <v>2603</v>
      </c>
      <c r="J25" s="10">
        <f t="shared" si="3"/>
        <v>423395359.13003021</v>
      </c>
      <c r="K25" s="11">
        <f t="shared" si="4"/>
        <v>-3.1500000000000083E-2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167947.01920722911</v>
      </c>
      <c r="D26" s="11">
        <v>2.6700000000000002E-2</v>
      </c>
      <c r="E26" s="10">
        <f t="shared" si="2"/>
        <v>4367.5712601860287</v>
      </c>
      <c r="F26" s="3"/>
      <c r="G26" s="28"/>
      <c r="H26" s="10"/>
      <c r="I26" s="10">
        <f t="shared" si="5"/>
        <v>2603</v>
      </c>
      <c r="J26" s="10">
        <f t="shared" si="3"/>
        <v>437166090.9964174</v>
      </c>
      <c r="K26" s="11">
        <f t="shared" si="4"/>
        <v>2.6699999999999946E-2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163579.44794704308</v>
      </c>
      <c r="D27" s="11">
        <v>2.07E-2</v>
      </c>
      <c r="E27" s="10">
        <f t="shared" si="2"/>
        <v>3317.4238978189242</v>
      </c>
      <c r="F27" s="3"/>
      <c r="G27" s="28"/>
      <c r="H27" s="10"/>
      <c r="I27" s="10">
        <f t="shared" si="5"/>
        <v>2603</v>
      </c>
      <c r="J27" s="10">
        <f t="shared" si="3"/>
        <v>425797303.00615317</v>
      </c>
      <c r="K27" s="11">
        <f t="shared" si="4"/>
        <v>2.0699999999999941E-2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160262.02404922416</v>
      </c>
      <c r="D28" s="11">
        <v>2.0899999999999998E-2</v>
      </c>
      <c r="E28" s="10">
        <f t="shared" si="2"/>
        <v>3280.9053801829577</v>
      </c>
      <c r="F28" s="3"/>
      <c r="G28" s="28"/>
      <c r="H28" s="10"/>
      <c r="I28" s="10">
        <f t="shared" si="5"/>
        <v>2603</v>
      </c>
      <c r="J28" s="10">
        <f t="shared" si="3"/>
        <v>417162048.6001305</v>
      </c>
      <c r="K28" s="11">
        <f t="shared" si="4"/>
        <v>2.0899999999999919E-2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156981.1186690412</v>
      </c>
      <c r="D29" s="11">
        <v>1.9599999999999999E-2</v>
      </c>
      <c r="E29" s="10">
        <f t="shared" si="2"/>
        <v>3017.6833325943735</v>
      </c>
      <c r="F29" s="3"/>
      <c r="G29" s="28"/>
      <c r="H29" s="10"/>
      <c r="I29" s="10">
        <f t="shared" si="5"/>
        <v>2603</v>
      </c>
      <c r="J29" s="10">
        <f t="shared" si="3"/>
        <v>408621851.89551425</v>
      </c>
      <c r="K29" s="11">
        <f t="shared" si="4"/>
        <v>1.9600000000000062E-2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153963.43533644683</v>
      </c>
      <c r="D30" s="11">
        <v>2.2200000000000001E-2</v>
      </c>
      <c r="E30" s="10">
        <f t="shared" si="2"/>
        <v>3343.7568621298415</v>
      </c>
      <c r="F30" s="3"/>
      <c r="G30" s="28"/>
      <c r="H30" s="10"/>
      <c r="I30" s="10">
        <f t="shared" si="5"/>
        <v>2603</v>
      </c>
      <c r="J30" s="10">
        <f t="shared" si="3"/>
        <v>400766822.18077111</v>
      </c>
      <c r="K30" s="11">
        <f t="shared" si="4"/>
        <v>2.220000000000022E-2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150619.67847431698</v>
      </c>
      <c r="D31" s="11">
        <v>2.2800000000000001E-2</v>
      </c>
      <c r="E31" s="10">
        <f t="shared" si="2"/>
        <v>3357.5759378318617</v>
      </c>
      <c r="F31" s="3"/>
      <c r="G31" s="28"/>
      <c r="H31" s="10"/>
      <c r="I31" s="10">
        <f t="shared" si="5"/>
        <v>2603</v>
      </c>
      <c r="J31" s="10">
        <f t="shared" si="3"/>
        <v>392063023.06864709</v>
      </c>
      <c r="K31" s="11">
        <f t="shared" si="4"/>
        <v>2.2799999999999931E-2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147262.10253648512</v>
      </c>
      <c r="D32" s="11">
        <v>1.8800000000000001E-2</v>
      </c>
      <c r="E32" s="10">
        <f t="shared" si="2"/>
        <v>2717.439662039571</v>
      </c>
      <c r="F32" s="3"/>
      <c r="G32" s="28"/>
      <c r="H32" s="10"/>
      <c r="I32" s="10">
        <f t="shared" si="5"/>
        <v>2603</v>
      </c>
      <c r="J32" s="10">
        <f t="shared" si="3"/>
        <v>383323252.90247077</v>
      </c>
      <c r="K32" s="11">
        <f t="shared" si="4"/>
        <v>1.8799999999999928E-2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144544.66287444555</v>
      </c>
      <c r="D33" s="11">
        <v>2.1600000000000001E-2</v>
      </c>
      <c r="E33" s="10">
        <f t="shared" si="2"/>
        <v>3056.151838379039</v>
      </c>
      <c r="F33" s="3"/>
      <c r="G33" s="28"/>
      <c r="H33" s="10"/>
      <c r="I33" s="10">
        <f t="shared" si="5"/>
        <v>2603</v>
      </c>
      <c r="J33" s="10">
        <f t="shared" si="3"/>
        <v>376249757.46218175</v>
      </c>
      <c r="K33" s="11">
        <f t="shared" si="4"/>
        <v>2.1599999999999842E-2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141488.51103606651</v>
      </c>
      <c r="D34" s="11">
        <v>2.4199999999999999E-2</v>
      </c>
      <c r="E34" s="10">
        <f t="shared" si="2"/>
        <v>3343.1184993876377</v>
      </c>
      <c r="F34" s="3"/>
      <c r="G34" s="28"/>
      <c r="H34" s="10"/>
      <c r="I34" s="10">
        <f t="shared" si="5"/>
        <v>2603</v>
      </c>
      <c r="J34" s="10">
        <f t="shared" ref="J34:J65" si="6">IF(I34="","",I34*C34)</f>
        <v>368294594.22688115</v>
      </c>
      <c r="K34" s="11">
        <f t="shared" ref="K34:K65" si="7">IFERROR(J34/J35-1,"")</f>
        <v>2.4200000000000221E-2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138145.39253667888</v>
      </c>
      <c r="D35" s="11">
        <v>2.6800000000000001E-2</v>
      </c>
      <c r="E35" s="10">
        <f t="shared" si="2"/>
        <v>3605.6647058657836</v>
      </c>
      <c r="F35" s="3"/>
      <c r="G35" s="28"/>
      <c r="H35" s="10"/>
      <c r="I35" s="10">
        <f t="shared" ref="I35:I66" si="8">IF(H35&lt;&gt;"",H35,I34/(1+IF(G34="",0,G34)/100))</f>
        <v>2603</v>
      </c>
      <c r="J35" s="10">
        <f t="shared" si="6"/>
        <v>359592456.77297509</v>
      </c>
      <c r="K35" s="11">
        <f t="shared" si="7"/>
        <v>2.6799999999999935E-2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134539.72783081309</v>
      </c>
      <c r="D36" s="11">
        <v>2.5000000000000001E-2</v>
      </c>
      <c r="E36" s="10">
        <f t="shared" si="2"/>
        <v>3281.4567763612722</v>
      </c>
      <c r="F36" s="3"/>
      <c r="G36" s="28"/>
      <c r="H36" s="10"/>
      <c r="I36" s="10">
        <f t="shared" si="8"/>
        <v>2603</v>
      </c>
      <c r="J36" s="10">
        <f t="shared" si="6"/>
        <v>350206911.54360646</v>
      </c>
      <c r="K36" s="11">
        <f t="shared" si="7"/>
        <v>2.4999999999999689E-2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131258.27105445182</v>
      </c>
      <c r="D37" s="11">
        <v>4.07E-2</v>
      </c>
      <c r="E37" s="10">
        <f t="shared" si="2"/>
        <v>5133.2868568426929</v>
      </c>
      <c r="F37" s="3"/>
      <c r="G37" s="28"/>
      <c r="H37" s="10"/>
      <c r="I37" s="10">
        <f t="shared" si="8"/>
        <v>2603</v>
      </c>
      <c r="J37" s="10">
        <f t="shared" si="6"/>
        <v>341665279.5547381</v>
      </c>
      <c r="K37" s="11">
        <f t="shared" si="7"/>
        <v>4.0699999999999958E-2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126124.98419760913</v>
      </c>
      <c r="D38" s="11">
        <v>4.2000000000000003E-2</v>
      </c>
      <c r="E38" s="10">
        <f t="shared" si="2"/>
        <v>5083.7325684257085</v>
      </c>
      <c r="F38" s="3"/>
      <c r="G38" s="28"/>
      <c r="H38" s="10"/>
      <c r="I38" s="10">
        <f t="shared" si="8"/>
        <v>2603</v>
      </c>
      <c r="J38" s="10">
        <f t="shared" si="6"/>
        <v>328303333.86637658</v>
      </c>
      <c r="K38" s="11">
        <f t="shared" si="7"/>
        <v>4.2000000000000037E-2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121041.25162918342</v>
      </c>
      <c r="D39" s="11">
        <v>2.4899999999999999E-2</v>
      </c>
      <c r="E39" s="10">
        <f t="shared" si="2"/>
        <v>2940.7036448108702</v>
      </c>
      <c r="F39" s="3"/>
      <c r="G39" s="28"/>
      <c r="H39" s="10"/>
      <c r="I39" s="10">
        <f t="shared" si="8"/>
        <v>2603</v>
      </c>
      <c r="J39" s="10">
        <f t="shared" si="6"/>
        <v>315070377.99076444</v>
      </c>
      <c r="K39" s="11">
        <f t="shared" si="7"/>
        <v>2.4899999999999922E-2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118100.54798437255</v>
      </c>
      <c r="D40" s="11">
        <v>2.8899999999999999E-2</v>
      </c>
      <c r="E40" s="10">
        <f t="shared" si="2"/>
        <v>3317.2376681391324</v>
      </c>
      <c r="F40" s="3"/>
      <c r="G40" s="28"/>
      <c r="H40" s="10"/>
      <c r="I40" s="10">
        <f t="shared" si="8"/>
        <v>2603</v>
      </c>
      <c r="J40" s="10">
        <f t="shared" si="6"/>
        <v>307415726.40332174</v>
      </c>
      <c r="K40" s="11">
        <f t="shared" si="7"/>
        <v>2.8899999999999926E-2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114783.31031623342</v>
      </c>
      <c r="D41" s="11">
        <v>2.5700000000000001E-2</v>
      </c>
      <c r="E41" s="10">
        <f t="shared" si="2"/>
        <v>2876.0174272469594</v>
      </c>
      <c r="F41" s="3"/>
      <c r="G41" s="28"/>
      <c r="H41" s="10"/>
      <c r="I41" s="10">
        <f t="shared" si="8"/>
        <v>2603</v>
      </c>
      <c r="J41" s="10">
        <f t="shared" si="6"/>
        <v>298780956.75315559</v>
      </c>
      <c r="K41" s="11">
        <f t="shared" si="7"/>
        <v>2.5700000000000056E-2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111907.29288898646</v>
      </c>
      <c r="D42" s="11">
        <v>2.24E-2</v>
      </c>
      <c r="E42" s="10">
        <f t="shared" si="2"/>
        <v>2451.8029740936036</v>
      </c>
      <c r="F42" s="3"/>
      <c r="G42" s="28"/>
      <c r="H42" s="10"/>
      <c r="I42" s="10">
        <f t="shared" si="8"/>
        <v>2603</v>
      </c>
      <c r="J42" s="10">
        <f t="shared" si="6"/>
        <v>291294683.39003175</v>
      </c>
      <c r="K42" s="11">
        <f t="shared" si="7"/>
        <v>2.2400000000000198E-2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109455.48991489285</v>
      </c>
      <c r="D43" s="11">
        <v>2.4799999999999999E-2</v>
      </c>
      <c r="E43" s="10">
        <f t="shared" si="2"/>
        <v>2648.8057668709371</v>
      </c>
      <c r="F43" s="3"/>
      <c r="G43" s="28"/>
      <c r="H43" s="10"/>
      <c r="I43" s="10">
        <f t="shared" si="8"/>
        <v>2603</v>
      </c>
      <c r="J43" s="10">
        <f t="shared" si="6"/>
        <v>284912640.24846607</v>
      </c>
      <c r="K43" s="11">
        <f t="shared" si="7"/>
        <v>2.4799999999999711E-2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106806.68414802192</v>
      </c>
      <c r="D44" s="11">
        <v>2.5000000000000001E-2</v>
      </c>
      <c r="E44" s="10">
        <f t="shared" si="2"/>
        <v>2605.0410767810099</v>
      </c>
      <c r="F44" s="3"/>
      <c r="G44" s="28"/>
      <c r="H44" s="10"/>
      <c r="I44" s="10">
        <f t="shared" si="8"/>
        <v>2603</v>
      </c>
      <c r="J44" s="10">
        <f t="shared" si="6"/>
        <v>278017798.83730108</v>
      </c>
      <c r="K44" s="11">
        <f t="shared" si="7"/>
        <v>2.4999999999999911E-2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104201.64307124091</v>
      </c>
      <c r="D45" s="11">
        <v>-1.4E-3</v>
      </c>
      <c r="E45" s="10">
        <f t="shared" si="2"/>
        <v>-146.08682185031648</v>
      </c>
      <c r="F45" s="3"/>
      <c r="G45" s="28"/>
      <c r="H45" s="10"/>
      <c r="I45" s="10">
        <f t="shared" si="8"/>
        <v>2603</v>
      </c>
      <c r="J45" s="10">
        <f t="shared" si="6"/>
        <v>271236876.9144401</v>
      </c>
      <c r="K45" s="11">
        <f t="shared" si="7"/>
        <v>-1.3999999999998458E-3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104347.72989309122</v>
      </c>
      <c r="D46" s="11">
        <v>0</v>
      </c>
      <c r="E46" s="10">
        <f t="shared" si="2"/>
        <v>0</v>
      </c>
      <c r="F46" s="3"/>
      <c r="G46" s="28"/>
      <c r="H46" s="10"/>
      <c r="I46" s="10">
        <f t="shared" si="8"/>
        <v>2603</v>
      </c>
      <c r="J46" s="10">
        <f t="shared" si="6"/>
        <v>271617140.91171646</v>
      </c>
      <c r="K46" s="11">
        <f t="shared" si="7"/>
        <v>0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104347.72989309122</v>
      </c>
      <c r="D47" s="11">
        <v>2.4299999999999999E-2</v>
      </c>
      <c r="E47" s="10">
        <f t="shared" si="2"/>
        <v>2475.4953005975985</v>
      </c>
      <c r="F47" s="3"/>
      <c r="G47" s="28"/>
      <c r="H47" s="10"/>
      <c r="I47" s="10">
        <f t="shared" si="8"/>
        <v>2603</v>
      </c>
      <c r="J47" s="10">
        <f t="shared" si="6"/>
        <v>271617140.91171646</v>
      </c>
      <c r="K47" s="11">
        <f t="shared" si="7"/>
        <v>2.4299999999999988E-2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101872.23459249362</v>
      </c>
      <c r="D48" s="11">
        <v>2.1700000000000001E-2</v>
      </c>
      <c r="E48" s="10">
        <f t="shared" si="2"/>
        <v>2163.67572737312</v>
      </c>
      <c r="F48" s="3"/>
      <c r="G48" s="28"/>
      <c r="H48" s="10"/>
      <c r="I48" s="10">
        <f t="shared" si="8"/>
        <v>2603</v>
      </c>
      <c r="J48" s="10">
        <f t="shared" si="6"/>
        <v>265173426.64426091</v>
      </c>
      <c r="K48" s="11">
        <f t="shared" si="7"/>
        <v>2.1700000000000053E-2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99708.558865120503</v>
      </c>
      <c r="D49" s="11">
        <v>2.1700000000000001E-2</v>
      </c>
      <c r="E49" s="10">
        <f t="shared" si="2"/>
        <v>2117.7211778145429</v>
      </c>
      <c r="F49" s="3"/>
      <c r="G49" s="28"/>
      <c r="H49" s="10"/>
      <c r="I49" s="10">
        <f t="shared" si="8"/>
        <v>2603</v>
      </c>
      <c r="J49" s="10">
        <f t="shared" si="6"/>
        <v>259541378.72590867</v>
      </c>
      <c r="K49" s="11">
        <f t="shared" si="7"/>
        <v>2.1700000000000053E-2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97590.837687305961</v>
      </c>
      <c r="D50" s="11">
        <v>2.3900000000000001E-2</v>
      </c>
      <c r="E50" s="10">
        <f t="shared" si="2"/>
        <v>2277.9773617800674</v>
      </c>
      <c r="F50" s="3"/>
      <c r="G50" s="28"/>
      <c r="H50" s="10"/>
      <c r="I50" s="10">
        <f t="shared" si="8"/>
        <v>2603</v>
      </c>
      <c r="J50" s="10">
        <f t="shared" si="6"/>
        <v>254028950.50005743</v>
      </c>
      <c r="K50" s="11">
        <f t="shared" si="7"/>
        <v>2.3900000000000032E-2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95312.860325525893</v>
      </c>
      <c r="D51" s="11">
        <v>2.5399999999999999E-2</v>
      </c>
      <c r="E51" s="10">
        <f t="shared" si="2"/>
        <v>2360.9778157483524</v>
      </c>
      <c r="F51" s="3"/>
      <c r="G51" s="28"/>
      <c r="H51" s="10"/>
      <c r="I51" s="10">
        <f t="shared" si="8"/>
        <v>2603</v>
      </c>
      <c r="J51" s="10">
        <f t="shared" si="6"/>
        <v>248099375.4273439</v>
      </c>
      <c r="K51" s="11">
        <f t="shared" si="7"/>
        <v>2.5400000000000089E-2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92951.882509777541</v>
      </c>
      <c r="D52" s="11">
        <v>2.41E-2</v>
      </c>
      <c r="E52" s="10">
        <f t="shared" si="2"/>
        <v>2187.4234630267019</v>
      </c>
      <c r="F52" s="3"/>
      <c r="G52" s="28"/>
      <c r="H52" s="10"/>
      <c r="I52" s="10">
        <f t="shared" si="8"/>
        <v>2603</v>
      </c>
      <c r="J52" s="10">
        <f t="shared" si="6"/>
        <v>241953750.17295095</v>
      </c>
      <c r="K52" s="11">
        <f t="shared" si="7"/>
        <v>2.4100000000000232E-2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90764.459046750839</v>
      </c>
      <c r="D53" s="11">
        <v>2.7699999999999999E-2</v>
      </c>
      <c r="E53" s="10">
        <f t="shared" si="2"/>
        <v>2446.4099597110035</v>
      </c>
      <c r="F53" s="3"/>
      <c r="G53" s="28"/>
      <c r="H53" s="10"/>
      <c r="I53" s="10">
        <f t="shared" si="8"/>
        <v>2603</v>
      </c>
      <c r="J53" s="10">
        <f t="shared" si="6"/>
        <v>236259886.89869243</v>
      </c>
      <c r="K53" s="11">
        <f t="shared" si="7"/>
        <v>2.7700000000000058E-2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88318.049087039835</v>
      </c>
      <c r="D54" s="11">
        <v>2.8500000000000001E-2</v>
      </c>
      <c r="E54" s="10">
        <f t="shared" si="2"/>
        <v>2447.3158959461725</v>
      </c>
      <c r="F54" s="3"/>
      <c r="G54" s="28"/>
      <c r="H54" s="10"/>
      <c r="I54" s="10">
        <f t="shared" si="8"/>
        <v>2603</v>
      </c>
      <c r="J54" s="10">
        <f t="shared" si="6"/>
        <v>229891881.7735647</v>
      </c>
      <c r="K54" s="11">
        <f t="shared" si="7"/>
        <v>2.849999999999997E-2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85870.733191093663</v>
      </c>
      <c r="D55" s="11">
        <v>2.1100000000000001E-2</v>
      </c>
      <c r="E55" s="10">
        <f t="shared" si="2"/>
        <v>1774.4319560592121</v>
      </c>
      <c r="F55" s="3"/>
      <c r="G55" s="28"/>
      <c r="H55" s="10"/>
      <c r="I55" s="10">
        <f t="shared" si="8"/>
        <v>2603</v>
      </c>
      <c r="J55" s="10">
        <f t="shared" si="6"/>
        <v>223521518.49641681</v>
      </c>
      <c r="K55" s="11">
        <f t="shared" si="7"/>
        <v>2.1099999999999897E-2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84096.301235034451</v>
      </c>
      <c r="D56" s="11">
        <v>2.5399999999999999E-2</v>
      </c>
      <c r="E56" s="10">
        <f t="shared" si="2"/>
        <v>2083.1344366782578</v>
      </c>
      <c r="F56" s="3"/>
      <c r="G56" s="28"/>
      <c r="H56" s="10"/>
      <c r="I56" s="10">
        <f t="shared" si="8"/>
        <v>2603</v>
      </c>
      <c r="J56" s="10">
        <f t="shared" si="6"/>
        <v>218902672.11479467</v>
      </c>
      <c r="K56" s="11">
        <f t="shared" si="7"/>
        <v>2.5400000000000089E-2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82013.166798356193</v>
      </c>
      <c r="D57" s="11">
        <v>2.53E-2</v>
      </c>
      <c r="E57" s="10">
        <f t="shared" si="2"/>
        <v>2023.7326831155951</v>
      </c>
      <c r="F57" s="3"/>
      <c r="G57" s="28"/>
      <c r="H57" s="10"/>
      <c r="I57" s="10">
        <f t="shared" si="8"/>
        <v>2603</v>
      </c>
      <c r="J57" s="10">
        <f t="shared" si="6"/>
        <v>213480273.17612118</v>
      </c>
      <c r="K57" s="11">
        <f t="shared" si="7"/>
        <v>2.53000000000001E-2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79989.434115240598</v>
      </c>
      <c r="D58" s="11">
        <v>2.5399999999999999E-2</v>
      </c>
      <c r="E58" s="10">
        <f t="shared" si="2"/>
        <v>1981.4039657959074</v>
      </c>
      <c r="F58" s="3"/>
      <c r="G58" s="28"/>
      <c r="H58" s="10"/>
      <c r="I58" s="10">
        <f t="shared" si="8"/>
        <v>2603</v>
      </c>
      <c r="J58" s="10">
        <f t="shared" si="6"/>
        <v>208212497.00197127</v>
      </c>
      <c r="K58" s="11">
        <f t="shared" si="7"/>
        <v>2.5400000000000089E-2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78008.03014944469</v>
      </c>
      <c r="D59" s="11">
        <v>2.5399999999999999E-2</v>
      </c>
      <c r="E59" s="10">
        <f t="shared" si="2"/>
        <v>1932.3229625472013</v>
      </c>
      <c r="F59" s="3"/>
      <c r="G59" s="28"/>
      <c r="H59" s="10"/>
      <c r="I59" s="10">
        <f t="shared" si="8"/>
        <v>2603</v>
      </c>
      <c r="J59" s="10">
        <f t="shared" si="6"/>
        <v>203054902.47900453</v>
      </c>
      <c r="K59" s="11">
        <f t="shared" si="7"/>
        <v>2.5400000000000089E-2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76075.707186897489</v>
      </c>
      <c r="D60" s="11">
        <v>2.5399999999999999E-2</v>
      </c>
      <c r="E60" s="10">
        <f t="shared" si="2"/>
        <v>1884.4577360514959</v>
      </c>
      <c r="F60" s="3"/>
      <c r="G60" s="28"/>
      <c r="H60" s="10"/>
      <c r="I60" s="10">
        <f t="shared" si="8"/>
        <v>2603</v>
      </c>
      <c r="J60" s="10">
        <f t="shared" si="6"/>
        <v>198025065.80749416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74191.249450845993</v>
      </c>
      <c r="D61" s="11">
        <v>2.5399999999999999E-2</v>
      </c>
      <c r="E61" s="10">
        <f t="shared" si="2"/>
        <v>1837.7781705202797</v>
      </c>
      <c r="F61" s="3"/>
      <c r="G61" s="28"/>
      <c r="H61" s="10"/>
      <c r="I61" s="10">
        <f t="shared" si="8"/>
        <v>2603</v>
      </c>
      <c r="J61" s="10">
        <f t="shared" si="6"/>
        <v>193119822.32055211</v>
      </c>
      <c r="K61" s="11">
        <f t="shared" si="7"/>
        <v>2.5400000000000089E-2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72353.471280325713</v>
      </c>
      <c r="D62" s="11">
        <v>2.5000000000000001E-2</v>
      </c>
      <c r="E62" s="10">
        <f t="shared" si="2"/>
        <v>1764.7188117152546</v>
      </c>
      <c r="F62" s="3"/>
      <c r="G62" s="28"/>
      <c r="H62" s="10"/>
      <c r="I62" s="10">
        <f t="shared" si="8"/>
        <v>2603</v>
      </c>
      <c r="J62" s="10">
        <f t="shared" si="6"/>
        <v>188336085.74268782</v>
      </c>
      <c r="K62" s="11">
        <f t="shared" si="7"/>
        <v>2.4999999999999911E-2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70588.752468610459</v>
      </c>
      <c r="D63" s="11">
        <v>2.4899999999999999E-2</v>
      </c>
      <c r="E63" s="10">
        <f t="shared" si="2"/>
        <v>1714.9574948467052</v>
      </c>
      <c r="F63" s="3"/>
      <c r="G63" s="28"/>
      <c r="H63" s="10"/>
      <c r="I63" s="10">
        <f t="shared" si="8"/>
        <v>2603</v>
      </c>
      <c r="J63" s="10">
        <f t="shared" si="6"/>
        <v>183742522.67579302</v>
      </c>
      <c r="K63" s="11">
        <f t="shared" si="7"/>
        <v>2.4899999999999922E-2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68873.794973763754</v>
      </c>
      <c r="D64" s="11">
        <v>2.4500000000000001E-2</v>
      </c>
      <c r="E64" s="10">
        <f t="shared" si="2"/>
        <v>1647.0551262637455</v>
      </c>
      <c r="F64" s="3"/>
      <c r="G64" s="28"/>
      <c r="H64" s="10"/>
      <c r="I64" s="10">
        <f t="shared" si="8"/>
        <v>2603</v>
      </c>
      <c r="J64" s="10">
        <f t="shared" si="6"/>
        <v>179278488.31670704</v>
      </c>
      <c r="K64" s="11">
        <f t="shared" si="7"/>
        <v>2.4499999999999966E-2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67226.739847500008</v>
      </c>
      <c r="D65" s="11">
        <v>2.3900000000000001E-2</v>
      </c>
      <c r="E65" s="10">
        <f t="shared" si="2"/>
        <v>1569.2148474999995</v>
      </c>
      <c r="F65" s="3"/>
      <c r="G65" s="28"/>
      <c r="H65" s="10"/>
      <c r="I65" s="10">
        <f t="shared" si="8"/>
        <v>2603</v>
      </c>
      <c r="J65" s="10">
        <f t="shared" si="6"/>
        <v>174991203.82304251</v>
      </c>
      <c r="K65" s="11">
        <f t="shared" si="7"/>
        <v>2.3900000000000032E-2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65657.525000000009</v>
      </c>
      <c r="D66" s="11">
        <v>2.35E-2</v>
      </c>
      <c r="E66" s="10">
        <f t="shared" si="2"/>
        <v>1507.5250000000087</v>
      </c>
      <c r="F66" s="24">
        <f>SUM(F2)</f>
        <v>324028</v>
      </c>
      <c r="G66" s="28"/>
      <c r="H66" s="10"/>
      <c r="I66" s="10">
        <f t="shared" si="8"/>
        <v>2603</v>
      </c>
      <c r="J66" s="10">
        <f t="shared" ref="J66:J67" si="9">IF(I66="","",I66*C66)</f>
        <v>170906537.57500002</v>
      </c>
      <c r="K66" s="11">
        <f t="shared" ref="K66" si="10">IFERROR(J66/J67-1,"")</f>
        <v>2.3500000000000076E-2</v>
      </c>
    </row>
    <row r="67" spans="1:11" ht="22.5" customHeight="1">
      <c r="A67" s="3">
        <f t="shared" si="0"/>
        <v>1950</v>
      </c>
      <c r="B67" s="3">
        <v>1700</v>
      </c>
      <c r="C67" s="10">
        <v>64150</v>
      </c>
      <c r="D67" s="11">
        <v>2.3E-2</v>
      </c>
      <c r="E67" s="3" t="s">
        <v>72</v>
      </c>
      <c r="F67" s="10">
        <f>SUM(C2)</f>
        <v>324055.76512182388</v>
      </c>
      <c r="G67" s="28"/>
      <c r="H67" s="10"/>
      <c r="I67" s="10">
        <f t="shared" ref="I67" si="11">IF(H67&lt;&gt;"",H67,I66/(1+IF(G66="",0,G66)/100))</f>
        <v>2603</v>
      </c>
      <c r="J67" s="10">
        <f t="shared" si="9"/>
        <v>166982450</v>
      </c>
      <c r="K67" s="11"/>
    </row>
  </sheetData>
  <dataValidations count="1">
    <dataValidation type="custom" allowBlank="1" showDropDown="1" sqref="D2:D67" xr:uid="{00000000-0002-0000-7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9975218.9344358966</v>
      </c>
      <c r="D2" s="11">
        <v>1.4500000000000001E-2</v>
      </c>
      <c r="E2" s="10">
        <f t="shared" ref="E2:E66" si="2">SUM(C2-C3)</f>
        <v>142573.36081746593</v>
      </c>
      <c r="F2" s="15">
        <v>9975075</v>
      </c>
      <c r="G2" s="28"/>
      <c r="H2" s="10"/>
      <c r="I2" s="10">
        <f>IF(H2&lt;&gt;"",H2,889)</f>
        <v>889</v>
      </c>
      <c r="J2" s="10">
        <f t="shared" ref="J2:J33" si="3">IF(I2="","",I2*C2)</f>
        <v>8867969632.7135124</v>
      </c>
      <c r="K2" s="11">
        <f t="shared" ref="K2:K33" si="4">IFERROR(J2/J3-1,"")</f>
        <v>1.4499999999999957E-2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9832645.5736184306</v>
      </c>
      <c r="D3" s="11">
        <v>1.47E-2</v>
      </c>
      <c r="E3" s="10">
        <f t="shared" si="2"/>
        <v>142445.93469221517</v>
      </c>
      <c r="G3" s="28"/>
      <c r="H3" s="10"/>
      <c r="I3" s="10">
        <f t="shared" ref="I3:I34" si="5">IF(H3&lt;&gt;"",H3,I2/(1+IF(G2="",0,G2)/100))</f>
        <v>889</v>
      </c>
      <c r="J3" s="10">
        <f t="shared" si="3"/>
        <v>8741221914.946785</v>
      </c>
      <c r="K3" s="11">
        <f t="shared" si="4"/>
        <v>1.4699999999999935E-2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9690199.6389262155</v>
      </c>
      <c r="D4" s="11">
        <v>1.41E-2</v>
      </c>
      <c r="E4" s="10">
        <f t="shared" si="2"/>
        <v>134732.09240593575</v>
      </c>
      <c r="F4" s="3"/>
      <c r="G4" s="28"/>
      <c r="H4" s="10"/>
      <c r="I4" s="10">
        <f t="shared" si="5"/>
        <v>889</v>
      </c>
      <c r="J4" s="10">
        <f t="shared" si="3"/>
        <v>8614587479.0054054</v>
      </c>
      <c r="K4" s="11">
        <f t="shared" si="4"/>
        <v>1.4100000000000001E-2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9555467.5465202797</v>
      </c>
      <c r="D5" s="11">
        <v>1.41E-2</v>
      </c>
      <c r="E5" s="10">
        <f t="shared" si="2"/>
        <v>132858.78355777077</v>
      </c>
      <c r="F5" s="3"/>
      <c r="G5" s="28"/>
      <c r="H5" s="10"/>
      <c r="I5" s="10">
        <f t="shared" si="5"/>
        <v>889</v>
      </c>
      <c r="J5" s="10">
        <f t="shared" si="3"/>
        <v>8494810648.8565283</v>
      </c>
      <c r="K5" s="11">
        <f t="shared" si="4"/>
        <v>1.4100000000000001E-2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9422608.7629625089</v>
      </c>
      <c r="D6" s="11">
        <v>1.43E-2</v>
      </c>
      <c r="E6" s="10">
        <f t="shared" si="2"/>
        <v>132843.64124062285</v>
      </c>
      <c r="F6" s="3"/>
      <c r="G6" s="28"/>
      <c r="H6" s="10"/>
      <c r="I6" s="10">
        <f t="shared" si="5"/>
        <v>889</v>
      </c>
      <c r="J6" s="10">
        <f t="shared" si="3"/>
        <v>8376699190.2736702</v>
      </c>
      <c r="K6" s="11">
        <f t="shared" si="4"/>
        <v>1.4299999999999979E-2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9289765.1217218861</v>
      </c>
      <c r="D7" s="11">
        <v>1.46E-2</v>
      </c>
      <c r="E7" s="10">
        <f t="shared" si="2"/>
        <v>133678.85942946933</v>
      </c>
      <c r="F7" s="3"/>
      <c r="G7" s="28"/>
      <c r="H7" s="10"/>
      <c r="I7" s="10">
        <f t="shared" si="5"/>
        <v>889</v>
      </c>
      <c r="J7" s="10">
        <f t="shared" si="3"/>
        <v>8258601193.2107563</v>
      </c>
      <c r="K7" s="11">
        <f t="shared" si="4"/>
        <v>1.4599999999999946E-2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9156086.2622924168</v>
      </c>
      <c r="D8" s="11">
        <v>1.4999999999999999E-2</v>
      </c>
      <c r="E8" s="10">
        <f t="shared" si="2"/>
        <v>135311.61963978782</v>
      </c>
      <c r="F8" s="3"/>
      <c r="G8" s="28"/>
      <c r="H8" s="10"/>
      <c r="I8" s="10">
        <f t="shared" si="5"/>
        <v>889</v>
      </c>
      <c r="J8" s="10">
        <f t="shared" si="3"/>
        <v>8139760687.1779585</v>
      </c>
      <c r="K8" s="11">
        <f t="shared" si="4"/>
        <v>1.4999999999999902E-2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9020774.6426526289</v>
      </c>
      <c r="D9" s="11">
        <v>1.52E-2</v>
      </c>
      <c r="E9" s="10">
        <f t="shared" si="2"/>
        <v>135062.81970874779</v>
      </c>
      <c r="F9" s="3"/>
      <c r="G9" s="28"/>
      <c r="H9" s="10"/>
      <c r="I9" s="10">
        <f t="shared" si="5"/>
        <v>889</v>
      </c>
      <c r="J9" s="10">
        <f t="shared" si="3"/>
        <v>8019468657.3181868</v>
      </c>
      <c r="K9" s="11">
        <f t="shared" si="4"/>
        <v>1.519999999999988E-2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8885711.8229438812</v>
      </c>
      <c r="D10" s="11">
        <v>1.5299999999999999E-2</v>
      </c>
      <c r="E10" s="10">
        <f t="shared" si="2"/>
        <v>133902.67988874391</v>
      </c>
      <c r="F10" s="3"/>
      <c r="G10" s="28"/>
      <c r="H10" s="10"/>
      <c r="I10" s="10">
        <f t="shared" si="5"/>
        <v>889</v>
      </c>
      <c r="J10" s="10">
        <f t="shared" si="3"/>
        <v>7899397810.5971107</v>
      </c>
      <c r="K10" s="11">
        <f t="shared" si="4"/>
        <v>1.5300000000000091E-2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8751809.1430551372</v>
      </c>
      <c r="D11" s="11">
        <v>1.54E-2</v>
      </c>
      <c r="E11" s="10">
        <f t="shared" si="2"/>
        <v>132733.76088541374</v>
      </c>
      <c r="F11" s="3"/>
      <c r="G11" s="28"/>
      <c r="H11" s="10"/>
      <c r="I11" s="10">
        <f t="shared" si="5"/>
        <v>889</v>
      </c>
      <c r="J11" s="10">
        <f t="shared" si="3"/>
        <v>7780358328.1760168</v>
      </c>
      <c r="K11" s="11">
        <f t="shared" si="4"/>
        <v>1.540000000000008E-2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8619075.3821697235</v>
      </c>
      <c r="D12" s="11">
        <v>1.55E-2</v>
      </c>
      <c r="E12" s="10">
        <f t="shared" si="2"/>
        <v>131556.54202228598</v>
      </c>
      <c r="F12" s="3"/>
      <c r="G12" s="28"/>
      <c r="H12" s="10"/>
      <c r="I12" s="10">
        <f t="shared" si="5"/>
        <v>889</v>
      </c>
      <c r="J12" s="10">
        <f t="shared" si="3"/>
        <v>7662358014.7488842</v>
      </c>
      <c r="K12" s="11">
        <f t="shared" si="4"/>
        <v>1.5500000000000069E-2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8487518.8401474375</v>
      </c>
      <c r="D13" s="11">
        <v>1.54E-2</v>
      </c>
      <c r="E13" s="10">
        <f t="shared" si="2"/>
        <v>128725.41869043931</v>
      </c>
      <c r="F13" s="3"/>
      <c r="G13" s="28"/>
      <c r="H13" s="10"/>
      <c r="I13" s="10">
        <f t="shared" si="5"/>
        <v>889</v>
      </c>
      <c r="J13" s="10">
        <f t="shared" si="3"/>
        <v>7545404248.8910723</v>
      </c>
      <c r="K13" s="11">
        <f t="shared" si="4"/>
        <v>1.5400000000000302E-2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8358793.4214569982</v>
      </c>
      <c r="D14" s="11">
        <v>1.54E-2</v>
      </c>
      <c r="E14" s="10">
        <f t="shared" si="2"/>
        <v>126773.11275402643</v>
      </c>
      <c r="F14" s="3"/>
      <c r="G14" s="28"/>
      <c r="H14" s="10"/>
      <c r="I14" s="10">
        <f t="shared" si="5"/>
        <v>889</v>
      </c>
      <c r="J14" s="10">
        <f t="shared" si="3"/>
        <v>7430967351.675271</v>
      </c>
      <c r="K14" s="11">
        <f t="shared" si="4"/>
        <v>1.540000000000008E-2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8232020.3087029718</v>
      </c>
      <c r="D15" s="11">
        <v>1.5599999999999999E-2</v>
      </c>
      <c r="E15" s="10">
        <f t="shared" si="2"/>
        <v>126446.94448184967</v>
      </c>
      <c r="F15" s="3"/>
      <c r="G15" s="28"/>
      <c r="H15" s="10"/>
      <c r="I15" s="10">
        <f t="shared" si="5"/>
        <v>889</v>
      </c>
      <c r="J15" s="10">
        <f t="shared" si="3"/>
        <v>7318266054.4369421</v>
      </c>
      <c r="K15" s="11">
        <f t="shared" si="4"/>
        <v>1.5600000000000058E-2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8105573.3642211221</v>
      </c>
      <c r="D16" s="11">
        <v>1.61E-2</v>
      </c>
      <c r="E16" s="10">
        <f t="shared" si="2"/>
        <v>128431.97634480894</v>
      </c>
      <c r="F16" s="3"/>
      <c r="G16" s="28"/>
      <c r="H16" s="10"/>
      <c r="I16" s="10">
        <f t="shared" si="5"/>
        <v>889</v>
      </c>
      <c r="J16" s="10">
        <f t="shared" si="3"/>
        <v>7205854720.7925777</v>
      </c>
      <c r="K16" s="11">
        <f t="shared" si="4"/>
        <v>1.6100000000000003E-2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7977141.3878763132</v>
      </c>
      <c r="D17" s="11">
        <v>1.67E-2</v>
      </c>
      <c r="E17" s="10">
        <f t="shared" si="2"/>
        <v>131030.05918907654</v>
      </c>
      <c r="F17" s="3"/>
      <c r="G17" s="28"/>
      <c r="H17" s="10"/>
      <c r="I17" s="10">
        <f t="shared" si="5"/>
        <v>889</v>
      </c>
      <c r="J17" s="10">
        <f t="shared" si="3"/>
        <v>7091678693.8220425</v>
      </c>
      <c r="K17" s="11">
        <f t="shared" si="4"/>
        <v>1.6699999999999937E-2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7846111.3286872366</v>
      </c>
      <c r="D18" s="11">
        <v>1.7399999999999999E-2</v>
      </c>
      <c r="E18" s="10">
        <f t="shared" si="2"/>
        <v>134187.47505323216</v>
      </c>
      <c r="F18" s="3"/>
      <c r="G18" s="28"/>
      <c r="H18" s="10"/>
      <c r="I18" s="10">
        <f t="shared" si="5"/>
        <v>889</v>
      </c>
      <c r="J18" s="10">
        <f t="shared" si="3"/>
        <v>6975192971.2029533</v>
      </c>
      <c r="K18" s="11">
        <f t="shared" si="4"/>
        <v>1.7400000000000082E-2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7711923.8536340045</v>
      </c>
      <c r="D19" s="11">
        <v>1.8200000000000001E-2</v>
      </c>
      <c r="E19" s="10">
        <f t="shared" si="2"/>
        <v>137848.17730911262</v>
      </c>
      <c r="F19" s="3"/>
      <c r="G19" s="28"/>
      <c r="H19" s="10"/>
      <c r="I19" s="10">
        <f t="shared" si="5"/>
        <v>889</v>
      </c>
      <c r="J19" s="10">
        <f t="shared" si="3"/>
        <v>6855900305.8806295</v>
      </c>
      <c r="K19" s="11">
        <f t="shared" si="4"/>
        <v>1.8199999999999994E-2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7574075.6763248919</v>
      </c>
      <c r="D20" s="11">
        <v>1.9099999999999999E-2</v>
      </c>
      <c r="E20" s="10">
        <f t="shared" si="2"/>
        <v>141953.53293867595</v>
      </c>
      <c r="F20" s="3"/>
      <c r="G20" s="28"/>
      <c r="H20" s="10"/>
      <c r="I20" s="10">
        <f t="shared" si="5"/>
        <v>889</v>
      </c>
      <c r="J20" s="10">
        <f t="shared" si="3"/>
        <v>6733353276.2528286</v>
      </c>
      <c r="K20" s="11">
        <f t="shared" si="4"/>
        <v>1.9099999999999895E-2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7432122.1433862159</v>
      </c>
      <c r="D21" s="11">
        <v>1.9800000000000002E-2</v>
      </c>
      <c r="E21" s="10">
        <f t="shared" si="2"/>
        <v>144298.90021479409</v>
      </c>
      <c r="F21" s="3"/>
      <c r="G21" s="28"/>
      <c r="H21" s="10"/>
      <c r="I21" s="10">
        <f t="shared" si="5"/>
        <v>889</v>
      </c>
      <c r="J21" s="10">
        <f t="shared" si="3"/>
        <v>6607156585.4703455</v>
      </c>
      <c r="K21" s="11">
        <f t="shared" si="4"/>
        <v>1.980000000000004E-2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7287823.2431714218</v>
      </c>
      <c r="D22" s="11">
        <v>2.06E-2</v>
      </c>
      <c r="E22" s="10">
        <f t="shared" si="2"/>
        <v>147098.92103598919</v>
      </c>
      <c r="F22" s="3"/>
      <c r="G22" s="28"/>
      <c r="H22" s="10"/>
      <c r="I22" s="10">
        <f t="shared" si="5"/>
        <v>889</v>
      </c>
      <c r="J22" s="10">
        <f t="shared" si="3"/>
        <v>6478874863.1793938</v>
      </c>
      <c r="K22" s="11">
        <f t="shared" si="4"/>
        <v>2.059999999999973E-2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7140724.3221354326</v>
      </c>
      <c r="D23" s="11">
        <v>2.1499999999999998E-2</v>
      </c>
      <c r="E23" s="10">
        <f t="shared" si="2"/>
        <v>150294.24662350677</v>
      </c>
      <c r="F23" s="3"/>
      <c r="G23" s="28"/>
      <c r="H23" s="10"/>
      <c r="I23" s="10">
        <f t="shared" si="5"/>
        <v>889</v>
      </c>
      <c r="J23" s="10">
        <f t="shared" si="3"/>
        <v>6348103922.3783998</v>
      </c>
      <c r="K23" s="11">
        <f t="shared" si="4"/>
        <v>2.1500000000000075E-2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6990430.0755119259</v>
      </c>
      <c r="D24" s="11">
        <v>2.24E-2</v>
      </c>
      <c r="E24" s="10">
        <f t="shared" si="2"/>
        <v>153154.96253077779</v>
      </c>
      <c r="F24" s="3"/>
      <c r="G24" s="28"/>
      <c r="H24" s="10"/>
      <c r="I24" s="10">
        <f t="shared" si="5"/>
        <v>889</v>
      </c>
      <c r="J24" s="10">
        <f t="shared" si="3"/>
        <v>6214492337.1301022</v>
      </c>
      <c r="K24" s="11">
        <f t="shared" si="4"/>
        <v>2.2399999999999975E-2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6837275.1129811481</v>
      </c>
      <c r="D25" s="11">
        <v>2.3300000000000001E-2</v>
      </c>
      <c r="E25" s="10">
        <f t="shared" si="2"/>
        <v>155681.1395802414</v>
      </c>
      <c r="F25" s="3"/>
      <c r="G25" s="28"/>
      <c r="H25" s="10"/>
      <c r="I25" s="10">
        <f t="shared" si="5"/>
        <v>889</v>
      </c>
      <c r="J25" s="10">
        <f t="shared" si="3"/>
        <v>6078337575.4402409</v>
      </c>
      <c r="K25" s="11">
        <f t="shared" si="4"/>
        <v>2.3300000000000098E-2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6681593.9734009067</v>
      </c>
      <c r="D26" s="11">
        <v>2.41E-2</v>
      </c>
      <c r="E26" s="10">
        <f t="shared" si="2"/>
        <v>157237.00298697595</v>
      </c>
      <c r="F26" s="3"/>
      <c r="G26" s="28"/>
      <c r="H26" s="10"/>
      <c r="I26" s="10">
        <f t="shared" si="5"/>
        <v>889</v>
      </c>
      <c r="J26" s="10">
        <f t="shared" si="3"/>
        <v>5939937042.353406</v>
      </c>
      <c r="K26" s="11">
        <f t="shared" si="4"/>
        <v>2.410000000000001E-2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6524356.9704139307</v>
      </c>
      <c r="D27" s="11">
        <v>2.4899999999999999E-2</v>
      </c>
      <c r="E27" s="10">
        <f t="shared" si="2"/>
        <v>158509.59953488782</v>
      </c>
      <c r="F27" s="3"/>
      <c r="G27" s="28"/>
      <c r="H27" s="10"/>
      <c r="I27" s="10">
        <f t="shared" si="5"/>
        <v>889</v>
      </c>
      <c r="J27" s="10">
        <f t="shared" si="3"/>
        <v>5800153346.6979847</v>
      </c>
      <c r="K27" s="11">
        <f t="shared" si="4"/>
        <v>2.4900000000000144E-2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6365847.3708790429</v>
      </c>
      <c r="D28" s="11">
        <v>2.5700000000000001E-2</v>
      </c>
      <c r="E28" s="10">
        <f t="shared" si="2"/>
        <v>159503.04907048028</v>
      </c>
      <c r="F28" s="3"/>
      <c r="G28" s="28"/>
      <c r="H28" s="10"/>
      <c r="I28" s="10">
        <f t="shared" si="5"/>
        <v>889</v>
      </c>
      <c r="J28" s="10">
        <f t="shared" si="3"/>
        <v>5659238312.7114687</v>
      </c>
      <c r="K28" s="11">
        <f t="shared" si="4"/>
        <v>2.5699999999999834E-2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6206344.3218085626</v>
      </c>
      <c r="D29" s="11">
        <v>2.6499999999999999E-2</v>
      </c>
      <c r="E29" s="10">
        <f t="shared" si="2"/>
        <v>160222.23529267125</v>
      </c>
      <c r="F29" s="3"/>
      <c r="G29" s="28"/>
      <c r="H29" s="10"/>
      <c r="I29" s="10">
        <f t="shared" si="5"/>
        <v>889</v>
      </c>
      <c r="J29" s="10">
        <f t="shared" si="3"/>
        <v>5517440102.0878124</v>
      </c>
      <c r="K29" s="11">
        <f t="shared" si="4"/>
        <v>2.650000000000019E-2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6046122.0865158914</v>
      </c>
      <c r="D30" s="11">
        <v>2.7199999999999998E-2</v>
      </c>
      <c r="E30" s="10">
        <f t="shared" si="2"/>
        <v>160099.80602923594</v>
      </c>
      <c r="F30" s="3"/>
      <c r="G30" s="28"/>
      <c r="H30" s="10"/>
      <c r="I30" s="10">
        <f t="shared" si="5"/>
        <v>889</v>
      </c>
      <c r="J30" s="10">
        <f t="shared" si="3"/>
        <v>5375002534.9126272</v>
      </c>
      <c r="K30" s="11">
        <f t="shared" si="4"/>
        <v>2.7199999999999891E-2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5886022.2804866554</v>
      </c>
      <c r="D31" s="11">
        <v>2.7799999999999998E-2</v>
      </c>
      <c r="E31" s="10">
        <f t="shared" si="2"/>
        <v>159205.50632178411</v>
      </c>
      <c r="F31" s="3"/>
      <c r="G31" s="28"/>
      <c r="H31" s="10"/>
      <c r="I31" s="10">
        <f t="shared" si="5"/>
        <v>889</v>
      </c>
      <c r="J31" s="10">
        <f t="shared" si="3"/>
        <v>5232673807.3526363</v>
      </c>
      <c r="K31" s="11">
        <f t="shared" si="4"/>
        <v>2.7800000000000047E-2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5726816.7741648713</v>
      </c>
      <c r="D32" s="11">
        <v>2.8400000000000002E-2</v>
      </c>
      <c r="E32" s="10">
        <f t="shared" si="2"/>
        <v>158150.13261987735</v>
      </c>
      <c r="F32" s="3"/>
      <c r="G32" s="28"/>
      <c r="H32" s="10"/>
      <c r="I32" s="10">
        <f t="shared" si="5"/>
        <v>889</v>
      </c>
      <c r="J32" s="10">
        <f t="shared" si="3"/>
        <v>5091140112.2325706</v>
      </c>
      <c r="K32" s="11">
        <f t="shared" si="4"/>
        <v>2.8399999999999759E-2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5568666.641544994</v>
      </c>
      <c r="D33" s="11">
        <v>2.87E-2</v>
      </c>
      <c r="E33" s="10">
        <f t="shared" si="2"/>
        <v>155361.8475866057</v>
      </c>
      <c r="F33" s="3"/>
      <c r="G33" s="28"/>
      <c r="H33" s="10"/>
      <c r="I33" s="10">
        <f t="shared" si="5"/>
        <v>889</v>
      </c>
      <c r="J33" s="10">
        <f t="shared" si="3"/>
        <v>4950544644.3334999</v>
      </c>
      <c r="K33" s="11">
        <f t="shared" si="4"/>
        <v>2.8699999999999948E-2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5413304.7939583883</v>
      </c>
      <c r="D34" s="11">
        <v>2.86E-2</v>
      </c>
      <c r="E34" s="10">
        <f t="shared" si="2"/>
        <v>150515.76619405951</v>
      </c>
      <c r="F34" s="3"/>
      <c r="G34" s="28"/>
      <c r="H34" s="10"/>
      <c r="I34" s="10">
        <f t="shared" si="5"/>
        <v>889</v>
      </c>
      <c r="J34" s="10">
        <f t="shared" ref="J34:J65" si="6">IF(I34="","",I34*C34)</f>
        <v>4812427961.8290071</v>
      </c>
      <c r="K34" s="11">
        <f t="shared" ref="K34:K65" si="7">IFERROR(J34/J35-1,"")</f>
        <v>2.8599999999999959E-2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5262789.0277643288</v>
      </c>
      <c r="D35" s="11">
        <v>2.8199999999999999E-2</v>
      </c>
      <c r="E35" s="10">
        <f t="shared" si="2"/>
        <v>144340.25538120419</v>
      </c>
      <c r="F35" s="3"/>
      <c r="G35" s="28"/>
      <c r="H35" s="10"/>
      <c r="I35" s="10">
        <f t="shared" ref="I35:I66" si="8">IF(H35&lt;&gt;"",H35,I34/(1+IF(G34="",0,G34)/100))</f>
        <v>889</v>
      </c>
      <c r="J35" s="10">
        <f t="shared" si="6"/>
        <v>4678619445.6824884</v>
      </c>
      <c r="K35" s="11">
        <f t="shared" si="7"/>
        <v>2.8200000000000003E-2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5118448.7723831246</v>
      </c>
      <c r="D36" s="11">
        <v>2.7400000000000001E-2</v>
      </c>
      <c r="E36" s="10">
        <f t="shared" si="2"/>
        <v>136505.25244627055</v>
      </c>
      <c r="F36" s="3"/>
      <c r="G36" s="28"/>
      <c r="H36" s="10"/>
      <c r="I36" s="10">
        <f t="shared" si="8"/>
        <v>889</v>
      </c>
      <c r="J36" s="10">
        <f t="shared" si="6"/>
        <v>4550300958.6485977</v>
      </c>
      <c r="K36" s="11">
        <f t="shared" si="7"/>
        <v>2.7400000000000091E-2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4981943.519936854</v>
      </c>
      <c r="D37" s="11">
        <v>2.64E-2</v>
      </c>
      <c r="E37" s="10">
        <f t="shared" si="2"/>
        <v>128140.40230546892</v>
      </c>
      <c r="F37" s="3"/>
      <c r="G37" s="28"/>
      <c r="H37" s="10"/>
      <c r="I37" s="10">
        <f t="shared" si="8"/>
        <v>889</v>
      </c>
      <c r="J37" s="10">
        <f t="shared" si="6"/>
        <v>4428947789.2238636</v>
      </c>
      <c r="K37" s="11">
        <f t="shared" si="7"/>
        <v>2.6399999999999979E-2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4853803.1176313851</v>
      </c>
      <c r="D38" s="11">
        <v>2.5399999999999999E-2</v>
      </c>
      <c r="E38" s="10">
        <f t="shared" si="2"/>
        <v>120232.68889003061</v>
      </c>
      <c r="F38" s="3"/>
      <c r="G38" s="28"/>
      <c r="H38" s="10"/>
      <c r="I38" s="10">
        <f t="shared" si="8"/>
        <v>889</v>
      </c>
      <c r="J38" s="10">
        <f t="shared" si="6"/>
        <v>4315030971.5743017</v>
      </c>
      <c r="K38" s="11">
        <f t="shared" si="7"/>
        <v>2.5400000000000089E-2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4733570.4287413545</v>
      </c>
      <c r="D39" s="11">
        <v>2.4299999999999999E-2</v>
      </c>
      <c r="E39" s="10">
        <f t="shared" si="2"/>
        <v>112296.94563937839</v>
      </c>
      <c r="F39" s="3"/>
      <c r="G39" s="28"/>
      <c r="H39" s="10"/>
      <c r="I39" s="10">
        <f t="shared" si="8"/>
        <v>889</v>
      </c>
      <c r="J39" s="10">
        <f t="shared" si="6"/>
        <v>4208144111.1510639</v>
      </c>
      <c r="K39" s="11">
        <f t="shared" si="7"/>
        <v>2.4299999999999988E-2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4621273.4831019761</v>
      </c>
      <c r="D40" s="11">
        <v>2.3300000000000001E-2</v>
      </c>
      <c r="E40" s="10">
        <f t="shared" si="2"/>
        <v>105223.9540274376</v>
      </c>
      <c r="F40" s="3"/>
      <c r="G40" s="28"/>
      <c r="H40" s="10"/>
      <c r="I40" s="10">
        <f t="shared" si="8"/>
        <v>889</v>
      </c>
      <c r="J40" s="10">
        <f t="shared" si="6"/>
        <v>4108312126.4776568</v>
      </c>
      <c r="K40" s="11">
        <f t="shared" si="7"/>
        <v>2.3300000000000098E-2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4516049.5290745385</v>
      </c>
      <c r="D41" s="11">
        <v>2.24E-2</v>
      </c>
      <c r="E41" s="10">
        <f t="shared" si="2"/>
        <v>98943.182170647196</v>
      </c>
      <c r="F41" s="3"/>
      <c r="G41" s="28"/>
      <c r="H41" s="10"/>
      <c r="I41" s="10">
        <f t="shared" si="8"/>
        <v>889</v>
      </c>
      <c r="J41" s="10">
        <f t="shared" si="6"/>
        <v>4014768031.3472648</v>
      </c>
      <c r="K41" s="11">
        <f t="shared" si="7"/>
        <v>2.2399999999999975E-2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4417106.3469038913</v>
      </c>
      <c r="D42" s="11">
        <v>2.1499999999999998E-2</v>
      </c>
      <c r="E42" s="10">
        <f t="shared" si="2"/>
        <v>92968.953948540613</v>
      </c>
      <c r="F42" s="3"/>
      <c r="G42" s="28"/>
      <c r="H42" s="10"/>
      <c r="I42" s="10">
        <f t="shared" si="8"/>
        <v>889</v>
      </c>
      <c r="J42" s="10">
        <f t="shared" si="6"/>
        <v>3926807542.3975592</v>
      </c>
      <c r="K42" s="11">
        <f t="shared" si="7"/>
        <v>2.1500000000000075E-2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4324137.3929553507</v>
      </c>
      <c r="D43" s="11">
        <v>2.0799999999999999E-2</v>
      </c>
      <c r="E43" s="10">
        <f t="shared" si="2"/>
        <v>88109.382615077309</v>
      </c>
      <c r="F43" s="3"/>
      <c r="G43" s="28"/>
      <c r="H43" s="10"/>
      <c r="I43" s="10">
        <f t="shared" si="8"/>
        <v>889</v>
      </c>
      <c r="J43" s="10">
        <f t="shared" si="6"/>
        <v>3844158142.337307</v>
      </c>
      <c r="K43" s="11">
        <f t="shared" si="7"/>
        <v>2.079999999999993E-2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4236028.0103402734</v>
      </c>
      <c r="D44" s="11">
        <v>2.0199999999999999E-2</v>
      </c>
      <c r="E44" s="10">
        <f t="shared" si="2"/>
        <v>83873.520690917037</v>
      </c>
      <c r="F44" s="3"/>
      <c r="G44" s="28"/>
      <c r="H44" s="10"/>
      <c r="I44" s="10">
        <f t="shared" si="8"/>
        <v>889</v>
      </c>
      <c r="J44" s="10">
        <f t="shared" si="6"/>
        <v>3765828901.192503</v>
      </c>
      <c r="K44" s="11">
        <f t="shared" si="7"/>
        <v>2.0199999999999996E-2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4152154.4896493563</v>
      </c>
      <c r="D45" s="11">
        <v>1.9800000000000002E-2</v>
      </c>
      <c r="E45" s="10">
        <f t="shared" si="2"/>
        <v>80616.453123217914</v>
      </c>
      <c r="F45" s="3"/>
      <c r="G45" s="28"/>
      <c r="H45" s="10"/>
      <c r="I45" s="10">
        <f t="shared" si="8"/>
        <v>889</v>
      </c>
      <c r="J45" s="10">
        <f t="shared" si="6"/>
        <v>3691265341.2982779</v>
      </c>
      <c r="K45" s="11">
        <f t="shared" si="7"/>
        <v>1.9800000000000262E-2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4071538.0365261384</v>
      </c>
      <c r="D46" s="11">
        <v>1.9599999999999999E-2</v>
      </c>
      <c r="E46" s="10">
        <f t="shared" si="2"/>
        <v>78268.090933613945</v>
      </c>
      <c r="F46" s="3"/>
      <c r="G46" s="28"/>
      <c r="H46" s="10"/>
      <c r="I46" s="10">
        <f t="shared" si="8"/>
        <v>889</v>
      </c>
      <c r="J46" s="10">
        <f t="shared" si="6"/>
        <v>3619597314.4717369</v>
      </c>
      <c r="K46" s="11">
        <f t="shared" si="7"/>
        <v>1.9600000000000062E-2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3993269.9455925245</v>
      </c>
      <c r="D47" s="11">
        <v>1.95E-2</v>
      </c>
      <c r="E47" s="10">
        <f t="shared" si="2"/>
        <v>76379.366296276916</v>
      </c>
      <c r="F47" s="3"/>
      <c r="G47" s="28"/>
      <c r="H47" s="10"/>
      <c r="I47" s="10">
        <f t="shared" si="8"/>
        <v>889</v>
      </c>
      <c r="J47" s="10">
        <f t="shared" si="6"/>
        <v>3550016981.6317544</v>
      </c>
      <c r="K47" s="11">
        <f t="shared" si="7"/>
        <v>1.9500000000000073E-2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3916890.5792962476</v>
      </c>
      <c r="D48" s="11">
        <v>1.9699999999999999E-2</v>
      </c>
      <c r="E48" s="10">
        <f t="shared" si="2"/>
        <v>75672.00589598529</v>
      </c>
      <c r="F48" s="3"/>
      <c r="G48" s="28"/>
      <c r="H48" s="10"/>
      <c r="I48" s="10">
        <f t="shared" si="8"/>
        <v>889</v>
      </c>
      <c r="J48" s="10">
        <f t="shared" si="6"/>
        <v>3482115724.9943643</v>
      </c>
      <c r="K48" s="11">
        <f t="shared" si="7"/>
        <v>1.9700000000000051E-2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3841218.5734002623</v>
      </c>
      <c r="D49" s="11">
        <v>2.01E-2</v>
      </c>
      <c r="E49" s="10">
        <f t="shared" si="2"/>
        <v>75687.180987496395</v>
      </c>
      <c r="F49" s="3"/>
      <c r="G49" s="28"/>
      <c r="H49" s="10"/>
      <c r="I49" s="10">
        <f t="shared" si="8"/>
        <v>889</v>
      </c>
      <c r="J49" s="10">
        <f t="shared" si="6"/>
        <v>3414843311.7528334</v>
      </c>
      <c r="K49" s="11">
        <f t="shared" si="7"/>
        <v>2.0100000000000007E-2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3765531.3924127659</v>
      </c>
      <c r="D50" s="11">
        <v>2.07E-2</v>
      </c>
      <c r="E50" s="10">
        <f t="shared" si="2"/>
        <v>76365.729227926116</v>
      </c>
      <c r="F50" s="3"/>
      <c r="G50" s="28"/>
      <c r="H50" s="10"/>
      <c r="I50" s="10">
        <f t="shared" si="8"/>
        <v>889</v>
      </c>
      <c r="J50" s="10">
        <f t="shared" si="6"/>
        <v>3347557407.854949</v>
      </c>
      <c r="K50" s="11">
        <f t="shared" si="7"/>
        <v>2.0700000000000163E-2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3689165.6631848398</v>
      </c>
      <c r="D51" s="11">
        <v>2.1499999999999998E-2</v>
      </c>
      <c r="E51" s="10">
        <f t="shared" si="2"/>
        <v>77647.637551125139</v>
      </c>
      <c r="F51" s="3"/>
      <c r="G51" s="28"/>
      <c r="H51" s="10"/>
      <c r="I51" s="10">
        <f t="shared" si="8"/>
        <v>889</v>
      </c>
      <c r="J51" s="10">
        <f t="shared" si="6"/>
        <v>3279668274.5713224</v>
      </c>
      <c r="K51" s="11">
        <f t="shared" si="7"/>
        <v>2.1500000000000075E-2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3611518.0256337146</v>
      </c>
      <c r="D52" s="11">
        <v>2.23E-2</v>
      </c>
      <c r="E52" s="10">
        <f t="shared" si="2"/>
        <v>78780.056707064155</v>
      </c>
      <c r="F52" s="3"/>
      <c r="G52" s="28"/>
      <c r="H52" s="10"/>
      <c r="I52" s="10">
        <f t="shared" si="8"/>
        <v>889</v>
      </c>
      <c r="J52" s="10">
        <f t="shared" si="6"/>
        <v>3210639524.7883725</v>
      </c>
      <c r="K52" s="11">
        <f t="shared" si="7"/>
        <v>2.2299999999999986E-2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3532737.9689266505</v>
      </c>
      <c r="D53" s="11">
        <v>2.3E-2</v>
      </c>
      <c r="E53" s="10">
        <f t="shared" si="2"/>
        <v>79426.171344391536</v>
      </c>
      <c r="F53" s="3"/>
      <c r="G53" s="28"/>
      <c r="H53" s="10"/>
      <c r="I53" s="10">
        <f t="shared" si="8"/>
        <v>889</v>
      </c>
      <c r="J53" s="10">
        <f t="shared" si="6"/>
        <v>3140604054.3757925</v>
      </c>
      <c r="K53" s="11">
        <f t="shared" si="7"/>
        <v>2.2999999999999909E-2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3453311.7975822589</v>
      </c>
      <c r="D54" s="11">
        <v>2.3199999999999998E-2</v>
      </c>
      <c r="E54" s="10">
        <f t="shared" si="2"/>
        <v>78300.267497956287</v>
      </c>
      <c r="F54" s="3"/>
      <c r="G54" s="28"/>
      <c r="H54" s="10"/>
      <c r="I54" s="10">
        <f t="shared" si="8"/>
        <v>889</v>
      </c>
      <c r="J54" s="10">
        <f t="shared" si="6"/>
        <v>3069994188.0506282</v>
      </c>
      <c r="K54" s="11">
        <f t="shared" si="7"/>
        <v>2.3200000000000109E-2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3375011.5300843026</v>
      </c>
      <c r="D55" s="11">
        <v>2.3E-2</v>
      </c>
      <c r="E55" s="10">
        <f t="shared" si="2"/>
        <v>75880.024625550956</v>
      </c>
      <c r="F55" s="3"/>
      <c r="G55" s="28"/>
      <c r="H55" s="10"/>
      <c r="I55" s="10">
        <f t="shared" si="8"/>
        <v>889</v>
      </c>
      <c r="J55" s="10">
        <f t="shared" si="6"/>
        <v>3000385250.244945</v>
      </c>
      <c r="K55" s="11">
        <f t="shared" si="7"/>
        <v>2.2999999999999909E-2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3299131.5054587517</v>
      </c>
      <c r="D56" s="11">
        <v>2.2800000000000001E-2</v>
      </c>
      <c r="E56" s="10">
        <f t="shared" si="2"/>
        <v>73543.408608192578</v>
      </c>
      <c r="F56" s="3"/>
      <c r="G56" s="28"/>
      <c r="H56" s="10"/>
      <c r="I56" s="10">
        <f t="shared" si="8"/>
        <v>889</v>
      </c>
      <c r="J56" s="10">
        <f t="shared" si="6"/>
        <v>2932927908.3528304</v>
      </c>
      <c r="K56" s="11">
        <f t="shared" si="7"/>
        <v>2.2799999999999931E-2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3225588.0968505591</v>
      </c>
      <c r="D57" s="11">
        <v>2.2700000000000001E-2</v>
      </c>
      <c r="E57" s="10">
        <f t="shared" si="2"/>
        <v>71595.62901975913</v>
      </c>
      <c r="F57" s="3"/>
      <c r="G57" s="28"/>
      <c r="H57" s="10"/>
      <c r="I57" s="10">
        <f t="shared" si="8"/>
        <v>889</v>
      </c>
      <c r="J57" s="10">
        <f t="shared" si="6"/>
        <v>2867547818.1001472</v>
      </c>
      <c r="K57" s="11">
        <f t="shared" si="7"/>
        <v>2.2699999999999942E-2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3153992.4678308</v>
      </c>
      <c r="D58" s="11">
        <v>2.29E-2</v>
      </c>
      <c r="E58" s="10">
        <f t="shared" si="2"/>
        <v>70609.470635766163</v>
      </c>
      <c r="F58" s="3"/>
      <c r="G58" s="28"/>
      <c r="H58" s="10"/>
      <c r="I58" s="10">
        <f t="shared" si="8"/>
        <v>889</v>
      </c>
      <c r="J58" s="10">
        <f t="shared" si="6"/>
        <v>2803899303.9015813</v>
      </c>
      <c r="K58" s="11">
        <f t="shared" si="7"/>
        <v>2.2900000000000142E-2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3083382.9971950338</v>
      </c>
      <c r="D59" s="11">
        <v>2.3199999999999998E-2</v>
      </c>
      <c r="E59" s="10">
        <f t="shared" si="2"/>
        <v>69912.51518268697</v>
      </c>
      <c r="F59" s="3"/>
      <c r="G59" s="28"/>
      <c r="H59" s="10"/>
      <c r="I59" s="10">
        <f t="shared" si="8"/>
        <v>889</v>
      </c>
      <c r="J59" s="10">
        <f t="shared" si="6"/>
        <v>2741127484.5063848</v>
      </c>
      <c r="K59" s="11">
        <f t="shared" si="7"/>
        <v>2.3200000000000109E-2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3013470.4820123469</v>
      </c>
      <c r="D60" s="11">
        <v>2.3199999999999998E-2</v>
      </c>
      <c r="E60" s="10">
        <f t="shared" si="2"/>
        <v>68327.321327880025</v>
      </c>
      <c r="F60" s="3"/>
      <c r="G60" s="28"/>
      <c r="H60" s="10"/>
      <c r="I60" s="10">
        <f t="shared" si="8"/>
        <v>889</v>
      </c>
      <c r="J60" s="10">
        <f t="shared" si="6"/>
        <v>2678975258.5089765</v>
      </c>
      <c r="K60" s="11">
        <f t="shared" si="7"/>
        <v>2.3200000000000109E-2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2945143.1606844668</v>
      </c>
      <c r="D61" s="11">
        <v>2.3300000000000001E-2</v>
      </c>
      <c r="E61" s="10">
        <f t="shared" si="2"/>
        <v>67059.352725445293</v>
      </c>
      <c r="F61" s="3"/>
      <c r="G61" s="28"/>
      <c r="H61" s="10"/>
      <c r="I61" s="10">
        <f t="shared" si="8"/>
        <v>889</v>
      </c>
      <c r="J61" s="10">
        <f t="shared" si="6"/>
        <v>2618232269.8484912</v>
      </c>
      <c r="K61" s="11">
        <f t="shared" si="7"/>
        <v>2.3300000000000098E-2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2878083.8079590215</v>
      </c>
      <c r="D62" s="11">
        <v>2.3400000000000001E-2</v>
      </c>
      <c r="E62" s="10">
        <f t="shared" si="2"/>
        <v>65807.27096564509</v>
      </c>
      <c r="F62" s="3"/>
      <c r="G62" s="28"/>
      <c r="H62" s="10"/>
      <c r="I62" s="10">
        <f t="shared" si="8"/>
        <v>889</v>
      </c>
      <c r="J62" s="10">
        <f t="shared" si="6"/>
        <v>2558616505.2755699</v>
      </c>
      <c r="K62" s="11">
        <f t="shared" si="7"/>
        <v>2.3399999999999865E-2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2812276.5369933764</v>
      </c>
      <c r="D63" s="11">
        <v>2.3599999999999999E-2</v>
      </c>
      <c r="E63" s="10">
        <f t="shared" si="2"/>
        <v>64839.51374857733</v>
      </c>
      <c r="F63" s="3"/>
      <c r="G63" s="28"/>
      <c r="H63" s="10"/>
      <c r="I63" s="10">
        <f t="shared" si="8"/>
        <v>889</v>
      </c>
      <c r="J63" s="10">
        <f t="shared" si="6"/>
        <v>2500113841.3871117</v>
      </c>
      <c r="K63" s="11">
        <f t="shared" si="7"/>
        <v>2.3599999999999843E-2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2747437.0232447991</v>
      </c>
      <c r="D64" s="11">
        <v>2.3699999999999999E-2</v>
      </c>
      <c r="E64" s="10">
        <f t="shared" si="2"/>
        <v>63606.776839798782</v>
      </c>
      <c r="F64" s="3"/>
      <c r="G64" s="28"/>
      <c r="H64" s="10"/>
      <c r="I64" s="10">
        <f t="shared" si="8"/>
        <v>889</v>
      </c>
      <c r="J64" s="10">
        <f t="shared" si="6"/>
        <v>2442471513.6646266</v>
      </c>
      <c r="K64" s="11">
        <f t="shared" si="7"/>
        <v>2.3700000000000276E-2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2683830.2464050003</v>
      </c>
      <c r="D65" s="11">
        <v>2.3900000000000001E-2</v>
      </c>
      <c r="E65" s="10">
        <f t="shared" si="2"/>
        <v>62646.296405000146</v>
      </c>
      <c r="F65" s="3"/>
      <c r="G65" s="28"/>
      <c r="H65" s="10"/>
      <c r="I65" s="10">
        <f t="shared" si="8"/>
        <v>889</v>
      </c>
      <c r="J65" s="10">
        <f t="shared" si="6"/>
        <v>2385925089.0540452</v>
      </c>
      <c r="K65" s="11">
        <f t="shared" si="7"/>
        <v>2.3900000000000032E-2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2621183.9500000002</v>
      </c>
      <c r="D66" s="11">
        <v>2.41E-2</v>
      </c>
      <c r="E66" s="10">
        <f t="shared" si="2"/>
        <v>61683.950000000186</v>
      </c>
      <c r="F66" s="24">
        <f>SUM(F2)</f>
        <v>9975075</v>
      </c>
      <c r="G66" s="28"/>
      <c r="H66" s="10"/>
      <c r="I66" s="10">
        <f t="shared" si="8"/>
        <v>889</v>
      </c>
      <c r="J66" s="10">
        <f t="shared" ref="J66:J67" si="9">IF(I66="","",I66*C66)</f>
        <v>2330232531.5500002</v>
      </c>
      <c r="K66" s="11">
        <f t="shared" ref="K66" si="10">IFERROR(J66/J67-1,"")</f>
        <v>2.410000000000001E-2</v>
      </c>
    </row>
    <row r="67" spans="1:11" ht="22.5" customHeight="1">
      <c r="A67" s="3">
        <f t="shared" si="0"/>
        <v>1950</v>
      </c>
      <c r="B67" s="3">
        <v>1700</v>
      </c>
      <c r="C67" s="10">
        <v>2559500</v>
      </c>
      <c r="D67" s="11">
        <v>2.4299999999999999E-2</v>
      </c>
      <c r="E67" s="3" t="s">
        <v>72</v>
      </c>
      <c r="F67" s="10">
        <f>SUM(C2)</f>
        <v>9975218.9344358966</v>
      </c>
      <c r="G67" s="28"/>
      <c r="H67" s="10"/>
      <c r="I67" s="10">
        <f t="shared" ref="I67" si="11">IF(H67&lt;&gt;"",H67,I66/(1+IF(G66="",0,G66)/100))</f>
        <v>889</v>
      </c>
      <c r="J67" s="10">
        <f t="shared" si="9"/>
        <v>2275395500</v>
      </c>
      <c r="K67" s="11"/>
    </row>
  </sheetData>
  <dataValidations count="1">
    <dataValidation type="custom" allowBlank="1" showDropDown="1" sqref="D2:D67" xr:uid="{00000000-0002-0000-7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11839031.512861243</v>
      </c>
      <c r="D2" s="11">
        <v>1.5100000000000001E-2</v>
      </c>
      <c r="E2" s="10">
        <f t="shared" ref="E2:E66" si="2">SUM(C2-C3)</f>
        <v>176110.11313585192</v>
      </c>
      <c r="F2" s="15">
        <v>11838201</v>
      </c>
      <c r="G2" s="28"/>
      <c r="H2" s="10"/>
      <c r="I2" s="10">
        <f>IF(H2&lt;&gt;"",H2,2663)</f>
        <v>2663</v>
      </c>
      <c r="J2" s="10">
        <f t="shared" ref="J2:J33" si="3">IF(I2="","",I2*C2)</f>
        <v>31527340918.749489</v>
      </c>
      <c r="K2" s="11">
        <f t="shared" ref="K2:K33" si="4">IFERROR(J2/J3-1,"")</f>
        <v>1.5099999999999891E-2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11662921.399725391</v>
      </c>
      <c r="D3" s="11">
        <v>1.54E-2</v>
      </c>
      <c r="E3" s="10">
        <f t="shared" si="2"/>
        <v>176884.96115400083</v>
      </c>
      <c r="F3" s="3"/>
      <c r="G3" s="28"/>
      <c r="H3" s="10"/>
      <c r="I3" s="10">
        <f t="shared" ref="I3:I34" si="5">IF(H3&lt;&gt;"",H3,I2/(1+IF(G2="",0,G2)/100))</f>
        <v>2663</v>
      </c>
      <c r="J3" s="10">
        <f t="shared" si="3"/>
        <v>31058359687.468716</v>
      </c>
      <c r="K3" s="11">
        <f t="shared" si="4"/>
        <v>1.540000000000008E-2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11486036.43857139</v>
      </c>
      <c r="D4" s="11">
        <v>1.5599999999999999E-2</v>
      </c>
      <c r="E4" s="10">
        <f t="shared" si="2"/>
        <v>176429.86258538254</v>
      </c>
      <c r="F4" s="3"/>
      <c r="G4" s="28"/>
      <c r="H4" s="10"/>
      <c r="I4" s="10">
        <f t="shared" si="5"/>
        <v>2663</v>
      </c>
      <c r="J4" s="10">
        <f t="shared" si="3"/>
        <v>30587315035.915611</v>
      </c>
      <c r="K4" s="11">
        <f t="shared" si="4"/>
        <v>1.5600000000000058E-2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11309606.575986007</v>
      </c>
      <c r="D5" s="11">
        <v>1.5800000000000002E-2</v>
      </c>
      <c r="E5" s="10">
        <f t="shared" si="2"/>
        <v>175912.3684786167</v>
      </c>
      <c r="F5" s="3"/>
      <c r="G5" s="28"/>
      <c r="H5" s="10"/>
      <c r="I5" s="10">
        <f t="shared" si="5"/>
        <v>2663</v>
      </c>
      <c r="J5" s="10">
        <f t="shared" si="3"/>
        <v>30117482311.850739</v>
      </c>
      <c r="K5" s="11">
        <f t="shared" si="4"/>
        <v>1.5800000000000036E-2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11133694.207507391</v>
      </c>
      <c r="D6" s="11">
        <v>1.6E-2</v>
      </c>
      <c r="E6" s="10">
        <f t="shared" si="2"/>
        <v>175333.76704736054</v>
      </c>
      <c r="F6" s="3"/>
      <c r="G6" s="28"/>
      <c r="H6" s="10"/>
      <c r="I6" s="10">
        <f t="shared" si="5"/>
        <v>2663</v>
      </c>
      <c r="J6" s="10">
        <f t="shared" si="3"/>
        <v>29649027674.592182</v>
      </c>
      <c r="K6" s="11">
        <f t="shared" si="4"/>
        <v>1.6000000000000014E-2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10958360.44046003</v>
      </c>
      <c r="D7" s="11">
        <v>1.6199999999999999E-2</v>
      </c>
      <c r="E7" s="10">
        <f t="shared" si="2"/>
        <v>174695.37407542951</v>
      </c>
      <c r="F7" s="3"/>
      <c r="G7" s="28"/>
      <c r="H7" s="10"/>
      <c r="I7" s="10">
        <f t="shared" si="5"/>
        <v>2663</v>
      </c>
      <c r="J7" s="10">
        <f t="shared" si="3"/>
        <v>29182113852.945061</v>
      </c>
      <c r="K7" s="11">
        <f t="shared" si="4"/>
        <v>1.6199999999999992E-2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10783665.0663846</v>
      </c>
      <c r="D8" s="11">
        <v>1.6400000000000001E-2</v>
      </c>
      <c r="E8" s="10">
        <f t="shared" si="2"/>
        <v>173998.53117739782</v>
      </c>
      <c r="F8" s="3"/>
      <c r="G8" s="28"/>
      <c r="H8" s="10"/>
      <c r="I8" s="10">
        <f t="shared" si="5"/>
        <v>2663</v>
      </c>
      <c r="J8" s="10">
        <f t="shared" si="3"/>
        <v>28716900071.782192</v>
      </c>
      <c r="K8" s="11">
        <f t="shared" si="4"/>
        <v>1.639999999999997E-2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10609666.535207203</v>
      </c>
      <c r="D9" s="11">
        <v>1.67E-2</v>
      </c>
      <c r="E9" s="10">
        <f t="shared" si="2"/>
        <v>174271.10370606743</v>
      </c>
      <c r="F9" s="3"/>
      <c r="G9" s="28"/>
      <c r="H9" s="10"/>
      <c r="I9" s="10">
        <f t="shared" si="5"/>
        <v>2663</v>
      </c>
      <c r="J9" s="10">
        <f t="shared" si="3"/>
        <v>28253541983.256783</v>
      </c>
      <c r="K9" s="11">
        <f t="shared" si="4"/>
        <v>1.6699999999999937E-2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10435395.431501135</v>
      </c>
      <c r="D10" s="11">
        <v>1.6899999999999998E-2</v>
      </c>
      <c r="E10" s="10">
        <f t="shared" si="2"/>
        <v>173427.26206349581</v>
      </c>
      <c r="F10" s="3"/>
      <c r="G10" s="28"/>
      <c r="H10" s="10"/>
      <c r="I10" s="10">
        <f t="shared" si="5"/>
        <v>2663</v>
      </c>
      <c r="J10" s="10">
        <f t="shared" si="3"/>
        <v>27789458034.087524</v>
      </c>
      <c r="K10" s="11">
        <f t="shared" si="4"/>
        <v>1.6900000000000137E-2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10261968.169437639</v>
      </c>
      <c r="D11" s="11">
        <v>1.72E-2</v>
      </c>
      <c r="E11" s="10">
        <f t="shared" si="2"/>
        <v>173521.28638844751</v>
      </c>
      <c r="F11" s="3"/>
      <c r="G11" s="28"/>
      <c r="H11" s="10"/>
      <c r="I11" s="10">
        <f t="shared" si="5"/>
        <v>2663</v>
      </c>
      <c r="J11" s="10">
        <f t="shared" si="3"/>
        <v>27327621235.212433</v>
      </c>
      <c r="K11" s="11">
        <f t="shared" si="4"/>
        <v>1.7200000000000104E-2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10088446.883049192</v>
      </c>
      <c r="D12" s="11">
        <v>1.7399999999999999E-2</v>
      </c>
      <c r="E12" s="10">
        <f t="shared" si="2"/>
        <v>172536.83483885974</v>
      </c>
      <c r="F12" s="3"/>
      <c r="G12" s="28"/>
      <c r="H12" s="10"/>
      <c r="I12" s="10">
        <f t="shared" si="5"/>
        <v>2663</v>
      </c>
      <c r="J12" s="10">
        <f t="shared" si="3"/>
        <v>26865534049.559998</v>
      </c>
      <c r="K12" s="11">
        <f t="shared" si="4"/>
        <v>1.7400000000000082E-2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9915910.0482103322</v>
      </c>
      <c r="D13" s="11">
        <v>1.77E-2</v>
      </c>
      <c r="E13" s="10">
        <f t="shared" si="2"/>
        <v>172459.08210015111</v>
      </c>
      <c r="F13" s="3"/>
      <c r="G13" s="28"/>
      <c r="H13" s="10"/>
      <c r="I13" s="10">
        <f t="shared" si="5"/>
        <v>2663</v>
      </c>
      <c r="J13" s="10">
        <f t="shared" si="3"/>
        <v>26406068458.384113</v>
      </c>
      <c r="K13" s="11">
        <f t="shared" si="4"/>
        <v>1.7700000000000049E-2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9743450.9661101811</v>
      </c>
      <c r="D14" s="11">
        <v>1.7999999999999999E-2</v>
      </c>
      <c r="E14" s="10">
        <f t="shared" si="2"/>
        <v>172281.05833986588</v>
      </c>
      <c r="F14" s="3"/>
      <c r="G14" s="28"/>
      <c r="H14" s="10"/>
      <c r="I14" s="10">
        <f t="shared" si="5"/>
        <v>2663</v>
      </c>
      <c r="J14" s="10">
        <f t="shared" si="3"/>
        <v>25946809922.751411</v>
      </c>
      <c r="K14" s="11">
        <f t="shared" si="4"/>
        <v>1.8000000000000016E-2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9571169.9077703152</v>
      </c>
      <c r="D15" s="11">
        <v>1.83E-2</v>
      </c>
      <c r="E15" s="10">
        <f t="shared" si="2"/>
        <v>172004.72288342938</v>
      </c>
      <c r="F15" s="3"/>
      <c r="G15" s="28"/>
      <c r="H15" s="10"/>
      <c r="I15" s="10">
        <f t="shared" si="5"/>
        <v>2663</v>
      </c>
      <c r="J15" s="10">
        <f t="shared" si="3"/>
        <v>25488025464.392349</v>
      </c>
      <c r="K15" s="11">
        <f t="shared" si="4"/>
        <v>1.8299999999999983E-2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9399165.1848868858</v>
      </c>
      <c r="D16" s="11">
        <v>1.8599999999999998E-2</v>
      </c>
      <c r="E16" s="10">
        <f t="shared" si="2"/>
        <v>171632.11509807222</v>
      </c>
      <c r="F16" s="3"/>
      <c r="G16" s="28"/>
      <c r="H16" s="10"/>
      <c r="I16" s="10">
        <f t="shared" si="5"/>
        <v>2663</v>
      </c>
      <c r="J16" s="10">
        <f t="shared" si="3"/>
        <v>25029976887.353775</v>
      </c>
      <c r="K16" s="11">
        <f t="shared" si="4"/>
        <v>1.859999999999995E-2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9227533.0697888136</v>
      </c>
      <c r="D17" s="11">
        <v>1.9E-2</v>
      </c>
      <c r="E17" s="10">
        <f t="shared" si="2"/>
        <v>172054.10041804425</v>
      </c>
      <c r="F17" s="3"/>
      <c r="G17" s="28"/>
      <c r="H17" s="10"/>
      <c r="I17" s="10">
        <f t="shared" si="5"/>
        <v>2663</v>
      </c>
      <c r="J17" s="10">
        <f t="shared" si="3"/>
        <v>24572920564.84761</v>
      </c>
      <c r="K17" s="11">
        <f t="shared" si="4"/>
        <v>1.8999999999999906E-2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9055478.9693707693</v>
      </c>
      <c r="D18" s="11">
        <v>1.9300000000000001E-2</v>
      </c>
      <c r="E18" s="10">
        <f t="shared" si="2"/>
        <v>171461.5364552699</v>
      </c>
      <c r="F18" s="3"/>
      <c r="G18" s="28"/>
      <c r="H18" s="10"/>
      <c r="I18" s="10">
        <f t="shared" si="5"/>
        <v>2663</v>
      </c>
      <c r="J18" s="10">
        <f t="shared" si="3"/>
        <v>24114740495.434361</v>
      </c>
      <c r="K18" s="11">
        <f t="shared" si="4"/>
        <v>1.9300000000000317E-2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8884017.4329154994</v>
      </c>
      <c r="D19" s="11">
        <v>1.9699999999999999E-2</v>
      </c>
      <c r="E19" s="10">
        <f t="shared" si="2"/>
        <v>171633.95452430658</v>
      </c>
      <c r="F19" s="3"/>
      <c r="G19" s="28"/>
      <c r="H19" s="10"/>
      <c r="I19" s="10">
        <f t="shared" si="5"/>
        <v>2663</v>
      </c>
      <c r="J19" s="10">
        <f t="shared" si="3"/>
        <v>23658138423.853973</v>
      </c>
      <c r="K19" s="11">
        <f t="shared" si="4"/>
        <v>1.9700000000000051E-2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8712383.4783911929</v>
      </c>
      <c r="D20" s="11">
        <v>0.02</v>
      </c>
      <c r="E20" s="10">
        <f t="shared" si="2"/>
        <v>170831.0485959053</v>
      </c>
      <c r="F20" s="3"/>
      <c r="G20" s="28"/>
      <c r="H20" s="10"/>
      <c r="I20" s="10">
        <f t="shared" si="5"/>
        <v>2663</v>
      </c>
      <c r="J20" s="10">
        <f t="shared" si="3"/>
        <v>23201077202.955746</v>
      </c>
      <c r="K20" s="11">
        <f t="shared" si="4"/>
        <v>2.0000000000000018E-2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8541552.4297952875</v>
      </c>
      <c r="D21" s="11">
        <v>2.0400000000000001E-2</v>
      </c>
      <c r="E21" s="10">
        <f t="shared" si="2"/>
        <v>170764.08228912484</v>
      </c>
      <c r="F21" s="3"/>
      <c r="G21" s="28"/>
      <c r="H21" s="10"/>
      <c r="I21" s="10">
        <f t="shared" si="5"/>
        <v>2663</v>
      </c>
      <c r="J21" s="10">
        <f t="shared" si="3"/>
        <v>22746154120.544849</v>
      </c>
      <c r="K21" s="11">
        <f t="shared" si="4"/>
        <v>2.0399999999999752E-2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8370788.3475061627</v>
      </c>
      <c r="D22" s="11">
        <v>2.07E-2</v>
      </c>
      <c r="E22" s="10">
        <f t="shared" si="2"/>
        <v>169761.26069695037</v>
      </c>
      <c r="F22" s="3"/>
      <c r="G22" s="28"/>
      <c r="H22" s="10"/>
      <c r="I22" s="10">
        <f t="shared" si="5"/>
        <v>2663</v>
      </c>
      <c r="J22" s="10">
        <f t="shared" si="3"/>
        <v>22291409369.408913</v>
      </c>
      <c r="K22" s="11">
        <f t="shared" si="4"/>
        <v>2.0700000000000163E-2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8201027.0868092123</v>
      </c>
      <c r="D23" s="11">
        <v>2.1100000000000001E-2</v>
      </c>
      <c r="E23" s="10">
        <f t="shared" si="2"/>
        <v>169465.94019358885</v>
      </c>
      <c r="F23" s="3"/>
      <c r="G23" s="28"/>
      <c r="H23" s="10"/>
      <c r="I23" s="10">
        <f t="shared" si="5"/>
        <v>2663</v>
      </c>
      <c r="J23" s="10">
        <f t="shared" si="3"/>
        <v>21839335132.172932</v>
      </c>
      <c r="K23" s="11">
        <f t="shared" si="4"/>
        <v>2.1099999999999897E-2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8031561.1466156235</v>
      </c>
      <c r="D24" s="11">
        <v>2.1399999999999999E-2</v>
      </c>
      <c r="E24" s="10">
        <f t="shared" si="2"/>
        <v>168274.33771056868</v>
      </c>
      <c r="F24" s="3"/>
      <c r="G24" s="28"/>
      <c r="H24" s="10"/>
      <c r="I24" s="10">
        <f t="shared" si="5"/>
        <v>2663</v>
      </c>
      <c r="J24" s="10">
        <f t="shared" si="3"/>
        <v>21388047333.437405</v>
      </c>
      <c r="K24" s="11">
        <f t="shared" si="4"/>
        <v>2.1399999999999864E-2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7863286.8089050548</v>
      </c>
      <c r="D25" s="11">
        <v>2.18E-2</v>
      </c>
      <c r="E25" s="10">
        <f t="shared" si="2"/>
        <v>167762.43142897915</v>
      </c>
      <c r="F25" s="3"/>
      <c r="G25" s="28"/>
      <c r="H25" s="10"/>
      <c r="I25" s="10">
        <f t="shared" si="5"/>
        <v>2663</v>
      </c>
      <c r="J25" s="10">
        <f t="shared" si="3"/>
        <v>20939932772.114162</v>
      </c>
      <c r="K25" s="11">
        <f t="shared" si="4"/>
        <v>2.1800000000000264E-2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7695524.3774760757</v>
      </c>
      <c r="D26" s="11">
        <v>2.2100000000000002E-2</v>
      </c>
      <c r="E26" s="10">
        <f t="shared" si="2"/>
        <v>166393.78607007302</v>
      </c>
      <c r="F26" s="3"/>
      <c r="G26" s="28"/>
      <c r="H26" s="10"/>
      <c r="I26" s="10">
        <f t="shared" si="5"/>
        <v>2663</v>
      </c>
      <c r="J26" s="10">
        <f t="shared" si="3"/>
        <v>20493181417.218788</v>
      </c>
      <c r="K26" s="11">
        <f t="shared" si="4"/>
        <v>2.2100000000000009E-2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7529130.5914060026</v>
      </c>
      <c r="D27" s="11">
        <v>2.2499999999999999E-2</v>
      </c>
      <c r="E27" s="10">
        <f t="shared" si="2"/>
        <v>165677.6902754372</v>
      </c>
      <c r="F27" s="3"/>
      <c r="G27" s="28"/>
      <c r="H27" s="10"/>
      <c r="I27" s="10">
        <f t="shared" si="5"/>
        <v>2663</v>
      </c>
      <c r="J27" s="10">
        <f t="shared" si="3"/>
        <v>20050074764.914185</v>
      </c>
      <c r="K27" s="11">
        <f t="shared" si="4"/>
        <v>2.2499999999999742E-2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7363452.9011305654</v>
      </c>
      <c r="D28" s="11">
        <v>2.29E-2</v>
      </c>
      <c r="E28" s="10">
        <f t="shared" si="2"/>
        <v>164848.05106646754</v>
      </c>
      <c r="F28" s="3"/>
      <c r="G28" s="28"/>
      <c r="H28" s="10"/>
      <c r="I28" s="10">
        <f t="shared" si="5"/>
        <v>2663</v>
      </c>
      <c r="J28" s="10">
        <f t="shared" si="3"/>
        <v>19608875075.710697</v>
      </c>
      <c r="K28" s="11">
        <f t="shared" si="4"/>
        <v>2.2900000000000142E-2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7198604.8500640979</v>
      </c>
      <c r="D29" s="11">
        <v>2.3300000000000001E-2</v>
      </c>
      <c r="E29" s="10">
        <f t="shared" si="2"/>
        <v>163908.42666519526</v>
      </c>
      <c r="F29" s="3"/>
      <c r="G29" s="28"/>
      <c r="H29" s="10"/>
      <c r="I29" s="10">
        <f t="shared" si="5"/>
        <v>2663</v>
      </c>
      <c r="J29" s="10">
        <f t="shared" si="3"/>
        <v>19169884715.720692</v>
      </c>
      <c r="K29" s="11">
        <f t="shared" si="4"/>
        <v>2.3300000000000098E-2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7034696.4233989026</v>
      </c>
      <c r="D30" s="11">
        <v>2.3599999999999999E-2</v>
      </c>
      <c r="E30" s="10">
        <f t="shared" si="2"/>
        <v>162191.12504124083</v>
      </c>
      <c r="F30" s="3"/>
      <c r="G30" s="28"/>
      <c r="H30" s="10"/>
      <c r="I30" s="10">
        <f t="shared" si="5"/>
        <v>2663</v>
      </c>
      <c r="J30" s="10">
        <f t="shared" si="3"/>
        <v>18733396575.511276</v>
      </c>
      <c r="K30" s="11">
        <f t="shared" si="4"/>
        <v>2.3599999999999843E-2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6872505.2983576618</v>
      </c>
      <c r="D31" s="11">
        <v>2.4E-2</v>
      </c>
      <c r="E31" s="10">
        <f t="shared" si="2"/>
        <v>161074.34293025825</v>
      </c>
      <c r="F31" s="3"/>
      <c r="G31" s="28"/>
      <c r="H31" s="10"/>
      <c r="I31" s="10">
        <f t="shared" si="5"/>
        <v>2663</v>
      </c>
      <c r="J31" s="10">
        <f t="shared" si="3"/>
        <v>18301481609.526455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6711430.9554274036</v>
      </c>
      <c r="D32" s="11">
        <v>2.4400000000000002E-2</v>
      </c>
      <c r="E32" s="10">
        <f t="shared" si="2"/>
        <v>159858.37105859909</v>
      </c>
      <c r="F32" s="3"/>
      <c r="G32" s="28"/>
      <c r="H32" s="10"/>
      <c r="I32" s="10">
        <f t="shared" si="5"/>
        <v>2663</v>
      </c>
      <c r="J32" s="10">
        <f t="shared" si="3"/>
        <v>17872540634.303177</v>
      </c>
      <c r="K32" s="11">
        <f t="shared" si="4"/>
        <v>2.4400000000000199E-2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6551572.5843688045</v>
      </c>
      <c r="D33" s="11">
        <v>2.4799999999999999E-2</v>
      </c>
      <c r="E33" s="10">
        <f t="shared" si="2"/>
        <v>158547.03365763649</v>
      </c>
      <c r="F33" s="3"/>
      <c r="G33" s="28"/>
      <c r="H33" s="10"/>
      <c r="I33" s="10">
        <f t="shared" si="5"/>
        <v>2663</v>
      </c>
      <c r="J33" s="10">
        <f t="shared" si="3"/>
        <v>17446837792.174126</v>
      </c>
      <c r="K33" s="11">
        <f t="shared" si="4"/>
        <v>2.4799999999999933E-2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6393025.550711168</v>
      </c>
      <c r="D34" s="11">
        <v>2.52E-2</v>
      </c>
      <c r="E34" s="10">
        <f t="shared" si="2"/>
        <v>157144.20979118254</v>
      </c>
      <c r="F34" s="3"/>
      <c r="G34" s="28"/>
      <c r="H34" s="10"/>
      <c r="I34" s="10">
        <f t="shared" si="5"/>
        <v>2663</v>
      </c>
      <c r="J34" s="10">
        <f t="shared" ref="J34:J65" si="6">IF(I34="","",I34*C34)</f>
        <v>17024627041.54384</v>
      </c>
      <c r="K34" s="11">
        <f t="shared" ref="K34:K65" si="7">IFERROR(J34/J35-1,"")</f>
        <v>2.5199999999999889E-2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6235881.3409199854</v>
      </c>
      <c r="D35" s="11">
        <v>2.5600000000000001E-2</v>
      </c>
      <c r="E35" s="10">
        <f t="shared" si="2"/>
        <v>155653.82442233991</v>
      </c>
      <c r="F35" s="3"/>
      <c r="G35" s="28"/>
      <c r="H35" s="10"/>
      <c r="I35" s="10">
        <f t="shared" ref="I35:I66" si="8">IF(H35&lt;&gt;"",H35,I34/(1+IF(G34="",0,G34)/100))</f>
        <v>2663</v>
      </c>
      <c r="J35" s="10">
        <f t="shared" si="6"/>
        <v>16606152010.869921</v>
      </c>
      <c r="K35" s="11">
        <f t="shared" si="7"/>
        <v>2.5600000000000067E-2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6080227.5164976455</v>
      </c>
      <c r="D36" s="11">
        <v>2.5999999999999999E-2</v>
      </c>
      <c r="E36" s="10">
        <f t="shared" si="2"/>
        <v>154079.83959935606</v>
      </c>
      <c r="F36" s="3"/>
      <c r="G36" s="28"/>
      <c r="H36" s="10"/>
      <c r="I36" s="10">
        <f t="shared" si="8"/>
        <v>2663</v>
      </c>
      <c r="J36" s="10">
        <f t="shared" si="6"/>
        <v>16191645876.433229</v>
      </c>
      <c r="K36" s="11">
        <f t="shared" si="7"/>
        <v>2.6000000000000023E-2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5926147.6768982895</v>
      </c>
      <c r="D37" s="11">
        <v>2.6499999999999999E-2</v>
      </c>
      <c r="E37" s="10">
        <f t="shared" si="2"/>
        <v>152988.71255509462</v>
      </c>
      <c r="F37" s="3"/>
      <c r="G37" s="28"/>
      <c r="H37" s="10"/>
      <c r="I37" s="10">
        <f t="shared" si="8"/>
        <v>2663</v>
      </c>
      <c r="J37" s="10">
        <f t="shared" si="6"/>
        <v>15781331263.580145</v>
      </c>
      <c r="K37" s="11">
        <f t="shared" si="7"/>
        <v>2.6499999999999968E-2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5773158.9643431948</v>
      </c>
      <c r="D38" s="11">
        <v>2.69E-2</v>
      </c>
      <c r="E38" s="10">
        <f t="shared" si="2"/>
        <v>151229.89204482548</v>
      </c>
      <c r="F38" s="3"/>
      <c r="G38" s="28"/>
      <c r="H38" s="10"/>
      <c r="I38" s="10">
        <f t="shared" si="8"/>
        <v>2663</v>
      </c>
      <c r="J38" s="10">
        <f t="shared" si="6"/>
        <v>15373922322.045927</v>
      </c>
      <c r="K38" s="11">
        <f t="shared" si="7"/>
        <v>2.6899999999999924E-2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5621929.0722983694</v>
      </c>
      <c r="D39" s="11">
        <v>2.7400000000000001E-2</v>
      </c>
      <c r="E39" s="10">
        <f t="shared" si="2"/>
        <v>149932.70058494806</v>
      </c>
      <c r="F39" s="3"/>
      <c r="G39" s="28"/>
      <c r="H39" s="10"/>
      <c r="I39" s="10">
        <f t="shared" si="8"/>
        <v>2663</v>
      </c>
      <c r="J39" s="10">
        <f t="shared" si="6"/>
        <v>14971197119.530558</v>
      </c>
      <c r="K39" s="11">
        <f t="shared" si="7"/>
        <v>2.7400000000000091E-2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5471996.3717134213</v>
      </c>
      <c r="D40" s="11">
        <v>2.7799999999999998E-2</v>
      </c>
      <c r="E40" s="10">
        <f t="shared" si="2"/>
        <v>148006.90711581334</v>
      </c>
      <c r="F40" s="3"/>
      <c r="G40" s="28"/>
      <c r="H40" s="10"/>
      <c r="I40" s="10">
        <f t="shared" si="8"/>
        <v>2663</v>
      </c>
      <c r="J40" s="10">
        <f t="shared" si="6"/>
        <v>14571926337.872841</v>
      </c>
      <c r="K40" s="11">
        <f t="shared" si="7"/>
        <v>2.7799999999999825E-2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5323989.464597608</v>
      </c>
      <c r="D41" s="11">
        <v>2.8199999999999999E-2</v>
      </c>
      <c r="E41" s="10">
        <f t="shared" si="2"/>
        <v>146018.77348925546</v>
      </c>
      <c r="F41" s="3"/>
      <c r="G41" s="28"/>
      <c r="H41" s="10"/>
      <c r="I41" s="10">
        <f t="shared" si="8"/>
        <v>2663</v>
      </c>
      <c r="J41" s="10">
        <f t="shared" si="6"/>
        <v>14177783944.223431</v>
      </c>
      <c r="K41" s="11">
        <f t="shared" si="7"/>
        <v>2.8200000000000003E-2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5177970.6911083525</v>
      </c>
      <c r="D42" s="11">
        <v>2.86E-2</v>
      </c>
      <c r="E42" s="10">
        <f t="shared" si="2"/>
        <v>143972.35248463787</v>
      </c>
      <c r="F42" s="3"/>
      <c r="G42" s="28"/>
      <c r="H42" s="10"/>
      <c r="I42" s="10">
        <f t="shared" si="8"/>
        <v>2663</v>
      </c>
      <c r="J42" s="10">
        <f t="shared" si="6"/>
        <v>13788935950.421543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5033998.3386237146</v>
      </c>
      <c r="D43" s="11">
        <v>2.9000000000000001E-2</v>
      </c>
      <c r="E43" s="10">
        <f t="shared" si="2"/>
        <v>141871.67329454515</v>
      </c>
      <c r="F43" s="3"/>
      <c r="G43" s="28"/>
      <c r="H43" s="10"/>
      <c r="I43" s="10">
        <f t="shared" si="8"/>
        <v>2663</v>
      </c>
      <c r="J43" s="10">
        <f t="shared" si="6"/>
        <v>13405537575.754951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4892126.6653291695</v>
      </c>
      <c r="D44" s="11">
        <v>2.9399999999999999E-2</v>
      </c>
      <c r="E44" s="10">
        <f t="shared" si="2"/>
        <v>139720.73437019438</v>
      </c>
      <c r="F44" s="3"/>
      <c r="G44" s="28"/>
      <c r="H44" s="10"/>
      <c r="I44" s="10">
        <f t="shared" si="8"/>
        <v>2663</v>
      </c>
      <c r="J44" s="10">
        <f t="shared" si="6"/>
        <v>13027733309.771578</v>
      </c>
      <c r="K44" s="11">
        <f t="shared" si="7"/>
        <v>2.9400000000000093E-2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4752405.9309589751</v>
      </c>
      <c r="D45" s="11">
        <v>2.9700000000000001E-2</v>
      </c>
      <c r="E45" s="10">
        <f t="shared" si="2"/>
        <v>137075.31917012855</v>
      </c>
      <c r="F45" s="3"/>
      <c r="G45" s="28"/>
      <c r="H45" s="10"/>
      <c r="I45" s="10">
        <f t="shared" si="8"/>
        <v>2663</v>
      </c>
      <c r="J45" s="10">
        <f t="shared" si="6"/>
        <v>12655656994.143751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4615330.6117888466</v>
      </c>
      <c r="D46" s="11">
        <v>2.9899999999999999E-2</v>
      </c>
      <c r="E46" s="10">
        <f t="shared" si="2"/>
        <v>133992.02378142253</v>
      </c>
      <c r="F46" s="3"/>
      <c r="G46" s="28"/>
      <c r="H46" s="10"/>
      <c r="I46" s="10">
        <f t="shared" si="8"/>
        <v>2663</v>
      </c>
      <c r="J46" s="10">
        <f t="shared" si="6"/>
        <v>12290625419.193699</v>
      </c>
      <c r="K46" s="11">
        <f t="shared" si="7"/>
        <v>2.990000000000026E-2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4481338.588007424</v>
      </c>
      <c r="D47" s="11">
        <v>3.0099999999999998E-2</v>
      </c>
      <c r="E47" s="10">
        <f t="shared" si="2"/>
        <v>130946.79302885476</v>
      </c>
      <c r="F47" s="3"/>
      <c r="G47" s="28"/>
      <c r="H47" s="10"/>
      <c r="I47" s="10">
        <f t="shared" si="8"/>
        <v>2663</v>
      </c>
      <c r="J47" s="10">
        <f t="shared" si="6"/>
        <v>11933804659.86377</v>
      </c>
      <c r="K47" s="11">
        <f t="shared" si="7"/>
        <v>3.0100000000000016E-2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4350391.7949785693</v>
      </c>
      <c r="D48" s="11">
        <v>3.0200000000000001E-2</v>
      </c>
      <c r="E48" s="10">
        <f t="shared" si="2"/>
        <v>127530.41371418443</v>
      </c>
      <c r="F48" s="3"/>
      <c r="G48" s="28"/>
      <c r="H48" s="10"/>
      <c r="I48" s="10">
        <f t="shared" si="8"/>
        <v>2663</v>
      </c>
      <c r="J48" s="10">
        <f t="shared" si="6"/>
        <v>11585093350.027929</v>
      </c>
      <c r="K48" s="11">
        <f t="shared" si="7"/>
        <v>3.0200000000000005E-2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4222861.3812643848</v>
      </c>
      <c r="D49" s="11">
        <v>3.0300000000000001E-2</v>
      </c>
      <c r="E49" s="10">
        <f t="shared" si="2"/>
        <v>124189.75041474402</v>
      </c>
      <c r="F49" s="3"/>
      <c r="G49" s="28"/>
      <c r="H49" s="10"/>
      <c r="I49" s="10">
        <f t="shared" si="8"/>
        <v>2663</v>
      </c>
      <c r="J49" s="10">
        <f t="shared" si="6"/>
        <v>11245479858.307056</v>
      </c>
      <c r="K49" s="11">
        <f t="shared" si="7"/>
        <v>3.0299999999999994E-2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4098671.6308496408</v>
      </c>
      <c r="D50" s="11">
        <v>3.0300000000000001E-2</v>
      </c>
      <c r="E50" s="10">
        <f t="shared" si="2"/>
        <v>120537.46521861991</v>
      </c>
      <c r="F50" s="3"/>
      <c r="G50" s="28"/>
      <c r="H50" s="10"/>
      <c r="I50" s="10">
        <f t="shared" si="8"/>
        <v>2663</v>
      </c>
      <c r="J50" s="10">
        <f t="shared" si="6"/>
        <v>10914762552.952593</v>
      </c>
      <c r="K50" s="11">
        <f t="shared" si="7"/>
        <v>3.0299999999999994E-2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3978134.1656310209</v>
      </c>
      <c r="D51" s="11">
        <v>3.0200000000000001E-2</v>
      </c>
      <c r="E51" s="10">
        <f t="shared" si="2"/>
        <v>116617.79441084899</v>
      </c>
      <c r="F51" s="3"/>
      <c r="G51" s="28"/>
      <c r="H51" s="10"/>
      <c r="I51" s="10">
        <f t="shared" si="8"/>
        <v>2663</v>
      </c>
      <c r="J51" s="10">
        <f t="shared" si="6"/>
        <v>10593771283.075409</v>
      </c>
      <c r="K51" s="11">
        <f t="shared" si="7"/>
        <v>3.0200000000000005E-2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3861516.3712201719</v>
      </c>
      <c r="D52" s="11">
        <v>3.0099999999999998E-2</v>
      </c>
      <c r="E52" s="10">
        <f t="shared" si="2"/>
        <v>112835.30023660557</v>
      </c>
      <c r="F52" s="3"/>
      <c r="G52" s="28"/>
      <c r="H52" s="10"/>
      <c r="I52" s="10">
        <f t="shared" si="8"/>
        <v>2663</v>
      </c>
      <c r="J52" s="10">
        <f t="shared" si="6"/>
        <v>10283218096.559319</v>
      </c>
      <c r="K52" s="11">
        <f t="shared" si="7"/>
        <v>3.0100000000000016E-2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3748681.0709835663</v>
      </c>
      <c r="D53" s="11">
        <v>2.9899999999999999E-2</v>
      </c>
      <c r="E53" s="10">
        <f t="shared" si="2"/>
        <v>108831.50210933946</v>
      </c>
      <c r="F53" s="3"/>
      <c r="G53" s="28"/>
      <c r="H53" s="10"/>
      <c r="I53" s="10">
        <f t="shared" si="8"/>
        <v>2663</v>
      </c>
      <c r="J53" s="10">
        <f t="shared" si="6"/>
        <v>9982737692.0292377</v>
      </c>
      <c r="K53" s="11">
        <f t="shared" si="7"/>
        <v>2.990000000000026E-2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3639849.5688742269</v>
      </c>
      <c r="D54" s="11">
        <v>2.9700000000000001E-2</v>
      </c>
      <c r="E54" s="10">
        <f t="shared" si="2"/>
        <v>104985.46391722327</v>
      </c>
      <c r="F54" s="3"/>
      <c r="G54" s="28"/>
      <c r="H54" s="10"/>
      <c r="I54" s="10">
        <f t="shared" si="8"/>
        <v>2663</v>
      </c>
      <c r="J54" s="10">
        <f t="shared" si="6"/>
        <v>9692919401.9120655</v>
      </c>
      <c r="K54" s="11">
        <f t="shared" si="7"/>
        <v>2.970000000000006E-2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3534864.1049570036</v>
      </c>
      <c r="D55" s="11">
        <v>2.9399999999999999E-2</v>
      </c>
      <c r="E55" s="10">
        <f t="shared" si="2"/>
        <v>100956.87263040245</v>
      </c>
      <c r="F55" s="3"/>
      <c r="G55" s="28"/>
      <c r="H55" s="10"/>
      <c r="I55" s="10">
        <f t="shared" si="8"/>
        <v>2663</v>
      </c>
      <c r="J55" s="10">
        <f t="shared" si="6"/>
        <v>9413343111.5004997</v>
      </c>
      <c r="K55" s="11">
        <f t="shared" si="7"/>
        <v>2.9399999999999871E-2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3433907.2323266012</v>
      </c>
      <c r="D56" s="11">
        <v>2.92E-2</v>
      </c>
      <c r="E56" s="10">
        <f t="shared" si="2"/>
        <v>97425.273206312209</v>
      </c>
      <c r="F56" s="3"/>
      <c r="G56" s="28"/>
      <c r="H56" s="10"/>
      <c r="I56" s="10">
        <f t="shared" si="8"/>
        <v>2663</v>
      </c>
      <c r="J56" s="10">
        <f t="shared" si="6"/>
        <v>9144494959.6857395</v>
      </c>
      <c r="K56" s="11">
        <f t="shared" si="7"/>
        <v>2.9200000000000115E-2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3336481.959120289</v>
      </c>
      <c r="D57" s="11">
        <v>2.8899999999999999E-2</v>
      </c>
      <c r="E57" s="10">
        <f t="shared" si="2"/>
        <v>93715.938010084443</v>
      </c>
      <c r="F57" s="3"/>
      <c r="G57" s="28"/>
      <c r="H57" s="10"/>
      <c r="I57" s="10">
        <f t="shared" si="8"/>
        <v>2663</v>
      </c>
      <c r="J57" s="10">
        <f t="shared" si="6"/>
        <v>8885051457.1373291</v>
      </c>
      <c r="K57" s="11">
        <f t="shared" si="7"/>
        <v>2.8899999999999926E-2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3242766.0211102045</v>
      </c>
      <c r="D58" s="11">
        <v>2.87E-2</v>
      </c>
      <c r="E58" s="10">
        <f t="shared" si="2"/>
        <v>90470.870813515037</v>
      </c>
      <c r="F58" s="3"/>
      <c r="G58" s="28"/>
      <c r="H58" s="10"/>
      <c r="I58" s="10">
        <f t="shared" si="8"/>
        <v>2663</v>
      </c>
      <c r="J58" s="10">
        <f t="shared" si="6"/>
        <v>8635485914.2164745</v>
      </c>
      <c r="K58" s="11">
        <f t="shared" si="7"/>
        <v>2.8699999999999948E-2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3152295.1502966895</v>
      </c>
      <c r="D59" s="11">
        <v>2.8400000000000002E-2</v>
      </c>
      <c r="E59" s="10">
        <f t="shared" si="2"/>
        <v>87052.880463269074</v>
      </c>
      <c r="F59" s="3"/>
      <c r="G59" s="28"/>
      <c r="H59" s="10"/>
      <c r="I59" s="10">
        <f t="shared" si="8"/>
        <v>2663</v>
      </c>
      <c r="J59" s="10">
        <f t="shared" si="6"/>
        <v>8394561985.2400837</v>
      </c>
      <c r="K59" s="11">
        <f t="shared" si="7"/>
        <v>2.8399999999999981E-2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3065242.2698334204</v>
      </c>
      <c r="D60" s="11">
        <v>2.8199999999999999E-2</v>
      </c>
      <c r="E60" s="10">
        <f t="shared" si="2"/>
        <v>84069.083844876848</v>
      </c>
      <c r="F60" s="3"/>
      <c r="G60" s="28"/>
      <c r="H60" s="10"/>
      <c r="I60" s="10">
        <f t="shared" si="8"/>
        <v>2663</v>
      </c>
      <c r="J60" s="10">
        <f t="shared" si="6"/>
        <v>8162740164.5663986</v>
      </c>
      <c r="K60" s="11">
        <f t="shared" si="7"/>
        <v>2.8200000000000003E-2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2981173.1859885436</v>
      </c>
      <c r="D61" s="11">
        <v>2.7900000000000001E-2</v>
      </c>
      <c r="E61" s="10">
        <f t="shared" si="2"/>
        <v>80917.143583111465</v>
      </c>
      <c r="F61" s="3"/>
      <c r="G61" s="28"/>
      <c r="H61" s="10"/>
      <c r="I61" s="10">
        <f t="shared" si="8"/>
        <v>2663</v>
      </c>
      <c r="J61" s="10">
        <f t="shared" si="6"/>
        <v>7938864194.2874918</v>
      </c>
      <c r="K61" s="11">
        <f t="shared" si="7"/>
        <v>2.7900000000000036E-2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2900256.0424054321</v>
      </c>
      <c r="D62" s="11">
        <v>2.76E-2</v>
      </c>
      <c r="E62" s="10">
        <f t="shared" si="2"/>
        <v>77897.106627471745</v>
      </c>
      <c r="F62" s="3"/>
      <c r="G62" s="28"/>
      <c r="H62" s="10"/>
      <c r="I62" s="10">
        <f t="shared" si="8"/>
        <v>2663</v>
      </c>
      <c r="J62" s="10">
        <f t="shared" si="6"/>
        <v>7723381840.9256659</v>
      </c>
      <c r="K62" s="11">
        <f t="shared" si="7"/>
        <v>2.7600000000000069E-2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2822358.9357779603</v>
      </c>
      <c r="D63" s="11">
        <v>2.7300000000000001E-2</v>
      </c>
      <c r="E63" s="10">
        <f t="shared" si="2"/>
        <v>75002.821908632759</v>
      </c>
      <c r="F63" s="3"/>
      <c r="G63" s="28"/>
      <c r="H63" s="10"/>
      <c r="I63" s="10">
        <f t="shared" si="8"/>
        <v>2663</v>
      </c>
      <c r="J63" s="10">
        <f t="shared" si="6"/>
        <v>7515941845.9767084</v>
      </c>
      <c r="K63" s="11">
        <f t="shared" si="7"/>
        <v>2.7300000000000102E-2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2747356.1138693276</v>
      </c>
      <c r="D64" s="11">
        <v>2.7E-2</v>
      </c>
      <c r="E64" s="10">
        <f t="shared" si="2"/>
        <v>72228.447005327791</v>
      </c>
      <c r="F64" s="3"/>
      <c r="G64" s="28"/>
      <c r="H64" s="10"/>
      <c r="I64" s="10">
        <f t="shared" si="8"/>
        <v>2663</v>
      </c>
      <c r="J64" s="10">
        <f t="shared" si="6"/>
        <v>7316209331.2340193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2675127.6668639998</v>
      </c>
      <c r="D65" s="11">
        <v>2.6800000000000001E-2</v>
      </c>
      <c r="E65" s="10">
        <f t="shared" si="2"/>
        <v>69822.186863999814</v>
      </c>
      <c r="F65" s="3"/>
      <c r="G65" s="28"/>
      <c r="H65" s="10"/>
      <c r="I65" s="10">
        <f t="shared" si="8"/>
        <v>2663</v>
      </c>
      <c r="J65" s="10">
        <f t="shared" si="6"/>
        <v>7123864976.8588314</v>
      </c>
      <c r="K65" s="11">
        <f t="shared" si="7"/>
        <v>2.6799999999999935E-2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2605305.48</v>
      </c>
      <c r="D66" s="11">
        <v>2.6599999999999999E-2</v>
      </c>
      <c r="E66" s="10">
        <f t="shared" si="2"/>
        <v>67505.479999999981</v>
      </c>
      <c r="F66" s="24">
        <f>SUM(F2)</f>
        <v>11838201</v>
      </c>
      <c r="G66" s="28"/>
      <c r="H66" s="10"/>
      <c r="I66" s="10">
        <f t="shared" si="8"/>
        <v>2663</v>
      </c>
      <c r="J66" s="10">
        <f t="shared" ref="J66:J67" si="9">IF(I66="","",I66*C66)</f>
        <v>6937928493.2399998</v>
      </c>
      <c r="K66" s="11">
        <f t="shared" ref="K66" si="10">IFERROR(J66/J67-1,"")</f>
        <v>2.6599999999999957E-2</v>
      </c>
    </row>
    <row r="67" spans="1:11" ht="22.5" customHeight="1">
      <c r="A67" s="3">
        <f t="shared" si="0"/>
        <v>1950</v>
      </c>
      <c r="B67" s="3">
        <v>1700</v>
      </c>
      <c r="C67" s="10">
        <v>2537800</v>
      </c>
      <c r="D67" s="11">
        <v>2.64E-2</v>
      </c>
      <c r="E67" s="3" t="s">
        <v>72</v>
      </c>
      <c r="F67" s="10">
        <f>SUM(C2)</f>
        <v>11839031.512861243</v>
      </c>
      <c r="G67" s="28"/>
      <c r="H67" s="10"/>
      <c r="I67" s="10">
        <f t="shared" ref="I67" si="11">IF(H67&lt;&gt;"",H67,I66/(1+IF(G66="",0,G66)/100))</f>
        <v>2663</v>
      </c>
      <c r="J67" s="10">
        <f t="shared" si="9"/>
        <v>6758161400</v>
      </c>
      <c r="K67" s="11"/>
    </row>
  </sheetData>
  <dataValidations count="1">
    <dataValidation type="custom" allowBlank="1" showDropDown="1" sqref="D2:D67" xr:uid="{00000000-0002-0000-7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2547824.340408396</v>
      </c>
      <c r="D2" s="11">
        <v>2.8899999999999999E-2</v>
      </c>
      <c r="E2" s="10">
        <f t="shared" ref="E2:E66" si="2">SUM(C2-C3)</f>
        <v>71563.925977065228</v>
      </c>
      <c r="F2" s="15">
        <v>2549416</v>
      </c>
      <c r="G2" s="28"/>
      <c r="H2" s="10"/>
      <c r="I2" s="10">
        <f>IF(H2&lt;&gt;"",H2,1905)</f>
        <v>1905</v>
      </c>
      <c r="J2" s="10">
        <f t="shared" ref="J2:J33" si="3">IF(I2="","",I2*C2)</f>
        <v>4853605368.477994</v>
      </c>
      <c r="K2" s="11">
        <f t="shared" ref="K2:K33" si="4">IFERROR(J2/J3-1,"")</f>
        <v>2.8899999999999926E-2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2476260.4144313307</v>
      </c>
      <c r="D3" s="11">
        <v>2.9399999999999999E-2</v>
      </c>
      <c r="E3" s="10">
        <f t="shared" si="2"/>
        <v>70722.805696795695</v>
      </c>
      <c r="F3" s="3"/>
      <c r="G3" s="28"/>
      <c r="H3" s="10"/>
      <c r="I3" s="10">
        <f t="shared" ref="I3:I34" si="5">IF(H3&lt;&gt;"",H3,I2/(1+IF(G2="",0,G2)/100))</f>
        <v>1905</v>
      </c>
      <c r="J3" s="10">
        <f t="shared" si="3"/>
        <v>4717276089.4916849</v>
      </c>
      <c r="K3" s="11">
        <f t="shared" si="4"/>
        <v>2.9400000000000093E-2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2405537.6087345351</v>
      </c>
      <c r="D4" s="11">
        <v>2.98E-2</v>
      </c>
      <c r="E4" s="10">
        <f t="shared" si="2"/>
        <v>69610.624140890781</v>
      </c>
      <c r="F4" s="3"/>
      <c r="G4" s="28"/>
      <c r="H4" s="10"/>
      <c r="I4" s="10">
        <f t="shared" si="5"/>
        <v>1905</v>
      </c>
      <c r="J4" s="10">
        <f t="shared" si="3"/>
        <v>4582549144.6392889</v>
      </c>
      <c r="K4" s="11">
        <f t="shared" si="4"/>
        <v>2.9800000000000049E-2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2335926.9845936443</v>
      </c>
      <c r="D5" s="11">
        <v>3.0099999999999998E-2</v>
      </c>
      <c r="E5" s="10">
        <f t="shared" si="2"/>
        <v>68256.870436140802</v>
      </c>
      <c r="F5" s="3"/>
      <c r="G5" s="28"/>
      <c r="H5" s="10"/>
      <c r="I5" s="10">
        <f t="shared" si="5"/>
        <v>1905</v>
      </c>
      <c r="J5" s="10">
        <f t="shared" si="3"/>
        <v>4449940905.6508923</v>
      </c>
      <c r="K5" s="11">
        <f t="shared" si="4"/>
        <v>3.0100000000000016E-2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2267670.1141575035</v>
      </c>
      <c r="D6" s="11">
        <v>3.0300000000000001E-2</v>
      </c>
      <c r="E6" s="10">
        <f t="shared" si="2"/>
        <v>66689.706356374081</v>
      </c>
      <c r="F6" s="3"/>
      <c r="G6" s="28"/>
      <c r="H6" s="10"/>
      <c r="I6" s="10">
        <f t="shared" si="5"/>
        <v>1905</v>
      </c>
      <c r="J6" s="10">
        <f t="shared" si="3"/>
        <v>4319911567.4700441</v>
      </c>
      <c r="K6" s="11">
        <f t="shared" si="4"/>
        <v>3.0299999999999994E-2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2200980.4078011294</v>
      </c>
      <c r="D7" s="11">
        <v>3.0300000000000001E-2</v>
      </c>
      <c r="E7" s="10">
        <f t="shared" si="2"/>
        <v>64728.434782465454</v>
      </c>
      <c r="F7" s="3"/>
      <c r="G7" s="28"/>
      <c r="H7" s="10"/>
      <c r="I7" s="10">
        <f t="shared" si="5"/>
        <v>1905</v>
      </c>
      <c r="J7" s="10">
        <f t="shared" si="3"/>
        <v>4192867676.8611517</v>
      </c>
      <c r="K7" s="11">
        <f t="shared" si="4"/>
        <v>3.0299999999999994E-2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2136251.9730186639</v>
      </c>
      <c r="D8" s="11">
        <v>3.0300000000000001E-2</v>
      </c>
      <c r="E8" s="10">
        <f t="shared" si="2"/>
        <v>62824.84206781094</v>
      </c>
      <c r="F8" s="3"/>
      <c r="G8" s="28"/>
      <c r="H8" s="10"/>
      <c r="I8" s="10">
        <f t="shared" si="5"/>
        <v>1905</v>
      </c>
      <c r="J8" s="10">
        <f t="shared" si="3"/>
        <v>4069560008.6005549</v>
      </c>
      <c r="K8" s="11">
        <f t="shared" si="4"/>
        <v>3.0300000000000216E-2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2073427.130950853</v>
      </c>
      <c r="D9" s="11">
        <v>3.0200000000000001E-2</v>
      </c>
      <c r="E9" s="10">
        <f t="shared" si="2"/>
        <v>60781.886385862716</v>
      </c>
      <c r="F9" s="3"/>
      <c r="G9" s="28"/>
      <c r="H9" s="10"/>
      <c r="I9" s="10">
        <f t="shared" si="5"/>
        <v>1905</v>
      </c>
      <c r="J9" s="10">
        <f t="shared" si="3"/>
        <v>3949878684.4613748</v>
      </c>
      <c r="K9" s="11">
        <f t="shared" si="4"/>
        <v>3.0200000000000005E-2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2012645.2445649903</v>
      </c>
      <c r="D10" s="11">
        <v>0.03</v>
      </c>
      <c r="E10" s="10">
        <f t="shared" si="2"/>
        <v>58620.735278591979</v>
      </c>
      <c r="F10" s="3"/>
      <c r="G10" s="28"/>
      <c r="H10" s="10"/>
      <c r="I10" s="10">
        <f t="shared" si="5"/>
        <v>1905</v>
      </c>
      <c r="J10" s="10">
        <f t="shared" si="3"/>
        <v>3834089190.8963065</v>
      </c>
      <c r="K10" s="11">
        <f t="shared" si="4"/>
        <v>3.0000000000000027E-2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1954024.5092863983</v>
      </c>
      <c r="D11" s="11">
        <v>2.9700000000000001E-2</v>
      </c>
      <c r="E11" s="10">
        <f t="shared" si="2"/>
        <v>56360.617583574029</v>
      </c>
      <c r="F11" s="3"/>
      <c r="G11" s="28"/>
      <c r="H11" s="10"/>
      <c r="I11" s="10">
        <f t="shared" si="5"/>
        <v>1905</v>
      </c>
      <c r="J11" s="10">
        <f t="shared" si="3"/>
        <v>3722416690.190589</v>
      </c>
      <c r="K11" s="11">
        <f t="shared" si="4"/>
        <v>2.9700000000000282E-2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1897663.8917028243</v>
      </c>
      <c r="D12" s="11">
        <v>2.93E-2</v>
      </c>
      <c r="E12" s="10">
        <f t="shared" si="2"/>
        <v>54018.801153106848</v>
      </c>
      <c r="F12" s="3"/>
      <c r="G12" s="28"/>
      <c r="H12" s="10"/>
      <c r="I12" s="10">
        <f t="shared" si="5"/>
        <v>1905</v>
      </c>
      <c r="J12" s="10">
        <f t="shared" si="3"/>
        <v>3615049713.6938801</v>
      </c>
      <c r="K12" s="11">
        <f t="shared" si="4"/>
        <v>2.9300000000000104E-2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1843645.0905497174</v>
      </c>
      <c r="D13" s="11">
        <v>2.9100000000000001E-2</v>
      </c>
      <c r="E13" s="10">
        <f t="shared" si="2"/>
        <v>52133.001783108106</v>
      </c>
      <c r="F13" s="3"/>
      <c r="G13" s="28"/>
      <c r="H13" s="10"/>
      <c r="I13" s="10">
        <f t="shared" si="5"/>
        <v>1905</v>
      </c>
      <c r="J13" s="10">
        <f t="shared" si="3"/>
        <v>3512143897.4972115</v>
      </c>
      <c r="K13" s="11">
        <f t="shared" si="4"/>
        <v>2.9099999999999682E-2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1791512.0887666093</v>
      </c>
      <c r="D14" s="11">
        <v>2.92E-2</v>
      </c>
      <c r="E14" s="10">
        <f t="shared" si="2"/>
        <v>50827.976090152282</v>
      </c>
      <c r="F14" s="3"/>
      <c r="G14" s="28"/>
      <c r="H14" s="10"/>
      <c r="I14" s="10">
        <f t="shared" si="5"/>
        <v>1905</v>
      </c>
      <c r="J14" s="10">
        <f t="shared" si="3"/>
        <v>3412830529.1003909</v>
      </c>
      <c r="K14" s="11">
        <f t="shared" si="4"/>
        <v>2.9199999999999893E-2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1740684.112676457</v>
      </c>
      <c r="D15" s="11">
        <v>2.9399999999999999E-2</v>
      </c>
      <c r="E15" s="10">
        <f t="shared" si="2"/>
        <v>49714.506423827494</v>
      </c>
      <c r="F15" s="3"/>
      <c r="G15" s="28"/>
      <c r="H15" s="10"/>
      <c r="I15" s="10">
        <f t="shared" si="5"/>
        <v>1905</v>
      </c>
      <c r="J15" s="10">
        <f t="shared" si="3"/>
        <v>3316003234.6486506</v>
      </c>
      <c r="K15" s="11">
        <f t="shared" si="4"/>
        <v>2.9400000000000093E-2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1690969.6062526295</v>
      </c>
      <c r="D16" s="11">
        <v>2.9700000000000001E-2</v>
      </c>
      <c r="E16" s="10">
        <f t="shared" si="2"/>
        <v>48773.232306208694</v>
      </c>
      <c r="F16" s="3"/>
      <c r="G16" s="28"/>
      <c r="H16" s="10"/>
      <c r="I16" s="10">
        <f t="shared" si="5"/>
        <v>1905</v>
      </c>
      <c r="J16" s="10">
        <f t="shared" si="3"/>
        <v>3221297099.9112592</v>
      </c>
      <c r="K16" s="11">
        <f t="shared" si="4"/>
        <v>2.9699999999999838E-2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1642196.3739464208</v>
      </c>
      <c r="D17" s="11">
        <v>2.9899999999999999E-2</v>
      </c>
      <c r="E17" s="10">
        <f t="shared" si="2"/>
        <v>47676.154559664195</v>
      </c>
      <c r="F17" s="3"/>
      <c r="G17" s="28"/>
      <c r="H17" s="10"/>
      <c r="I17" s="10">
        <f t="shared" si="5"/>
        <v>1905</v>
      </c>
      <c r="J17" s="10">
        <f t="shared" si="3"/>
        <v>3128384092.3679318</v>
      </c>
      <c r="K17" s="11">
        <f t="shared" si="4"/>
        <v>2.990000000000026E-2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1594520.2193867567</v>
      </c>
      <c r="D18" s="11">
        <v>2.9899999999999999E-2</v>
      </c>
      <c r="E18" s="10">
        <f t="shared" si="2"/>
        <v>46292.023069874849</v>
      </c>
      <c r="F18" s="3"/>
      <c r="G18" s="28"/>
      <c r="H18" s="10"/>
      <c r="I18" s="10">
        <f t="shared" si="5"/>
        <v>1905</v>
      </c>
      <c r="J18" s="10">
        <f t="shared" si="3"/>
        <v>3037561017.9317713</v>
      </c>
      <c r="K18" s="11">
        <f t="shared" si="4"/>
        <v>2.9900000000000038E-2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1548228.1963168818</v>
      </c>
      <c r="D19" s="11">
        <v>2.9700000000000001E-2</v>
      </c>
      <c r="E19" s="10">
        <f t="shared" si="2"/>
        <v>44656.09151268471</v>
      </c>
      <c r="F19" s="3"/>
      <c r="G19" s="28"/>
      <c r="H19" s="10"/>
      <c r="I19" s="10">
        <f t="shared" si="5"/>
        <v>1905</v>
      </c>
      <c r="J19" s="10">
        <f t="shared" si="3"/>
        <v>2949374713.9836597</v>
      </c>
      <c r="K19" s="11">
        <f t="shared" si="4"/>
        <v>2.9699999999999838E-2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1503572.1048041971</v>
      </c>
      <c r="D20" s="11">
        <v>2.93E-2</v>
      </c>
      <c r="E20" s="10">
        <f t="shared" si="2"/>
        <v>42800.604945849627</v>
      </c>
      <c r="F20" s="3"/>
      <c r="G20" s="28"/>
      <c r="H20" s="10"/>
      <c r="I20" s="10">
        <f t="shared" si="5"/>
        <v>1905</v>
      </c>
      <c r="J20" s="10">
        <f t="shared" si="3"/>
        <v>2864304859.6519957</v>
      </c>
      <c r="K20" s="11">
        <f t="shared" si="4"/>
        <v>2.9300000000000104E-2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1460771.4998583475</v>
      </c>
      <c r="D21" s="11">
        <v>2.9100000000000001E-2</v>
      </c>
      <c r="E21" s="10">
        <f t="shared" si="2"/>
        <v>41306.433432978112</v>
      </c>
      <c r="F21" s="3"/>
      <c r="G21" s="28"/>
      <c r="H21" s="10"/>
      <c r="I21" s="10">
        <f t="shared" si="5"/>
        <v>1905</v>
      </c>
      <c r="J21" s="10">
        <f t="shared" si="3"/>
        <v>2782769707.2301521</v>
      </c>
      <c r="K21" s="11">
        <f t="shared" si="4"/>
        <v>2.9100000000000126E-2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1419465.0664253694</v>
      </c>
      <c r="D22" s="11">
        <v>2.92E-2</v>
      </c>
      <c r="E22" s="10">
        <f t="shared" si="2"/>
        <v>40272.425125943031</v>
      </c>
      <c r="F22" s="3"/>
      <c r="G22" s="28"/>
      <c r="H22" s="10"/>
      <c r="I22" s="10">
        <f t="shared" si="5"/>
        <v>1905</v>
      </c>
      <c r="J22" s="10">
        <f t="shared" si="3"/>
        <v>2704080951.5403285</v>
      </c>
      <c r="K22" s="11">
        <f t="shared" si="4"/>
        <v>2.9199999999999893E-2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1379192.6412994263</v>
      </c>
      <c r="D23" s="11">
        <v>0.03</v>
      </c>
      <c r="E23" s="10">
        <f t="shared" si="2"/>
        <v>40170.659455323126</v>
      </c>
      <c r="F23" s="3"/>
      <c r="G23" s="28"/>
      <c r="H23" s="10"/>
      <c r="I23" s="10">
        <f t="shared" si="5"/>
        <v>1905</v>
      </c>
      <c r="J23" s="10">
        <f t="shared" si="3"/>
        <v>2627361981.6754069</v>
      </c>
      <c r="K23" s="11">
        <f t="shared" si="4"/>
        <v>2.9999999999999805E-2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1339021.9818441032</v>
      </c>
      <c r="D24" s="11">
        <v>3.1699999999999999E-2</v>
      </c>
      <c r="E24" s="10">
        <f t="shared" si="2"/>
        <v>41142.770984257106</v>
      </c>
      <c r="F24" s="3"/>
      <c r="G24" s="28"/>
      <c r="H24" s="10"/>
      <c r="I24" s="10">
        <f t="shared" si="5"/>
        <v>1905</v>
      </c>
      <c r="J24" s="10">
        <f t="shared" si="3"/>
        <v>2550836875.4130168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1297879.2108598461</v>
      </c>
      <c r="D25" s="11">
        <v>3.4000000000000002E-2</v>
      </c>
      <c r="E25" s="10">
        <f t="shared" si="2"/>
        <v>42676.879273921484</v>
      </c>
      <c r="F25" s="3"/>
      <c r="G25" s="28"/>
      <c r="H25" s="10"/>
      <c r="I25" s="10">
        <f t="shared" si="5"/>
        <v>1905</v>
      </c>
      <c r="J25" s="10">
        <f t="shared" si="3"/>
        <v>2472459896.6880069</v>
      </c>
      <c r="K25" s="11">
        <f t="shared" si="4"/>
        <v>3.400000000000003E-2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1255202.3315859246</v>
      </c>
      <c r="D26" s="11">
        <v>3.6600000000000001E-2</v>
      </c>
      <c r="E26" s="10">
        <f t="shared" si="2"/>
        <v>44318.353594486602</v>
      </c>
      <c r="F26" s="3"/>
      <c r="G26" s="28"/>
      <c r="H26" s="10"/>
      <c r="I26" s="10">
        <f t="shared" si="5"/>
        <v>1905</v>
      </c>
      <c r="J26" s="10">
        <f t="shared" si="3"/>
        <v>2391160441.6711864</v>
      </c>
      <c r="K26" s="11">
        <f t="shared" si="4"/>
        <v>3.6599999999999966E-2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1210883.977991438</v>
      </c>
      <c r="D27" s="11">
        <v>3.9100000000000003E-2</v>
      </c>
      <c r="E27" s="10">
        <f t="shared" si="2"/>
        <v>45564.010720301419</v>
      </c>
      <c r="F27" s="3"/>
      <c r="G27" s="28"/>
      <c r="H27" s="10"/>
      <c r="I27" s="10">
        <f t="shared" si="5"/>
        <v>1905</v>
      </c>
      <c r="J27" s="10">
        <f t="shared" si="3"/>
        <v>2306733978.0736895</v>
      </c>
      <c r="K27" s="11">
        <f t="shared" si="4"/>
        <v>3.9100000000000135E-2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1165319.9672711366</v>
      </c>
      <c r="D28" s="11">
        <v>4.1500000000000002E-2</v>
      </c>
      <c r="E28" s="10">
        <f t="shared" si="2"/>
        <v>46433.776900386205</v>
      </c>
      <c r="F28" s="3"/>
      <c r="G28" s="28"/>
      <c r="H28" s="10"/>
      <c r="I28" s="10">
        <f t="shared" si="5"/>
        <v>1905</v>
      </c>
      <c r="J28" s="10">
        <f t="shared" si="3"/>
        <v>2219934537.651515</v>
      </c>
      <c r="K28" s="11">
        <f t="shared" si="4"/>
        <v>4.149999999999987E-2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1118886.1903707504</v>
      </c>
      <c r="D29" s="11">
        <v>4.36E-2</v>
      </c>
      <c r="E29" s="10">
        <f t="shared" si="2"/>
        <v>46745.341031204211</v>
      </c>
      <c r="F29" s="3"/>
      <c r="G29" s="28"/>
      <c r="H29" s="10"/>
      <c r="I29" s="10">
        <f t="shared" si="5"/>
        <v>1905</v>
      </c>
      <c r="J29" s="10">
        <f t="shared" si="3"/>
        <v>2131478192.6562796</v>
      </c>
      <c r="K29" s="11">
        <f t="shared" si="4"/>
        <v>4.3600000000000083E-2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1072140.8493395462</v>
      </c>
      <c r="D30" s="11">
        <v>4.5499999999999999E-2</v>
      </c>
      <c r="E30" s="10">
        <f t="shared" si="2"/>
        <v>46659.405686226091</v>
      </c>
      <c r="F30" s="3"/>
      <c r="G30" s="28"/>
      <c r="H30" s="10"/>
      <c r="I30" s="10">
        <f t="shared" si="5"/>
        <v>1905</v>
      </c>
      <c r="J30" s="10">
        <f t="shared" si="3"/>
        <v>2042428317.9918354</v>
      </c>
      <c r="K30" s="11">
        <f t="shared" si="4"/>
        <v>4.5499999999999874E-2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1025481.4436533201</v>
      </c>
      <c r="D31" s="11">
        <v>4.7E-2</v>
      </c>
      <c r="E31" s="10">
        <f t="shared" si="2"/>
        <v>46034.028511658078</v>
      </c>
      <c r="F31" s="3"/>
      <c r="G31" s="28"/>
      <c r="H31" s="10"/>
      <c r="I31" s="10">
        <f t="shared" si="5"/>
        <v>1905</v>
      </c>
      <c r="J31" s="10">
        <f t="shared" si="3"/>
        <v>1953542150.1595747</v>
      </c>
      <c r="K31" s="11">
        <f t="shared" si="4"/>
        <v>4.6999999999999931E-2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979447.415141662</v>
      </c>
      <c r="D32" s="11">
        <v>4.6699999999999998E-2</v>
      </c>
      <c r="E32" s="10">
        <f t="shared" si="2"/>
        <v>43699.4308656879</v>
      </c>
      <c r="F32" s="3"/>
      <c r="G32" s="28"/>
      <c r="H32" s="10"/>
      <c r="I32" s="10">
        <f t="shared" si="5"/>
        <v>1905</v>
      </c>
      <c r="J32" s="10">
        <f t="shared" si="3"/>
        <v>1865847325.844866</v>
      </c>
      <c r="K32" s="11">
        <f t="shared" si="4"/>
        <v>4.6699999999999964E-2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935747.9842759741</v>
      </c>
      <c r="D33" s="11">
        <v>4.4699999999999997E-2</v>
      </c>
      <c r="E33" s="10">
        <f t="shared" si="2"/>
        <v>40038.226186595159</v>
      </c>
      <c r="F33" s="3"/>
      <c r="G33" s="28"/>
      <c r="H33" s="10"/>
      <c r="I33" s="10">
        <f t="shared" si="5"/>
        <v>1905</v>
      </c>
      <c r="J33" s="10">
        <f t="shared" si="3"/>
        <v>1782599910.0457306</v>
      </c>
      <c r="K33" s="11">
        <f t="shared" si="4"/>
        <v>4.4699999999999962E-2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895709.75808937894</v>
      </c>
      <c r="D34" s="11">
        <v>4.1200000000000001E-2</v>
      </c>
      <c r="E34" s="10">
        <f t="shared" si="2"/>
        <v>35442.990811834694</v>
      </c>
      <c r="F34" s="3"/>
      <c r="G34" s="28"/>
      <c r="H34" s="10"/>
      <c r="I34" s="10">
        <f t="shared" si="5"/>
        <v>1905</v>
      </c>
      <c r="J34" s="10">
        <f t="shared" ref="J34:J65" si="6">IF(I34="","",I34*C34)</f>
        <v>1706327089.1602669</v>
      </c>
      <c r="K34" s="11">
        <f t="shared" ref="K34:K65" si="7">IFERROR(J34/J35-1,"")</f>
        <v>4.1199999999999903E-2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860266.76727754425</v>
      </c>
      <c r="D35" s="11">
        <v>3.73E-2</v>
      </c>
      <c r="E35" s="10">
        <f t="shared" si="2"/>
        <v>30934.108184182434</v>
      </c>
      <c r="F35" s="3"/>
      <c r="G35" s="28"/>
      <c r="H35" s="10"/>
      <c r="I35" s="10">
        <f t="shared" ref="I35:I66" si="8">IF(H35&lt;&gt;"",H35,I34/(1+IF(G34="",0,G34)/100))</f>
        <v>1905</v>
      </c>
      <c r="J35" s="10">
        <f t="shared" si="6"/>
        <v>1638808191.6637218</v>
      </c>
      <c r="K35" s="11">
        <f t="shared" si="7"/>
        <v>3.7300000000000111E-2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829332.65909336181</v>
      </c>
      <c r="D36" s="11">
        <v>3.3700000000000001E-2</v>
      </c>
      <c r="E36" s="10">
        <f t="shared" si="2"/>
        <v>27037.351853967644</v>
      </c>
      <c r="F36" s="3"/>
      <c r="G36" s="28"/>
      <c r="H36" s="10"/>
      <c r="I36" s="10">
        <f t="shared" si="8"/>
        <v>1905</v>
      </c>
      <c r="J36" s="10">
        <f t="shared" si="6"/>
        <v>1579878715.5728543</v>
      </c>
      <c r="K36" s="11">
        <f t="shared" si="7"/>
        <v>3.3700000000000063E-2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802295.30723939417</v>
      </c>
      <c r="D37" s="11">
        <v>3.0800000000000001E-2</v>
      </c>
      <c r="E37" s="10">
        <f t="shared" si="2"/>
        <v>23972.347170133144</v>
      </c>
      <c r="F37" s="3"/>
      <c r="G37" s="28"/>
      <c r="H37" s="10"/>
      <c r="I37" s="10">
        <f t="shared" si="8"/>
        <v>1905</v>
      </c>
      <c r="J37" s="10">
        <f t="shared" si="6"/>
        <v>1528372560.2910459</v>
      </c>
      <c r="K37" s="11">
        <f t="shared" si="7"/>
        <v>3.0799999999999939E-2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778322.96006926103</v>
      </c>
      <c r="D38" s="11">
        <v>2.87E-2</v>
      </c>
      <c r="E38" s="10">
        <f t="shared" si="2"/>
        <v>21714.658261872013</v>
      </c>
      <c r="F38" s="3"/>
      <c r="G38" s="28"/>
      <c r="H38" s="10"/>
      <c r="I38" s="10">
        <f t="shared" si="8"/>
        <v>1905</v>
      </c>
      <c r="J38" s="10">
        <f t="shared" si="6"/>
        <v>1482705238.9319422</v>
      </c>
      <c r="K38" s="11">
        <f t="shared" si="7"/>
        <v>2.8699999999999948E-2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756608.30180738901</v>
      </c>
      <c r="D39" s="11">
        <v>2.75E-2</v>
      </c>
      <c r="E39" s="10">
        <f t="shared" si="2"/>
        <v>20249.857225988526</v>
      </c>
      <c r="F39" s="3"/>
      <c r="G39" s="28"/>
      <c r="H39" s="10"/>
      <c r="I39" s="10">
        <f t="shared" si="8"/>
        <v>1905</v>
      </c>
      <c r="J39" s="10">
        <f t="shared" si="6"/>
        <v>1441338814.9430761</v>
      </c>
      <c r="K39" s="11">
        <f t="shared" si="7"/>
        <v>2.750000000000008E-2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736358.44458140049</v>
      </c>
      <c r="D40" s="11">
        <v>2.7099999999999999E-2</v>
      </c>
      <c r="E40" s="10">
        <f t="shared" si="2"/>
        <v>19428.793543136911</v>
      </c>
      <c r="F40" s="3"/>
      <c r="G40" s="28"/>
      <c r="H40" s="10"/>
      <c r="I40" s="10">
        <f t="shared" si="8"/>
        <v>1905</v>
      </c>
      <c r="J40" s="10">
        <f t="shared" si="6"/>
        <v>1402762836.927568</v>
      </c>
      <c r="K40" s="11">
        <f t="shared" si="7"/>
        <v>2.7099999999999902E-2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716929.65103826358</v>
      </c>
      <c r="D41" s="11">
        <v>2.7400000000000001E-2</v>
      </c>
      <c r="E41" s="10">
        <f t="shared" si="2"/>
        <v>19119.984853463597</v>
      </c>
      <c r="F41" s="3"/>
      <c r="G41" s="28"/>
      <c r="H41" s="10"/>
      <c r="I41" s="10">
        <f t="shared" si="8"/>
        <v>1905</v>
      </c>
      <c r="J41" s="10">
        <f t="shared" si="6"/>
        <v>1365750985.2278922</v>
      </c>
      <c r="K41" s="11">
        <f t="shared" si="7"/>
        <v>2.7400000000000313E-2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697809.66618479998</v>
      </c>
      <c r="D42" s="11">
        <v>2.8199999999999999E-2</v>
      </c>
      <c r="E42" s="10">
        <f t="shared" si="2"/>
        <v>19138.526149009354</v>
      </c>
      <c r="F42" s="3"/>
      <c r="G42" s="28"/>
      <c r="H42" s="10"/>
      <c r="I42" s="10">
        <f t="shared" si="8"/>
        <v>1905</v>
      </c>
      <c r="J42" s="10">
        <f t="shared" si="6"/>
        <v>1329327414.0820439</v>
      </c>
      <c r="K42" s="11">
        <f t="shared" si="7"/>
        <v>2.8200000000000003E-2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678671.14003579062</v>
      </c>
      <c r="D43" s="11">
        <v>2.9000000000000001E-2</v>
      </c>
      <c r="E43" s="10">
        <f t="shared" si="2"/>
        <v>19126.786259512068</v>
      </c>
      <c r="F43" s="3"/>
      <c r="G43" s="28"/>
      <c r="H43" s="10"/>
      <c r="I43" s="10">
        <f t="shared" si="8"/>
        <v>1905</v>
      </c>
      <c r="J43" s="10">
        <f t="shared" si="6"/>
        <v>1292868521.7681811</v>
      </c>
      <c r="K43" s="11">
        <f t="shared" si="7"/>
        <v>2.8999999999999915E-2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659544.35377627856</v>
      </c>
      <c r="D44" s="11">
        <v>2.9700000000000001E-2</v>
      </c>
      <c r="E44" s="10">
        <f t="shared" si="2"/>
        <v>19023.470240997849</v>
      </c>
      <c r="F44" s="3"/>
      <c r="G44" s="28"/>
      <c r="H44" s="10"/>
      <c r="I44" s="10">
        <f t="shared" si="8"/>
        <v>1905</v>
      </c>
      <c r="J44" s="10">
        <f t="shared" si="6"/>
        <v>1256431993.9438107</v>
      </c>
      <c r="K44" s="11">
        <f t="shared" si="7"/>
        <v>2.970000000000006E-2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640520.88353528071</v>
      </c>
      <c r="D45" s="11">
        <v>3.0099999999999998E-2</v>
      </c>
      <c r="E45" s="10">
        <f t="shared" si="2"/>
        <v>18716.317439483479</v>
      </c>
      <c r="F45" s="3"/>
      <c r="G45" s="28"/>
      <c r="H45" s="10"/>
      <c r="I45" s="10">
        <f t="shared" si="8"/>
        <v>1905</v>
      </c>
      <c r="J45" s="10">
        <f t="shared" si="6"/>
        <v>1220192283.1347098</v>
      </c>
      <c r="K45" s="11">
        <f t="shared" si="7"/>
        <v>3.0100000000000016E-2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621804.56609579723</v>
      </c>
      <c r="D46" s="11">
        <v>3.0099999999999998E-2</v>
      </c>
      <c r="E46" s="10">
        <f t="shared" si="2"/>
        <v>18169.417958920007</v>
      </c>
      <c r="F46" s="3"/>
      <c r="G46" s="28"/>
      <c r="H46" s="10"/>
      <c r="I46" s="10">
        <f t="shared" si="8"/>
        <v>1905</v>
      </c>
      <c r="J46" s="10">
        <f t="shared" si="6"/>
        <v>1184537698.4124937</v>
      </c>
      <c r="K46" s="11">
        <f t="shared" si="7"/>
        <v>3.0100000000000016E-2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603635.14813687722</v>
      </c>
      <c r="D47" s="11">
        <v>2.98E-2</v>
      </c>
      <c r="E47" s="10">
        <f t="shared" si="2"/>
        <v>17467.787351406994</v>
      </c>
      <c r="F47" s="3"/>
      <c r="G47" s="28"/>
      <c r="H47" s="10"/>
      <c r="I47" s="10">
        <f t="shared" si="8"/>
        <v>1905</v>
      </c>
      <c r="J47" s="10">
        <f t="shared" si="6"/>
        <v>1149924957.2007511</v>
      </c>
      <c r="K47" s="11">
        <f t="shared" si="7"/>
        <v>2.9800000000000049E-2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586167.36078547023</v>
      </c>
      <c r="D48" s="11">
        <v>2.93E-2</v>
      </c>
      <c r="E48" s="10">
        <f t="shared" si="2"/>
        <v>16685.809454011847</v>
      </c>
      <c r="F48" s="3"/>
      <c r="G48" s="28"/>
      <c r="H48" s="10"/>
      <c r="I48" s="10">
        <f t="shared" si="8"/>
        <v>1905</v>
      </c>
      <c r="J48" s="10">
        <f t="shared" si="6"/>
        <v>1116648822.2963207</v>
      </c>
      <c r="K48" s="11">
        <f t="shared" si="7"/>
        <v>2.9300000000000104E-2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569481.55133145838</v>
      </c>
      <c r="D49" s="11">
        <v>2.86E-2</v>
      </c>
      <c r="E49" s="10">
        <f t="shared" si="2"/>
        <v>15834.311071436619</v>
      </c>
      <c r="F49" s="3"/>
      <c r="G49" s="28"/>
      <c r="H49" s="10"/>
      <c r="I49" s="10">
        <f t="shared" si="8"/>
        <v>1905</v>
      </c>
      <c r="J49" s="10">
        <f t="shared" si="6"/>
        <v>1084862355.2864282</v>
      </c>
      <c r="K49" s="11">
        <f t="shared" si="7"/>
        <v>2.8599999999999959E-2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553647.24026002176</v>
      </c>
      <c r="D50" s="11">
        <v>2.7900000000000001E-2</v>
      </c>
      <c r="E50" s="10">
        <f t="shared" si="2"/>
        <v>15027.491004236392</v>
      </c>
      <c r="F50" s="3"/>
      <c r="G50" s="28"/>
      <c r="H50" s="10"/>
      <c r="I50" s="10">
        <f t="shared" si="8"/>
        <v>1905</v>
      </c>
      <c r="J50" s="10">
        <f t="shared" si="6"/>
        <v>1054697992.6953415</v>
      </c>
      <c r="K50" s="11">
        <f t="shared" si="7"/>
        <v>2.7900000000000036E-2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538619.74925578537</v>
      </c>
      <c r="D51" s="11">
        <v>2.7199999999999998E-2</v>
      </c>
      <c r="E51" s="10">
        <f t="shared" si="2"/>
        <v>14262.516724841669</v>
      </c>
      <c r="F51" s="3"/>
      <c r="G51" s="28"/>
      <c r="H51" s="10"/>
      <c r="I51" s="10">
        <f t="shared" si="8"/>
        <v>1905</v>
      </c>
      <c r="J51" s="10">
        <f t="shared" si="6"/>
        <v>1026070622.3322711</v>
      </c>
      <c r="K51" s="11">
        <f t="shared" si="7"/>
        <v>2.7200000000000113E-2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524357.2325309437</v>
      </c>
      <c r="D52" s="11">
        <v>2.6499999999999999E-2</v>
      </c>
      <c r="E52" s="10">
        <f t="shared" si="2"/>
        <v>13536.742973278102</v>
      </c>
      <c r="F52" s="3"/>
      <c r="G52" s="28"/>
      <c r="H52" s="10"/>
      <c r="I52" s="10">
        <f t="shared" si="8"/>
        <v>1905</v>
      </c>
      <c r="J52" s="10">
        <f t="shared" si="6"/>
        <v>998900527.97144771</v>
      </c>
      <c r="K52" s="11">
        <f t="shared" si="7"/>
        <v>2.6499999999999968E-2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510820.4895576656</v>
      </c>
      <c r="D53" s="11">
        <v>2.5700000000000001E-2</v>
      </c>
      <c r="E53" s="10">
        <f t="shared" si="2"/>
        <v>12799.148466054408</v>
      </c>
      <c r="F53" s="3"/>
      <c r="G53" s="28"/>
      <c r="H53" s="10"/>
      <c r="I53" s="10">
        <f t="shared" si="8"/>
        <v>1905</v>
      </c>
      <c r="J53" s="10">
        <f t="shared" si="6"/>
        <v>973113032.60735297</v>
      </c>
      <c r="K53" s="11">
        <f t="shared" si="7"/>
        <v>2.5700000000000056E-2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498021.34109161119</v>
      </c>
      <c r="D54" s="11">
        <v>2.5000000000000001E-2</v>
      </c>
      <c r="E54" s="10">
        <f t="shared" si="2"/>
        <v>12146.86197784415</v>
      </c>
      <c r="F54" s="3"/>
      <c r="G54" s="28"/>
      <c r="H54" s="10"/>
      <c r="I54" s="10">
        <f t="shared" si="8"/>
        <v>1905</v>
      </c>
      <c r="J54" s="10">
        <f t="shared" si="6"/>
        <v>948730654.77951932</v>
      </c>
      <c r="K54" s="11">
        <f t="shared" si="7"/>
        <v>2.4999999999999911E-2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485874.47911376704</v>
      </c>
      <c r="D55" s="11">
        <v>2.4400000000000002E-2</v>
      </c>
      <c r="E55" s="10">
        <f t="shared" si="2"/>
        <v>11572.957136251382</v>
      </c>
      <c r="F55" s="3"/>
      <c r="G55" s="28"/>
      <c r="H55" s="10"/>
      <c r="I55" s="10">
        <f t="shared" si="8"/>
        <v>1905</v>
      </c>
      <c r="J55" s="10">
        <f t="shared" si="6"/>
        <v>925590882.71172619</v>
      </c>
      <c r="K55" s="11">
        <f t="shared" si="7"/>
        <v>2.4399999999999977E-2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474301.52197751566</v>
      </c>
      <c r="D56" s="11">
        <v>2.3699999999999999E-2</v>
      </c>
      <c r="E56" s="10">
        <f t="shared" si="2"/>
        <v>10980.703400280501</v>
      </c>
      <c r="F56" s="3"/>
      <c r="G56" s="28"/>
      <c r="H56" s="10"/>
      <c r="I56" s="10">
        <f t="shared" si="8"/>
        <v>1905</v>
      </c>
      <c r="J56" s="10">
        <f t="shared" si="6"/>
        <v>903544399.36716735</v>
      </c>
      <c r="K56" s="11">
        <f t="shared" si="7"/>
        <v>2.3700000000000054E-2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463320.81857723516</v>
      </c>
      <c r="D57" s="11">
        <v>2.3099999999999999E-2</v>
      </c>
      <c r="E57" s="10">
        <f t="shared" si="2"/>
        <v>10461.060413580388</v>
      </c>
      <c r="F57" s="3"/>
      <c r="G57" s="28"/>
      <c r="H57" s="10"/>
      <c r="I57" s="10">
        <f t="shared" si="8"/>
        <v>1905</v>
      </c>
      <c r="J57" s="10">
        <f t="shared" si="6"/>
        <v>882626159.38963294</v>
      </c>
      <c r="K57" s="11">
        <f t="shared" si="7"/>
        <v>2.3099999999999898E-2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452859.75816365477</v>
      </c>
      <c r="D58" s="11">
        <v>2.2499999999999999E-2</v>
      </c>
      <c r="E58" s="10">
        <f t="shared" si="2"/>
        <v>9965.1291527454159</v>
      </c>
      <c r="F58" s="3"/>
      <c r="G58" s="28"/>
      <c r="H58" s="10"/>
      <c r="I58" s="10">
        <f t="shared" si="8"/>
        <v>1905</v>
      </c>
      <c r="J58" s="10">
        <f t="shared" si="6"/>
        <v>862697839.30176234</v>
      </c>
      <c r="K58" s="11">
        <f t="shared" si="7"/>
        <v>2.2499999999999964E-2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442894.62901090935</v>
      </c>
      <c r="D59" s="11">
        <v>2.1899999999999999E-2</v>
      </c>
      <c r="E59" s="10">
        <f t="shared" si="2"/>
        <v>9491.5279140218627</v>
      </c>
      <c r="F59" s="3"/>
      <c r="G59" s="28"/>
      <c r="H59" s="10"/>
      <c r="I59" s="10">
        <f t="shared" si="8"/>
        <v>1905</v>
      </c>
      <c r="J59" s="10">
        <f t="shared" si="6"/>
        <v>843714268.26578236</v>
      </c>
      <c r="K59" s="11">
        <f t="shared" si="7"/>
        <v>2.1900000000000253E-2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433403.10109688749</v>
      </c>
      <c r="D60" s="11">
        <v>2.1299999999999999E-2</v>
      </c>
      <c r="E60" s="10">
        <f t="shared" si="2"/>
        <v>9038.9562845038017</v>
      </c>
      <c r="F60" s="3"/>
      <c r="G60" s="28"/>
      <c r="H60" s="10"/>
      <c r="I60" s="10">
        <f t="shared" si="8"/>
        <v>1905</v>
      </c>
      <c r="J60" s="10">
        <f t="shared" si="6"/>
        <v>825632907.58957064</v>
      </c>
      <c r="K60" s="11">
        <f t="shared" si="7"/>
        <v>2.1300000000000097E-2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424364.14481238369</v>
      </c>
      <c r="D61" s="11">
        <v>2.07E-2</v>
      </c>
      <c r="E61" s="10">
        <f t="shared" si="2"/>
        <v>8606.1896714179893</v>
      </c>
      <c r="F61" s="3"/>
      <c r="G61" s="28"/>
      <c r="H61" s="10"/>
      <c r="I61" s="10">
        <f t="shared" si="8"/>
        <v>1905</v>
      </c>
      <c r="J61" s="10">
        <f t="shared" si="6"/>
        <v>808413695.8675909</v>
      </c>
      <c r="K61" s="11">
        <f t="shared" si="7"/>
        <v>2.0699999999999941E-2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415757.9551409657</v>
      </c>
      <c r="D62" s="11">
        <v>0.02</v>
      </c>
      <c r="E62" s="10">
        <f t="shared" si="2"/>
        <v>8152.11676746991</v>
      </c>
      <c r="F62" s="3"/>
      <c r="G62" s="28"/>
      <c r="H62" s="10"/>
      <c r="I62" s="10">
        <f t="shared" si="8"/>
        <v>1905</v>
      </c>
      <c r="J62" s="10">
        <f t="shared" si="6"/>
        <v>792018904.54353964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407605.83837349579</v>
      </c>
      <c r="D63" s="11">
        <v>1.9400000000000001E-2</v>
      </c>
      <c r="E63" s="10">
        <f t="shared" si="2"/>
        <v>7757.0661805433338</v>
      </c>
      <c r="F63" s="3"/>
      <c r="G63" s="28"/>
      <c r="H63" s="10"/>
      <c r="I63" s="10">
        <f t="shared" si="8"/>
        <v>1905</v>
      </c>
      <c r="J63" s="10">
        <f t="shared" si="6"/>
        <v>776489122.10150945</v>
      </c>
      <c r="K63" s="11">
        <f t="shared" si="7"/>
        <v>1.9400000000000084E-2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399848.77219295246</v>
      </c>
      <c r="D64" s="11">
        <v>1.8700000000000001E-2</v>
      </c>
      <c r="E64" s="10">
        <f t="shared" si="2"/>
        <v>7339.9156179524725</v>
      </c>
      <c r="F64" s="3"/>
      <c r="G64" s="28"/>
      <c r="H64" s="10"/>
      <c r="I64" s="10">
        <f t="shared" si="8"/>
        <v>1905</v>
      </c>
      <c r="J64" s="10">
        <f t="shared" si="6"/>
        <v>761711911.02757442</v>
      </c>
      <c r="K64" s="11">
        <f t="shared" si="7"/>
        <v>1.8699999999999939E-2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392508.85657499998</v>
      </c>
      <c r="D65" s="11">
        <v>1.8100000000000002E-2</v>
      </c>
      <c r="E65" s="10">
        <f t="shared" si="2"/>
        <v>6978.1065749999834</v>
      </c>
      <c r="F65" s="3"/>
      <c r="G65" s="28"/>
      <c r="H65" s="10"/>
      <c r="I65" s="10">
        <f t="shared" si="8"/>
        <v>1905</v>
      </c>
      <c r="J65" s="10">
        <f t="shared" si="6"/>
        <v>747729371.77537501</v>
      </c>
      <c r="K65" s="11">
        <f t="shared" si="7"/>
        <v>1.8100000000000005E-2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385530.75</v>
      </c>
      <c r="D66" s="11">
        <v>1.7500000000000002E-2</v>
      </c>
      <c r="E66" s="10">
        <f t="shared" si="2"/>
        <v>6630.75</v>
      </c>
      <c r="F66" s="24">
        <f>SUM(F2)</f>
        <v>2549416</v>
      </c>
      <c r="G66" s="28"/>
      <c r="H66" s="10"/>
      <c r="I66" s="10">
        <f t="shared" si="8"/>
        <v>1905</v>
      </c>
      <c r="J66" s="10">
        <f t="shared" ref="J66:J67" si="9">IF(I66="","",I66*C66)</f>
        <v>734436078.75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378900</v>
      </c>
      <c r="D67" s="11">
        <v>1.6799999999999999E-2</v>
      </c>
      <c r="E67" s="3" t="s">
        <v>72</v>
      </c>
      <c r="F67" s="10">
        <f>SUM(C2)</f>
        <v>2547824.340408396</v>
      </c>
      <c r="G67" s="28"/>
      <c r="H67" s="10"/>
      <c r="I67" s="10">
        <f t="shared" ref="I67" si="11">IF(H67&lt;&gt;"",H67,I66/(1+IF(G66="",0,G66)/100))</f>
        <v>1905</v>
      </c>
      <c r="J67" s="10">
        <f t="shared" si="9"/>
        <v>721804500</v>
      </c>
      <c r="K67" s="11"/>
    </row>
  </sheetData>
  <dataValidations count="1">
    <dataValidation type="custom" allowBlank="1" showDropDown="1" sqref="D2:D67" xr:uid="{00000000-0002-0000-7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18288748.218598638</v>
      </c>
      <c r="D2" s="11">
        <v>7.7999999999999996E-3</v>
      </c>
      <c r="E2" s="10">
        <f t="shared" ref="E2:E66" si="2">SUM(C2-C3)</f>
        <v>141548.16045353189</v>
      </c>
      <c r="F2" s="15">
        <v>18288844</v>
      </c>
      <c r="G2" s="28"/>
      <c r="H2" s="10"/>
      <c r="I2" s="10">
        <f>IF(H2&lt;&gt;"",H2,7500)</f>
        <v>7500</v>
      </c>
      <c r="J2" s="10">
        <f t="shared" ref="J2:J33" si="3">IF(I2="","",I2*C2)</f>
        <v>137165611639.48978</v>
      </c>
      <c r="K2" s="11">
        <f t="shared" ref="K2:K33" si="4">IFERROR(J2/J3-1,"")</f>
        <v>7.8000000000000291E-3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18147200.058145106</v>
      </c>
      <c r="D3" s="11">
        <v>7.1999999999999998E-3</v>
      </c>
      <c r="E3" s="10">
        <f t="shared" si="2"/>
        <v>129725.81455385685</v>
      </c>
      <c r="F3" s="3"/>
      <c r="G3" s="28"/>
      <c r="H3" s="10"/>
      <c r="I3" s="10">
        <f t="shared" ref="I3:I34" si="5">IF(H3&lt;&gt;"",H3,I2/(1+IF(G2="",0,G2)/100))</f>
        <v>7500</v>
      </c>
      <c r="J3" s="10">
        <f t="shared" si="3"/>
        <v>136104000436.08829</v>
      </c>
      <c r="K3" s="11">
        <f t="shared" si="4"/>
        <v>7.1999999999998732E-3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18017474.243591249</v>
      </c>
      <c r="D4" s="11">
        <v>6.8999999999999999E-3</v>
      </c>
      <c r="E4" s="10">
        <f t="shared" si="2"/>
        <v>123468.63867392763</v>
      </c>
      <c r="F4" s="3"/>
      <c r="G4" s="28"/>
      <c r="H4" s="10"/>
      <c r="I4" s="10">
        <f t="shared" si="5"/>
        <v>7500</v>
      </c>
      <c r="J4" s="10">
        <f t="shared" si="3"/>
        <v>135131056826.93437</v>
      </c>
      <c r="K4" s="11">
        <f t="shared" si="4"/>
        <v>6.8999999999999062E-3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17894005.604917321</v>
      </c>
      <c r="D5" s="11">
        <v>8.2000000000000007E-3</v>
      </c>
      <c r="E5" s="10">
        <f t="shared" si="2"/>
        <v>145537.43896084279</v>
      </c>
      <c r="F5" s="3"/>
      <c r="G5" s="28"/>
      <c r="H5" s="10"/>
      <c r="I5" s="10">
        <f t="shared" si="5"/>
        <v>7500</v>
      </c>
      <c r="J5" s="10">
        <f t="shared" si="3"/>
        <v>134205042036.87991</v>
      </c>
      <c r="K5" s="11">
        <f t="shared" si="4"/>
        <v>8.1999999999999851E-3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17748468.165956479</v>
      </c>
      <c r="D6" s="11">
        <v>1.03E-2</v>
      </c>
      <c r="E6" s="10">
        <f t="shared" si="2"/>
        <v>180945.48362798244</v>
      </c>
      <c r="F6" s="3"/>
      <c r="G6" s="28"/>
      <c r="H6" s="10"/>
      <c r="I6" s="10">
        <f t="shared" si="5"/>
        <v>7500</v>
      </c>
      <c r="J6" s="10">
        <f t="shared" si="3"/>
        <v>133113511244.67358</v>
      </c>
      <c r="K6" s="11">
        <f t="shared" si="4"/>
        <v>1.0299999999999976E-2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17567522.682328496</v>
      </c>
      <c r="D7" s="11">
        <v>9.2999999999999992E-3</v>
      </c>
      <c r="E7" s="10">
        <f t="shared" si="2"/>
        <v>161872.54626538977</v>
      </c>
      <c r="F7" s="3"/>
      <c r="G7" s="28"/>
      <c r="H7" s="10"/>
      <c r="I7" s="10">
        <f t="shared" si="5"/>
        <v>7500</v>
      </c>
      <c r="J7" s="10">
        <f t="shared" si="3"/>
        <v>131756420117.46371</v>
      </c>
      <c r="K7" s="11">
        <f t="shared" si="4"/>
        <v>9.300000000000086E-3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17405650.136063106</v>
      </c>
      <c r="D8" s="11">
        <v>7.4000000000000003E-3</v>
      </c>
      <c r="E8" s="10">
        <f t="shared" si="2"/>
        <v>127855.6789823994</v>
      </c>
      <c r="F8" s="3"/>
      <c r="G8" s="28"/>
      <c r="H8" s="10"/>
      <c r="I8" s="10">
        <f t="shared" si="5"/>
        <v>7500</v>
      </c>
      <c r="J8" s="10">
        <f t="shared" si="3"/>
        <v>130542376020.4733</v>
      </c>
      <c r="K8" s="11">
        <f t="shared" si="4"/>
        <v>7.4000000000000732E-3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17277794.457080707</v>
      </c>
      <c r="D9" s="11">
        <v>6.6E-3</v>
      </c>
      <c r="E9" s="10">
        <f t="shared" si="2"/>
        <v>113285.75741777569</v>
      </c>
      <c r="F9" s="3"/>
      <c r="G9" s="28"/>
      <c r="H9" s="10"/>
      <c r="I9" s="10">
        <f t="shared" si="5"/>
        <v>7500</v>
      </c>
      <c r="J9" s="10">
        <f t="shared" si="3"/>
        <v>129583458428.1053</v>
      </c>
      <c r="K9" s="11">
        <f t="shared" si="4"/>
        <v>6.5999999999999392E-3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17164508.699662931</v>
      </c>
      <c r="D10" s="11">
        <v>6.6E-3</v>
      </c>
      <c r="E10" s="10">
        <f t="shared" si="2"/>
        <v>112542.97379075363</v>
      </c>
      <c r="F10" s="3"/>
      <c r="G10" s="28"/>
      <c r="H10" s="10"/>
      <c r="I10" s="10">
        <f t="shared" si="5"/>
        <v>7500</v>
      </c>
      <c r="J10" s="10">
        <f t="shared" si="3"/>
        <v>128733815247.47198</v>
      </c>
      <c r="K10" s="11">
        <f t="shared" si="4"/>
        <v>6.5999999999997172E-3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17051965.725872178</v>
      </c>
      <c r="D11" s="11">
        <v>7.7000000000000002E-3</v>
      </c>
      <c r="E11" s="10">
        <f t="shared" si="2"/>
        <v>130296.85034158453</v>
      </c>
      <c r="F11" s="3"/>
      <c r="G11" s="28"/>
      <c r="H11" s="10"/>
      <c r="I11" s="10">
        <f t="shared" si="5"/>
        <v>7500</v>
      </c>
      <c r="J11" s="10">
        <f t="shared" si="3"/>
        <v>127889742944.04134</v>
      </c>
      <c r="K11" s="11">
        <f t="shared" si="4"/>
        <v>7.7000000000000401E-3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16921668.875530593</v>
      </c>
      <c r="D12" s="11">
        <v>8.5000000000000006E-3</v>
      </c>
      <c r="E12" s="10">
        <f t="shared" si="2"/>
        <v>142621.899297975</v>
      </c>
      <c r="F12" s="3"/>
      <c r="G12" s="28"/>
      <c r="H12" s="10"/>
      <c r="I12" s="10">
        <f t="shared" si="5"/>
        <v>7500</v>
      </c>
      <c r="J12" s="10">
        <f t="shared" si="3"/>
        <v>126912516566.47945</v>
      </c>
      <c r="K12" s="11">
        <f t="shared" si="4"/>
        <v>8.499999999999952E-3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16779046.976232618</v>
      </c>
      <c r="D13" s="11">
        <v>9.5999999999999992E-3</v>
      </c>
      <c r="E13" s="10">
        <f t="shared" si="2"/>
        <v>159547.19787226059</v>
      </c>
      <c r="F13" s="3"/>
      <c r="G13" s="28"/>
      <c r="H13" s="10"/>
      <c r="I13" s="10">
        <f t="shared" si="5"/>
        <v>7500</v>
      </c>
      <c r="J13" s="10">
        <f t="shared" si="3"/>
        <v>125842852321.74463</v>
      </c>
      <c r="K13" s="11">
        <f t="shared" si="4"/>
        <v>9.6000000000000529E-3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16619499.778360358</v>
      </c>
      <c r="D14" s="11">
        <v>1.0200000000000001E-2</v>
      </c>
      <c r="E14" s="10">
        <f t="shared" si="2"/>
        <v>167807.2636500448</v>
      </c>
      <c r="F14" s="3"/>
      <c r="G14" s="28"/>
      <c r="H14" s="10"/>
      <c r="I14" s="10">
        <f t="shared" si="5"/>
        <v>7500</v>
      </c>
      <c r="J14" s="10">
        <f t="shared" si="3"/>
        <v>124646248337.70268</v>
      </c>
      <c r="K14" s="11">
        <f t="shared" si="4"/>
        <v>1.0199999999999987E-2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16451692.514710313</v>
      </c>
      <c r="D15" s="11">
        <v>1.06E-2</v>
      </c>
      <c r="E15" s="10">
        <f t="shared" si="2"/>
        <v>172558.81719367579</v>
      </c>
      <c r="F15" s="3"/>
      <c r="G15" s="28"/>
      <c r="H15" s="10"/>
      <c r="I15" s="10">
        <f t="shared" si="5"/>
        <v>7500</v>
      </c>
      <c r="J15" s="10">
        <f t="shared" si="3"/>
        <v>123387693860.32735</v>
      </c>
      <c r="K15" s="11">
        <f t="shared" si="4"/>
        <v>1.0599999999999943E-2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16279133.697516637</v>
      </c>
      <c r="D16" s="11">
        <v>1.11E-2</v>
      </c>
      <c r="E16" s="10">
        <f t="shared" si="2"/>
        <v>178714.65141176619</v>
      </c>
      <c r="F16" s="3"/>
      <c r="G16" s="28"/>
      <c r="H16" s="10"/>
      <c r="I16" s="10">
        <f t="shared" si="5"/>
        <v>7500</v>
      </c>
      <c r="J16" s="10">
        <f t="shared" si="3"/>
        <v>122093502731.37477</v>
      </c>
      <c r="K16" s="11">
        <f t="shared" si="4"/>
        <v>1.110000000000011E-2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16100419.046104871</v>
      </c>
      <c r="D17" s="11">
        <v>1.1599999999999999E-2</v>
      </c>
      <c r="E17" s="10">
        <f t="shared" si="2"/>
        <v>184623.23144999705</v>
      </c>
      <c r="F17" s="3"/>
      <c r="G17" s="28"/>
      <c r="H17" s="10"/>
      <c r="I17" s="10">
        <f t="shared" si="5"/>
        <v>7500</v>
      </c>
      <c r="J17" s="10">
        <f t="shared" si="3"/>
        <v>120753142845.78653</v>
      </c>
      <c r="K17" s="11">
        <f t="shared" si="4"/>
        <v>1.1600000000000055E-2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15915795.814654874</v>
      </c>
      <c r="D18" s="11">
        <v>1.23E-2</v>
      </c>
      <c r="E18" s="10">
        <f t="shared" si="2"/>
        <v>193385.64508569986</v>
      </c>
      <c r="F18" s="3"/>
      <c r="G18" s="28"/>
      <c r="H18" s="10"/>
      <c r="I18" s="10">
        <f t="shared" si="5"/>
        <v>7500</v>
      </c>
      <c r="J18" s="10">
        <f t="shared" si="3"/>
        <v>119368468609.91156</v>
      </c>
      <c r="K18" s="11">
        <f t="shared" si="4"/>
        <v>1.2299999999999978E-2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15722410.169569174</v>
      </c>
      <c r="D19" s="11">
        <v>1.3100000000000001E-2</v>
      </c>
      <c r="E19" s="10">
        <f t="shared" si="2"/>
        <v>203300.33878329583</v>
      </c>
      <c r="F19" s="3"/>
      <c r="G19" s="28"/>
      <c r="H19" s="10"/>
      <c r="I19" s="10">
        <f t="shared" si="5"/>
        <v>7500</v>
      </c>
      <c r="J19" s="10">
        <f t="shared" si="3"/>
        <v>117918076271.7688</v>
      </c>
      <c r="K19" s="11">
        <f t="shared" si="4"/>
        <v>1.309999999999989E-2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15519109.830785878</v>
      </c>
      <c r="D20" s="11">
        <v>1.3299999999999999E-2</v>
      </c>
      <c r="E20" s="10">
        <f t="shared" si="2"/>
        <v>203695.01702304743</v>
      </c>
      <c r="F20" s="3"/>
      <c r="G20" s="28"/>
      <c r="H20" s="10"/>
      <c r="I20" s="10">
        <f t="shared" si="5"/>
        <v>7500</v>
      </c>
      <c r="J20" s="10">
        <f t="shared" si="3"/>
        <v>116393323730.89409</v>
      </c>
      <c r="K20" s="11">
        <f t="shared" si="4"/>
        <v>1.3300000000000312E-2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15315414.813762831</v>
      </c>
      <c r="D21" s="11">
        <v>1.34E-2</v>
      </c>
      <c r="E21" s="10">
        <f t="shared" si="2"/>
        <v>202512.88583424501</v>
      </c>
      <c r="F21" s="3"/>
      <c r="G21" s="28"/>
      <c r="H21" s="10"/>
      <c r="I21" s="10">
        <f t="shared" si="5"/>
        <v>7500</v>
      </c>
      <c r="J21" s="10">
        <f t="shared" si="3"/>
        <v>114865611103.22122</v>
      </c>
      <c r="K21" s="11">
        <f t="shared" si="4"/>
        <v>1.3400000000000079E-2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15112901.927928586</v>
      </c>
      <c r="D22" s="11">
        <v>1.35E-2</v>
      </c>
      <c r="E22" s="10">
        <f t="shared" si="2"/>
        <v>201306.53776717931</v>
      </c>
      <c r="F22" s="3"/>
      <c r="G22" s="28"/>
      <c r="H22" s="10"/>
      <c r="I22" s="10">
        <f t="shared" si="5"/>
        <v>7500</v>
      </c>
      <c r="J22" s="10">
        <f t="shared" si="3"/>
        <v>113346764459.46439</v>
      </c>
      <c r="K22" s="11">
        <f t="shared" si="4"/>
        <v>1.3500000000000068E-2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14911595.390161406</v>
      </c>
      <c r="D23" s="11">
        <v>1.34E-2</v>
      </c>
      <c r="E23" s="10">
        <f t="shared" si="2"/>
        <v>197173.25658985972</v>
      </c>
      <c r="F23" s="3"/>
      <c r="G23" s="28"/>
      <c r="H23" s="10"/>
      <c r="I23" s="10">
        <f t="shared" si="5"/>
        <v>7500</v>
      </c>
      <c r="J23" s="10">
        <f t="shared" si="3"/>
        <v>111836965426.21054</v>
      </c>
      <c r="K23" s="11">
        <f t="shared" si="4"/>
        <v>1.3399999999999856E-2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14714422.133571547</v>
      </c>
      <c r="D24" s="11">
        <v>1.34E-2</v>
      </c>
      <c r="E24" s="10">
        <f t="shared" si="2"/>
        <v>194566.07123530656</v>
      </c>
      <c r="F24" s="3"/>
      <c r="G24" s="28"/>
      <c r="H24" s="10"/>
      <c r="I24" s="10">
        <f t="shared" si="5"/>
        <v>7500</v>
      </c>
      <c r="J24" s="10">
        <f t="shared" si="3"/>
        <v>110358166001.78661</v>
      </c>
      <c r="K24" s="11">
        <f t="shared" si="4"/>
        <v>1.3400000000000079E-2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14519856.06233624</v>
      </c>
      <c r="D25" s="11">
        <v>1.24E-2</v>
      </c>
      <c r="E25" s="10">
        <f t="shared" si="2"/>
        <v>177840.98693497479</v>
      </c>
      <c r="F25" s="3"/>
      <c r="G25" s="28"/>
      <c r="H25" s="10"/>
      <c r="I25" s="10">
        <f t="shared" si="5"/>
        <v>7500</v>
      </c>
      <c r="J25" s="10">
        <f t="shared" si="3"/>
        <v>108898920467.5218</v>
      </c>
      <c r="K25" s="11">
        <f t="shared" si="4"/>
        <v>1.2399999999999967E-2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14342015.075401265</v>
      </c>
      <c r="D26" s="11">
        <v>1.09E-2</v>
      </c>
      <c r="E26" s="10">
        <f t="shared" si="2"/>
        <v>154642.36256986111</v>
      </c>
      <c r="F26" s="3"/>
      <c r="G26" s="28"/>
      <c r="H26" s="10"/>
      <c r="I26" s="10">
        <f t="shared" si="5"/>
        <v>7500</v>
      </c>
      <c r="J26" s="10">
        <f t="shared" si="3"/>
        <v>107565113065.50949</v>
      </c>
      <c r="K26" s="11">
        <f t="shared" si="4"/>
        <v>1.089999999999991E-2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14187372.712831404</v>
      </c>
      <c r="D27" s="11">
        <v>1.0699999999999999E-2</v>
      </c>
      <c r="E27" s="10">
        <f t="shared" si="2"/>
        <v>150197.77186830342</v>
      </c>
      <c r="F27" s="3"/>
      <c r="G27" s="28"/>
      <c r="H27" s="10"/>
      <c r="I27" s="10">
        <f t="shared" si="5"/>
        <v>7500</v>
      </c>
      <c r="J27" s="10">
        <f t="shared" si="3"/>
        <v>106405295346.23553</v>
      </c>
      <c r="K27" s="11">
        <f t="shared" si="4"/>
        <v>1.0699999999999932E-2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14037174.940963101</v>
      </c>
      <c r="D28" s="11">
        <v>1.0800000000000001E-2</v>
      </c>
      <c r="E28" s="10">
        <f t="shared" si="2"/>
        <v>149981.68714127503</v>
      </c>
      <c r="F28" s="3"/>
      <c r="G28" s="28"/>
      <c r="H28" s="10"/>
      <c r="I28" s="10">
        <f t="shared" si="5"/>
        <v>7500</v>
      </c>
      <c r="J28" s="10">
        <f t="shared" si="3"/>
        <v>105278812057.22325</v>
      </c>
      <c r="K28" s="11">
        <f t="shared" si="4"/>
        <v>1.0799999999999921E-2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13887193.253821826</v>
      </c>
      <c r="D29" s="11">
        <v>1.0699999999999999E-2</v>
      </c>
      <c r="E29" s="10">
        <f t="shared" si="2"/>
        <v>147019.8553635031</v>
      </c>
      <c r="F29" s="3"/>
      <c r="G29" s="28"/>
      <c r="H29" s="10"/>
      <c r="I29" s="10">
        <f t="shared" si="5"/>
        <v>7500</v>
      </c>
      <c r="J29" s="10">
        <f t="shared" si="3"/>
        <v>104153949403.6637</v>
      </c>
      <c r="K29" s="11">
        <f t="shared" si="4"/>
        <v>1.0699999999999932E-2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13740173.398458323</v>
      </c>
      <c r="D30" s="11">
        <v>1.04E-2</v>
      </c>
      <c r="E30" s="10">
        <f t="shared" si="2"/>
        <v>141426.9629294984</v>
      </c>
      <c r="F30" s="3"/>
      <c r="G30" s="28"/>
      <c r="H30" s="10"/>
      <c r="I30" s="10">
        <f t="shared" si="5"/>
        <v>7500</v>
      </c>
      <c r="J30" s="10">
        <f t="shared" si="3"/>
        <v>103051300488.43742</v>
      </c>
      <c r="K30" s="11">
        <f t="shared" si="4"/>
        <v>1.0399999999999965E-2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13598746.435528824</v>
      </c>
      <c r="D31" s="11">
        <v>8.0999999999999996E-3</v>
      </c>
      <c r="E31" s="10">
        <f t="shared" si="2"/>
        <v>109264.80123775825</v>
      </c>
      <c r="F31" s="3"/>
      <c r="G31" s="28"/>
      <c r="H31" s="10"/>
      <c r="I31" s="10">
        <f t="shared" si="5"/>
        <v>7500</v>
      </c>
      <c r="J31" s="10">
        <f t="shared" si="3"/>
        <v>101990598266.46619</v>
      </c>
      <c r="K31" s="11">
        <f t="shared" si="4"/>
        <v>8.0999999999999961E-3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13489481.634291066</v>
      </c>
      <c r="D32" s="11">
        <v>4.7000000000000002E-3</v>
      </c>
      <c r="E32" s="10">
        <f t="shared" si="2"/>
        <v>63103.974998673424</v>
      </c>
      <c r="F32" s="3"/>
      <c r="G32" s="28"/>
      <c r="H32" s="10"/>
      <c r="I32" s="10">
        <f t="shared" si="5"/>
        <v>7500</v>
      </c>
      <c r="J32" s="10">
        <f t="shared" si="3"/>
        <v>101171112257.183</v>
      </c>
      <c r="K32" s="11">
        <f t="shared" si="4"/>
        <v>4.6999999999999265E-3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13426377.659292392</v>
      </c>
      <c r="D33" s="11">
        <v>3.5000000000000001E-3</v>
      </c>
      <c r="E33" s="10">
        <f t="shared" si="2"/>
        <v>46828.422329371795</v>
      </c>
      <c r="F33" s="3"/>
      <c r="G33" s="28"/>
      <c r="H33" s="10"/>
      <c r="I33" s="10">
        <f t="shared" si="5"/>
        <v>7500</v>
      </c>
      <c r="J33" s="10">
        <f t="shared" si="3"/>
        <v>100697832444.69295</v>
      </c>
      <c r="K33" s="11">
        <f t="shared" si="4"/>
        <v>3.5000000000000586E-3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13379549.236963021</v>
      </c>
      <c r="D34" s="11">
        <v>3.2000000000000002E-3</v>
      </c>
      <c r="E34" s="10">
        <f t="shared" si="2"/>
        <v>42677.987996693701</v>
      </c>
      <c r="F34" s="3"/>
      <c r="G34" s="28"/>
      <c r="H34" s="10"/>
      <c r="I34" s="10">
        <f t="shared" si="5"/>
        <v>7500</v>
      </c>
      <c r="J34" s="10">
        <f t="shared" ref="J34:J65" si="6">IF(I34="","",I34*C34)</f>
        <v>100346619277.22266</v>
      </c>
      <c r="K34" s="11">
        <f t="shared" ref="K34:K65" si="7">IFERROR(J34/J35-1,"")</f>
        <v>3.2000000000000917E-3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13336871.248966327</v>
      </c>
      <c r="D35" s="11">
        <v>1.6000000000000001E-3</v>
      </c>
      <c r="E35" s="10">
        <f t="shared" si="2"/>
        <v>21304.906148508191</v>
      </c>
      <c r="F35" s="3"/>
      <c r="G35" s="28"/>
      <c r="H35" s="10"/>
      <c r="I35" s="10">
        <f t="shared" ref="I35:I66" si="8">IF(H35&lt;&gt;"",H35,I34/(1+IF(G34="",0,G34)/100))</f>
        <v>7500</v>
      </c>
      <c r="J35" s="10">
        <f t="shared" si="6"/>
        <v>100026534367.24745</v>
      </c>
      <c r="K35" s="11">
        <f t="shared" si="7"/>
        <v>1.6000000000000458E-3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13315566.342817819</v>
      </c>
      <c r="D36" s="11">
        <v>1E-4</v>
      </c>
      <c r="E36" s="10">
        <f t="shared" si="2"/>
        <v>1331.4234919324517</v>
      </c>
      <c r="F36" s="3"/>
      <c r="G36" s="28"/>
      <c r="H36" s="10"/>
      <c r="I36" s="10">
        <f t="shared" si="8"/>
        <v>7500</v>
      </c>
      <c r="J36" s="10">
        <f t="shared" si="6"/>
        <v>99866747571.133636</v>
      </c>
      <c r="K36" s="11">
        <f t="shared" si="7"/>
        <v>9.9999999999988987E-5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13314234.919325886</v>
      </c>
      <c r="D37" s="11">
        <v>1.1000000000000001E-3</v>
      </c>
      <c r="E37" s="10">
        <f t="shared" si="2"/>
        <v>14629.565888782963</v>
      </c>
      <c r="F37" s="3"/>
      <c r="G37" s="28"/>
      <c r="H37" s="10"/>
      <c r="I37" s="10">
        <f t="shared" si="8"/>
        <v>7500</v>
      </c>
      <c r="J37" s="10">
        <f t="shared" si="6"/>
        <v>99856761894.944153</v>
      </c>
      <c r="K37" s="11">
        <f t="shared" si="7"/>
        <v>1.1000000000003229E-3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13299605.353437103</v>
      </c>
      <c r="D38" s="11">
        <v>2.3999999999999998E-3</v>
      </c>
      <c r="E38" s="10">
        <f t="shared" si="2"/>
        <v>31842.630534963682</v>
      </c>
      <c r="F38" s="3"/>
      <c r="G38" s="28"/>
      <c r="H38" s="10"/>
      <c r="I38" s="10">
        <f t="shared" si="8"/>
        <v>7500</v>
      </c>
      <c r="J38" s="10">
        <f t="shared" si="6"/>
        <v>99747040150.778275</v>
      </c>
      <c r="K38" s="11">
        <f t="shared" si="7"/>
        <v>2.3999999999997357E-3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13267762.72290214</v>
      </c>
      <c r="D39" s="11">
        <v>4.7000000000000002E-3</v>
      </c>
      <c r="E39" s="10">
        <f t="shared" si="2"/>
        <v>62066.770974060521</v>
      </c>
      <c r="F39" s="3"/>
      <c r="G39" s="28"/>
      <c r="H39" s="10"/>
      <c r="I39" s="10">
        <f t="shared" si="8"/>
        <v>7500</v>
      </c>
      <c r="J39" s="10">
        <f t="shared" si="6"/>
        <v>99508220421.766052</v>
      </c>
      <c r="K39" s="11">
        <f t="shared" si="7"/>
        <v>4.6999999999999265E-3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13205695.951928079</v>
      </c>
      <c r="D40" s="11">
        <v>6.7000000000000002E-3</v>
      </c>
      <c r="E40" s="10">
        <f t="shared" si="2"/>
        <v>87889.304537516087</v>
      </c>
      <c r="F40" s="3"/>
      <c r="G40" s="28"/>
      <c r="H40" s="10"/>
      <c r="I40" s="10">
        <f t="shared" si="8"/>
        <v>7500</v>
      </c>
      <c r="J40" s="10">
        <f t="shared" si="6"/>
        <v>99042719639.460587</v>
      </c>
      <c r="K40" s="11">
        <f t="shared" si="7"/>
        <v>6.6999999999997062E-3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13117806.647390563</v>
      </c>
      <c r="D41" s="11">
        <v>8.8999999999999999E-3</v>
      </c>
      <c r="E41" s="10">
        <f t="shared" si="2"/>
        <v>115718.58376625553</v>
      </c>
      <c r="F41" s="3"/>
      <c r="G41" s="28"/>
      <c r="H41" s="10"/>
      <c r="I41" s="10">
        <f t="shared" si="8"/>
        <v>7500</v>
      </c>
      <c r="J41" s="10">
        <f t="shared" si="6"/>
        <v>98383549855.42923</v>
      </c>
      <c r="K41" s="11">
        <f t="shared" si="7"/>
        <v>8.899999999999908E-3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13002088.063624308</v>
      </c>
      <c r="D42" s="11">
        <v>1.11E-2</v>
      </c>
      <c r="E42" s="10">
        <f t="shared" si="2"/>
        <v>142738.77708063647</v>
      </c>
      <c r="F42" s="3"/>
      <c r="G42" s="28"/>
      <c r="H42" s="10"/>
      <c r="I42" s="10">
        <f t="shared" si="8"/>
        <v>7500</v>
      </c>
      <c r="J42" s="10">
        <f t="shared" si="6"/>
        <v>97515660477.182312</v>
      </c>
      <c r="K42" s="11">
        <f t="shared" si="7"/>
        <v>1.1100000000000332E-2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12859349.286543671</v>
      </c>
      <c r="D43" s="11">
        <v>1.3299999999999999E-2</v>
      </c>
      <c r="E43" s="10">
        <f t="shared" si="2"/>
        <v>168784.5115079768</v>
      </c>
      <c r="F43" s="3"/>
      <c r="G43" s="28"/>
      <c r="H43" s="10"/>
      <c r="I43" s="10">
        <f t="shared" si="8"/>
        <v>7500</v>
      </c>
      <c r="J43" s="10">
        <f t="shared" si="6"/>
        <v>96445119649.07753</v>
      </c>
      <c r="K43" s="11">
        <f t="shared" si="7"/>
        <v>1.3300000000000312E-2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12690564.775035694</v>
      </c>
      <c r="D44" s="11">
        <v>1.55E-2</v>
      </c>
      <c r="E44" s="10">
        <f t="shared" si="2"/>
        <v>193701.38258301653</v>
      </c>
      <c r="F44" s="3"/>
      <c r="G44" s="28"/>
      <c r="H44" s="10"/>
      <c r="I44" s="10">
        <f t="shared" si="8"/>
        <v>7500</v>
      </c>
      <c r="J44" s="10">
        <f t="shared" si="6"/>
        <v>95179235812.7677</v>
      </c>
      <c r="K44" s="11">
        <f t="shared" si="7"/>
        <v>1.5499999999999847E-2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12496863.392452678</v>
      </c>
      <c r="D45" s="11">
        <v>1.7100000000000001E-2</v>
      </c>
      <c r="E45" s="10">
        <f t="shared" si="2"/>
        <v>210103.5925778579</v>
      </c>
      <c r="F45" s="3"/>
      <c r="G45" s="28"/>
      <c r="H45" s="10"/>
      <c r="I45" s="10">
        <f t="shared" si="8"/>
        <v>7500</v>
      </c>
      <c r="J45" s="10">
        <f t="shared" si="6"/>
        <v>93726475443.395081</v>
      </c>
      <c r="K45" s="11">
        <f t="shared" si="7"/>
        <v>1.7099999999999893E-2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12286759.79987482</v>
      </c>
      <c r="D46" s="11">
        <v>1.8499999999999999E-2</v>
      </c>
      <c r="E46" s="10">
        <f t="shared" si="2"/>
        <v>223176.29484308697</v>
      </c>
      <c r="F46" s="3"/>
      <c r="G46" s="28"/>
      <c r="H46" s="10"/>
      <c r="I46" s="10">
        <f t="shared" si="8"/>
        <v>7500</v>
      </c>
      <c r="J46" s="10">
        <f t="shared" si="6"/>
        <v>92150698499.061142</v>
      </c>
      <c r="K46" s="11">
        <f t="shared" si="7"/>
        <v>1.8499999999999961E-2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12063583.505031733</v>
      </c>
      <c r="D47" s="11">
        <v>1.9300000000000001E-2</v>
      </c>
      <c r="E47" s="10">
        <f t="shared" si="2"/>
        <v>228418.68110184744</v>
      </c>
      <c r="F47" s="3"/>
      <c r="G47" s="28"/>
      <c r="H47" s="10"/>
      <c r="I47" s="10">
        <f t="shared" si="8"/>
        <v>7500</v>
      </c>
      <c r="J47" s="10">
        <f t="shared" si="6"/>
        <v>90476876287.737991</v>
      </c>
      <c r="K47" s="11">
        <f t="shared" si="7"/>
        <v>1.9300000000000095E-2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11835164.823929885</v>
      </c>
      <c r="D48" s="11">
        <v>1.9800000000000002E-2</v>
      </c>
      <c r="E48" s="10">
        <f t="shared" si="2"/>
        <v>229786.49099216796</v>
      </c>
      <c r="F48" s="3"/>
      <c r="G48" s="28"/>
      <c r="H48" s="10"/>
      <c r="I48" s="10">
        <f t="shared" si="8"/>
        <v>7500</v>
      </c>
      <c r="J48" s="10">
        <f t="shared" si="6"/>
        <v>88763736179.474136</v>
      </c>
      <c r="K48" s="11">
        <f t="shared" si="7"/>
        <v>1.980000000000004E-2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11605378.332937717</v>
      </c>
      <c r="D49" s="11">
        <v>2.0299999999999999E-2</v>
      </c>
      <c r="E49" s="10">
        <f t="shared" si="2"/>
        <v>230901.87215391174</v>
      </c>
      <c r="F49" s="3"/>
      <c r="G49" s="28"/>
      <c r="H49" s="10"/>
      <c r="I49" s="10">
        <f t="shared" si="8"/>
        <v>7500</v>
      </c>
      <c r="J49" s="10">
        <f t="shared" si="6"/>
        <v>87040337497.032883</v>
      </c>
      <c r="K49" s="11">
        <f t="shared" si="7"/>
        <v>2.0300000000000207E-2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11374476.460783806</v>
      </c>
      <c r="D50" s="11">
        <v>2.1100000000000001E-2</v>
      </c>
      <c r="E50" s="10">
        <f t="shared" si="2"/>
        <v>235042.06573551707</v>
      </c>
      <c r="F50" s="3"/>
      <c r="G50" s="28"/>
      <c r="H50" s="10"/>
      <c r="I50" s="10">
        <f t="shared" si="8"/>
        <v>7500</v>
      </c>
      <c r="J50" s="10">
        <f t="shared" si="6"/>
        <v>85308573455.87854</v>
      </c>
      <c r="K50" s="11">
        <f t="shared" si="7"/>
        <v>2.1099999999999675E-2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11139434.395048289</v>
      </c>
      <c r="D51" s="11">
        <v>2.2200000000000001E-2</v>
      </c>
      <c r="E51" s="10">
        <f t="shared" si="2"/>
        <v>241924.71489930712</v>
      </c>
      <c r="F51" s="3"/>
      <c r="G51" s="28"/>
      <c r="H51" s="10"/>
      <c r="I51" s="10">
        <f t="shared" si="8"/>
        <v>7500</v>
      </c>
      <c r="J51" s="10">
        <f t="shared" si="6"/>
        <v>83545757962.862167</v>
      </c>
      <c r="K51" s="11">
        <f t="shared" si="7"/>
        <v>2.2199999999999998E-2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10897509.680148982</v>
      </c>
      <c r="D52" s="11">
        <v>2.35E-2</v>
      </c>
      <c r="E52" s="10">
        <f t="shared" si="2"/>
        <v>250211.50706741773</v>
      </c>
      <c r="F52" s="3"/>
      <c r="G52" s="28"/>
      <c r="H52" s="10"/>
      <c r="I52" s="10">
        <f t="shared" si="8"/>
        <v>7500</v>
      </c>
      <c r="J52" s="10">
        <f t="shared" si="6"/>
        <v>81731322601.117355</v>
      </c>
      <c r="K52" s="11">
        <f t="shared" si="7"/>
        <v>2.3500000000000076E-2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10647298.173081564</v>
      </c>
      <c r="D53" s="11">
        <v>2.5000000000000001E-2</v>
      </c>
      <c r="E53" s="10">
        <f t="shared" si="2"/>
        <v>259690.19934345223</v>
      </c>
      <c r="F53" s="3"/>
      <c r="G53" s="28"/>
      <c r="H53" s="10"/>
      <c r="I53" s="10">
        <f t="shared" si="8"/>
        <v>7500</v>
      </c>
      <c r="J53" s="10">
        <f t="shared" si="6"/>
        <v>79854736298.111725</v>
      </c>
      <c r="K53" s="11">
        <f t="shared" si="7"/>
        <v>2.4999999999999911E-2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10387607.973738112</v>
      </c>
      <c r="D54" s="11">
        <v>2.5399999999999999E-2</v>
      </c>
      <c r="E54" s="10">
        <f t="shared" si="2"/>
        <v>257309.57922074199</v>
      </c>
      <c r="F54" s="3"/>
      <c r="G54" s="28"/>
      <c r="H54" s="10"/>
      <c r="I54" s="10">
        <f t="shared" si="8"/>
        <v>7500</v>
      </c>
      <c r="J54" s="10">
        <f t="shared" si="6"/>
        <v>77907059803.035843</v>
      </c>
      <c r="K54" s="11">
        <f t="shared" si="7"/>
        <v>2.5400000000000311E-2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10130298.39451737</v>
      </c>
      <c r="D55" s="11">
        <v>2.4500000000000001E-2</v>
      </c>
      <c r="E55" s="10">
        <f t="shared" si="2"/>
        <v>242257.01382691599</v>
      </c>
      <c r="F55" s="3"/>
      <c r="G55" s="28"/>
      <c r="H55" s="10"/>
      <c r="I55" s="10">
        <f t="shared" si="8"/>
        <v>7500</v>
      </c>
      <c r="J55" s="10">
        <f t="shared" si="6"/>
        <v>75977237958.880264</v>
      </c>
      <c r="K55" s="11">
        <f t="shared" si="7"/>
        <v>2.4499999999999744E-2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9888041.3806904536</v>
      </c>
      <c r="D56" s="11">
        <v>2.2100000000000002E-2</v>
      </c>
      <c r="E56" s="10">
        <f t="shared" si="2"/>
        <v>213800.71863150224</v>
      </c>
      <c r="F56" s="3"/>
      <c r="G56" s="28"/>
      <c r="H56" s="10"/>
      <c r="I56" s="10">
        <f t="shared" si="8"/>
        <v>7500</v>
      </c>
      <c r="J56" s="10">
        <f t="shared" si="6"/>
        <v>74160310355.178406</v>
      </c>
      <c r="K56" s="11">
        <f t="shared" si="7"/>
        <v>2.2100000000000009E-2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9674240.6620589513</v>
      </c>
      <c r="D57" s="11">
        <v>2.01E-2</v>
      </c>
      <c r="E57" s="10">
        <f t="shared" si="2"/>
        <v>190620.76003076695</v>
      </c>
      <c r="F57" s="3"/>
      <c r="G57" s="28"/>
      <c r="H57" s="10"/>
      <c r="I57" s="10">
        <f t="shared" si="8"/>
        <v>7500</v>
      </c>
      <c r="J57" s="10">
        <f t="shared" si="6"/>
        <v>72556804965.442139</v>
      </c>
      <c r="K57" s="11">
        <f t="shared" si="7"/>
        <v>2.0100000000000229E-2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9483619.9020281844</v>
      </c>
      <c r="D58" s="11">
        <v>1.8499999999999999E-2</v>
      </c>
      <c r="E58" s="10">
        <f t="shared" si="2"/>
        <v>172260.15531420894</v>
      </c>
      <c r="F58" s="3"/>
      <c r="G58" s="28"/>
      <c r="H58" s="10"/>
      <c r="I58" s="10">
        <f t="shared" si="8"/>
        <v>7500</v>
      </c>
      <c r="J58" s="10">
        <f t="shared" si="6"/>
        <v>71127149265.21138</v>
      </c>
      <c r="K58" s="11">
        <f t="shared" si="7"/>
        <v>1.8499999999999961E-2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9311359.7467139754</v>
      </c>
      <c r="D59" s="11">
        <v>1.6899999999999998E-2</v>
      </c>
      <c r="E59" s="10">
        <f t="shared" si="2"/>
        <v>154746.75948418304</v>
      </c>
      <c r="F59" s="3"/>
      <c r="G59" s="28"/>
      <c r="H59" s="10"/>
      <c r="I59" s="10">
        <f t="shared" si="8"/>
        <v>7500</v>
      </c>
      <c r="J59" s="10">
        <f t="shared" si="6"/>
        <v>69835198100.354813</v>
      </c>
      <c r="K59" s="11">
        <f t="shared" si="7"/>
        <v>1.6899999999999915E-2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9156612.9872297924</v>
      </c>
      <c r="D60" s="11">
        <v>1.54E-2</v>
      </c>
      <c r="E60" s="10">
        <f t="shared" si="2"/>
        <v>138873.19283370115</v>
      </c>
      <c r="F60" s="3"/>
      <c r="G60" s="28"/>
      <c r="H60" s="10"/>
      <c r="I60" s="10">
        <f t="shared" si="8"/>
        <v>7500</v>
      </c>
      <c r="J60" s="10">
        <f t="shared" si="6"/>
        <v>68674597404.223442</v>
      </c>
      <c r="K60" s="11">
        <f t="shared" si="7"/>
        <v>1.540000000000008E-2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9017739.7943960913</v>
      </c>
      <c r="D61" s="11">
        <v>1.41E-2</v>
      </c>
      <c r="E61" s="10">
        <f t="shared" si="2"/>
        <v>125382.24149589241</v>
      </c>
      <c r="F61" s="3"/>
      <c r="G61" s="28"/>
      <c r="H61" s="10"/>
      <c r="I61" s="10">
        <f t="shared" si="8"/>
        <v>7500</v>
      </c>
      <c r="J61" s="10">
        <f t="shared" si="6"/>
        <v>67633048457.970688</v>
      </c>
      <c r="K61" s="11">
        <f t="shared" si="7"/>
        <v>1.4100000000000001E-2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8892357.5529001988</v>
      </c>
      <c r="D62" s="11">
        <v>1.3100000000000001E-2</v>
      </c>
      <c r="E62" s="10">
        <f t="shared" si="2"/>
        <v>114983.59879872948</v>
      </c>
      <c r="F62" s="3"/>
      <c r="G62" s="28"/>
      <c r="H62" s="10"/>
      <c r="I62" s="10">
        <f t="shared" si="8"/>
        <v>7500</v>
      </c>
      <c r="J62" s="10">
        <f t="shared" si="6"/>
        <v>66692681646.751488</v>
      </c>
      <c r="K62" s="11">
        <f t="shared" si="7"/>
        <v>1.3100000000000112E-2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8777373.9541014694</v>
      </c>
      <c r="D63" s="11">
        <v>1.2500000000000001E-2</v>
      </c>
      <c r="E63" s="10">
        <f t="shared" si="2"/>
        <v>108362.64140865952</v>
      </c>
      <c r="F63" s="3"/>
      <c r="G63" s="28"/>
      <c r="H63" s="10"/>
      <c r="I63" s="10">
        <f t="shared" si="8"/>
        <v>7500</v>
      </c>
      <c r="J63" s="10">
        <f t="shared" si="6"/>
        <v>65830304655.761017</v>
      </c>
      <c r="K63" s="11">
        <f t="shared" si="7"/>
        <v>1.2499999999999956E-2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8669011.3126928098</v>
      </c>
      <c r="D64" s="11">
        <v>1.1900000000000001E-2</v>
      </c>
      <c r="E64" s="10">
        <f t="shared" si="2"/>
        <v>101948.0527928099</v>
      </c>
      <c r="F64" s="3"/>
      <c r="G64" s="28"/>
      <c r="H64" s="10"/>
      <c r="I64" s="10">
        <f t="shared" si="8"/>
        <v>7500</v>
      </c>
      <c r="J64" s="10">
        <f t="shared" si="6"/>
        <v>65017584845.196075</v>
      </c>
      <c r="K64" s="11">
        <f t="shared" si="7"/>
        <v>1.1900000000000022E-2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8567063.2598999999</v>
      </c>
      <c r="D65" s="11">
        <v>1.0999999999999999E-2</v>
      </c>
      <c r="E65" s="10">
        <f t="shared" si="2"/>
        <v>93212.359899999574</v>
      </c>
      <c r="F65" s="3"/>
      <c r="G65" s="28"/>
      <c r="H65" s="10"/>
      <c r="I65" s="10">
        <f t="shared" si="8"/>
        <v>7500</v>
      </c>
      <c r="J65" s="10">
        <f t="shared" si="6"/>
        <v>64252974449.25</v>
      </c>
      <c r="K65" s="11">
        <f t="shared" si="7"/>
        <v>1.0999999999999899E-2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8473850.9000000004</v>
      </c>
      <c r="D66" s="11">
        <v>1.0500000000000001E-2</v>
      </c>
      <c r="E66" s="10">
        <f t="shared" si="2"/>
        <v>88050.900000000373</v>
      </c>
      <c r="F66" s="24">
        <f>SUM(F2)</f>
        <v>18288844</v>
      </c>
      <c r="G66" s="28"/>
      <c r="H66" s="10"/>
      <c r="I66" s="10">
        <f t="shared" si="8"/>
        <v>7500</v>
      </c>
      <c r="J66" s="10">
        <f t="shared" ref="J66:J67" si="9">IF(I66="","",I66*C66)</f>
        <v>63553881750</v>
      </c>
      <c r="K66" s="11">
        <f t="shared" ref="K66" si="10">IFERROR(J66/J67-1,"")</f>
        <v>1.0499999999999954E-2</v>
      </c>
    </row>
    <row r="67" spans="1:11" ht="22.5" customHeight="1">
      <c r="A67" s="3">
        <f t="shared" si="0"/>
        <v>1950</v>
      </c>
      <c r="B67" s="3">
        <v>1700</v>
      </c>
      <c r="C67" s="10">
        <v>8385800</v>
      </c>
      <c r="D67" s="11">
        <v>9.5999999999999992E-3</v>
      </c>
      <c r="E67" s="3" t="s">
        <v>72</v>
      </c>
      <c r="F67" s="10">
        <f>SUM(C2)</f>
        <v>18288748.218598638</v>
      </c>
      <c r="G67" s="28"/>
      <c r="H67" s="10"/>
      <c r="I67" s="10">
        <f t="shared" ref="I67" si="11">IF(H67&lt;&gt;"",H67,I66/(1+IF(G66="",0,G66)/100))</f>
        <v>7500</v>
      </c>
      <c r="J67" s="10">
        <f t="shared" si="9"/>
        <v>62893500000</v>
      </c>
      <c r="K67" s="11"/>
    </row>
  </sheetData>
  <dataValidations count="1">
    <dataValidation type="custom" allowBlank="1" showDropDown="1" sqref="D2:D67" xr:uid="{00000000-0002-0000-7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38792385.688430578</v>
      </c>
      <c r="D2" s="11">
        <v>8.8000000000000005E-3</v>
      </c>
      <c r="E2" s="10">
        <f t="shared" ref="E2:E66" si="2">SUM(C2-C3)</f>
        <v>338395.11702833325</v>
      </c>
      <c r="F2" s="15">
        <v>38792291</v>
      </c>
      <c r="G2" s="28"/>
      <c r="H2" s="10"/>
      <c r="I2" s="10">
        <f>IF(H2&lt;&gt;"",H2,15278)</f>
        <v>15278</v>
      </c>
      <c r="J2" s="10">
        <f t="shared" ref="J2:J33" si="3">IF(I2="","",I2*C2)</f>
        <v>592670068547.84241</v>
      </c>
      <c r="K2" s="11">
        <f t="shared" ref="K2:K33" si="4">IFERROR(J2/J3-1,"")</f>
        <v>8.799999999999697E-3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38453990.571402244</v>
      </c>
      <c r="D3" s="11">
        <v>9.2999999999999992E-3</v>
      </c>
      <c r="E3" s="10">
        <f t="shared" si="2"/>
        <v>354326.87240071595</v>
      </c>
      <c r="F3" s="3"/>
      <c r="G3" s="28"/>
      <c r="H3" s="10"/>
      <c r="I3" s="10">
        <f t="shared" ref="I3:I34" si="5">IF(H3&lt;&gt;"",H3,I2/(1+IF(G2="",0,G2)/100))</f>
        <v>15278</v>
      </c>
      <c r="J3" s="10">
        <f t="shared" si="3"/>
        <v>587500067949.88354</v>
      </c>
      <c r="K3" s="11">
        <f t="shared" si="4"/>
        <v>9.300000000000086E-3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38099663.699001528</v>
      </c>
      <c r="D4" s="11">
        <v>9.4999999999999998E-3</v>
      </c>
      <c r="E4" s="10">
        <f t="shared" si="2"/>
        <v>358540.66878703982</v>
      </c>
      <c r="F4" s="3"/>
      <c r="G4" s="28"/>
      <c r="H4" s="10"/>
      <c r="I4" s="10">
        <f t="shared" si="5"/>
        <v>15278</v>
      </c>
      <c r="J4" s="10">
        <f t="shared" si="3"/>
        <v>582086661993.34534</v>
      </c>
      <c r="K4" s="11">
        <f t="shared" si="4"/>
        <v>9.5000000000000639E-3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37741123.030214489</v>
      </c>
      <c r="D5" s="11">
        <v>9.5999999999999992E-3</v>
      </c>
      <c r="E5" s="10">
        <f t="shared" si="2"/>
        <v>358869.63261693716</v>
      </c>
      <c r="F5" s="3"/>
      <c r="G5" s="28"/>
      <c r="H5" s="10"/>
      <c r="I5" s="10">
        <f t="shared" si="5"/>
        <v>15278</v>
      </c>
      <c r="J5" s="10">
        <f t="shared" si="3"/>
        <v>576608877655.61694</v>
      </c>
      <c r="K5" s="11">
        <f t="shared" si="4"/>
        <v>9.6000000000000529E-3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37382253.397597551</v>
      </c>
      <c r="D6" s="11">
        <v>7.3000000000000001E-3</v>
      </c>
      <c r="E6" s="10">
        <f t="shared" si="2"/>
        <v>270912.78646130115</v>
      </c>
      <c r="F6" s="3"/>
      <c r="G6" s="28"/>
      <c r="H6" s="10"/>
      <c r="I6" s="10">
        <f t="shared" si="5"/>
        <v>15278</v>
      </c>
      <c r="J6" s="10">
        <f t="shared" si="3"/>
        <v>571126067408.49536</v>
      </c>
      <c r="K6" s="11">
        <f t="shared" si="4"/>
        <v>7.3000000000003062E-3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37111340.61113625</v>
      </c>
      <c r="D7" s="11">
        <v>4.5999999999999999E-3</v>
      </c>
      <c r="E7" s="10">
        <f t="shared" si="2"/>
        <v>169930.48657298833</v>
      </c>
      <c r="F7" s="3"/>
      <c r="G7" s="28"/>
      <c r="H7" s="10"/>
      <c r="I7" s="10">
        <f t="shared" si="5"/>
        <v>15278</v>
      </c>
      <c r="J7" s="10">
        <f t="shared" si="3"/>
        <v>566987061856.93958</v>
      </c>
      <c r="K7" s="11">
        <f t="shared" si="4"/>
        <v>4.5999999999999375E-3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36941410.124563262</v>
      </c>
      <c r="D8" s="11">
        <v>3.8999999999999998E-3</v>
      </c>
      <c r="E8" s="10">
        <f t="shared" si="2"/>
        <v>143511.8034523353</v>
      </c>
      <c r="F8" s="3"/>
      <c r="G8" s="28"/>
      <c r="H8" s="10"/>
      <c r="I8" s="10">
        <f t="shared" si="5"/>
        <v>15278</v>
      </c>
      <c r="J8" s="10">
        <f t="shared" si="3"/>
        <v>564390863883.07751</v>
      </c>
      <c r="K8" s="11">
        <f t="shared" si="4"/>
        <v>3.9000000000000146E-3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36797898.321110927</v>
      </c>
      <c r="D9" s="11">
        <v>3.7000000000000002E-3</v>
      </c>
      <c r="E9" s="10">
        <f t="shared" si="2"/>
        <v>135650.31761294603</v>
      </c>
      <c r="F9" s="3"/>
      <c r="G9" s="28"/>
      <c r="H9" s="10"/>
      <c r="I9" s="10">
        <f t="shared" si="5"/>
        <v>15278</v>
      </c>
      <c r="J9" s="10">
        <f t="shared" si="3"/>
        <v>562198290549.93274</v>
      </c>
      <c r="K9" s="11">
        <f t="shared" si="4"/>
        <v>3.7000000000000366E-3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36662248.003497981</v>
      </c>
      <c r="D10" s="11">
        <v>3.5999999999999999E-3</v>
      </c>
      <c r="E10" s="10">
        <f t="shared" si="2"/>
        <v>131510.65445654839</v>
      </c>
      <c r="F10" s="3"/>
      <c r="G10" s="28"/>
      <c r="H10" s="10"/>
      <c r="I10" s="10">
        <f t="shared" si="5"/>
        <v>15278</v>
      </c>
      <c r="J10" s="10">
        <f t="shared" si="3"/>
        <v>560125824997.44214</v>
      </c>
      <c r="K10" s="11">
        <f t="shared" si="4"/>
        <v>3.5999999999998256E-3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36530737.349041432</v>
      </c>
      <c r="D11" s="11">
        <v>3.2000000000000002E-3</v>
      </c>
      <c r="E11" s="10">
        <f t="shared" si="2"/>
        <v>116525.47798737884</v>
      </c>
      <c r="F11" s="3"/>
      <c r="G11" s="28"/>
      <c r="H11" s="10"/>
      <c r="I11" s="10">
        <f t="shared" si="5"/>
        <v>15278</v>
      </c>
      <c r="J11" s="10">
        <f t="shared" si="3"/>
        <v>558116605218.65503</v>
      </c>
      <c r="K11" s="11">
        <f t="shared" si="4"/>
        <v>3.2000000000000917E-3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36414211.871054053</v>
      </c>
      <c r="D12" s="11">
        <v>3.2000000000000002E-3</v>
      </c>
      <c r="E12" s="10">
        <f t="shared" si="2"/>
        <v>116153.78587258607</v>
      </c>
      <c r="F12" s="3"/>
      <c r="G12" s="28"/>
      <c r="H12" s="10"/>
      <c r="I12" s="10">
        <f t="shared" si="5"/>
        <v>15278</v>
      </c>
      <c r="J12" s="10">
        <f t="shared" si="3"/>
        <v>556336328965.96387</v>
      </c>
      <c r="K12" s="11">
        <f t="shared" si="4"/>
        <v>3.2000000000003137E-3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36298058.085181467</v>
      </c>
      <c r="D13" s="11">
        <v>3.8E-3</v>
      </c>
      <c r="E13" s="10">
        <f t="shared" si="2"/>
        <v>137410.46097199619</v>
      </c>
      <c r="F13" s="3"/>
      <c r="G13" s="28"/>
      <c r="H13" s="10"/>
      <c r="I13" s="10">
        <f t="shared" si="5"/>
        <v>15278</v>
      </c>
      <c r="J13" s="10">
        <f t="shared" si="3"/>
        <v>554561731425.40247</v>
      </c>
      <c r="K13" s="11">
        <f t="shared" si="4"/>
        <v>3.8000000000000256E-3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36160647.624209471</v>
      </c>
      <c r="D14" s="11">
        <v>4.4999999999999997E-3</v>
      </c>
      <c r="E14" s="10">
        <f t="shared" si="2"/>
        <v>161993.94157186896</v>
      </c>
      <c r="F14" s="3"/>
      <c r="G14" s="28"/>
      <c r="H14" s="10"/>
      <c r="I14" s="10">
        <f t="shared" si="5"/>
        <v>15278</v>
      </c>
      <c r="J14" s="10">
        <f t="shared" si="3"/>
        <v>552462374402.67224</v>
      </c>
      <c r="K14" s="11">
        <f t="shared" si="4"/>
        <v>4.4999999999999485E-3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35998653.682637602</v>
      </c>
      <c r="D15" s="11">
        <v>5.4000000000000003E-3</v>
      </c>
      <c r="E15" s="10">
        <f t="shared" si="2"/>
        <v>193348.64719141275</v>
      </c>
      <c r="F15" s="3"/>
      <c r="G15" s="28"/>
      <c r="H15" s="10"/>
      <c r="I15" s="10">
        <f t="shared" si="5"/>
        <v>15278</v>
      </c>
      <c r="J15" s="10">
        <f t="shared" si="3"/>
        <v>549987430963.33728</v>
      </c>
      <c r="K15" s="11">
        <f t="shared" si="4"/>
        <v>5.4000000000000714E-3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35805305.035446189</v>
      </c>
      <c r="D16" s="11">
        <v>5.8999999999999999E-3</v>
      </c>
      <c r="E16" s="10">
        <f t="shared" si="2"/>
        <v>210012.22756648809</v>
      </c>
      <c r="F16" s="3"/>
      <c r="G16" s="28"/>
      <c r="H16" s="10"/>
      <c r="I16" s="10">
        <f t="shared" si="5"/>
        <v>15278</v>
      </c>
      <c r="J16" s="10">
        <f t="shared" si="3"/>
        <v>547033450331.54688</v>
      </c>
      <c r="K16" s="11">
        <f t="shared" si="4"/>
        <v>5.9000000000000163E-3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35595292.807879701</v>
      </c>
      <c r="D17" s="11">
        <v>5.7000000000000002E-3</v>
      </c>
      <c r="E17" s="10">
        <f t="shared" si="2"/>
        <v>201743.23257921636</v>
      </c>
      <c r="F17" s="3"/>
      <c r="G17" s="28"/>
      <c r="H17" s="10"/>
      <c r="I17" s="10">
        <f t="shared" si="5"/>
        <v>15278</v>
      </c>
      <c r="J17" s="10">
        <f t="shared" si="3"/>
        <v>543824883518.78607</v>
      </c>
      <c r="K17" s="11">
        <f t="shared" si="4"/>
        <v>5.7000000000000384E-3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35393549.575300485</v>
      </c>
      <c r="D18" s="11">
        <v>5.7999999999999996E-3</v>
      </c>
      <c r="E18" s="10">
        <f t="shared" si="2"/>
        <v>204098.81441314518</v>
      </c>
      <c r="F18" s="3"/>
      <c r="G18" s="28"/>
      <c r="H18" s="10"/>
      <c r="I18" s="10">
        <f t="shared" si="5"/>
        <v>15278</v>
      </c>
      <c r="J18" s="10">
        <f t="shared" si="3"/>
        <v>540742650411.4408</v>
      </c>
      <c r="K18" s="11">
        <f t="shared" si="4"/>
        <v>5.7999999999998053E-3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35189450.76088734</v>
      </c>
      <c r="D19" s="11">
        <v>6.3E-3</v>
      </c>
      <c r="E19" s="10">
        <f t="shared" si="2"/>
        <v>220305.61442272365</v>
      </c>
      <c r="F19" s="3"/>
      <c r="G19" s="28"/>
      <c r="H19" s="10"/>
      <c r="I19" s="10">
        <f t="shared" si="5"/>
        <v>15278</v>
      </c>
      <c r="J19" s="10">
        <f t="shared" si="3"/>
        <v>537624428724.83679</v>
      </c>
      <c r="K19" s="11">
        <f t="shared" si="4"/>
        <v>6.2999999999999723E-3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34969145.146464616</v>
      </c>
      <c r="D20" s="11">
        <v>6.6E-3</v>
      </c>
      <c r="E20" s="10">
        <f t="shared" si="2"/>
        <v>229283.08957546949</v>
      </c>
      <c r="F20" s="3"/>
      <c r="G20" s="28"/>
      <c r="H20" s="10"/>
      <c r="I20" s="10">
        <f t="shared" si="5"/>
        <v>15278</v>
      </c>
      <c r="J20" s="10">
        <f t="shared" si="3"/>
        <v>534258599547.6864</v>
      </c>
      <c r="K20" s="11">
        <f t="shared" si="4"/>
        <v>6.5999999999999392E-3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34739862.056889147</v>
      </c>
      <c r="D21" s="11">
        <v>6.0000000000000001E-3</v>
      </c>
      <c r="E21" s="10">
        <f t="shared" si="2"/>
        <v>207195.99636315554</v>
      </c>
      <c r="F21" s="3"/>
      <c r="G21" s="28"/>
      <c r="H21" s="10"/>
      <c r="I21" s="10">
        <f t="shared" si="5"/>
        <v>15278</v>
      </c>
      <c r="J21" s="10">
        <f t="shared" si="3"/>
        <v>530755612505.1524</v>
      </c>
      <c r="K21" s="11">
        <f t="shared" si="4"/>
        <v>6.0000000000000053E-3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34532666.060525991</v>
      </c>
      <c r="D22" s="11">
        <v>5.3E-3</v>
      </c>
      <c r="E22" s="10">
        <f t="shared" si="2"/>
        <v>182058.22154659033</v>
      </c>
      <c r="F22" s="3"/>
      <c r="G22" s="28"/>
      <c r="H22" s="10"/>
      <c r="I22" s="10">
        <f t="shared" si="5"/>
        <v>15278</v>
      </c>
      <c r="J22" s="10">
        <f t="shared" si="3"/>
        <v>527590072072.71606</v>
      </c>
      <c r="K22" s="11">
        <f t="shared" si="4"/>
        <v>5.2999999999998604E-3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34350607.838979401</v>
      </c>
      <c r="D23" s="11">
        <v>5.4000000000000003E-3</v>
      </c>
      <c r="E23" s="10">
        <f t="shared" si="2"/>
        <v>184496.99853838235</v>
      </c>
      <c r="F23" s="3"/>
      <c r="G23" s="28"/>
      <c r="H23" s="10"/>
      <c r="I23" s="10">
        <f t="shared" si="5"/>
        <v>15278</v>
      </c>
      <c r="J23" s="10">
        <f t="shared" si="3"/>
        <v>524808586563.92731</v>
      </c>
      <c r="K23" s="11">
        <f t="shared" si="4"/>
        <v>5.4000000000000714E-3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34166110.840441018</v>
      </c>
      <c r="D24" s="11">
        <v>5.1999999999999998E-3</v>
      </c>
      <c r="E24" s="10">
        <f t="shared" si="2"/>
        <v>176744.70390996337</v>
      </c>
      <c r="F24" s="3"/>
      <c r="G24" s="28"/>
      <c r="H24" s="10"/>
      <c r="I24" s="10">
        <f t="shared" si="5"/>
        <v>15278</v>
      </c>
      <c r="J24" s="10">
        <f t="shared" si="3"/>
        <v>521989841420.25787</v>
      </c>
      <c r="K24" s="11">
        <f t="shared" si="4"/>
        <v>5.2000000000000934E-3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33989366.136531055</v>
      </c>
      <c r="D25" s="11">
        <v>4.7999999999999996E-3</v>
      </c>
      <c r="E25" s="10">
        <f t="shared" si="2"/>
        <v>162369.58345476538</v>
      </c>
      <c r="F25" s="3"/>
      <c r="G25" s="28"/>
      <c r="H25" s="10"/>
      <c r="I25" s="10">
        <f t="shared" si="5"/>
        <v>15278</v>
      </c>
      <c r="J25" s="10">
        <f t="shared" si="3"/>
        <v>519289535833.92145</v>
      </c>
      <c r="K25" s="11">
        <f t="shared" si="4"/>
        <v>4.7999999999999154E-3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33826996.55307629</v>
      </c>
      <c r="D26" s="11">
        <v>8.0999999999999996E-3</v>
      </c>
      <c r="E26" s="10">
        <f t="shared" si="2"/>
        <v>271797.11544481665</v>
      </c>
      <c r="F26" s="3"/>
      <c r="G26" s="28"/>
      <c r="H26" s="10"/>
      <c r="I26" s="10">
        <f t="shared" si="5"/>
        <v>15278</v>
      </c>
      <c r="J26" s="10">
        <f t="shared" si="3"/>
        <v>516808853337.89954</v>
      </c>
      <c r="K26" s="11">
        <f t="shared" si="4"/>
        <v>8.0999999999999961E-3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33555199.437631473</v>
      </c>
      <c r="D27" s="11">
        <v>1.2800000000000001E-2</v>
      </c>
      <c r="E27" s="10">
        <f t="shared" si="2"/>
        <v>424078.34992266819</v>
      </c>
      <c r="F27" s="3"/>
      <c r="G27" s="28"/>
      <c r="H27" s="10"/>
      <c r="I27" s="10">
        <f t="shared" si="5"/>
        <v>15278</v>
      </c>
      <c r="J27" s="10">
        <f t="shared" si="3"/>
        <v>512656337008.13367</v>
      </c>
      <c r="K27" s="11">
        <f t="shared" si="4"/>
        <v>1.2799999999999923E-2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33131121.087708805</v>
      </c>
      <c r="D28" s="11">
        <v>1.4E-2</v>
      </c>
      <c r="E28" s="10">
        <f t="shared" si="2"/>
        <v>457431.65209854394</v>
      </c>
      <c r="F28" s="3"/>
      <c r="G28" s="28"/>
      <c r="H28" s="10"/>
      <c r="I28" s="10">
        <f t="shared" si="5"/>
        <v>15278</v>
      </c>
      <c r="J28" s="10">
        <f t="shared" si="3"/>
        <v>506177267978.01514</v>
      </c>
      <c r="K28" s="11">
        <f t="shared" si="4"/>
        <v>1.4000000000000012E-2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32673689.435610261</v>
      </c>
      <c r="D29" s="11">
        <v>1.4200000000000001E-2</v>
      </c>
      <c r="E29" s="10">
        <f t="shared" si="2"/>
        <v>457470.31156149134</v>
      </c>
      <c r="F29" s="3"/>
      <c r="G29" s="28"/>
      <c r="H29" s="10"/>
      <c r="I29" s="10">
        <f t="shared" si="5"/>
        <v>15278</v>
      </c>
      <c r="J29" s="10">
        <f t="shared" si="3"/>
        <v>499188627197.25354</v>
      </c>
      <c r="K29" s="11">
        <f t="shared" si="4"/>
        <v>1.419999999999999E-2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32216219.124048769</v>
      </c>
      <c r="D30" s="11">
        <v>1.4500000000000001E-2</v>
      </c>
      <c r="E30" s="10">
        <f t="shared" si="2"/>
        <v>460458.52863352001</v>
      </c>
      <c r="F30" s="3"/>
      <c r="G30" s="28"/>
      <c r="H30" s="10"/>
      <c r="I30" s="10">
        <f t="shared" si="5"/>
        <v>15278</v>
      </c>
      <c r="J30" s="10">
        <f t="shared" si="3"/>
        <v>492199395777.2171</v>
      </c>
      <c r="K30" s="11">
        <f t="shared" si="4"/>
        <v>1.4499999999999957E-2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31755760.595415249</v>
      </c>
      <c r="D31" s="11">
        <v>1.38E-2</v>
      </c>
      <c r="E31" s="10">
        <f t="shared" si="2"/>
        <v>432264.24957263097</v>
      </c>
      <c r="F31" s="3"/>
      <c r="G31" s="28"/>
      <c r="H31" s="10"/>
      <c r="I31" s="10">
        <f t="shared" si="5"/>
        <v>15278</v>
      </c>
      <c r="J31" s="10">
        <f t="shared" si="3"/>
        <v>485164510376.75421</v>
      </c>
      <c r="K31" s="11">
        <f t="shared" si="4"/>
        <v>1.3800000000000257E-2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31323496.345842618</v>
      </c>
      <c r="D32" s="11">
        <v>1.3599999999999999E-2</v>
      </c>
      <c r="E32" s="10">
        <f t="shared" si="2"/>
        <v>420283.69209102169</v>
      </c>
      <c r="F32" s="3"/>
      <c r="G32" s="28"/>
      <c r="H32" s="10"/>
      <c r="I32" s="10">
        <f t="shared" si="5"/>
        <v>15278</v>
      </c>
      <c r="J32" s="10">
        <f t="shared" si="3"/>
        <v>478560377171.78351</v>
      </c>
      <c r="K32" s="11">
        <f t="shared" si="4"/>
        <v>1.3599999999999834E-2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30903212.653751597</v>
      </c>
      <c r="D33" s="11">
        <v>1.49E-2</v>
      </c>
      <c r="E33" s="10">
        <f t="shared" si="2"/>
        <v>453697.77174194157</v>
      </c>
      <c r="F33" s="3"/>
      <c r="G33" s="28"/>
      <c r="H33" s="10"/>
      <c r="I33" s="10">
        <f t="shared" si="5"/>
        <v>15278</v>
      </c>
      <c r="J33" s="10">
        <f t="shared" si="3"/>
        <v>472139282924.01691</v>
      </c>
      <c r="K33" s="11">
        <f t="shared" si="4"/>
        <v>1.4899999999999913E-2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30449514.882009655</v>
      </c>
      <c r="D34" s="11">
        <v>1.6400000000000001E-2</v>
      </c>
      <c r="E34" s="10">
        <f t="shared" si="2"/>
        <v>491314.4864865765</v>
      </c>
      <c r="F34" s="3"/>
      <c r="G34" s="28"/>
      <c r="H34" s="10"/>
      <c r="I34" s="10">
        <f t="shared" si="5"/>
        <v>15278</v>
      </c>
      <c r="J34" s="10">
        <f t="shared" ref="J34:J65" si="6">IF(I34="","",I34*C34)</f>
        <v>465207688367.34351</v>
      </c>
      <c r="K34" s="11">
        <f t="shared" ref="K34:K65" si="7">IFERROR(J34/J35-1,"")</f>
        <v>1.639999999999997E-2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29958200.395523079</v>
      </c>
      <c r="D35" s="11">
        <v>1.72E-2</v>
      </c>
      <c r="E35" s="10">
        <f t="shared" si="2"/>
        <v>506568.07589756325</v>
      </c>
      <c r="F35" s="3"/>
      <c r="G35" s="28"/>
      <c r="H35" s="10"/>
      <c r="I35" s="10">
        <f t="shared" ref="I35:I66" si="8">IF(H35&lt;&gt;"",H35,I34/(1+IF(G34="",0,G34)/100))</f>
        <v>15278</v>
      </c>
      <c r="J35" s="10">
        <f t="shared" si="6"/>
        <v>457701385642.80157</v>
      </c>
      <c r="K35" s="11">
        <f t="shared" si="7"/>
        <v>1.7200000000000104E-2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29451632.319625515</v>
      </c>
      <c r="D36" s="11">
        <v>1.44E-2</v>
      </c>
      <c r="E36" s="10">
        <f t="shared" si="2"/>
        <v>418083.10863821581</v>
      </c>
      <c r="F36" s="3"/>
      <c r="G36" s="28"/>
      <c r="H36" s="10"/>
      <c r="I36" s="10">
        <f t="shared" si="8"/>
        <v>15278</v>
      </c>
      <c r="J36" s="10">
        <f t="shared" si="6"/>
        <v>449962038579.23865</v>
      </c>
      <c r="K36" s="11">
        <f t="shared" si="7"/>
        <v>1.4399999999999968E-2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29033549.2109873</v>
      </c>
      <c r="D37" s="11">
        <v>1.14E-2</v>
      </c>
      <c r="E37" s="10">
        <f t="shared" si="2"/>
        <v>327251.7905925028</v>
      </c>
      <c r="F37" s="3"/>
      <c r="G37" s="28"/>
      <c r="H37" s="10"/>
      <c r="I37" s="10">
        <f t="shared" si="8"/>
        <v>15278</v>
      </c>
      <c r="J37" s="10">
        <f t="shared" si="6"/>
        <v>443574564845.46399</v>
      </c>
      <c r="K37" s="11">
        <f t="shared" si="7"/>
        <v>1.1400000000000077E-2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28706297.420394797</v>
      </c>
      <c r="D38" s="11">
        <v>1.15E-2</v>
      </c>
      <c r="E38" s="10">
        <f t="shared" si="2"/>
        <v>326369.17482406646</v>
      </c>
      <c r="F38" s="3"/>
      <c r="G38" s="28"/>
      <c r="H38" s="10"/>
      <c r="I38" s="10">
        <f t="shared" si="8"/>
        <v>15278</v>
      </c>
      <c r="J38" s="10">
        <f t="shared" si="6"/>
        <v>438574811988.79169</v>
      </c>
      <c r="K38" s="11">
        <f t="shared" si="7"/>
        <v>1.1500000000000066E-2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28379928.24557073</v>
      </c>
      <c r="D39" s="11">
        <v>1.1900000000000001E-2</v>
      </c>
      <c r="E39" s="10">
        <f t="shared" si="2"/>
        <v>333749.52675392106</v>
      </c>
      <c r="F39" s="3"/>
      <c r="G39" s="28"/>
      <c r="H39" s="10"/>
      <c r="I39" s="10">
        <f t="shared" si="8"/>
        <v>15278</v>
      </c>
      <c r="J39" s="10">
        <f t="shared" si="6"/>
        <v>433588543735.82959</v>
      </c>
      <c r="K39" s="11">
        <f t="shared" si="7"/>
        <v>1.1900000000000022E-2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28046178.718816809</v>
      </c>
      <c r="D40" s="11">
        <v>1.2699999999999999E-2</v>
      </c>
      <c r="E40" s="10">
        <f t="shared" si="2"/>
        <v>351719.63042260334</v>
      </c>
      <c r="F40" s="3"/>
      <c r="G40" s="28"/>
      <c r="H40" s="10"/>
      <c r="I40" s="10">
        <f t="shared" si="8"/>
        <v>15278</v>
      </c>
      <c r="J40" s="10">
        <f t="shared" si="6"/>
        <v>428489518466.08319</v>
      </c>
      <c r="K40" s="11">
        <f t="shared" si="7"/>
        <v>1.2699999999999712E-2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27694459.088394206</v>
      </c>
      <c r="D41" s="11">
        <v>1.41E-2</v>
      </c>
      <c r="E41" s="10">
        <f t="shared" si="2"/>
        <v>385062.49200903252</v>
      </c>
      <c r="F41" s="3"/>
      <c r="G41" s="28"/>
      <c r="H41" s="10"/>
      <c r="I41" s="10">
        <f t="shared" si="8"/>
        <v>15278</v>
      </c>
      <c r="J41" s="10">
        <f t="shared" si="6"/>
        <v>423115945952.48669</v>
      </c>
      <c r="K41" s="11">
        <f t="shared" si="7"/>
        <v>1.4100000000000001E-2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27309396.596385173</v>
      </c>
      <c r="D42" s="11">
        <v>1.67E-2</v>
      </c>
      <c r="E42" s="10">
        <f t="shared" si="2"/>
        <v>448575.70882229879</v>
      </c>
      <c r="F42" s="3"/>
      <c r="G42" s="28"/>
      <c r="H42" s="10"/>
      <c r="I42" s="10">
        <f t="shared" si="8"/>
        <v>15278</v>
      </c>
      <c r="J42" s="10">
        <f t="shared" si="6"/>
        <v>417232961199.57269</v>
      </c>
      <c r="K42" s="11">
        <f t="shared" si="7"/>
        <v>1.6699999999999937E-2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26860820.887562875</v>
      </c>
      <c r="D43" s="11">
        <v>1.9099999999999999E-2</v>
      </c>
      <c r="E43" s="10">
        <f t="shared" si="2"/>
        <v>503426.23781027272</v>
      </c>
      <c r="F43" s="3"/>
      <c r="G43" s="28"/>
      <c r="H43" s="10"/>
      <c r="I43" s="10">
        <f t="shared" si="8"/>
        <v>15278</v>
      </c>
      <c r="J43" s="10">
        <f t="shared" si="6"/>
        <v>410379621520.18561</v>
      </c>
      <c r="K43" s="11">
        <f t="shared" si="7"/>
        <v>1.9100000000000117E-2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26357394.649752602</v>
      </c>
      <c r="D44" s="11">
        <v>2.0299999999999999E-2</v>
      </c>
      <c r="E44" s="10">
        <f t="shared" si="2"/>
        <v>524409.59657941386</v>
      </c>
      <c r="F44" s="3"/>
      <c r="G44" s="28"/>
      <c r="H44" s="10"/>
      <c r="I44" s="10">
        <f t="shared" si="8"/>
        <v>15278</v>
      </c>
      <c r="J44" s="10">
        <f t="shared" si="6"/>
        <v>402688275458.92023</v>
      </c>
      <c r="K44" s="11">
        <f t="shared" si="7"/>
        <v>2.0299999999999985E-2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25832985.053173188</v>
      </c>
      <c r="D45" s="11">
        <v>2.1000000000000001E-2</v>
      </c>
      <c r="E45" s="10">
        <f t="shared" si="2"/>
        <v>531334.65829249099</v>
      </c>
      <c r="F45" s="3"/>
      <c r="G45" s="28"/>
      <c r="H45" s="10"/>
      <c r="I45" s="10">
        <f t="shared" si="8"/>
        <v>15278</v>
      </c>
      <c r="J45" s="10">
        <f t="shared" si="6"/>
        <v>394676345642.37994</v>
      </c>
      <c r="K45" s="11">
        <f t="shared" si="7"/>
        <v>2.0999999999999686E-2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25301650.394880697</v>
      </c>
      <c r="D46" s="11">
        <v>2.1399999999999999E-2</v>
      </c>
      <c r="E46" s="10">
        <f t="shared" si="2"/>
        <v>530110.94424363598</v>
      </c>
      <c r="F46" s="3"/>
      <c r="G46" s="28"/>
      <c r="H46" s="10"/>
      <c r="I46" s="10">
        <f t="shared" si="8"/>
        <v>15278</v>
      </c>
      <c r="J46" s="10">
        <f t="shared" si="6"/>
        <v>386558614732.9873</v>
      </c>
      <c r="K46" s="11">
        <f t="shared" si="7"/>
        <v>2.1400000000000086E-2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24771539.450637061</v>
      </c>
      <c r="D47" s="11">
        <v>2.1600000000000001E-2</v>
      </c>
      <c r="E47" s="10">
        <f t="shared" si="2"/>
        <v>523752.20451621339</v>
      </c>
      <c r="F47" s="3"/>
      <c r="G47" s="28"/>
      <c r="H47" s="10"/>
      <c r="I47" s="10">
        <f t="shared" si="8"/>
        <v>15278</v>
      </c>
      <c r="J47" s="10">
        <f t="shared" si="6"/>
        <v>378459579726.83301</v>
      </c>
      <c r="K47" s="11">
        <f t="shared" si="7"/>
        <v>2.1600000000000064E-2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24247787.246120848</v>
      </c>
      <c r="D48" s="11">
        <v>2.1700000000000001E-2</v>
      </c>
      <c r="E48" s="10">
        <f t="shared" si="2"/>
        <v>515001.45173810795</v>
      </c>
      <c r="F48" s="3"/>
      <c r="G48" s="28"/>
      <c r="H48" s="10"/>
      <c r="I48" s="10">
        <f t="shared" si="8"/>
        <v>15278</v>
      </c>
      <c r="J48" s="10">
        <f t="shared" si="6"/>
        <v>370457693546.23431</v>
      </c>
      <c r="K48" s="11">
        <f t="shared" si="7"/>
        <v>2.1700000000000053E-2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23732785.79438274</v>
      </c>
      <c r="D49" s="11">
        <v>2.23E-2</v>
      </c>
      <c r="E49" s="10">
        <f t="shared" si="2"/>
        <v>517696.49145528302</v>
      </c>
      <c r="F49" s="3"/>
      <c r="G49" s="28"/>
      <c r="H49" s="10"/>
      <c r="I49" s="10">
        <f t="shared" si="8"/>
        <v>15278</v>
      </c>
      <c r="J49" s="10">
        <f t="shared" si="6"/>
        <v>362589501366.57953</v>
      </c>
      <c r="K49" s="11">
        <f t="shared" si="7"/>
        <v>2.2300000000000209E-2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23215089.302927457</v>
      </c>
      <c r="D50" s="11">
        <v>2.18E-2</v>
      </c>
      <c r="E50" s="10">
        <f t="shared" si="2"/>
        <v>495291.59013879299</v>
      </c>
      <c r="F50" s="3"/>
      <c r="G50" s="28"/>
      <c r="H50" s="10"/>
      <c r="I50" s="10">
        <f t="shared" si="8"/>
        <v>15278</v>
      </c>
      <c r="J50" s="10">
        <f t="shared" si="6"/>
        <v>354680134370.12567</v>
      </c>
      <c r="K50" s="11">
        <f t="shared" si="7"/>
        <v>2.179999999999982E-2</v>
      </c>
      <c r="L50" t="s">
        <v>140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22719797.712788664</v>
      </c>
      <c r="D51" s="11">
        <v>1.9199999999999998E-2</v>
      </c>
      <c r="E51" s="10">
        <f t="shared" si="2"/>
        <v>428002.46868675947</v>
      </c>
      <c r="F51" s="3"/>
      <c r="G51" s="28"/>
      <c r="H51" s="10"/>
      <c r="I51" s="10">
        <f t="shared" si="8"/>
        <v>15278</v>
      </c>
      <c r="J51" s="10">
        <f t="shared" si="6"/>
        <v>347113069455.98523</v>
      </c>
      <c r="K51" s="11">
        <f t="shared" si="7"/>
        <v>1.9200000000000106E-2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22291795.244101904</v>
      </c>
      <c r="D52" s="11">
        <v>1.8800000000000001E-2</v>
      </c>
      <c r="E52" s="10">
        <f t="shared" si="2"/>
        <v>411352.32684443891</v>
      </c>
      <c r="F52" s="3"/>
      <c r="G52" s="28"/>
      <c r="H52" s="10"/>
      <c r="I52" s="10">
        <f t="shared" si="8"/>
        <v>15278</v>
      </c>
      <c r="J52" s="10">
        <f t="shared" si="6"/>
        <v>340574047739.38892</v>
      </c>
      <c r="K52" s="11">
        <f t="shared" si="7"/>
        <v>1.8799999999999928E-2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21880442.917257465</v>
      </c>
      <c r="D53" s="11">
        <v>2.1299999999999999E-2</v>
      </c>
      <c r="E53" s="10">
        <f t="shared" si="2"/>
        <v>456333.52994965762</v>
      </c>
      <c r="F53" s="3"/>
      <c r="G53" s="28"/>
      <c r="H53" s="10"/>
      <c r="I53" s="10">
        <f t="shared" si="8"/>
        <v>15278</v>
      </c>
      <c r="J53" s="10">
        <f t="shared" si="6"/>
        <v>334289406889.85956</v>
      </c>
      <c r="K53" s="11">
        <f t="shared" si="7"/>
        <v>2.1300000000000097E-2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21424109.387307808</v>
      </c>
      <c r="D54" s="11">
        <v>2.3099999999999999E-2</v>
      </c>
      <c r="E54" s="10">
        <f t="shared" si="2"/>
        <v>483722.92722784355</v>
      </c>
      <c r="F54" s="3"/>
      <c r="G54" s="28"/>
      <c r="H54" s="10"/>
      <c r="I54" s="10">
        <f t="shared" si="8"/>
        <v>15278</v>
      </c>
      <c r="J54" s="10">
        <f t="shared" si="6"/>
        <v>327317543219.2887</v>
      </c>
      <c r="K54" s="11">
        <f t="shared" si="7"/>
        <v>2.3099999999999898E-2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20940386.460079964</v>
      </c>
      <c r="D55" s="11">
        <v>2.4400000000000002E-2</v>
      </c>
      <c r="E55" s="10">
        <f t="shared" si="2"/>
        <v>498775.31201283634</v>
      </c>
      <c r="F55" s="3"/>
      <c r="G55" s="28"/>
      <c r="H55" s="10"/>
      <c r="I55" s="10">
        <f t="shared" si="8"/>
        <v>15278</v>
      </c>
      <c r="J55" s="10">
        <f t="shared" si="6"/>
        <v>319927224337.10168</v>
      </c>
      <c r="K55" s="11">
        <f t="shared" si="7"/>
        <v>2.4399999999999977E-2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20441611.148067128</v>
      </c>
      <c r="D56" s="11">
        <v>2.8199999999999999E-2</v>
      </c>
      <c r="E56" s="10">
        <f t="shared" si="2"/>
        <v>560643.29349882528</v>
      </c>
      <c r="F56" s="3"/>
      <c r="G56" s="28"/>
      <c r="H56" s="10"/>
      <c r="I56" s="10">
        <f t="shared" si="8"/>
        <v>15278</v>
      </c>
      <c r="J56" s="10">
        <f t="shared" si="6"/>
        <v>312306935120.16956</v>
      </c>
      <c r="K56" s="11">
        <f t="shared" si="7"/>
        <v>2.8199999999999781E-2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19880967.854568303</v>
      </c>
      <c r="D57" s="11">
        <v>3.2300000000000002E-2</v>
      </c>
      <c r="E57" s="10">
        <f t="shared" si="2"/>
        <v>622062.6384796612</v>
      </c>
      <c r="F57" s="3"/>
      <c r="G57" s="28"/>
      <c r="H57" s="10"/>
      <c r="I57" s="10">
        <f t="shared" si="8"/>
        <v>15278</v>
      </c>
      <c r="J57" s="10">
        <f t="shared" si="6"/>
        <v>303741426882.09454</v>
      </c>
      <c r="K57" s="11">
        <f t="shared" si="7"/>
        <v>3.2299999999999995E-2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19258905.216088641</v>
      </c>
      <c r="D58" s="11">
        <v>3.3700000000000001E-2</v>
      </c>
      <c r="E58" s="10">
        <f t="shared" si="2"/>
        <v>627866.02087857947</v>
      </c>
      <c r="F58" s="3"/>
      <c r="G58" s="28"/>
      <c r="H58" s="10"/>
      <c r="I58" s="10">
        <f t="shared" si="8"/>
        <v>15278</v>
      </c>
      <c r="J58" s="10">
        <f t="shared" si="6"/>
        <v>294237553891.40228</v>
      </c>
      <c r="K58" s="11">
        <f t="shared" si="7"/>
        <v>3.3700000000000063E-2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18631039.195210062</v>
      </c>
      <c r="D59" s="11">
        <v>3.44E-2</v>
      </c>
      <c r="E59" s="10">
        <f t="shared" si="2"/>
        <v>619593.72420265526</v>
      </c>
      <c r="F59" s="3"/>
      <c r="G59" s="28"/>
      <c r="H59" s="10"/>
      <c r="I59" s="10">
        <f t="shared" si="8"/>
        <v>15278</v>
      </c>
      <c r="J59" s="10">
        <f t="shared" si="6"/>
        <v>284645016824.41931</v>
      </c>
      <c r="K59" s="11">
        <f t="shared" si="7"/>
        <v>3.4399999999999986E-2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18011445.471007407</v>
      </c>
      <c r="D60" s="11">
        <v>3.44E-2</v>
      </c>
      <c r="E60" s="10">
        <f t="shared" si="2"/>
        <v>598988.51914409921</v>
      </c>
      <c r="F60" s="3"/>
      <c r="G60" s="28"/>
      <c r="H60" s="10"/>
      <c r="I60" s="10">
        <f t="shared" si="8"/>
        <v>15278</v>
      </c>
      <c r="J60" s="10">
        <f t="shared" si="6"/>
        <v>275178863906.05115</v>
      </c>
      <c r="K60" s="11">
        <f t="shared" si="7"/>
        <v>3.4399999999999986E-2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17412456.951863308</v>
      </c>
      <c r="D61" s="11">
        <v>3.39E-2</v>
      </c>
      <c r="E61" s="10">
        <f t="shared" si="2"/>
        <v>570927.83699406683</v>
      </c>
      <c r="F61" s="3"/>
      <c r="G61" s="28"/>
      <c r="H61" s="10"/>
      <c r="I61" s="10">
        <f t="shared" si="8"/>
        <v>15278</v>
      </c>
      <c r="J61" s="10">
        <f t="shared" si="6"/>
        <v>266027517310.56763</v>
      </c>
      <c r="K61" s="11">
        <f t="shared" si="7"/>
        <v>3.3900000000000041E-2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16841529.114869241</v>
      </c>
      <c r="D62" s="11">
        <v>3.3099999999999997E-2</v>
      </c>
      <c r="E62" s="10">
        <f t="shared" si="2"/>
        <v>539594.05062643439</v>
      </c>
      <c r="F62" s="3"/>
      <c r="G62" s="28"/>
      <c r="H62" s="10"/>
      <c r="I62" s="10">
        <f t="shared" si="8"/>
        <v>15278</v>
      </c>
      <c r="J62" s="10">
        <f t="shared" si="6"/>
        <v>257304881816.97226</v>
      </c>
      <c r="K62" s="11">
        <f t="shared" si="7"/>
        <v>3.3099999999999907E-2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16301935.064242806</v>
      </c>
      <c r="D63" s="11">
        <v>3.0800000000000001E-2</v>
      </c>
      <c r="E63" s="10">
        <f t="shared" si="2"/>
        <v>487097.01200880669</v>
      </c>
      <c r="F63" s="3"/>
      <c r="G63" s="28"/>
      <c r="H63" s="10"/>
      <c r="I63" s="10">
        <f t="shared" si="8"/>
        <v>15278</v>
      </c>
      <c r="J63" s="10">
        <f t="shared" si="6"/>
        <v>249060963911.50159</v>
      </c>
      <c r="K63" s="11">
        <f t="shared" si="7"/>
        <v>3.0799999999999939E-2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15814838.052234</v>
      </c>
      <c r="D64" s="11">
        <v>2.7E-2</v>
      </c>
      <c r="E64" s="10">
        <f t="shared" si="2"/>
        <v>415774.71023399942</v>
      </c>
      <c r="F64" s="3"/>
      <c r="G64" s="28"/>
      <c r="H64" s="10"/>
      <c r="I64" s="10">
        <f t="shared" si="8"/>
        <v>15278</v>
      </c>
      <c r="J64" s="10">
        <f t="shared" si="6"/>
        <v>241619095762.03104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15399063.342</v>
      </c>
      <c r="D65" s="11">
        <v>1.8200000000000001E-2</v>
      </c>
      <c r="E65" s="10">
        <f t="shared" si="2"/>
        <v>275253.34200000018</v>
      </c>
      <c r="F65" s="3"/>
      <c r="G65" s="28"/>
      <c r="H65" s="10"/>
      <c r="I65" s="10">
        <f t="shared" si="8"/>
        <v>15278</v>
      </c>
      <c r="J65" s="10">
        <f t="shared" si="6"/>
        <v>235266889739.07599</v>
      </c>
      <c r="K65" s="11">
        <f t="shared" si="7"/>
        <v>1.8199999999999994E-2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15123810</v>
      </c>
      <c r="D66" s="11">
        <v>1.4E-2</v>
      </c>
      <c r="E66" s="10">
        <f t="shared" si="2"/>
        <v>208810</v>
      </c>
      <c r="F66" s="24">
        <f>SUM(F2)</f>
        <v>38792291</v>
      </c>
      <c r="G66" s="28"/>
      <c r="H66" s="10"/>
      <c r="I66" s="10">
        <f t="shared" si="8"/>
        <v>15278</v>
      </c>
      <c r="J66" s="10">
        <f t="shared" ref="J66:J67" si="9">IF(I66="","",I66*C66)</f>
        <v>231061569180</v>
      </c>
      <c r="K66" s="11">
        <f t="shared" ref="K66" si="10">IFERROR(J66/J67-1,"")</f>
        <v>1.4000000000000012E-2</v>
      </c>
    </row>
    <row r="67" spans="1:11" ht="22.5" customHeight="1">
      <c r="A67" s="3">
        <f t="shared" si="0"/>
        <v>1950</v>
      </c>
      <c r="B67" s="3">
        <v>1700</v>
      </c>
      <c r="C67" s="10">
        <v>14915000</v>
      </c>
      <c r="D67" s="11">
        <v>5.5999999999999999E-3</v>
      </c>
      <c r="E67" s="3" t="s">
        <v>72</v>
      </c>
      <c r="F67" s="10">
        <f>SUM(C2)</f>
        <v>38792385.688430578</v>
      </c>
      <c r="G67" s="28"/>
      <c r="H67" s="10"/>
      <c r="I67" s="10">
        <f t="shared" ref="I67" si="11">IF(H67&lt;&gt;"",H67,I66/(1+IF(G66="",0,G66)/100))</f>
        <v>15278</v>
      </c>
      <c r="J67" s="10">
        <f t="shared" si="9"/>
        <v>227871370000</v>
      </c>
      <c r="K67" s="11"/>
    </row>
  </sheetData>
  <dataValidations count="1">
    <dataValidation type="custom" allowBlank="1" showDropDown="1" sqref="D2:D67" xr:uid="{00000000-0002-0000-7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9388375.5467029884</v>
      </c>
      <c r="D2" s="11">
        <v>2.3199999999999998E-2</v>
      </c>
      <c r="E2" s="10">
        <f t="shared" ref="E2:E66" si="2">SUM(C2-C3)</f>
        <v>212871.68948740326</v>
      </c>
      <c r="F2" s="15">
        <v>9388939</v>
      </c>
      <c r="G2" s="28"/>
      <c r="H2" s="10"/>
      <c r="I2" s="10">
        <f>IF(H2&lt;&gt;"",H2,667)</f>
        <v>667</v>
      </c>
      <c r="J2" s="10">
        <f t="shared" ref="J2:J33" si="3">IF(I2="","",I2*C2)</f>
        <v>6262046489.6508932</v>
      </c>
      <c r="K2" s="11">
        <f t="shared" ref="K2:K33" si="4">IFERROR(J2/J3-1,"")</f>
        <v>2.3200000000000109E-2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9175503.8572155852</v>
      </c>
      <c r="D3" s="11">
        <v>2.4500000000000001E-2</v>
      </c>
      <c r="E3" s="10">
        <f t="shared" si="2"/>
        <v>219423.9575420022</v>
      </c>
      <c r="F3" s="3"/>
      <c r="G3" s="28"/>
      <c r="H3" s="10"/>
      <c r="I3" s="10">
        <f t="shared" ref="I3:I34" si="5">IF(H3&lt;&gt;"",H3,I2/(1+IF(G2="",0,G2)/100))</f>
        <v>667</v>
      </c>
      <c r="J3" s="10">
        <f t="shared" si="3"/>
        <v>6120061072.7627954</v>
      </c>
      <c r="K3" s="11">
        <f t="shared" si="4"/>
        <v>2.4499999999999966E-2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8956079.899673583</v>
      </c>
      <c r="D4" s="11">
        <v>2.5499999999999998E-2</v>
      </c>
      <c r="E4" s="10">
        <f t="shared" si="2"/>
        <v>222701.157914849</v>
      </c>
      <c r="F4" s="3"/>
      <c r="G4" s="28"/>
      <c r="H4" s="10"/>
      <c r="I4" s="10">
        <f t="shared" si="5"/>
        <v>667</v>
      </c>
      <c r="J4" s="10">
        <f t="shared" si="3"/>
        <v>5973705293.0822802</v>
      </c>
      <c r="K4" s="11">
        <f t="shared" si="4"/>
        <v>2.55000000000003E-2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8733378.741758734</v>
      </c>
      <c r="D5" s="11">
        <v>2.5899999999999999E-2</v>
      </c>
      <c r="E5" s="10">
        <f t="shared" si="2"/>
        <v>220483.974472709</v>
      </c>
      <c r="F5" s="3"/>
      <c r="G5" s="28"/>
      <c r="H5" s="10"/>
      <c r="I5" s="10">
        <f t="shared" si="5"/>
        <v>667</v>
      </c>
      <c r="J5" s="10">
        <f t="shared" si="3"/>
        <v>5825163620.7530756</v>
      </c>
      <c r="K5" s="11">
        <f t="shared" si="4"/>
        <v>2.5900000000000256E-2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8512894.767286025</v>
      </c>
      <c r="D6" s="11">
        <v>2.5600000000000001E-2</v>
      </c>
      <c r="E6" s="10">
        <f t="shared" si="2"/>
        <v>212490.35300557967</v>
      </c>
      <c r="F6" s="3"/>
      <c r="G6" s="28"/>
      <c r="H6" s="10"/>
      <c r="I6" s="10">
        <f t="shared" si="5"/>
        <v>667</v>
      </c>
      <c r="J6" s="10">
        <f t="shared" si="3"/>
        <v>5678100809.7797785</v>
      </c>
      <c r="K6" s="11">
        <f t="shared" si="4"/>
        <v>2.5600000000000067E-2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8300404.4142804453</v>
      </c>
      <c r="D7" s="11">
        <v>2.4799999999999999E-2</v>
      </c>
      <c r="E7" s="10">
        <f t="shared" si="2"/>
        <v>200868.49089983851</v>
      </c>
      <c r="F7" s="3"/>
      <c r="G7" s="28"/>
      <c r="H7" s="10"/>
      <c r="I7" s="10">
        <f t="shared" si="5"/>
        <v>667</v>
      </c>
      <c r="J7" s="10">
        <f t="shared" si="3"/>
        <v>5536369744.325057</v>
      </c>
      <c r="K7" s="11">
        <f t="shared" si="4"/>
        <v>2.4799999999999933E-2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8099535.9233806068</v>
      </c>
      <c r="D8" s="11">
        <v>2.3699999999999999E-2</v>
      </c>
      <c r="E8" s="10">
        <f t="shared" si="2"/>
        <v>187514.89829454012</v>
      </c>
      <c r="F8" s="3"/>
      <c r="G8" s="28"/>
      <c r="H8" s="10"/>
      <c r="I8" s="10">
        <f t="shared" si="5"/>
        <v>667</v>
      </c>
      <c r="J8" s="10">
        <f t="shared" si="3"/>
        <v>5402390460.894865</v>
      </c>
      <c r="K8" s="11">
        <f t="shared" si="4"/>
        <v>2.3700000000000054E-2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7912021.0250860667</v>
      </c>
      <c r="D9" s="11">
        <v>2.2800000000000001E-2</v>
      </c>
      <c r="E9" s="10">
        <f t="shared" si="2"/>
        <v>176372.77998823021</v>
      </c>
      <c r="F9" s="3"/>
      <c r="G9" s="28"/>
      <c r="H9" s="10"/>
      <c r="I9" s="10">
        <f t="shared" si="5"/>
        <v>667</v>
      </c>
      <c r="J9" s="10">
        <f t="shared" si="3"/>
        <v>5277318023.7324066</v>
      </c>
      <c r="K9" s="11">
        <f t="shared" si="4"/>
        <v>2.2799999999999931E-2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7735648.2450978365</v>
      </c>
      <c r="D10" s="11">
        <v>2.1499999999999998E-2</v>
      </c>
      <c r="E10" s="10">
        <f t="shared" si="2"/>
        <v>162815.89551601</v>
      </c>
      <c r="F10" s="3"/>
      <c r="G10" s="28"/>
      <c r="H10" s="10"/>
      <c r="I10" s="10">
        <f t="shared" si="5"/>
        <v>667</v>
      </c>
      <c r="J10" s="10">
        <f t="shared" si="3"/>
        <v>5159677379.480257</v>
      </c>
      <c r="K10" s="11">
        <f t="shared" si="4"/>
        <v>2.1500000000000075E-2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7572832.3495818265</v>
      </c>
      <c r="D11" s="11">
        <v>2.0500000000000001E-2</v>
      </c>
      <c r="E11" s="10">
        <f t="shared" si="2"/>
        <v>152124.5106971357</v>
      </c>
      <c r="F11" s="3"/>
      <c r="G11" s="28"/>
      <c r="H11" s="10"/>
      <c r="I11" s="10">
        <f t="shared" si="5"/>
        <v>667</v>
      </c>
      <c r="J11" s="10">
        <f t="shared" si="3"/>
        <v>5051079177.1710787</v>
      </c>
      <c r="K11" s="11">
        <f t="shared" si="4"/>
        <v>2.0499999999999963E-2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7420707.8388846908</v>
      </c>
      <c r="D12" s="11">
        <v>2.0199999999999999E-2</v>
      </c>
      <c r="E12" s="10">
        <f t="shared" si="2"/>
        <v>146930.30616101809</v>
      </c>
      <c r="F12" s="3"/>
      <c r="G12" s="28"/>
      <c r="H12" s="10"/>
      <c r="I12" s="10">
        <f t="shared" si="5"/>
        <v>667</v>
      </c>
      <c r="J12" s="10">
        <f t="shared" si="3"/>
        <v>4949612128.5360889</v>
      </c>
      <c r="K12" s="11">
        <f t="shared" si="4"/>
        <v>2.0199999999999996E-2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7273777.5327236727</v>
      </c>
      <c r="D13" s="11">
        <v>2.0500000000000001E-2</v>
      </c>
      <c r="E13" s="10">
        <f t="shared" si="2"/>
        <v>146117.04009880964</v>
      </c>
      <c r="F13" s="3"/>
      <c r="G13" s="28"/>
      <c r="H13" s="10"/>
      <c r="I13" s="10">
        <f t="shared" si="5"/>
        <v>667</v>
      </c>
      <c r="J13" s="10">
        <f t="shared" si="3"/>
        <v>4851609614.3266897</v>
      </c>
      <c r="K13" s="11">
        <f t="shared" si="4"/>
        <v>2.0499999999999963E-2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7127660.4926248631</v>
      </c>
      <c r="D14" s="11">
        <v>2.1100000000000001E-2</v>
      </c>
      <c r="E14" s="10">
        <f t="shared" si="2"/>
        <v>147285.90382370353</v>
      </c>
      <c r="F14" s="3"/>
      <c r="G14" s="28"/>
      <c r="H14" s="10"/>
      <c r="I14" s="10">
        <f t="shared" si="5"/>
        <v>667</v>
      </c>
      <c r="J14" s="10">
        <f t="shared" si="3"/>
        <v>4754149548.5807838</v>
      </c>
      <c r="K14" s="11">
        <f t="shared" si="4"/>
        <v>2.1099999999999897E-2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6980374.5888011595</v>
      </c>
      <c r="D15" s="11">
        <v>2.24E-2</v>
      </c>
      <c r="E15" s="10">
        <f t="shared" si="2"/>
        <v>152934.65452772472</v>
      </c>
      <c r="F15" s="3"/>
      <c r="G15" s="28"/>
      <c r="H15" s="10"/>
      <c r="I15" s="10">
        <f t="shared" si="5"/>
        <v>667</v>
      </c>
      <c r="J15" s="10">
        <f t="shared" si="3"/>
        <v>4655909850.7303734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6827439.9342734348</v>
      </c>
      <c r="D16" s="11">
        <v>2.41E-2</v>
      </c>
      <c r="E16" s="10">
        <f t="shared" si="2"/>
        <v>160669.1752914656</v>
      </c>
      <c r="F16" s="3"/>
      <c r="G16" s="28"/>
      <c r="H16" s="10"/>
      <c r="I16" s="10">
        <f t="shared" si="5"/>
        <v>667</v>
      </c>
      <c r="J16" s="10">
        <f t="shared" si="3"/>
        <v>4553902436.1603813</v>
      </c>
      <c r="K16" s="11">
        <f t="shared" si="4"/>
        <v>2.410000000000001E-2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6666770.7589819692</v>
      </c>
      <c r="D17" s="11">
        <v>2.6100000000000002E-2</v>
      </c>
      <c r="E17" s="10">
        <f t="shared" si="2"/>
        <v>169576.76328762248</v>
      </c>
      <c r="F17" s="3"/>
      <c r="G17" s="28"/>
      <c r="H17" s="10"/>
      <c r="I17" s="10">
        <f t="shared" si="5"/>
        <v>667</v>
      </c>
      <c r="J17" s="10">
        <f t="shared" si="3"/>
        <v>4446736096.2409735</v>
      </c>
      <c r="K17" s="11">
        <f t="shared" si="4"/>
        <v>2.6100000000000012E-2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6497193.9956943467</v>
      </c>
      <c r="D18" s="11">
        <v>2.81E-2</v>
      </c>
      <c r="E18" s="10">
        <f t="shared" si="2"/>
        <v>177581.12175762188</v>
      </c>
      <c r="F18" s="3"/>
      <c r="G18" s="28"/>
      <c r="H18" s="10"/>
      <c r="I18" s="10">
        <f t="shared" si="5"/>
        <v>667</v>
      </c>
      <c r="J18" s="10">
        <f t="shared" si="3"/>
        <v>4333628395.128129</v>
      </c>
      <c r="K18" s="11">
        <f t="shared" si="4"/>
        <v>2.8100000000000014E-2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6319612.8739367248</v>
      </c>
      <c r="D19" s="11">
        <v>3.0300000000000001E-2</v>
      </c>
      <c r="E19" s="10">
        <f t="shared" si="2"/>
        <v>185852.92641005758</v>
      </c>
      <c r="F19" s="3"/>
      <c r="G19" s="28"/>
      <c r="H19" s="10"/>
      <c r="I19" s="10">
        <f t="shared" si="5"/>
        <v>667</v>
      </c>
      <c r="J19" s="10">
        <f t="shared" si="3"/>
        <v>4215181786.9157953</v>
      </c>
      <c r="K19" s="11">
        <f t="shared" si="4"/>
        <v>3.0299999999999994E-2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6133759.9475266673</v>
      </c>
      <c r="D20" s="11">
        <v>3.2599999999999997E-2</v>
      </c>
      <c r="E20" s="10">
        <f t="shared" si="2"/>
        <v>193647.66055526771</v>
      </c>
      <c r="F20" s="3"/>
      <c r="G20" s="28"/>
      <c r="H20" s="10"/>
      <c r="I20" s="10">
        <f t="shared" si="5"/>
        <v>667</v>
      </c>
      <c r="J20" s="10">
        <f t="shared" si="3"/>
        <v>4091217885.0002871</v>
      </c>
      <c r="K20" s="11">
        <f t="shared" si="4"/>
        <v>3.2599999999999962E-2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5940112.2869713996</v>
      </c>
      <c r="D21" s="11">
        <v>3.4700000000000002E-2</v>
      </c>
      <c r="E21" s="10">
        <f t="shared" si="2"/>
        <v>199209.33251948096</v>
      </c>
      <c r="F21" s="3"/>
      <c r="G21" s="28"/>
      <c r="H21" s="10"/>
      <c r="I21" s="10">
        <f t="shared" si="5"/>
        <v>667</v>
      </c>
      <c r="J21" s="10">
        <f t="shared" si="3"/>
        <v>3962054895.4099236</v>
      </c>
      <c r="K21" s="11">
        <f t="shared" si="4"/>
        <v>3.4699999999999953E-2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5740902.9544519186</v>
      </c>
      <c r="D22" s="11">
        <v>3.6299999999999999E-2</v>
      </c>
      <c r="E22" s="10">
        <f t="shared" si="2"/>
        <v>201095.02773965523</v>
      </c>
      <c r="F22" s="3"/>
      <c r="G22" s="28"/>
      <c r="H22" s="10"/>
      <c r="I22" s="10">
        <f t="shared" si="5"/>
        <v>667</v>
      </c>
      <c r="J22" s="10">
        <f t="shared" si="3"/>
        <v>3829182270.6194296</v>
      </c>
      <c r="K22" s="11">
        <f t="shared" si="4"/>
        <v>3.6299999999999999E-2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5539807.9267122634</v>
      </c>
      <c r="D23" s="11">
        <v>3.73E-2</v>
      </c>
      <c r="E23" s="10">
        <f t="shared" si="2"/>
        <v>199204.50753530115</v>
      </c>
      <c r="F23" s="3"/>
      <c r="G23" s="28"/>
      <c r="H23" s="10"/>
      <c r="I23" s="10">
        <f t="shared" si="5"/>
        <v>667</v>
      </c>
      <c r="J23" s="10">
        <f t="shared" si="3"/>
        <v>3695051887.1170797</v>
      </c>
      <c r="K23" s="11">
        <f t="shared" si="4"/>
        <v>3.7300000000000111E-2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5340603.4191769622</v>
      </c>
      <c r="D24" s="11">
        <v>3.7699999999999997E-2</v>
      </c>
      <c r="E24" s="10">
        <f t="shared" si="2"/>
        <v>194025.96984000411</v>
      </c>
      <c r="F24" s="3"/>
      <c r="G24" s="28"/>
      <c r="H24" s="10"/>
      <c r="I24" s="10">
        <f t="shared" si="5"/>
        <v>667</v>
      </c>
      <c r="J24" s="10">
        <f t="shared" si="3"/>
        <v>3562182480.5910339</v>
      </c>
      <c r="K24" s="11">
        <f t="shared" si="4"/>
        <v>3.7700000000000067E-2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5146577.4493369581</v>
      </c>
      <c r="D25" s="11">
        <v>3.7999999999999999E-2</v>
      </c>
      <c r="E25" s="10">
        <f t="shared" si="2"/>
        <v>188410.34978304897</v>
      </c>
      <c r="F25" s="3"/>
      <c r="G25" s="28"/>
      <c r="H25" s="10"/>
      <c r="I25" s="10">
        <f t="shared" si="5"/>
        <v>667</v>
      </c>
      <c r="J25" s="10">
        <f t="shared" si="3"/>
        <v>3432767158.7077513</v>
      </c>
      <c r="K25" s="11">
        <f t="shared" si="4"/>
        <v>3.8000000000000256E-2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4958167.0995539092</v>
      </c>
      <c r="D26" s="11">
        <v>3.8699999999999998E-2</v>
      </c>
      <c r="E26" s="10">
        <f t="shared" si="2"/>
        <v>184731.94064959697</v>
      </c>
      <c r="F26" s="3"/>
      <c r="G26" s="28"/>
      <c r="H26" s="10"/>
      <c r="I26" s="10">
        <f t="shared" si="5"/>
        <v>667</v>
      </c>
      <c r="J26" s="10">
        <f t="shared" si="3"/>
        <v>3307097455.4024572</v>
      </c>
      <c r="K26" s="11">
        <f t="shared" si="4"/>
        <v>3.8699999999999957E-2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4773435.1589043122</v>
      </c>
      <c r="D27" s="11">
        <v>3.9699999999999999E-2</v>
      </c>
      <c r="E27" s="10">
        <f t="shared" si="2"/>
        <v>182269.28518659342</v>
      </c>
      <c r="F27" s="3"/>
      <c r="G27" s="28"/>
      <c r="H27" s="10"/>
      <c r="I27" s="10">
        <f t="shared" si="5"/>
        <v>667</v>
      </c>
      <c r="J27" s="10">
        <f t="shared" si="3"/>
        <v>3183881250.9891763</v>
      </c>
      <c r="K27" s="11">
        <f t="shared" si="4"/>
        <v>3.9699999999999847E-2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4591165.8737177188</v>
      </c>
      <c r="D28" s="11">
        <v>4.0099999999999997E-2</v>
      </c>
      <c r="E28" s="10">
        <f t="shared" si="2"/>
        <v>177007.74111727811</v>
      </c>
      <c r="F28" s="3"/>
      <c r="G28" s="28"/>
      <c r="H28" s="10"/>
      <c r="I28" s="10">
        <f t="shared" si="5"/>
        <v>667</v>
      </c>
      <c r="J28" s="10">
        <f t="shared" si="3"/>
        <v>3062307637.7697186</v>
      </c>
      <c r="K28" s="11">
        <f t="shared" si="4"/>
        <v>4.0100000000000247E-2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4414158.1326004406</v>
      </c>
      <c r="D29" s="11">
        <v>3.9300000000000002E-2</v>
      </c>
      <c r="E29" s="10">
        <f t="shared" si="2"/>
        <v>166916.59252496529</v>
      </c>
      <c r="F29" s="3"/>
      <c r="G29" s="28"/>
      <c r="H29" s="10"/>
      <c r="I29" s="10">
        <f t="shared" si="5"/>
        <v>667</v>
      </c>
      <c r="J29" s="10">
        <f t="shared" si="3"/>
        <v>2944243474.4444938</v>
      </c>
      <c r="K29" s="11">
        <f t="shared" si="4"/>
        <v>3.9299999999999891E-2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4247241.5400754754</v>
      </c>
      <c r="D30" s="11">
        <v>3.7100000000000001E-2</v>
      </c>
      <c r="E30" s="10">
        <f t="shared" si="2"/>
        <v>151935.84142011311</v>
      </c>
      <c r="F30" s="3"/>
      <c r="G30" s="28"/>
      <c r="H30" s="10"/>
      <c r="I30" s="10">
        <f t="shared" si="5"/>
        <v>667</v>
      </c>
      <c r="J30" s="10">
        <f t="shared" si="3"/>
        <v>2832910107.2303419</v>
      </c>
      <c r="K30" s="11">
        <f t="shared" si="4"/>
        <v>3.7099999999999689E-2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4095305.6986553622</v>
      </c>
      <c r="D31" s="11">
        <v>3.4000000000000002E-2</v>
      </c>
      <c r="E31" s="10">
        <f t="shared" si="2"/>
        <v>134661.88951091142</v>
      </c>
      <c r="F31" s="3"/>
      <c r="G31" s="28"/>
      <c r="H31" s="10"/>
      <c r="I31" s="10">
        <f t="shared" si="5"/>
        <v>667</v>
      </c>
      <c r="J31" s="10">
        <f t="shared" si="3"/>
        <v>2731568901.0031266</v>
      </c>
      <c r="K31" s="11">
        <f t="shared" si="4"/>
        <v>3.400000000000003E-2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3960643.8091444508</v>
      </c>
      <c r="D32" s="11">
        <v>3.1099999999999999E-2</v>
      </c>
      <c r="E32" s="10">
        <f t="shared" si="2"/>
        <v>119460.79183822311</v>
      </c>
      <c r="F32" s="3"/>
      <c r="G32" s="28"/>
      <c r="H32" s="10"/>
      <c r="I32" s="10">
        <f t="shared" si="5"/>
        <v>667</v>
      </c>
      <c r="J32" s="10">
        <f t="shared" si="3"/>
        <v>2641749420.6993489</v>
      </c>
      <c r="K32" s="11">
        <f t="shared" si="4"/>
        <v>3.1099999999999905E-2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3841183.0173062277</v>
      </c>
      <c r="D33" s="11">
        <v>2.9100000000000001E-2</v>
      </c>
      <c r="E33" s="10">
        <f t="shared" si="2"/>
        <v>108617.65212672343</v>
      </c>
      <c r="F33" s="3"/>
      <c r="G33" s="28"/>
      <c r="H33" s="10"/>
      <c r="I33" s="10">
        <f t="shared" si="5"/>
        <v>667</v>
      </c>
      <c r="J33" s="10">
        <f t="shared" si="3"/>
        <v>2562069072.5432539</v>
      </c>
      <c r="K33" s="11">
        <f t="shared" si="4"/>
        <v>2.9099999999999904E-2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3732565.3651795043</v>
      </c>
      <c r="D34" s="11">
        <v>2.7799999999999998E-2</v>
      </c>
      <c r="E34" s="10">
        <f t="shared" si="2"/>
        <v>100958.66623077495</v>
      </c>
      <c r="F34" s="3"/>
      <c r="G34" s="28"/>
      <c r="H34" s="10"/>
      <c r="I34" s="10">
        <f t="shared" si="5"/>
        <v>667</v>
      </c>
      <c r="J34" s="10">
        <f t="shared" ref="J34:J65" si="6">IF(I34="","",I34*C34)</f>
        <v>2489621098.5747294</v>
      </c>
      <c r="K34" s="11">
        <f t="shared" ref="K34:K65" si="7">IFERROR(J34/J35-1,"")</f>
        <v>2.7800000000000047E-2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3631606.6989487293</v>
      </c>
      <c r="D35" s="11">
        <v>2.6800000000000001E-2</v>
      </c>
      <c r="E35" s="10">
        <f t="shared" si="2"/>
        <v>94786.773988922592</v>
      </c>
      <c r="F35" s="3"/>
      <c r="G35" s="28"/>
      <c r="H35" s="10"/>
      <c r="I35" s="10">
        <f t="shared" ref="I35:I66" si="8">IF(H35&lt;&gt;"",H35,I34/(1+IF(G34="",0,G34)/100))</f>
        <v>667</v>
      </c>
      <c r="J35" s="10">
        <f t="shared" si="6"/>
        <v>2422281668.1988025</v>
      </c>
      <c r="K35" s="11">
        <f t="shared" si="7"/>
        <v>2.6799999999999935E-2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3536819.9249598067</v>
      </c>
      <c r="D36" s="11">
        <v>2.5899999999999999E-2</v>
      </c>
      <c r="E36" s="10">
        <f t="shared" si="2"/>
        <v>89290.999177755322</v>
      </c>
      <c r="F36" s="3"/>
      <c r="G36" s="28"/>
      <c r="H36" s="10"/>
      <c r="I36" s="10">
        <f t="shared" si="8"/>
        <v>667</v>
      </c>
      <c r="J36" s="10">
        <f t="shared" si="6"/>
        <v>2359058889.9481912</v>
      </c>
      <c r="K36" s="11">
        <f t="shared" si="7"/>
        <v>2.5900000000000034E-2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3447528.9257820514</v>
      </c>
      <c r="D37" s="11">
        <v>2.5399999999999999E-2</v>
      </c>
      <c r="E37" s="10">
        <f t="shared" si="2"/>
        <v>85398.122405758128</v>
      </c>
      <c r="F37" s="3"/>
      <c r="G37" s="28"/>
      <c r="H37" s="10"/>
      <c r="I37" s="10">
        <f t="shared" si="8"/>
        <v>667</v>
      </c>
      <c r="J37" s="10">
        <f t="shared" si="6"/>
        <v>2299501793.4966283</v>
      </c>
      <c r="K37" s="11">
        <f t="shared" si="7"/>
        <v>2.5400000000000089E-2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3362130.8033762933</v>
      </c>
      <c r="D38" s="11">
        <v>2.53E-2</v>
      </c>
      <c r="E38" s="10">
        <f t="shared" si="2"/>
        <v>82962.9467720869</v>
      </c>
      <c r="F38" s="3"/>
      <c r="G38" s="28"/>
      <c r="H38" s="10"/>
      <c r="I38" s="10">
        <f t="shared" si="8"/>
        <v>667</v>
      </c>
      <c r="J38" s="10">
        <f t="shared" si="6"/>
        <v>2242541245.8519878</v>
      </c>
      <c r="K38" s="11">
        <f t="shared" si="7"/>
        <v>2.53000000000001E-2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3279167.8566042064</v>
      </c>
      <c r="D39" s="11">
        <v>2.52E-2</v>
      </c>
      <c r="E39" s="10">
        <f t="shared" si="2"/>
        <v>80603.813876731787</v>
      </c>
      <c r="F39" s="3"/>
      <c r="G39" s="28"/>
      <c r="H39" s="10"/>
      <c r="I39" s="10">
        <f t="shared" si="8"/>
        <v>667</v>
      </c>
      <c r="J39" s="10">
        <f t="shared" si="6"/>
        <v>2187204960.3550057</v>
      </c>
      <c r="K39" s="11">
        <f t="shared" si="7"/>
        <v>2.5199999999999889E-2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3198564.0427274746</v>
      </c>
      <c r="D40" s="11">
        <v>2.53E-2</v>
      </c>
      <c r="E40" s="10">
        <f t="shared" si="2"/>
        <v>78926.821692192927</v>
      </c>
      <c r="F40" s="3"/>
      <c r="G40" s="28"/>
      <c r="H40" s="10"/>
      <c r="I40" s="10">
        <f t="shared" si="8"/>
        <v>667</v>
      </c>
      <c r="J40" s="10">
        <f t="shared" si="6"/>
        <v>2133442216.4992256</v>
      </c>
      <c r="K40" s="11">
        <f t="shared" si="7"/>
        <v>2.53000000000001E-2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3119637.2210352817</v>
      </c>
      <c r="D41" s="11">
        <v>2.5499999999999998E-2</v>
      </c>
      <c r="E41" s="10">
        <f t="shared" si="2"/>
        <v>77572.646646903828</v>
      </c>
      <c r="F41" s="3"/>
      <c r="G41" s="28"/>
      <c r="H41" s="10"/>
      <c r="I41" s="10">
        <f t="shared" si="8"/>
        <v>667</v>
      </c>
      <c r="J41" s="10">
        <f t="shared" si="6"/>
        <v>2080798026.4305329</v>
      </c>
      <c r="K41" s="11">
        <f t="shared" si="7"/>
        <v>2.5500000000000078E-2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3042064.5743883778</v>
      </c>
      <c r="D42" s="11">
        <v>2.5399999999999999E-2</v>
      </c>
      <c r="E42" s="10">
        <f t="shared" si="2"/>
        <v>75354.437477535568</v>
      </c>
      <c r="F42" s="3"/>
      <c r="G42" s="28"/>
      <c r="H42" s="10"/>
      <c r="I42" s="10">
        <f t="shared" si="8"/>
        <v>667</v>
      </c>
      <c r="J42" s="10">
        <f t="shared" si="6"/>
        <v>2029057071.117048</v>
      </c>
      <c r="K42" s="11">
        <f t="shared" si="7"/>
        <v>2.5400000000000089E-2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2966710.1369108423</v>
      </c>
      <c r="D43" s="11">
        <v>2.52E-2</v>
      </c>
      <c r="E43" s="10">
        <f t="shared" si="2"/>
        <v>72923.425136707723</v>
      </c>
      <c r="F43" s="3"/>
      <c r="G43" s="28"/>
      <c r="H43" s="10"/>
      <c r="I43" s="10">
        <f t="shared" si="8"/>
        <v>667</v>
      </c>
      <c r="J43" s="10">
        <f t="shared" si="6"/>
        <v>1978795661.3195317</v>
      </c>
      <c r="K43" s="11">
        <f t="shared" si="7"/>
        <v>2.5199999999999889E-2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2893786.7117741345</v>
      </c>
      <c r="D44" s="11">
        <v>2.4799999999999999E-2</v>
      </c>
      <c r="E44" s="10">
        <f t="shared" si="2"/>
        <v>70029.186623729765</v>
      </c>
      <c r="F44" s="3"/>
      <c r="G44" s="28"/>
      <c r="H44" s="10"/>
      <c r="I44" s="10">
        <f t="shared" si="8"/>
        <v>667</v>
      </c>
      <c r="J44" s="10">
        <f t="shared" si="6"/>
        <v>1930155736.7533476</v>
      </c>
      <c r="K44" s="11">
        <f t="shared" si="7"/>
        <v>2.4799999999999711E-2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2823757.5251504048</v>
      </c>
      <c r="D45" s="11">
        <v>2.4400000000000002E-2</v>
      </c>
      <c r="E45" s="10">
        <f t="shared" si="2"/>
        <v>67258.574398349971</v>
      </c>
      <c r="F45" s="3"/>
      <c r="G45" s="28"/>
      <c r="H45" s="10"/>
      <c r="I45" s="10">
        <f t="shared" si="8"/>
        <v>667</v>
      </c>
      <c r="J45" s="10">
        <f t="shared" si="6"/>
        <v>1883446269.2753201</v>
      </c>
      <c r="K45" s="11">
        <f t="shared" si="7"/>
        <v>2.4399999999999977E-2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2756498.9507520548</v>
      </c>
      <c r="D46" s="11">
        <v>2.3900000000000001E-2</v>
      </c>
      <c r="E46" s="10">
        <f t="shared" si="2"/>
        <v>64342.538258593995</v>
      </c>
      <c r="F46" s="3"/>
      <c r="G46" s="28"/>
      <c r="H46" s="10"/>
      <c r="I46" s="10">
        <f t="shared" si="8"/>
        <v>667</v>
      </c>
      <c r="J46" s="10">
        <f t="shared" si="6"/>
        <v>1838584800.1516206</v>
      </c>
      <c r="K46" s="11">
        <f t="shared" si="7"/>
        <v>2.3900000000000032E-2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2692156.4124934608</v>
      </c>
      <c r="D47" s="11">
        <v>2.3300000000000001E-2</v>
      </c>
      <c r="E47" s="10">
        <f t="shared" si="2"/>
        <v>61298.978218604345</v>
      </c>
      <c r="F47" s="3"/>
      <c r="G47" s="28"/>
      <c r="H47" s="10"/>
      <c r="I47" s="10">
        <f t="shared" si="8"/>
        <v>667</v>
      </c>
      <c r="J47" s="10">
        <f t="shared" si="6"/>
        <v>1795668327.1331384</v>
      </c>
      <c r="K47" s="11">
        <f t="shared" si="7"/>
        <v>2.3300000000000098E-2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2630857.4342748565</v>
      </c>
      <c r="D48" s="11">
        <v>2.2700000000000001E-2</v>
      </c>
      <c r="E48" s="10">
        <f t="shared" si="2"/>
        <v>58394.89953851467</v>
      </c>
      <c r="F48" s="3"/>
      <c r="G48" s="28"/>
      <c r="H48" s="10"/>
      <c r="I48" s="10">
        <f t="shared" si="8"/>
        <v>667</v>
      </c>
      <c r="J48" s="10">
        <f t="shared" si="6"/>
        <v>1754781908.6613293</v>
      </c>
      <c r="K48" s="11">
        <f t="shared" si="7"/>
        <v>2.2699999999999942E-2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2572462.5347363418</v>
      </c>
      <c r="D49" s="11">
        <v>2.23E-2</v>
      </c>
      <c r="E49" s="10">
        <f t="shared" si="2"/>
        <v>56114.559840184171</v>
      </c>
      <c r="F49" s="3"/>
      <c r="G49" s="28"/>
      <c r="H49" s="10"/>
      <c r="I49" s="10">
        <f t="shared" si="8"/>
        <v>667</v>
      </c>
      <c r="J49" s="10">
        <f t="shared" si="6"/>
        <v>1715832510.6691399</v>
      </c>
      <c r="K49" s="11">
        <f t="shared" si="7"/>
        <v>2.2299999999999986E-2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2516347.9748961576</v>
      </c>
      <c r="D50" s="11">
        <v>2.2100000000000002E-2</v>
      </c>
      <c r="E50" s="10">
        <f t="shared" si="2"/>
        <v>54408.854559441563</v>
      </c>
      <c r="F50" s="3"/>
      <c r="G50" s="28"/>
      <c r="H50" s="10"/>
      <c r="I50" s="10">
        <f t="shared" si="8"/>
        <v>667</v>
      </c>
      <c r="J50" s="10">
        <f t="shared" si="6"/>
        <v>1678404099.2557371</v>
      </c>
      <c r="K50" s="11">
        <f t="shared" si="7"/>
        <v>2.2100000000000009E-2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2461939.1203367161</v>
      </c>
      <c r="D51" s="11">
        <v>2.1899999999999999E-2</v>
      </c>
      <c r="E51" s="10">
        <f t="shared" si="2"/>
        <v>52761.000817471649</v>
      </c>
      <c r="F51" s="3"/>
      <c r="G51" s="28"/>
      <c r="H51" s="10"/>
      <c r="I51" s="10">
        <f t="shared" si="8"/>
        <v>667</v>
      </c>
      <c r="J51" s="10">
        <f t="shared" si="6"/>
        <v>1642113393.2645895</v>
      </c>
      <c r="K51" s="11">
        <f t="shared" si="7"/>
        <v>2.1900000000000031E-2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2409178.1195192444</v>
      </c>
      <c r="D52" s="11">
        <v>2.18E-2</v>
      </c>
      <c r="E52" s="10">
        <f t="shared" si="2"/>
        <v>51399.572328752838</v>
      </c>
      <c r="F52" s="3"/>
      <c r="G52" s="28"/>
      <c r="H52" s="10"/>
      <c r="I52" s="10">
        <f t="shared" si="8"/>
        <v>667</v>
      </c>
      <c r="J52" s="10">
        <f t="shared" si="6"/>
        <v>1606921805.719336</v>
      </c>
      <c r="K52" s="11">
        <f t="shared" si="7"/>
        <v>2.1800000000000042E-2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2357778.5471904916</v>
      </c>
      <c r="D53" s="11">
        <v>2.1899999999999999E-2</v>
      </c>
      <c r="E53" s="10">
        <f t="shared" si="2"/>
        <v>50528.77011789009</v>
      </c>
      <c r="F53" s="3"/>
      <c r="G53" s="28"/>
      <c r="H53" s="10"/>
      <c r="I53" s="10">
        <f t="shared" si="8"/>
        <v>667</v>
      </c>
      <c r="J53" s="10">
        <f t="shared" si="6"/>
        <v>1572638290.9760578</v>
      </c>
      <c r="K53" s="11">
        <f t="shared" si="7"/>
        <v>2.1900000000000031E-2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2307249.7770726015</v>
      </c>
      <c r="D54" s="11">
        <v>2.2100000000000002E-2</v>
      </c>
      <c r="E54" s="10">
        <f t="shared" si="2"/>
        <v>49887.701862150803</v>
      </c>
      <c r="F54" s="3"/>
      <c r="G54" s="28"/>
      <c r="H54" s="10"/>
      <c r="I54" s="10">
        <f t="shared" si="8"/>
        <v>667</v>
      </c>
      <c r="J54" s="10">
        <f t="shared" si="6"/>
        <v>1538935601.3074253</v>
      </c>
      <c r="K54" s="11">
        <f t="shared" si="7"/>
        <v>2.2100000000000009E-2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2257362.0752104507</v>
      </c>
      <c r="D55" s="11">
        <v>2.24E-2</v>
      </c>
      <c r="E55" s="10">
        <f t="shared" si="2"/>
        <v>49457.072070338298</v>
      </c>
      <c r="F55" s="3"/>
      <c r="G55" s="28"/>
      <c r="H55" s="10"/>
      <c r="I55" s="10">
        <f t="shared" si="8"/>
        <v>667</v>
      </c>
      <c r="J55" s="10">
        <f t="shared" si="6"/>
        <v>1505660504.1653707</v>
      </c>
      <c r="K55" s="11">
        <f t="shared" si="7"/>
        <v>2.2399999999999975E-2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2207905.0031401124</v>
      </c>
      <c r="D56" s="11">
        <v>2.2800000000000001E-2</v>
      </c>
      <c r="E56" s="10">
        <f t="shared" si="2"/>
        <v>49218.062252243049</v>
      </c>
      <c r="F56" s="3"/>
      <c r="G56" s="28"/>
      <c r="H56" s="10"/>
      <c r="I56" s="10">
        <f t="shared" si="8"/>
        <v>667</v>
      </c>
      <c r="J56" s="10">
        <f t="shared" si="6"/>
        <v>1472672637.094455</v>
      </c>
      <c r="K56" s="11">
        <f t="shared" si="7"/>
        <v>2.2799999999999931E-2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2158686.9408878693</v>
      </c>
      <c r="D57" s="11">
        <v>2.3099999999999999E-2</v>
      </c>
      <c r="E57" s="10">
        <f t="shared" si="2"/>
        <v>48739.779429683927</v>
      </c>
      <c r="F57" s="3"/>
      <c r="G57" s="28"/>
      <c r="H57" s="10"/>
      <c r="I57" s="10">
        <f t="shared" si="8"/>
        <v>667</v>
      </c>
      <c r="J57" s="10">
        <f t="shared" si="6"/>
        <v>1439844189.5722089</v>
      </c>
      <c r="K57" s="11">
        <f t="shared" si="7"/>
        <v>2.310000000000012E-2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2109947.1614581854</v>
      </c>
      <c r="D58" s="11">
        <v>2.3099999999999999E-2</v>
      </c>
      <c r="E58" s="10">
        <f t="shared" si="2"/>
        <v>47639.311337780906</v>
      </c>
      <c r="F58" s="3"/>
      <c r="G58" s="28"/>
      <c r="H58" s="10"/>
      <c r="I58" s="10">
        <f t="shared" si="8"/>
        <v>667</v>
      </c>
      <c r="J58" s="10">
        <f t="shared" si="6"/>
        <v>1407334756.6926095</v>
      </c>
      <c r="K58" s="11">
        <f t="shared" si="7"/>
        <v>2.3099999999999676E-2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2062307.8501204045</v>
      </c>
      <c r="D59" s="11">
        <v>2.29E-2</v>
      </c>
      <c r="E59" s="10">
        <f t="shared" si="2"/>
        <v>46169.566690543666</v>
      </c>
      <c r="F59" s="3"/>
      <c r="G59" s="28"/>
      <c r="H59" s="10"/>
      <c r="I59" s="10">
        <f t="shared" si="8"/>
        <v>667</v>
      </c>
      <c r="J59" s="10">
        <f t="shared" si="6"/>
        <v>1375559336.0303099</v>
      </c>
      <c r="K59" s="11">
        <f t="shared" si="7"/>
        <v>2.2900000000000142E-2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2016138.2834298608</v>
      </c>
      <c r="D60" s="11">
        <v>2.2599999999999999E-2</v>
      </c>
      <c r="E60" s="10">
        <f t="shared" si="2"/>
        <v>44557.720717303688</v>
      </c>
      <c r="F60" s="3"/>
      <c r="G60" s="28"/>
      <c r="H60" s="10"/>
      <c r="I60" s="10">
        <f t="shared" si="8"/>
        <v>667</v>
      </c>
      <c r="J60" s="10">
        <f t="shared" si="6"/>
        <v>1344764235.0477171</v>
      </c>
      <c r="K60" s="11">
        <f t="shared" si="7"/>
        <v>2.2599999999999953E-2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1971580.5627125571</v>
      </c>
      <c r="D61" s="11">
        <v>2.2200000000000001E-2</v>
      </c>
      <c r="E61" s="10">
        <f t="shared" si="2"/>
        <v>42818.517405809835</v>
      </c>
      <c r="F61" s="3"/>
      <c r="G61" s="28"/>
      <c r="H61" s="10"/>
      <c r="I61" s="10">
        <f t="shared" si="8"/>
        <v>667</v>
      </c>
      <c r="J61" s="10">
        <f t="shared" si="6"/>
        <v>1315044235.3292756</v>
      </c>
      <c r="K61" s="11">
        <f t="shared" si="7"/>
        <v>2.2199999999999998E-2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1928762.0453067473</v>
      </c>
      <c r="D62" s="11">
        <v>2.1600000000000001E-2</v>
      </c>
      <c r="E62" s="10">
        <f t="shared" si="2"/>
        <v>40780.403463807655</v>
      </c>
      <c r="F62" s="3"/>
      <c r="G62" s="28"/>
      <c r="H62" s="10"/>
      <c r="I62" s="10">
        <f t="shared" si="8"/>
        <v>667</v>
      </c>
      <c r="J62" s="10">
        <f t="shared" si="6"/>
        <v>1286484284.2196004</v>
      </c>
      <c r="K62" s="11">
        <f t="shared" si="7"/>
        <v>2.1600000000000064E-2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1887981.6418429397</v>
      </c>
      <c r="D63" s="11">
        <v>2.1100000000000001E-2</v>
      </c>
      <c r="E63" s="10">
        <f t="shared" si="2"/>
        <v>39013.233417770825</v>
      </c>
      <c r="F63" s="3"/>
      <c r="G63" s="28"/>
      <c r="H63" s="10"/>
      <c r="I63" s="10">
        <f t="shared" si="8"/>
        <v>667</v>
      </c>
      <c r="J63" s="10">
        <f t="shared" si="6"/>
        <v>1259283755.1092408</v>
      </c>
      <c r="K63" s="11">
        <f t="shared" si="7"/>
        <v>2.1099999999999897E-2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1848968.4084251688</v>
      </c>
      <c r="D64" s="11">
        <v>2.06E-2</v>
      </c>
      <c r="E64" s="10">
        <f t="shared" si="2"/>
        <v>37319.958077168791</v>
      </c>
      <c r="F64" s="3"/>
      <c r="G64" s="28"/>
      <c r="H64" s="10"/>
      <c r="I64" s="10">
        <f t="shared" si="8"/>
        <v>667</v>
      </c>
      <c r="J64" s="10">
        <f t="shared" si="6"/>
        <v>1233261928.4195876</v>
      </c>
      <c r="K64" s="11">
        <f t="shared" si="7"/>
        <v>2.0599999999999952E-2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1811648.450348</v>
      </c>
      <c r="D65" s="11">
        <v>2.0199999999999999E-2</v>
      </c>
      <c r="E65" s="10">
        <f t="shared" si="2"/>
        <v>35870.710348000051</v>
      </c>
      <c r="F65" s="3"/>
      <c r="G65" s="28"/>
      <c r="H65" s="10"/>
      <c r="I65" s="10">
        <f t="shared" si="8"/>
        <v>667</v>
      </c>
      <c r="J65" s="10">
        <f t="shared" si="6"/>
        <v>1208369516.3821161</v>
      </c>
      <c r="K65" s="11">
        <f t="shared" si="7"/>
        <v>2.0200000000000218E-2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1775777.74</v>
      </c>
      <c r="D66" s="11">
        <v>1.9800000000000002E-2</v>
      </c>
      <c r="E66" s="10">
        <f t="shared" si="2"/>
        <v>34477.739999999991</v>
      </c>
      <c r="F66" s="24">
        <f>SUM(F2)</f>
        <v>9388939</v>
      </c>
      <c r="G66" s="28"/>
      <c r="H66" s="10"/>
      <c r="I66" s="10">
        <f t="shared" si="8"/>
        <v>667</v>
      </c>
      <c r="J66" s="10">
        <f t="shared" ref="J66:J67" si="9">IF(I66="","",I66*C66)</f>
        <v>1184443752.5799999</v>
      </c>
      <c r="K66" s="11">
        <f t="shared" ref="K66" si="10">IFERROR(J66/J67-1,"")</f>
        <v>1.980000000000004E-2</v>
      </c>
    </row>
    <row r="67" spans="1:11" ht="22.5" customHeight="1">
      <c r="A67" s="3">
        <f t="shared" si="0"/>
        <v>1950</v>
      </c>
      <c r="B67" s="3">
        <v>1700</v>
      </c>
      <c r="C67" s="10">
        <v>1741300</v>
      </c>
      <c r="D67" s="11">
        <v>1.9400000000000001E-2</v>
      </c>
      <c r="E67" s="3" t="s">
        <v>72</v>
      </c>
      <c r="F67" s="10">
        <f>SUM(C2)</f>
        <v>9388375.5467029884</v>
      </c>
      <c r="G67" s="28"/>
      <c r="H67" s="10"/>
      <c r="I67" s="10">
        <f t="shared" ref="I67" si="11">IF(H67&lt;&gt;"",H67,I66/(1+IF(G66="",0,G66)/100))</f>
        <v>667</v>
      </c>
      <c r="J67" s="10">
        <f t="shared" si="9"/>
        <v>1161447100</v>
      </c>
      <c r="K67" s="11"/>
    </row>
  </sheetData>
  <dataValidations count="1">
    <dataValidation type="custom" allowBlank="1" showDropDown="1" sqref="D2:D67" xr:uid="{00000000-0002-0000-7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31644961.407579832</v>
      </c>
      <c r="D2" s="11">
        <v>1.6400000000000001E-2</v>
      </c>
      <c r="E2" s="10">
        <f t="shared" ref="E2:E66" si="2">SUM(C2-C3)</f>
        <v>510603.47017346323</v>
      </c>
      <c r="F2" s="15">
        <v>31644352</v>
      </c>
      <c r="G2" s="28"/>
      <c r="H2" s="10"/>
      <c r="I2" s="10">
        <f>IF(H2&lt;&gt;"",H2,6389)</f>
        <v>6389</v>
      </c>
      <c r="J2" s="10">
        <f t="shared" ref="J2:J33" si="3">IF(I2="","",I2*C2)</f>
        <v>202179658433.02756</v>
      </c>
      <c r="K2" s="11">
        <f t="shared" ref="K2:K33" si="4">IFERROR(J2/J3-1,"")</f>
        <v>1.639999999999997E-2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31134357.937406369</v>
      </c>
      <c r="D3" s="11">
        <v>1.6899999999999998E-2</v>
      </c>
      <c r="E3" s="10">
        <f t="shared" si="2"/>
        <v>517426.14725358039</v>
      </c>
      <c r="F3" s="3"/>
      <c r="G3" s="28"/>
      <c r="H3" s="10"/>
      <c r="I3" s="10">
        <f t="shared" ref="I3:I34" si="5">IF(H3&lt;&gt;"",H3,I2/(1+IF(G2="",0,G2)/100))</f>
        <v>6389</v>
      </c>
      <c r="J3" s="10">
        <f t="shared" si="3"/>
        <v>198917412862.08929</v>
      </c>
      <c r="K3" s="11">
        <f t="shared" si="4"/>
        <v>1.6899999999999915E-2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30616931.790152788</v>
      </c>
      <c r="D4" s="11">
        <v>1.72E-2</v>
      </c>
      <c r="E4" s="10">
        <f t="shared" si="2"/>
        <v>517706.67203168571</v>
      </c>
      <c r="F4" s="3"/>
      <c r="G4" s="28"/>
      <c r="H4" s="10"/>
      <c r="I4" s="10">
        <f t="shared" si="5"/>
        <v>6389</v>
      </c>
      <c r="J4" s="10">
        <f t="shared" si="3"/>
        <v>195611577207.28616</v>
      </c>
      <c r="K4" s="11">
        <f t="shared" si="4"/>
        <v>1.7200000000000104E-2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30099225.118121102</v>
      </c>
      <c r="D5" s="11">
        <v>1.6799999999999999E-2</v>
      </c>
      <c r="E5" s="10">
        <f t="shared" si="2"/>
        <v>497312.13806493953</v>
      </c>
      <c r="F5" s="3"/>
      <c r="G5" s="28"/>
      <c r="H5" s="10"/>
      <c r="I5" s="10">
        <f t="shared" si="5"/>
        <v>6389</v>
      </c>
      <c r="J5" s="10">
        <f t="shared" si="3"/>
        <v>192303949279.67572</v>
      </c>
      <c r="K5" s="11">
        <f t="shared" si="4"/>
        <v>1.6799999999999926E-2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29601912.980056163</v>
      </c>
      <c r="D6" s="11">
        <v>1.55E-2</v>
      </c>
      <c r="E6" s="10">
        <f t="shared" si="2"/>
        <v>451826.34287628904</v>
      </c>
      <c r="F6" s="3"/>
      <c r="G6" s="28"/>
      <c r="H6" s="10"/>
      <c r="I6" s="10">
        <f t="shared" si="5"/>
        <v>6389</v>
      </c>
      <c r="J6" s="10">
        <f t="shared" si="3"/>
        <v>189126622029.57883</v>
      </c>
      <c r="K6" s="11">
        <f t="shared" si="4"/>
        <v>1.5500000000000069E-2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29150086.637179874</v>
      </c>
      <c r="D7" s="11">
        <v>1.41E-2</v>
      </c>
      <c r="E7" s="10">
        <f t="shared" si="2"/>
        <v>405301.47084531561</v>
      </c>
      <c r="F7" s="3"/>
      <c r="G7" s="28"/>
      <c r="H7" s="10"/>
      <c r="I7" s="10">
        <f t="shared" si="5"/>
        <v>6389</v>
      </c>
      <c r="J7" s="10">
        <f t="shared" si="3"/>
        <v>186239903524.9422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28744785.166334558</v>
      </c>
      <c r="D8" s="11">
        <v>1.3299999999999999E-2</v>
      </c>
      <c r="E8" s="10">
        <f t="shared" si="2"/>
        <v>377287.71608827636</v>
      </c>
      <c r="F8" s="3"/>
      <c r="G8" s="28"/>
      <c r="H8" s="10"/>
      <c r="I8" s="10">
        <f t="shared" si="5"/>
        <v>6389</v>
      </c>
      <c r="J8" s="10">
        <f t="shared" si="3"/>
        <v>183650432427.71149</v>
      </c>
      <c r="K8" s="11">
        <f t="shared" si="4"/>
        <v>1.3299999999999867E-2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28367497.450246282</v>
      </c>
      <c r="D9" s="11">
        <v>1.2999999999999999E-2</v>
      </c>
      <c r="E9" s="10">
        <f t="shared" si="2"/>
        <v>364044.88336939737</v>
      </c>
      <c r="F9" s="3"/>
      <c r="G9" s="28"/>
      <c r="H9" s="10"/>
      <c r="I9" s="10">
        <f t="shared" si="5"/>
        <v>6389</v>
      </c>
      <c r="J9" s="10">
        <f t="shared" si="3"/>
        <v>181239941209.6235</v>
      </c>
      <c r="K9" s="11">
        <f t="shared" si="4"/>
        <v>1.2999999999999901E-2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28003452.566876885</v>
      </c>
      <c r="D10" s="11">
        <v>1.2699999999999999E-2</v>
      </c>
      <c r="E10" s="10">
        <f t="shared" si="2"/>
        <v>351183.81317204982</v>
      </c>
      <c r="F10" s="3"/>
      <c r="G10" s="28"/>
      <c r="H10" s="10"/>
      <c r="I10" s="10">
        <f t="shared" si="5"/>
        <v>6389</v>
      </c>
      <c r="J10" s="10">
        <f t="shared" si="3"/>
        <v>178914058449.77643</v>
      </c>
      <c r="K10" s="11">
        <f t="shared" si="4"/>
        <v>1.2699999999999934E-2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27652268.753704835</v>
      </c>
      <c r="D11" s="11">
        <v>1.2500000000000001E-2</v>
      </c>
      <c r="E11" s="10">
        <f t="shared" si="2"/>
        <v>341386.03399635479</v>
      </c>
      <c r="F11" s="3"/>
      <c r="G11" s="28"/>
      <c r="H11" s="10"/>
      <c r="I11" s="10">
        <f t="shared" si="5"/>
        <v>6389</v>
      </c>
      <c r="J11" s="10">
        <f t="shared" si="3"/>
        <v>176670345067.4202</v>
      </c>
      <c r="K11" s="11">
        <f t="shared" si="4"/>
        <v>1.2499999999999956E-2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27310882.71970848</v>
      </c>
      <c r="D12" s="11">
        <v>1.24E-2</v>
      </c>
      <c r="E12" s="10">
        <f t="shared" si="2"/>
        <v>334507.05820267275</v>
      </c>
      <c r="F12" s="3"/>
      <c r="G12" s="28"/>
      <c r="H12" s="10"/>
      <c r="I12" s="10">
        <f t="shared" si="5"/>
        <v>6389</v>
      </c>
      <c r="J12" s="10">
        <f t="shared" si="3"/>
        <v>174489229696.21747</v>
      </c>
      <c r="K12" s="11">
        <f t="shared" si="4"/>
        <v>1.2399999999999967E-2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26976375.661505807</v>
      </c>
      <c r="D13" s="11">
        <v>1.26E-2</v>
      </c>
      <c r="E13" s="10">
        <f t="shared" si="2"/>
        <v>335672.85535746813</v>
      </c>
      <c r="F13" s="3"/>
      <c r="G13" s="28"/>
      <c r="H13" s="10"/>
      <c r="I13" s="10">
        <f t="shared" si="5"/>
        <v>6389</v>
      </c>
      <c r="J13" s="10">
        <f t="shared" si="3"/>
        <v>172352064101.3606</v>
      </c>
      <c r="K13" s="11">
        <f t="shared" si="4"/>
        <v>1.2599999999999945E-2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26640702.806148339</v>
      </c>
      <c r="D14" s="11">
        <v>1.3100000000000001E-2</v>
      </c>
      <c r="E14" s="10">
        <f t="shared" si="2"/>
        <v>344480.51205265522</v>
      </c>
      <c r="F14" s="3"/>
      <c r="G14" s="28"/>
      <c r="H14" s="10"/>
      <c r="I14" s="10">
        <f t="shared" si="5"/>
        <v>6389</v>
      </c>
      <c r="J14" s="10">
        <f t="shared" si="3"/>
        <v>170207450228.48175</v>
      </c>
      <c r="K14" s="11">
        <f t="shared" si="4"/>
        <v>1.3100000000000112E-2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26296222.294095684</v>
      </c>
      <c r="D15" s="11">
        <v>1.3599999999999999E-2</v>
      </c>
      <c r="E15" s="10">
        <f t="shared" si="2"/>
        <v>352830.13338565826</v>
      </c>
      <c r="F15" s="3"/>
      <c r="G15" s="28"/>
      <c r="H15" s="10"/>
      <c r="I15" s="10">
        <f t="shared" si="5"/>
        <v>6389</v>
      </c>
      <c r="J15" s="10">
        <f t="shared" si="3"/>
        <v>168006564236.97733</v>
      </c>
      <c r="K15" s="11">
        <f t="shared" si="4"/>
        <v>1.3600000000000056E-2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25943392.160710026</v>
      </c>
      <c r="D16" s="11">
        <v>1.4200000000000001E-2</v>
      </c>
      <c r="E16" s="10">
        <f t="shared" si="2"/>
        <v>363238.18643470854</v>
      </c>
      <c r="F16" s="3"/>
      <c r="G16" s="28"/>
      <c r="H16" s="10"/>
      <c r="I16" s="10">
        <f t="shared" si="5"/>
        <v>6389</v>
      </c>
      <c r="J16" s="10">
        <f t="shared" si="3"/>
        <v>165752332514.77637</v>
      </c>
      <c r="K16" s="11">
        <f t="shared" si="4"/>
        <v>1.4200000000000212E-2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25580153.974275317</v>
      </c>
      <c r="D17" s="11">
        <v>1.4500000000000001E-2</v>
      </c>
      <c r="E17" s="10">
        <f t="shared" si="2"/>
        <v>365610.87494035438</v>
      </c>
      <c r="F17" s="3"/>
      <c r="G17" s="28"/>
      <c r="H17" s="10"/>
      <c r="I17" s="10">
        <f t="shared" si="5"/>
        <v>6389</v>
      </c>
      <c r="J17" s="10">
        <f t="shared" si="3"/>
        <v>163431603741.64499</v>
      </c>
      <c r="K17" s="11">
        <f t="shared" si="4"/>
        <v>1.4499999999999957E-2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25214543.099334963</v>
      </c>
      <c r="D18" s="11">
        <v>1.46E-2</v>
      </c>
      <c r="E18" s="10">
        <f t="shared" si="2"/>
        <v>362834.93913886324</v>
      </c>
      <c r="F18" s="3"/>
      <c r="G18" s="28"/>
      <c r="H18" s="10"/>
      <c r="I18" s="10">
        <f t="shared" si="5"/>
        <v>6389</v>
      </c>
      <c r="J18" s="10">
        <f t="shared" si="3"/>
        <v>161095715861.65106</v>
      </c>
      <c r="K18" s="11">
        <f t="shared" si="4"/>
        <v>1.4599999999999946E-2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24851708.160196099</v>
      </c>
      <c r="D19" s="11">
        <v>1.44E-2</v>
      </c>
      <c r="E19" s="10">
        <f t="shared" si="2"/>
        <v>352784.50069678947</v>
      </c>
      <c r="F19" s="3"/>
      <c r="G19" s="28"/>
      <c r="H19" s="10"/>
      <c r="I19" s="10">
        <f t="shared" si="5"/>
        <v>6389</v>
      </c>
      <c r="J19" s="10">
        <f t="shared" si="3"/>
        <v>158777563435.49289</v>
      </c>
      <c r="K19" s="11">
        <f t="shared" si="4"/>
        <v>1.440000000000019E-2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24498923.65949931</v>
      </c>
      <c r="D20" s="11">
        <v>1.41E-2</v>
      </c>
      <c r="E20" s="10">
        <f t="shared" si="2"/>
        <v>340631.91361694038</v>
      </c>
      <c r="F20" s="3"/>
      <c r="G20" s="28"/>
      <c r="H20" s="10"/>
      <c r="I20" s="10">
        <f t="shared" si="5"/>
        <v>6389</v>
      </c>
      <c r="J20" s="10">
        <f t="shared" si="3"/>
        <v>156523623260.54108</v>
      </c>
      <c r="K20" s="11">
        <f t="shared" si="4"/>
        <v>1.4099999999999779E-2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24158291.74588237</v>
      </c>
      <c r="D21" s="11">
        <v>1.4E-2</v>
      </c>
      <c r="E21" s="10">
        <f t="shared" si="2"/>
        <v>333546.43436129391</v>
      </c>
      <c r="F21" s="3"/>
      <c r="G21" s="28"/>
      <c r="H21" s="10"/>
      <c r="I21" s="10">
        <f t="shared" si="5"/>
        <v>6389</v>
      </c>
      <c r="J21" s="10">
        <f t="shared" si="3"/>
        <v>154347325964.44247</v>
      </c>
      <c r="K21" s="11">
        <f t="shared" si="4"/>
        <v>1.4000000000000012E-2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23824745.311521076</v>
      </c>
      <c r="D22" s="11">
        <v>1.43E-2</v>
      </c>
      <c r="E22" s="10">
        <f t="shared" si="2"/>
        <v>335890.62205930427</v>
      </c>
      <c r="F22" s="3"/>
      <c r="G22" s="28"/>
      <c r="H22" s="10"/>
      <c r="I22" s="10">
        <f t="shared" si="5"/>
        <v>6389</v>
      </c>
      <c r="J22" s="10">
        <f t="shared" si="3"/>
        <v>152216297795.30817</v>
      </c>
      <c r="K22" s="11">
        <f t="shared" si="4"/>
        <v>1.4300000000000201E-2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23488854.689461771</v>
      </c>
      <c r="D23" s="11">
        <v>1.4999999999999999E-2</v>
      </c>
      <c r="E23" s="10">
        <f t="shared" si="2"/>
        <v>347125.93137135357</v>
      </c>
      <c r="F23" s="3"/>
      <c r="G23" s="28"/>
      <c r="H23" s="10"/>
      <c r="I23" s="10">
        <f t="shared" si="5"/>
        <v>6389</v>
      </c>
      <c r="J23" s="10">
        <f t="shared" si="3"/>
        <v>150070292610.97125</v>
      </c>
      <c r="K23" s="11">
        <f t="shared" si="4"/>
        <v>1.4999999999999902E-2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23141728.758090418</v>
      </c>
      <c r="D24" s="11">
        <v>1.6E-2</v>
      </c>
      <c r="E24" s="10">
        <f t="shared" si="2"/>
        <v>364436.67335575446</v>
      </c>
      <c r="F24" s="3"/>
      <c r="G24" s="28"/>
      <c r="H24" s="10"/>
      <c r="I24" s="10">
        <f t="shared" si="5"/>
        <v>6389</v>
      </c>
      <c r="J24" s="10">
        <f t="shared" si="3"/>
        <v>147852505035.43967</v>
      </c>
      <c r="K24" s="11">
        <f t="shared" si="4"/>
        <v>1.6000000000000014E-2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22777292.084734663</v>
      </c>
      <c r="D25" s="11">
        <v>1.7399999999999999E-2</v>
      </c>
      <c r="E25" s="10">
        <f t="shared" si="2"/>
        <v>389546.76850244403</v>
      </c>
      <c r="F25" s="3"/>
      <c r="G25" s="28"/>
      <c r="H25" s="10"/>
      <c r="I25" s="10">
        <f t="shared" si="5"/>
        <v>6389</v>
      </c>
      <c r="J25" s="10">
        <f t="shared" si="3"/>
        <v>145524119129.36975</v>
      </c>
      <c r="K25" s="11">
        <f t="shared" si="4"/>
        <v>1.7400000000000082E-2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22387745.316232219</v>
      </c>
      <c r="D26" s="11">
        <v>1.89E-2</v>
      </c>
      <c r="E26" s="10">
        <f t="shared" si="2"/>
        <v>415279.60199900717</v>
      </c>
      <c r="F26" s="3"/>
      <c r="G26" s="28"/>
      <c r="H26" s="10"/>
      <c r="I26" s="10">
        <f t="shared" si="5"/>
        <v>6389</v>
      </c>
      <c r="J26" s="10">
        <f t="shared" si="3"/>
        <v>143035304825.40765</v>
      </c>
      <c r="K26" s="11">
        <f t="shared" si="4"/>
        <v>1.8899999999999917E-2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21972465.714233212</v>
      </c>
      <c r="D27" s="11">
        <v>2.06E-2</v>
      </c>
      <c r="E27" s="10">
        <f t="shared" si="2"/>
        <v>443496.76044797525</v>
      </c>
      <c r="F27" s="3"/>
      <c r="G27" s="28"/>
      <c r="H27" s="10"/>
      <c r="I27" s="10">
        <f t="shared" si="5"/>
        <v>6389</v>
      </c>
      <c r="J27" s="10">
        <f t="shared" si="3"/>
        <v>140382083448.23599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21528968.953785237</v>
      </c>
      <c r="D28" s="11">
        <v>2.24E-2</v>
      </c>
      <c r="E28" s="10">
        <f t="shared" si="2"/>
        <v>471683.20086540282</v>
      </c>
      <c r="F28" s="3"/>
      <c r="G28" s="28"/>
      <c r="H28" s="10"/>
      <c r="I28" s="10">
        <f t="shared" si="5"/>
        <v>6389</v>
      </c>
      <c r="J28" s="10">
        <f t="shared" si="3"/>
        <v>137548582645.73389</v>
      </c>
      <c r="K28" s="11">
        <f t="shared" si="4"/>
        <v>2.2399999999999975E-2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21057285.752919834</v>
      </c>
      <c r="D29" s="11">
        <v>2.41E-2</v>
      </c>
      <c r="E29" s="10">
        <f t="shared" si="2"/>
        <v>495538.11800153181</v>
      </c>
      <c r="F29" s="3"/>
      <c r="G29" s="28"/>
      <c r="H29" s="10"/>
      <c r="I29" s="10">
        <f t="shared" si="5"/>
        <v>6389</v>
      </c>
      <c r="J29" s="10">
        <f t="shared" si="3"/>
        <v>134534998675.40482</v>
      </c>
      <c r="K29" s="11">
        <f t="shared" si="4"/>
        <v>2.410000000000001E-2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20561747.634918302</v>
      </c>
      <c r="D30" s="11">
        <v>2.5399999999999999E-2</v>
      </c>
      <c r="E30" s="10">
        <f t="shared" si="2"/>
        <v>509331.37305141985</v>
      </c>
      <c r="F30" s="3"/>
      <c r="G30" s="28"/>
      <c r="H30" s="10"/>
      <c r="I30" s="10">
        <f t="shared" si="5"/>
        <v>6389</v>
      </c>
      <c r="J30" s="10">
        <f t="shared" si="3"/>
        <v>131369005639.49303</v>
      </c>
      <c r="K30" s="11">
        <f t="shared" si="4"/>
        <v>2.5400000000000089E-2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20052416.261866882</v>
      </c>
      <c r="D31" s="11">
        <v>2.6100000000000002E-2</v>
      </c>
      <c r="E31" s="10">
        <f t="shared" si="2"/>
        <v>510055.6129370667</v>
      </c>
      <c r="F31" s="3"/>
      <c r="G31" s="28"/>
      <c r="H31" s="10"/>
      <c r="I31" s="10">
        <f t="shared" si="5"/>
        <v>6389</v>
      </c>
      <c r="J31" s="10">
        <f t="shared" si="3"/>
        <v>128114887497.0675</v>
      </c>
      <c r="K31" s="11">
        <f t="shared" si="4"/>
        <v>2.6100000000000012E-2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19542360.648929816</v>
      </c>
      <c r="D32" s="11">
        <v>2.58E-2</v>
      </c>
      <c r="E32" s="10">
        <f t="shared" si="2"/>
        <v>491511.89777967334</v>
      </c>
      <c r="F32" s="3"/>
      <c r="G32" s="28"/>
      <c r="H32" s="10"/>
      <c r="I32" s="10">
        <f t="shared" si="5"/>
        <v>6389</v>
      </c>
      <c r="J32" s="10">
        <f t="shared" si="3"/>
        <v>124856142186.01259</v>
      </c>
      <c r="K32" s="11">
        <f t="shared" si="4"/>
        <v>2.5799999999999823E-2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19050848.751150142</v>
      </c>
      <c r="D33" s="11">
        <v>2.47E-2</v>
      </c>
      <c r="E33" s="10">
        <f t="shared" si="2"/>
        <v>459213.39333796129</v>
      </c>
      <c r="F33" s="3"/>
      <c r="G33" s="28"/>
      <c r="H33" s="10"/>
      <c r="I33" s="10">
        <f t="shared" si="5"/>
        <v>6389</v>
      </c>
      <c r="J33" s="10">
        <f t="shared" si="3"/>
        <v>121715872671.09827</v>
      </c>
      <c r="K33" s="11">
        <f t="shared" si="4"/>
        <v>2.4700000000000166E-2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18591635.357812181</v>
      </c>
      <c r="D34" s="11">
        <v>2.3300000000000001E-2</v>
      </c>
      <c r="E34" s="10">
        <f t="shared" si="2"/>
        <v>423321.70803970098</v>
      </c>
      <c r="F34" s="3"/>
      <c r="G34" s="28"/>
      <c r="H34" s="10"/>
      <c r="I34" s="10">
        <f t="shared" si="5"/>
        <v>6389</v>
      </c>
      <c r="J34" s="10">
        <f t="shared" ref="J34:J65" si="6">IF(I34="","",I34*C34)</f>
        <v>118781958301.06203</v>
      </c>
      <c r="K34" s="11">
        <f t="shared" ref="K34:K65" si="7">IFERROR(J34/J35-1,"")</f>
        <v>2.3300000000000098E-2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18168313.64977248</v>
      </c>
      <c r="D35" s="11">
        <v>2.23E-2</v>
      </c>
      <c r="E35" s="10">
        <f t="shared" si="2"/>
        <v>396315.55745859817</v>
      </c>
      <c r="F35" s="3"/>
      <c r="G35" s="28"/>
      <c r="H35" s="10"/>
      <c r="I35" s="10">
        <f t="shared" ref="I35:I66" si="8">IF(H35&lt;&gt;"",H35,I34/(1+IF(G34="",0,G34)/100))</f>
        <v>6389</v>
      </c>
      <c r="J35" s="10">
        <f t="shared" si="6"/>
        <v>116077355908.39638</v>
      </c>
      <c r="K35" s="11">
        <f t="shared" si="7"/>
        <v>2.2299999999999986E-2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17771998.092313882</v>
      </c>
      <c r="D36" s="11">
        <v>2.1899999999999999E-2</v>
      </c>
      <c r="E36" s="10">
        <f t="shared" si="2"/>
        <v>380865.79726164415</v>
      </c>
      <c r="F36" s="3"/>
      <c r="G36" s="28"/>
      <c r="H36" s="10"/>
      <c r="I36" s="10">
        <f t="shared" si="8"/>
        <v>6389</v>
      </c>
      <c r="J36" s="10">
        <f t="shared" si="6"/>
        <v>113545295811.7934</v>
      </c>
      <c r="K36" s="11">
        <f t="shared" si="7"/>
        <v>2.1900000000000031E-2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17391132.295052238</v>
      </c>
      <c r="D37" s="11">
        <v>2.23E-2</v>
      </c>
      <c r="E37" s="10">
        <f t="shared" si="2"/>
        <v>379362.46716195345</v>
      </c>
      <c r="F37" s="3"/>
      <c r="G37" s="28"/>
      <c r="H37" s="10"/>
      <c r="I37" s="10">
        <f t="shared" si="8"/>
        <v>6389</v>
      </c>
      <c r="J37" s="10">
        <f t="shared" si="6"/>
        <v>111111944233.08875</v>
      </c>
      <c r="K37" s="11">
        <f t="shared" si="7"/>
        <v>2.2299999999999986E-2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17011769.827890284</v>
      </c>
      <c r="D38" s="11">
        <v>2.3400000000000001E-2</v>
      </c>
      <c r="E38" s="10">
        <f t="shared" si="2"/>
        <v>388973.43558005989</v>
      </c>
      <c r="F38" s="3"/>
      <c r="G38" s="28"/>
      <c r="H38" s="10"/>
      <c r="I38" s="10">
        <f t="shared" si="8"/>
        <v>6389</v>
      </c>
      <c r="J38" s="10">
        <f t="shared" si="6"/>
        <v>108688197430.39102</v>
      </c>
      <c r="K38" s="11">
        <f t="shared" si="7"/>
        <v>2.3399999999999865E-2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16622796.392310224</v>
      </c>
      <c r="D39" s="11">
        <v>2.4799999999999999E-2</v>
      </c>
      <c r="E39" s="10">
        <f t="shared" si="2"/>
        <v>402269.07740953565</v>
      </c>
      <c r="F39" s="3"/>
      <c r="G39" s="28"/>
      <c r="H39" s="10"/>
      <c r="I39" s="10">
        <f t="shared" si="8"/>
        <v>6389</v>
      </c>
      <c r="J39" s="10">
        <f t="shared" si="6"/>
        <v>106203046150.47003</v>
      </c>
      <c r="K39" s="11">
        <f t="shared" si="7"/>
        <v>2.4799999999999933E-2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16220527.314900689</v>
      </c>
      <c r="D40" s="11">
        <v>2.6200000000000001E-2</v>
      </c>
      <c r="E40" s="10">
        <f t="shared" si="2"/>
        <v>414127.67067861743</v>
      </c>
      <c r="F40" s="3"/>
      <c r="G40" s="28"/>
      <c r="H40" s="10"/>
      <c r="I40" s="10">
        <f t="shared" si="8"/>
        <v>6389</v>
      </c>
      <c r="J40" s="10">
        <f t="shared" si="6"/>
        <v>103632949014.9005</v>
      </c>
      <c r="K40" s="11">
        <f t="shared" si="7"/>
        <v>2.6200000000000001E-2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15806399.644222071</v>
      </c>
      <c r="D41" s="11">
        <v>2.7199999999999998E-2</v>
      </c>
      <c r="E41" s="10">
        <f t="shared" si="2"/>
        <v>418549.52328936756</v>
      </c>
      <c r="F41" s="3"/>
      <c r="G41" s="28"/>
      <c r="H41" s="10"/>
      <c r="I41" s="10">
        <f t="shared" si="8"/>
        <v>6389</v>
      </c>
      <c r="J41" s="10">
        <f t="shared" si="6"/>
        <v>100987087326.93481</v>
      </c>
      <c r="K41" s="11">
        <f t="shared" si="7"/>
        <v>2.7199999999999891E-2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15387850.120932704</v>
      </c>
      <c r="D42" s="11">
        <v>2.76E-2</v>
      </c>
      <c r="E42" s="10">
        <f t="shared" si="2"/>
        <v>413297.64824615046</v>
      </c>
      <c r="F42" s="3"/>
      <c r="G42" s="28"/>
      <c r="H42" s="10"/>
      <c r="I42" s="10">
        <f t="shared" si="8"/>
        <v>6389</v>
      </c>
      <c r="J42" s="10">
        <f t="shared" si="6"/>
        <v>98312974422.639038</v>
      </c>
      <c r="K42" s="11">
        <f t="shared" si="7"/>
        <v>2.7600000000000069E-2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14974552.472686553</v>
      </c>
      <c r="D43" s="11">
        <v>2.7300000000000001E-2</v>
      </c>
      <c r="E43" s="10">
        <f t="shared" si="2"/>
        <v>397941.48009767756</v>
      </c>
      <c r="F43" s="3"/>
      <c r="G43" s="28"/>
      <c r="H43" s="10"/>
      <c r="I43" s="10">
        <f t="shared" si="8"/>
        <v>6389</v>
      </c>
      <c r="J43" s="10">
        <f t="shared" si="6"/>
        <v>95672415747.994385</v>
      </c>
      <c r="K43" s="11">
        <f t="shared" si="7"/>
        <v>2.7300000000000102E-2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14576610.992588876</v>
      </c>
      <c r="D44" s="11">
        <v>2.6599999999999999E-2</v>
      </c>
      <c r="E44" s="10">
        <f t="shared" si="2"/>
        <v>377691.26476024091</v>
      </c>
      <c r="F44" s="3"/>
      <c r="G44" s="28"/>
      <c r="H44" s="10"/>
      <c r="I44" s="10">
        <f t="shared" si="8"/>
        <v>6389</v>
      </c>
      <c r="J44" s="10">
        <f t="shared" si="6"/>
        <v>93129967631.65033</v>
      </c>
      <c r="K44" s="11">
        <f t="shared" si="7"/>
        <v>2.6599999999999957E-2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14198919.727828635</v>
      </c>
      <c r="D45" s="11">
        <v>2.5700000000000001E-2</v>
      </c>
      <c r="E45" s="10">
        <f t="shared" si="2"/>
        <v>355768.97436404042</v>
      </c>
      <c r="F45" s="3"/>
      <c r="G45" s="28"/>
      <c r="H45" s="10"/>
      <c r="I45" s="10">
        <f t="shared" si="8"/>
        <v>6389</v>
      </c>
      <c r="J45" s="10">
        <f t="shared" si="6"/>
        <v>90716898141.097153</v>
      </c>
      <c r="K45" s="11">
        <f t="shared" si="7"/>
        <v>2.5700000000000056E-2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13843150.753464594</v>
      </c>
      <c r="D46" s="11">
        <v>2.5100000000000001E-2</v>
      </c>
      <c r="E46" s="10">
        <f t="shared" si="2"/>
        <v>338955.30573793687</v>
      </c>
      <c r="F46" s="3"/>
      <c r="G46" s="28"/>
      <c r="H46" s="10"/>
      <c r="I46" s="10">
        <f t="shared" si="8"/>
        <v>6389</v>
      </c>
      <c r="J46" s="10">
        <f t="shared" si="6"/>
        <v>88443890163.8853</v>
      </c>
      <c r="K46" s="11">
        <f t="shared" si="7"/>
        <v>2.50999999999999E-2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13504195.447726658</v>
      </c>
      <c r="D47" s="11">
        <v>2.4899999999999999E-2</v>
      </c>
      <c r="E47" s="10">
        <f t="shared" si="2"/>
        <v>328085.14650052972</v>
      </c>
      <c r="F47" s="3"/>
      <c r="G47" s="28"/>
      <c r="H47" s="10"/>
      <c r="I47" s="10">
        <f t="shared" si="8"/>
        <v>6389</v>
      </c>
      <c r="J47" s="10">
        <f t="shared" si="6"/>
        <v>86278304715.52562</v>
      </c>
      <c r="K47" s="11">
        <f t="shared" si="7"/>
        <v>2.4899999999999922E-2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13176110.301226128</v>
      </c>
      <c r="D48" s="11">
        <v>2.5100000000000001E-2</v>
      </c>
      <c r="E48" s="10">
        <f t="shared" si="2"/>
        <v>322622.54273805022</v>
      </c>
      <c r="F48" s="3"/>
      <c r="G48" s="28"/>
      <c r="H48" s="10"/>
      <c r="I48" s="10">
        <f t="shared" si="8"/>
        <v>6389</v>
      </c>
      <c r="J48" s="10">
        <f t="shared" si="6"/>
        <v>84182168714.533737</v>
      </c>
      <c r="K48" s="11">
        <f t="shared" si="7"/>
        <v>2.50999999999999E-2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12853487.758488078</v>
      </c>
      <c r="D49" s="11">
        <v>2.53E-2</v>
      </c>
      <c r="E49" s="10">
        <f t="shared" si="2"/>
        <v>317168.86793109216</v>
      </c>
      <c r="F49" s="3"/>
      <c r="G49" s="28"/>
      <c r="H49" s="10"/>
      <c r="I49" s="10">
        <f t="shared" si="8"/>
        <v>6389</v>
      </c>
      <c r="J49" s="10">
        <f t="shared" si="6"/>
        <v>82120933288.980331</v>
      </c>
      <c r="K49" s="11">
        <f t="shared" si="7"/>
        <v>2.53000000000001E-2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12536318.890556986</v>
      </c>
      <c r="D50" s="11">
        <v>2.5499999999999998E-2</v>
      </c>
      <c r="E50" s="10">
        <f t="shared" si="2"/>
        <v>311727.09089147113</v>
      </c>
      <c r="F50" s="3"/>
      <c r="G50" s="28"/>
      <c r="H50" s="10"/>
      <c r="I50" s="10">
        <f t="shared" si="8"/>
        <v>6389</v>
      </c>
      <c r="J50" s="10">
        <f t="shared" si="6"/>
        <v>80094541391.768585</v>
      </c>
      <c r="K50" s="11">
        <f t="shared" si="7"/>
        <v>2.5500000000000078E-2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12224591.799665514</v>
      </c>
      <c r="D51" s="11">
        <v>2.5600000000000001E-2</v>
      </c>
      <c r="E51" s="10">
        <f t="shared" si="2"/>
        <v>305138.01684032567</v>
      </c>
      <c r="F51" s="3"/>
      <c r="G51" s="28"/>
      <c r="H51" s="10"/>
      <c r="I51" s="10">
        <f t="shared" si="8"/>
        <v>6389</v>
      </c>
      <c r="J51" s="10">
        <f t="shared" si="6"/>
        <v>78102917008.062973</v>
      </c>
      <c r="K51" s="11">
        <f t="shared" si="7"/>
        <v>2.5600000000000289E-2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11919453.782825189</v>
      </c>
      <c r="D52" s="11">
        <v>2.5600000000000001E-2</v>
      </c>
      <c r="E52" s="10">
        <f t="shared" si="2"/>
        <v>297521.46727800928</v>
      </c>
      <c r="F52" s="3"/>
      <c r="G52" s="28"/>
      <c r="H52" s="10"/>
      <c r="I52" s="10">
        <f t="shared" si="8"/>
        <v>6389</v>
      </c>
      <c r="J52" s="10">
        <f t="shared" si="6"/>
        <v>76153390218.470123</v>
      </c>
      <c r="K52" s="11">
        <f t="shared" si="7"/>
        <v>2.5600000000000067E-2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11621932.315547179</v>
      </c>
      <c r="D53" s="11">
        <v>2.5600000000000001E-2</v>
      </c>
      <c r="E53" s="10">
        <f t="shared" si="2"/>
        <v>290095.03439743444</v>
      </c>
      <c r="F53" s="3"/>
      <c r="G53" s="28"/>
      <c r="H53" s="10"/>
      <c r="I53" s="10">
        <f t="shared" si="8"/>
        <v>6389</v>
      </c>
      <c r="J53" s="10">
        <f t="shared" si="6"/>
        <v>74252525564.03093</v>
      </c>
      <c r="K53" s="11">
        <f t="shared" si="7"/>
        <v>2.5600000000000067E-2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11331837.281149745</v>
      </c>
      <c r="D54" s="11">
        <v>2.5499999999999998E-2</v>
      </c>
      <c r="E54" s="10">
        <f t="shared" si="2"/>
        <v>281776.54867802933</v>
      </c>
      <c r="F54" s="3"/>
      <c r="G54" s="28"/>
      <c r="H54" s="10"/>
      <c r="I54" s="10">
        <f t="shared" si="8"/>
        <v>6389</v>
      </c>
      <c r="J54" s="10">
        <f t="shared" si="6"/>
        <v>72399108389.265717</v>
      </c>
      <c r="K54" s="11">
        <f t="shared" si="7"/>
        <v>2.5499999999999856E-2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11050060.732471716</v>
      </c>
      <c r="D55" s="11">
        <v>2.5600000000000001E-2</v>
      </c>
      <c r="E55" s="10">
        <f t="shared" si="2"/>
        <v>275820.5487044435</v>
      </c>
      <c r="F55" s="3"/>
      <c r="G55" s="28"/>
      <c r="H55" s="10"/>
      <c r="I55" s="10">
        <f t="shared" si="8"/>
        <v>6389</v>
      </c>
      <c r="J55" s="10">
        <f t="shared" si="6"/>
        <v>70598838019.761795</v>
      </c>
      <c r="K55" s="11">
        <f t="shared" si="7"/>
        <v>2.5600000000000289E-2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10774240.183767272</v>
      </c>
      <c r="D56" s="11">
        <v>2.5700000000000001E-2</v>
      </c>
      <c r="E56" s="10">
        <f t="shared" si="2"/>
        <v>269960.00070470758</v>
      </c>
      <c r="F56" s="3"/>
      <c r="G56" s="28"/>
      <c r="H56" s="10"/>
      <c r="I56" s="10">
        <f t="shared" si="8"/>
        <v>6389</v>
      </c>
      <c r="J56" s="10">
        <f t="shared" si="6"/>
        <v>68836620534.089096</v>
      </c>
      <c r="K56" s="11">
        <f t="shared" si="7"/>
        <v>2.5699999999999834E-2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10504280.183062565</v>
      </c>
      <c r="D57" s="11">
        <v>2.5999999999999999E-2</v>
      </c>
      <c r="E57" s="10">
        <f t="shared" si="2"/>
        <v>266190.33602302894</v>
      </c>
      <c r="F57" s="3"/>
      <c r="G57" s="28"/>
      <c r="H57" s="10"/>
      <c r="I57" s="10">
        <f t="shared" si="8"/>
        <v>6389</v>
      </c>
      <c r="J57" s="10">
        <f t="shared" si="6"/>
        <v>67111846089.586723</v>
      </c>
      <c r="K57" s="11">
        <f t="shared" si="7"/>
        <v>2.6000000000000023E-2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10238089.847039536</v>
      </c>
      <c r="D58" s="11">
        <v>2.6599999999999999E-2</v>
      </c>
      <c r="E58" s="10">
        <f t="shared" si="2"/>
        <v>265276.82635033317</v>
      </c>
      <c r="F58" s="3"/>
      <c r="G58" s="28"/>
      <c r="H58" s="10"/>
      <c r="I58" s="10">
        <f t="shared" si="8"/>
        <v>6389</v>
      </c>
      <c r="J58" s="10">
        <f t="shared" si="6"/>
        <v>65411156032.735596</v>
      </c>
      <c r="K58" s="11">
        <f t="shared" si="7"/>
        <v>2.6600000000000179E-2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9972813.0206892025</v>
      </c>
      <c r="D59" s="11">
        <v>2.7400000000000001E-2</v>
      </c>
      <c r="E59" s="10">
        <f t="shared" si="2"/>
        <v>265967.56547292694</v>
      </c>
      <c r="F59" s="3"/>
      <c r="G59" s="28"/>
      <c r="H59" s="10"/>
      <c r="I59" s="10">
        <f t="shared" si="8"/>
        <v>6389</v>
      </c>
      <c r="J59" s="10">
        <f t="shared" si="6"/>
        <v>63716302389.183311</v>
      </c>
      <c r="K59" s="11">
        <f t="shared" si="7"/>
        <v>2.7400000000000091E-2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9706845.4552162755</v>
      </c>
      <c r="D60" s="11">
        <v>2.81E-2</v>
      </c>
      <c r="E60" s="10">
        <f t="shared" si="2"/>
        <v>265307.22428905591</v>
      </c>
      <c r="F60" s="3"/>
      <c r="G60" s="28"/>
      <c r="H60" s="10"/>
      <c r="I60" s="10">
        <f t="shared" si="8"/>
        <v>6389</v>
      </c>
      <c r="J60" s="10">
        <f t="shared" si="6"/>
        <v>62017035613.376785</v>
      </c>
      <c r="K60" s="11">
        <f t="shared" si="7"/>
        <v>2.8100000000000236E-2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9441538.2309272196</v>
      </c>
      <c r="D61" s="11">
        <v>2.8400000000000002E-2</v>
      </c>
      <c r="E61" s="10">
        <f t="shared" si="2"/>
        <v>260734.81695676036</v>
      </c>
      <c r="F61" s="3"/>
      <c r="G61" s="28"/>
      <c r="H61" s="10"/>
      <c r="I61" s="10">
        <f t="shared" si="8"/>
        <v>6389</v>
      </c>
      <c r="J61" s="10">
        <f t="shared" si="6"/>
        <v>60321987757.394005</v>
      </c>
      <c r="K61" s="11">
        <f t="shared" si="7"/>
        <v>2.8399999999999981E-2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9180803.4139704593</v>
      </c>
      <c r="D62" s="11">
        <v>2.8000000000000001E-2</v>
      </c>
      <c r="E62" s="10">
        <f t="shared" si="2"/>
        <v>250060.79337662831</v>
      </c>
      <c r="F62" s="3"/>
      <c r="G62" s="28"/>
      <c r="H62" s="10"/>
      <c r="I62" s="10">
        <f t="shared" si="8"/>
        <v>6389</v>
      </c>
      <c r="J62" s="10">
        <f t="shared" si="6"/>
        <v>58656153011.857262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8930742.6205938309</v>
      </c>
      <c r="D63" s="11">
        <v>2.7300000000000001E-2</v>
      </c>
      <c r="E63" s="10">
        <f t="shared" si="2"/>
        <v>237330.16016958281</v>
      </c>
      <c r="F63" s="3"/>
      <c r="G63" s="28"/>
      <c r="H63" s="10"/>
      <c r="I63" s="10">
        <f t="shared" si="8"/>
        <v>6389</v>
      </c>
      <c r="J63" s="10">
        <f t="shared" si="6"/>
        <v>57058514602.973984</v>
      </c>
      <c r="K63" s="11">
        <f t="shared" si="7"/>
        <v>2.7300000000000102E-2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8693412.4604242481</v>
      </c>
      <c r="D64" s="11">
        <v>2.6499999999999999E-2</v>
      </c>
      <c r="E64" s="10">
        <f t="shared" si="2"/>
        <v>224428.08592424914</v>
      </c>
      <c r="F64" s="3"/>
      <c r="G64" s="28"/>
      <c r="H64" s="10"/>
      <c r="I64" s="10">
        <f t="shared" si="8"/>
        <v>6389</v>
      </c>
      <c r="J64" s="10">
        <f t="shared" si="6"/>
        <v>55542212209.65052</v>
      </c>
      <c r="K64" s="11">
        <f t="shared" si="7"/>
        <v>2.6499999999999746E-2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8468984.374499999</v>
      </c>
      <c r="D65" s="11">
        <v>2.5700000000000001E-2</v>
      </c>
      <c r="E65" s="10">
        <f t="shared" si="2"/>
        <v>212199.37449999992</v>
      </c>
      <c r="F65" s="3"/>
      <c r="G65" s="28"/>
      <c r="H65" s="10"/>
      <c r="I65" s="10">
        <f t="shared" si="8"/>
        <v>6389</v>
      </c>
      <c r="J65" s="10">
        <f t="shared" si="6"/>
        <v>54108341168.680496</v>
      </c>
      <c r="K65" s="11">
        <f t="shared" si="7"/>
        <v>2.5700000000000056E-2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8256784.9999999991</v>
      </c>
      <c r="D66" s="11">
        <v>2.5000000000000001E-2</v>
      </c>
      <c r="E66" s="10">
        <f t="shared" si="2"/>
        <v>201384.99999999907</v>
      </c>
      <c r="F66" s="24">
        <f>SUM(F2)</f>
        <v>31644352</v>
      </c>
      <c r="G66" s="28"/>
      <c r="H66" s="10"/>
      <c r="I66" s="10">
        <f t="shared" si="8"/>
        <v>6389</v>
      </c>
      <c r="J66" s="10">
        <f t="shared" ref="J66:J67" si="9">IF(I66="","",I66*C66)</f>
        <v>52752599364.999992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8055400</v>
      </c>
      <c r="D67" s="11">
        <v>2.4400000000000002E-2</v>
      </c>
      <c r="E67" s="3" t="s">
        <v>72</v>
      </c>
      <c r="F67" s="10">
        <f>SUM(C2)</f>
        <v>31644961.407579832</v>
      </c>
      <c r="G67" s="28"/>
      <c r="H67" s="10"/>
      <c r="I67" s="10">
        <f t="shared" ref="I67" si="11">IF(H67&lt;&gt;"",H67,I66/(1+IF(G66="",0,G66)/100))</f>
        <v>6389</v>
      </c>
      <c r="J67" s="10">
        <f t="shared" si="9"/>
        <v>51465950600</v>
      </c>
      <c r="K67" s="11"/>
    </row>
  </sheetData>
  <dataValidations count="1">
    <dataValidation type="custom" allowBlank="1" showDropDown="1" sqref="D2:D67" xr:uid="{00000000-0002-0000-8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71957417.637829334</v>
      </c>
      <c r="D2" s="11">
        <v>8.0000000000000002E-3</v>
      </c>
      <c r="E2" s="10">
        <f t="shared" ref="E2:E66" si="2">SUM(C2-C3)</f>
        <v>571090.61617325246</v>
      </c>
      <c r="F2" s="15">
        <v>71957346</v>
      </c>
      <c r="G2" s="28"/>
      <c r="H2" s="10"/>
      <c r="I2" s="10">
        <f>IF(H2&lt;&gt;"",H2,10992)</f>
        <v>10992</v>
      </c>
      <c r="J2" s="10">
        <f t="shared" ref="J2:J33" si="3">IF(I2="","",I2*C2)</f>
        <v>790955934675.02002</v>
      </c>
      <c r="K2" s="11">
        <f t="shared" ref="K2:K33" si="4">IFERROR(J2/J3-1,"")</f>
        <v>8.0000000000000071E-3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71386327.021656081</v>
      </c>
      <c r="D3" s="11">
        <v>8.3000000000000001E-3</v>
      </c>
      <c r="E3" s="10">
        <f t="shared" si="2"/>
        <v>587629.1919862628</v>
      </c>
      <c r="F3" s="3"/>
      <c r="G3" s="28"/>
      <c r="H3" s="10"/>
      <c r="I3" s="10">
        <f t="shared" ref="I3:I34" si="5">IF(H3&lt;&gt;"",H3,I2/(1+IF(G2="",0,G2)/100))</f>
        <v>10992</v>
      </c>
      <c r="J3" s="10">
        <f t="shared" si="3"/>
        <v>784678506622.0437</v>
      </c>
      <c r="K3" s="11">
        <f t="shared" si="4"/>
        <v>8.3000000000001961E-3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70798697.829669818</v>
      </c>
      <c r="D4" s="11">
        <v>8.6999999999999994E-3</v>
      </c>
      <c r="E4" s="10">
        <f t="shared" si="2"/>
        <v>610636.13672858477</v>
      </c>
      <c r="F4" s="3"/>
      <c r="G4" s="28"/>
      <c r="H4" s="10"/>
      <c r="I4" s="10">
        <f t="shared" si="5"/>
        <v>10992</v>
      </c>
      <c r="J4" s="10">
        <f t="shared" si="3"/>
        <v>778219286543.73059</v>
      </c>
      <c r="K4" s="11">
        <f t="shared" si="4"/>
        <v>8.69999999999993E-3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70188061.692941234</v>
      </c>
      <c r="D5" s="11">
        <v>8.8999999999999999E-3</v>
      </c>
      <c r="E5" s="10">
        <f t="shared" si="2"/>
        <v>619163.19661727548</v>
      </c>
      <c r="F5" s="3"/>
      <c r="G5" s="28"/>
      <c r="H5" s="10"/>
      <c r="I5" s="10">
        <f t="shared" si="5"/>
        <v>10992</v>
      </c>
      <c r="J5" s="10">
        <f t="shared" si="3"/>
        <v>771507174128.81006</v>
      </c>
      <c r="K5" s="11">
        <f t="shared" si="4"/>
        <v>8.899999999999908E-3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69568898.496323958</v>
      </c>
      <c r="D6" s="11">
        <v>8.9999999999999993E-3</v>
      </c>
      <c r="E6" s="10">
        <f t="shared" si="2"/>
        <v>620535.26904550195</v>
      </c>
      <c r="F6" s="3"/>
      <c r="G6" s="28"/>
      <c r="H6" s="10"/>
      <c r="I6" s="10">
        <f t="shared" si="5"/>
        <v>10992</v>
      </c>
      <c r="J6" s="10">
        <f t="shared" si="3"/>
        <v>764701332271.5929</v>
      </c>
      <c r="K6" s="11">
        <f t="shared" si="4"/>
        <v>8.999999999999897E-3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68948363.227278456</v>
      </c>
      <c r="D7" s="11">
        <v>9.4999999999999998E-3</v>
      </c>
      <c r="E7" s="10">
        <f t="shared" si="2"/>
        <v>648845.41917696595</v>
      </c>
      <c r="F7" s="3"/>
      <c r="G7" s="28"/>
      <c r="H7" s="10"/>
      <c r="I7" s="10">
        <f t="shared" si="5"/>
        <v>10992</v>
      </c>
      <c r="J7" s="10">
        <f t="shared" si="3"/>
        <v>757880408594.24475</v>
      </c>
      <c r="K7" s="11">
        <f t="shared" si="4"/>
        <v>9.4999999999998419E-3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68299517.80810149</v>
      </c>
      <c r="D8" s="11">
        <v>1.01E-2</v>
      </c>
      <c r="E8" s="10">
        <f t="shared" si="2"/>
        <v>682927.56149077415</v>
      </c>
      <c r="F8" s="3"/>
      <c r="G8" s="28"/>
      <c r="H8" s="10"/>
      <c r="I8" s="10">
        <f t="shared" si="5"/>
        <v>10992</v>
      </c>
      <c r="J8" s="10">
        <f t="shared" si="3"/>
        <v>750748299746.65161</v>
      </c>
      <c r="K8" s="11">
        <f t="shared" si="4"/>
        <v>1.010000000000022E-2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67616590.246610716</v>
      </c>
      <c r="D9" s="11">
        <v>1.03E-2</v>
      </c>
      <c r="E9" s="10">
        <f t="shared" si="2"/>
        <v>689350.56868266314</v>
      </c>
      <c r="F9" s="3"/>
      <c r="G9" s="28"/>
      <c r="H9" s="10"/>
      <c r="I9" s="10">
        <f t="shared" si="5"/>
        <v>10992</v>
      </c>
      <c r="J9" s="10">
        <f t="shared" si="3"/>
        <v>743241559990.745</v>
      </c>
      <c r="K9" s="11">
        <f t="shared" si="4"/>
        <v>1.0299999999999976E-2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66927239.677928053</v>
      </c>
      <c r="D10" s="11">
        <v>1.0699999999999999E-2</v>
      </c>
      <c r="E10" s="10">
        <f t="shared" si="2"/>
        <v>708540.08563750237</v>
      </c>
      <c r="F10" s="3"/>
      <c r="G10" s="28"/>
      <c r="H10" s="10"/>
      <c r="I10" s="10">
        <f t="shared" si="5"/>
        <v>10992</v>
      </c>
      <c r="J10" s="10">
        <f t="shared" si="3"/>
        <v>735664218539.78516</v>
      </c>
      <c r="K10" s="11">
        <f t="shared" si="4"/>
        <v>1.0699999999999932E-2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66218699.59229055</v>
      </c>
      <c r="D11" s="11">
        <v>1.12E-2</v>
      </c>
      <c r="E11" s="10">
        <f t="shared" si="2"/>
        <v>733434.96383866668</v>
      </c>
      <c r="F11" s="3"/>
      <c r="G11" s="28"/>
      <c r="H11" s="10"/>
      <c r="I11" s="10">
        <f t="shared" si="5"/>
        <v>10992</v>
      </c>
      <c r="J11" s="10">
        <f t="shared" si="3"/>
        <v>727875945918.45776</v>
      </c>
      <c r="K11" s="11">
        <f t="shared" si="4"/>
        <v>1.1200000000000099E-2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65485264.628451884</v>
      </c>
      <c r="D12" s="11">
        <v>1.15E-2</v>
      </c>
      <c r="E12" s="10">
        <f t="shared" si="2"/>
        <v>744518.5795622319</v>
      </c>
      <c r="F12" s="3"/>
      <c r="G12" s="28"/>
      <c r="H12" s="10"/>
      <c r="I12" s="10">
        <f t="shared" si="5"/>
        <v>10992</v>
      </c>
      <c r="J12" s="10">
        <f t="shared" si="3"/>
        <v>719814028795.94312</v>
      </c>
      <c r="K12" s="11">
        <f t="shared" si="4"/>
        <v>1.1500000000000066E-2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64740746.048889652</v>
      </c>
      <c r="D13" s="11">
        <v>1.17E-2</v>
      </c>
      <c r="E13" s="10">
        <f t="shared" si="2"/>
        <v>748706.85852724314</v>
      </c>
      <c r="F13" s="3"/>
      <c r="G13" s="28"/>
      <c r="H13" s="10"/>
      <c r="I13" s="10">
        <f t="shared" si="5"/>
        <v>10992</v>
      </c>
      <c r="J13" s="10">
        <f t="shared" si="3"/>
        <v>711630280569.39502</v>
      </c>
      <c r="K13" s="11">
        <f t="shared" si="4"/>
        <v>1.1700000000000044E-2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63992039.190362409</v>
      </c>
      <c r="D14" s="11">
        <v>1.2E-2</v>
      </c>
      <c r="E14" s="10">
        <f t="shared" si="2"/>
        <v>758798.88368018717</v>
      </c>
      <c r="F14" s="3"/>
      <c r="G14" s="28"/>
      <c r="H14" s="10"/>
      <c r="I14" s="10">
        <f t="shared" si="5"/>
        <v>10992</v>
      </c>
      <c r="J14" s="10">
        <f t="shared" si="3"/>
        <v>703400494780.46362</v>
      </c>
      <c r="K14" s="11">
        <f t="shared" si="4"/>
        <v>1.2000000000000011E-2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63233240.306682222</v>
      </c>
      <c r="D15" s="11">
        <v>1.26E-2</v>
      </c>
      <c r="E15" s="10">
        <f t="shared" si="2"/>
        <v>786824.83494389802</v>
      </c>
      <c r="F15" s="3"/>
      <c r="G15" s="28"/>
      <c r="H15" s="10"/>
      <c r="I15" s="10">
        <f t="shared" si="5"/>
        <v>10992</v>
      </c>
      <c r="J15" s="10">
        <f t="shared" si="3"/>
        <v>695059777451.05103</v>
      </c>
      <c r="K15" s="11">
        <f t="shared" si="4"/>
        <v>1.2599999999999945E-2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62446415.471738324</v>
      </c>
      <c r="D16" s="11">
        <v>1.34E-2</v>
      </c>
      <c r="E16" s="10">
        <f t="shared" si="2"/>
        <v>825717.35476741195</v>
      </c>
      <c r="F16" s="3"/>
      <c r="G16" s="28"/>
      <c r="H16" s="10"/>
      <c r="I16" s="10">
        <f t="shared" si="5"/>
        <v>10992</v>
      </c>
      <c r="J16" s="10">
        <f t="shared" si="3"/>
        <v>686410998865.34766</v>
      </c>
      <c r="K16" s="11">
        <f t="shared" si="4"/>
        <v>1.3400000000000079E-2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61620698.116970912</v>
      </c>
      <c r="D17" s="11">
        <v>1.43E-2</v>
      </c>
      <c r="E17" s="10">
        <f t="shared" si="2"/>
        <v>868752.81777845323</v>
      </c>
      <c r="F17" s="3"/>
      <c r="G17" s="28"/>
      <c r="H17" s="10"/>
      <c r="I17" s="10">
        <f t="shared" si="5"/>
        <v>10992</v>
      </c>
      <c r="J17" s="10">
        <f t="shared" si="3"/>
        <v>677334713701.74426</v>
      </c>
      <c r="K17" s="11">
        <f t="shared" si="4"/>
        <v>1.4299999999999979E-2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60751945.299192458</v>
      </c>
      <c r="D18" s="11">
        <v>1.5100000000000001E-2</v>
      </c>
      <c r="E18" s="10">
        <f t="shared" si="2"/>
        <v>903708.37751729041</v>
      </c>
      <c r="F18" s="3"/>
      <c r="G18" s="28"/>
      <c r="H18" s="10"/>
      <c r="I18" s="10">
        <f t="shared" si="5"/>
        <v>10992</v>
      </c>
      <c r="J18" s="10">
        <f t="shared" si="3"/>
        <v>667785382728.72351</v>
      </c>
      <c r="K18" s="11">
        <f t="shared" si="4"/>
        <v>1.5099999999999891E-2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59848236.921675168</v>
      </c>
      <c r="D19" s="11">
        <v>1.5900000000000001E-2</v>
      </c>
      <c r="E19" s="10">
        <f t="shared" si="2"/>
        <v>936693.53977225721</v>
      </c>
      <c r="F19" s="3"/>
      <c r="G19" s="28"/>
      <c r="H19" s="10"/>
      <c r="I19" s="10">
        <f t="shared" si="5"/>
        <v>10992</v>
      </c>
      <c r="J19" s="10">
        <f t="shared" si="3"/>
        <v>657851820243.05347</v>
      </c>
      <c r="K19" s="11">
        <f t="shared" si="4"/>
        <v>1.5900000000000025E-2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58911543.381902911</v>
      </c>
      <c r="D20" s="11">
        <v>1.6799999999999999E-2</v>
      </c>
      <c r="E20" s="10">
        <f t="shared" si="2"/>
        <v>973361.45634929836</v>
      </c>
      <c r="F20" s="3"/>
      <c r="G20" s="28"/>
      <c r="H20" s="10"/>
      <c r="I20" s="10">
        <f t="shared" si="5"/>
        <v>10992</v>
      </c>
      <c r="J20" s="10">
        <f t="shared" si="3"/>
        <v>647555684853.87683</v>
      </c>
      <c r="K20" s="11">
        <f t="shared" si="4"/>
        <v>1.6799999999999926E-2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57938181.925553612</v>
      </c>
      <c r="D21" s="11">
        <v>1.7899999999999999E-2</v>
      </c>
      <c r="E21" s="10">
        <f t="shared" si="2"/>
        <v>1018855.9352268502</v>
      </c>
      <c r="F21" s="3"/>
      <c r="G21" s="28"/>
      <c r="H21" s="10"/>
      <c r="I21" s="10">
        <f t="shared" si="5"/>
        <v>10992</v>
      </c>
      <c r="J21" s="10">
        <f t="shared" si="3"/>
        <v>636856495725.6853</v>
      </c>
      <c r="K21" s="11">
        <f t="shared" si="4"/>
        <v>1.7900000000000027E-2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56919325.990326762</v>
      </c>
      <c r="D22" s="11">
        <v>1.9099999999999999E-2</v>
      </c>
      <c r="E22" s="10">
        <f t="shared" si="2"/>
        <v>1066783.5604113787</v>
      </c>
      <c r="F22" s="3"/>
      <c r="G22" s="28"/>
      <c r="H22" s="10"/>
      <c r="I22" s="10">
        <f t="shared" si="5"/>
        <v>10992</v>
      </c>
      <c r="J22" s="10">
        <f t="shared" si="3"/>
        <v>625657231285.67175</v>
      </c>
      <c r="K22" s="11">
        <f t="shared" si="4"/>
        <v>1.9099999999999895E-2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55852542.429915383</v>
      </c>
      <c r="D23" s="11">
        <v>2.0199999999999999E-2</v>
      </c>
      <c r="E23" s="10">
        <f t="shared" si="2"/>
        <v>1105882.5299787223</v>
      </c>
      <c r="F23" s="3"/>
      <c r="G23" s="28"/>
      <c r="H23" s="10"/>
      <c r="I23" s="10">
        <f t="shared" si="5"/>
        <v>10992</v>
      </c>
      <c r="J23" s="10">
        <f t="shared" si="3"/>
        <v>613931146389.62988</v>
      </c>
      <c r="K23" s="11">
        <f t="shared" si="4"/>
        <v>2.0199999999999996E-2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54746659.899936661</v>
      </c>
      <c r="D24" s="11">
        <v>2.12E-2</v>
      </c>
      <c r="E24" s="10">
        <f t="shared" si="2"/>
        <v>1136534.6551886648</v>
      </c>
      <c r="F24" s="3"/>
      <c r="G24" s="28"/>
      <c r="H24" s="10"/>
      <c r="I24" s="10">
        <f t="shared" si="5"/>
        <v>10992</v>
      </c>
      <c r="J24" s="10">
        <f t="shared" si="3"/>
        <v>601775285620.10376</v>
      </c>
      <c r="K24" s="11">
        <f t="shared" si="4"/>
        <v>2.1200000000000108E-2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53610125.244747996</v>
      </c>
      <c r="D25" s="11">
        <v>2.1899999999999999E-2</v>
      </c>
      <c r="E25" s="10">
        <f t="shared" si="2"/>
        <v>1148900.8150112331</v>
      </c>
      <c r="F25" s="3"/>
      <c r="G25" s="28"/>
      <c r="H25" s="10"/>
      <c r="I25" s="10">
        <f t="shared" si="5"/>
        <v>10992</v>
      </c>
      <c r="J25" s="10">
        <f t="shared" si="3"/>
        <v>589282496690.27002</v>
      </c>
      <c r="K25" s="11">
        <f t="shared" si="4"/>
        <v>2.1900000000000031E-2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52461224.429736763</v>
      </c>
      <c r="D26" s="11">
        <v>2.24E-2</v>
      </c>
      <c r="E26" s="10">
        <f t="shared" si="2"/>
        <v>1149385.1987735778</v>
      </c>
      <c r="F26" s="3"/>
      <c r="G26" s="28"/>
      <c r="H26" s="10"/>
      <c r="I26" s="10">
        <f t="shared" si="5"/>
        <v>10992</v>
      </c>
      <c r="J26" s="10">
        <f t="shared" si="3"/>
        <v>576653778931.6665</v>
      </c>
      <c r="K26" s="11">
        <f t="shared" si="4"/>
        <v>2.2400000000000198E-2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51311839.230963185</v>
      </c>
      <c r="D27" s="11">
        <v>2.2800000000000001E-2</v>
      </c>
      <c r="E27" s="10">
        <f t="shared" si="2"/>
        <v>1143830.5968576074</v>
      </c>
      <c r="F27" s="3"/>
      <c r="G27" s="28"/>
      <c r="H27" s="10"/>
      <c r="I27" s="10">
        <f t="shared" si="5"/>
        <v>10992</v>
      </c>
      <c r="J27" s="10">
        <f t="shared" si="3"/>
        <v>564019736826.74731</v>
      </c>
      <c r="K27" s="11">
        <f t="shared" si="4"/>
        <v>2.2799999999999931E-2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50168008.634105578</v>
      </c>
      <c r="D28" s="11">
        <v>2.3300000000000001E-2</v>
      </c>
      <c r="E28" s="10">
        <f t="shared" si="2"/>
        <v>1142299.0336896926</v>
      </c>
      <c r="F28" s="3"/>
      <c r="G28" s="28"/>
      <c r="H28" s="10"/>
      <c r="I28" s="10">
        <f t="shared" si="5"/>
        <v>10992</v>
      </c>
      <c r="J28" s="10">
        <f t="shared" si="3"/>
        <v>551446750906.0885</v>
      </c>
      <c r="K28" s="11">
        <f t="shared" si="4"/>
        <v>2.3300000000000098E-2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49025709.600415885</v>
      </c>
      <c r="D29" s="11">
        <v>2.3900000000000001E-2</v>
      </c>
      <c r="E29" s="10">
        <f t="shared" si="2"/>
        <v>1144364.1561187059</v>
      </c>
      <c r="F29" s="3"/>
      <c r="G29" s="28"/>
      <c r="H29" s="10"/>
      <c r="I29" s="10">
        <f t="shared" si="5"/>
        <v>10992</v>
      </c>
      <c r="J29" s="10">
        <f t="shared" si="3"/>
        <v>538890599927.77142</v>
      </c>
      <c r="K29" s="11">
        <f t="shared" si="4"/>
        <v>2.3900000000000032E-2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47881345.44429718</v>
      </c>
      <c r="D30" s="11">
        <v>2.4500000000000001E-2</v>
      </c>
      <c r="E30" s="10">
        <f t="shared" si="2"/>
        <v>1145039.4957396612</v>
      </c>
      <c r="F30" s="3"/>
      <c r="G30" s="28"/>
      <c r="H30" s="10"/>
      <c r="I30" s="10">
        <f t="shared" si="5"/>
        <v>10992</v>
      </c>
      <c r="J30" s="10">
        <f t="shared" si="3"/>
        <v>526311749123.7146</v>
      </c>
      <c r="K30" s="11">
        <f t="shared" si="4"/>
        <v>2.4499999999999966E-2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46736305.948557518</v>
      </c>
      <c r="D31" s="11">
        <v>2.5100000000000001E-2</v>
      </c>
      <c r="E31" s="10">
        <f t="shared" si="2"/>
        <v>1144357.8961162716</v>
      </c>
      <c r="F31" s="3"/>
      <c r="G31" s="28"/>
      <c r="H31" s="10"/>
      <c r="I31" s="10">
        <f t="shared" si="5"/>
        <v>10992</v>
      </c>
      <c r="J31" s="10">
        <f t="shared" si="3"/>
        <v>513725474986.54425</v>
      </c>
      <c r="K31" s="11">
        <f t="shared" si="4"/>
        <v>2.50999999999999E-2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45591948.052441247</v>
      </c>
      <c r="D32" s="11">
        <v>2.58E-2</v>
      </c>
      <c r="E32" s="10">
        <f t="shared" si="2"/>
        <v>1146687.7166630775</v>
      </c>
      <c r="F32" s="3"/>
      <c r="G32" s="28"/>
      <c r="H32" s="10"/>
      <c r="I32" s="10">
        <f t="shared" si="5"/>
        <v>10992</v>
      </c>
      <c r="J32" s="10">
        <f t="shared" si="3"/>
        <v>501146692992.4342</v>
      </c>
      <c r="K32" s="11">
        <f t="shared" si="4"/>
        <v>2.5800000000000045E-2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44445260.335778169</v>
      </c>
      <c r="D33" s="11">
        <v>2.64E-2</v>
      </c>
      <c r="E33" s="10">
        <f t="shared" si="2"/>
        <v>1143175.0515048131</v>
      </c>
      <c r="F33" s="3"/>
      <c r="G33" s="28"/>
      <c r="H33" s="10"/>
      <c r="I33" s="10">
        <f t="shared" si="5"/>
        <v>10992</v>
      </c>
      <c r="J33" s="10">
        <f t="shared" si="3"/>
        <v>488542301610.87366</v>
      </c>
      <c r="K33" s="11">
        <f t="shared" si="4"/>
        <v>2.6399999999999979E-2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43302085.284273356</v>
      </c>
      <c r="D34" s="11">
        <v>2.6800000000000001E-2</v>
      </c>
      <c r="E34" s="10">
        <f t="shared" si="2"/>
        <v>1130206.3552965745</v>
      </c>
      <c r="F34" s="3"/>
      <c r="G34" s="28"/>
      <c r="H34" s="10"/>
      <c r="I34" s="10">
        <f t="shared" si="5"/>
        <v>10992</v>
      </c>
      <c r="J34" s="10">
        <f t="shared" ref="J34:J65" si="6">IF(I34="","",I34*C34)</f>
        <v>475976521444.73273</v>
      </c>
      <c r="K34" s="11">
        <f t="shared" ref="K34:K65" si="7">IFERROR(J34/J35-1,"")</f>
        <v>2.6799999999999935E-2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42171878.928976782</v>
      </c>
      <c r="D35" s="11">
        <v>2.7099999999999999E-2</v>
      </c>
      <c r="E35" s="10">
        <f t="shared" si="2"/>
        <v>1112703.6500586793</v>
      </c>
      <c r="F35" s="3"/>
      <c r="G35" s="28"/>
      <c r="H35" s="10"/>
      <c r="I35" s="10">
        <f t="shared" ref="I35:I66" si="8">IF(H35&lt;&gt;"",H35,I34/(1+IF(G34="",0,G34)/100))</f>
        <v>10992</v>
      </c>
      <c r="J35" s="10">
        <f t="shared" si="6"/>
        <v>463553293187.31281</v>
      </c>
      <c r="K35" s="11">
        <f t="shared" si="7"/>
        <v>2.7099999999999902E-2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41059175.278918102</v>
      </c>
      <c r="D36" s="11">
        <v>2.7199999999999998E-2</v>
      </c>
      <c r="E36" s="10">
        <f t="shared" si="2"/>
        <v>1087236.7285694778</v>
      </c>
      <c r="F36" s="3"/>
      <c r="G36" s="28"/>
      <c r="H36" s="10"/>
      <c r="I36" s="10">
        <f t="shared" si="8"/>
        <v>10992</v>
      </c>
      <c r="J36" s="10">
        <f t="shared" si="6"/>
        <v>451322454665.8678</v>
      </c>
      <c r="K36" s="11">
        <f t="shared" si="7"/>
        <v>2.7199999999999891E-2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39971938.550348625</v>
      </c>
      <c r="D37" s="11">
        <v>2.7300000000000001E-2</v>
      </c>
      <c r="E37" s="10">
        <f t="shared" si="2"/>
        <v>1062234.9093979597</v>
      </c>
      <c r="F37" s="3"/>
      <c r="G37" s="28"/>
      <c r="H37" s="10"/>
      <c r="I37" s="10">
        <f t="shared" si="8"/>
        <v>10992</v>
      </c>
      <c r="J37" s="10">
        <f t="shared" si="6"/>
        <v>439371548545.43207</v>
      </c>
      <c r="K37" s="11">
        <f t="shared" si="7"/>
        <v>2.7300000000000102E-2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38909703.640950665</v>
      </c>
      <c r="D38" s="11">
        <v>2.76E-2</v>
      </c>
      <c r="E38" s="10">
        <f t="shared" si="2"/>
        <v>1045064.0526374504</v>
      </c>
      <c r="F38" s="3"/>
      <c r="G38" s="28"/>
      <c r="H38" s="10"/>
      <c r="I38" s="10">
        <f t="shared" si="8"/>
        <v>10992</v>
      </c>
      <c r="J38" s="10">
        <f t="shared" si="6"/>
        <v>427695462421.32971</v>
      </c>
      <c r="K38" s="11">
        <f t="shared" si="7"/>
        <v>2.7600000000000291E-2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37864639.588313214</v>
      </c>
      <c r="D39" s="11">
        <v>2.81E-2</v>
      </c>
      <c r="E39" s="10">
        <f t="shared" si="2"/>
        <v>1034915.2537998259</v>
      </c>
      <c r="F39" s="3"/>
      <c r="G39" s="28"/>
      <c r="H39" s="10"/>
      <c r="I39" s="10">
        <f t="shared" si="8"/>
        <v>10992</v>
      </c>
      <c r="J39" s="10">
        <f t="shared" si="6"/>
        <v>416208118354.73883</v>
      </c>
      <c r="K39" s="11">
        <f t="shared" si="7"/>
        <v>2.8099999999999792E-2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36829724.334513389</v>
      </c>
      <c r="D40" s="11">
        <v>2.8799999999999999E-2</v>
      </c>
      <c r="E40" s="10">
        <f t="shared" si="2"/>
        <v>1031003.169550918</v>
      </c>
      <c r="F40" s="3"/>
      <c r="G40" s="28"/>
      <c r="H40" s="10"/>
      <c r="I40" s="10">
        <f t="shared" si="8"/>
        <v>10992</v>
      </c>
      <c r="J40" s="10">
        <f t="shared" si="6"/>
        <v>404832329884.97119</v>
      </c>
      <c r="K40" s="11">
        <f t="shared" si="7"/>
        <v>2.8800000000000159E-2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35798721.164962471</v>
      </c>
      <c r="D41" s="11">
        <v>2.9700000000000001E-2</v>
      </c>
      <c r="E41" s="10">
        <f t="shared" si="2"/>
        <v>1032555.131202668</v>
      </c>
      <c r="F41" s="3"/>
      <c r="G41" s="28"/>
      <c r="H41" s="10"/>
      <c r="I41" s="10">
        <f t="shared" si="8"/>
        <v>10992</v>
      </c>
      <c r="J41" s="10">
        <f t="shared" si="6"/>
        <v>393499543045.26746</v>
      </c>
      <c r="K41" s="11">
        <f t="shared" si="7"/>
        <v>2.970000000000006E-2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34766166.033759803</v>
      </c>
      <c r="D42" s="11">
        <v>3.0499999999999999E-2</v>
      </c>
      <c r="E42" s="10">
        <f t="shared" si="2"/>
        <v>1028984.0504897386</v>
      </c>
      <c r="F42" s="3"/>
      <c r="G42" s="28"/>
      <c r="H42" s="10"/>
      <c r="I42" s="10">
        <f t="shared" si="8"/>
        <v>10992</v>
      </c>
      <c r="J42" s="10">
        <f t="shared" si="6"/>
        <v>382149697043.08777</v>
      </c>
      <c r="K42" s="11">
        <f t="shared" si="7"/>
        <v>3.0499999999999972E-2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33737181.983270064</v>
      </c>
      <c r="D43" s="11">
        <v>3.1300000000000001E-2</v>
      </c>
      <c r="E43" s="10">
        <f t="shared" si="2"/>
        <v>1023924.9452888146</v>
      </c>
      <c r="F43" s="3"/>
      <c r="G43" s="28"/>
      <c r="H43" s="10"/>
      <c r="I43" s="10">
        <f t="shared" si="8"/>
        <v>10992</v>
      </c>
      <c r="J43" s="10">
        <f t="shared" si="6"/>
        <v>370839104360.10455</v>
      </c>
      <c r="K43" s="11">
        <f t="shared" si="7"/>
        <v>3.1300000000000106E-2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32713257.037981249</v>
      </c>
      <c r="D44" s="11">
        <v>3.2099999999999997E-2</v>
      </c>
      <c r="E44" s="10">
        <f t="shared" si="2"/>
        <v>1017435.8598190099</v>
      </c>
      <c r="F44" s="3"/>
      <c r="G44" s="28"/>
      <c r="H44" s="10"/>
      <c r="I44" s="10">
        <f t="shared" si="8"/>
        <v>10992</v>
      </c>
      <c r="J44" s="10">
        <f t="shared" si="6"/>
        <v>359584121361.48987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31695821.178162239</v>
      </c>
      <c r="D45" s="11">
        <v>3.27E-2</v>
      </c>
      <c r="E45" s="10">
        <f t="shared" si="2"/>
        <v>1003634.5042373426</v>
      </c>
      <c r="F45" s="3"/>
      <c r="G45" s="28"/>
      <c r="H45" s="10"/>
      <c r="I45" s="10">
        <f t="shared" si="8"/>
        <v>10992</v>
      </c>
      <c r="J45" s="10">
        <f t="shared" si="6"/>
        <v>348400466390.35931</v>
      </c>
      <c r="K45" s="11">
        <f t="shared" si="7"/>
        <v>3.2699999999999951E-2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30692186.673924897</v>
      </c>
      <c r="D46" s="11">
        <v>3.3300000000000003E-2</v>
      </c>
      <c r="E46" s="10">
        <f t="shared" si="2"/>
        <v>989112.37418146059</v>
      </c>
      <c r="F46" s="3"/>
      <c r="G46" s="28"/>
      <c r="H46" s="10"/>
      <c r="I46" s="10">
        <f t="shared" si="8"/>
        <v>10992</v>
      </c>
      <c r="J46" s="10">
        <f t="shared" si="6"/>
        <v>337368515919.78247</v>
      </c>
      <c r="K46" s="11">
        <f t="shared" si="7"/>
        <v>3.3300000000000107E-2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29703074.299743436</v>
      </c>
      <c r="D47" s="11">
        <v>3.3799999999999997E-2</v>
      </c>
      <c r="E47" s="10">
        <f t="shared" si="2"/>
        <v>971139.39962403849</v>
      </c>
      <c r="F47" s="3"/>
      <c r="G47" s="28"/>
      <c r="H47" s="10"/>
      <c r="I47" s="10">
        <f t="shared" si="8"/>
        <v>10992</v>
      </c>
      <c r="J47" s="10">
        <f t="shared" si="6"/>
        <v>326496192702.77985</v>
      </c>
      <c r="K47" s="11">
        <f t="shared" si="7"/>
        <v>3.3800000000000052E-2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28731934.900119398</v>
      </c>
      <c r="D48" s="11">
        <v>3.4200000000000001E-2</v>
      </c>
      <c r="E48" s="10">
        <f t="shared" si="2"/>
        <v>950137.47204030678</v>
      </c>
      <c r="F48" s="3"/>
      <c r="G48" s="28"/>
      <c r="H48" s="10"/>
      <c r="I48" s="10">
        <f t="shared" si="8"/>
        <v>10992</v>
      </c>
      <c r="J48" s="10">
        <f t="shared" si="6"/>
        <v>315821428422.11243</v>
      </c>
      <c r="K48" s="11">
        <f t="shared" si="7"/>
        <v>3.4200000000000008E-2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27781797.428079091</v>
      </c>
      <c r="D49" s="11">
        <v>3.4299999999999997E-2</v>
      </c>
      <c r="E49" s="10">
        <f t="shared" si="2"/>
        <v>921314.56229634956</v>
      </c>
      <c r="F49" s="3"/>
      <c r="G49" s="28"/>
      <c r="H49" s="10"/>
      <c r="I49" s="10">
        <f t="shared" si="8"/>
        <v>10992</v>
      </c>
      <c r="J49" s="10">
        <f t="shared" si="6"/>
        <v>305377517329.44537</v>
      </c>
      <c r="K49" s="11">
        <f t="shared" si="7"/>
        <v>3.4299999999999997E-2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26860482.865782741</v>
      </c>
      <c r="D50" s="11">
        <v>3.4000000000000002E-2</v>
      </c>
      <c r="E50" s="10">
        <f t="shared" si="2"/>
        <v>883226.70931974426</v>
      </c>
      <c r="F50" s="3"/>
      <c r="G50" s="28"/>
      <c r="H50" s="10"/>
      <c r="I50" s="10">
        <f t="shared" si="8"/>
        <v>10992</v>
      </c>
      <c r="J50" s="10">
        <f t="shared" si="6"/>
        <v>295250427660.6839</v>
      </c>
      <c r="K50" s="11">
        <f t="shared" si="7"/>
        <v>3.4000000000000252E-2</v>
      </c>
      <c r="L50" t="s">
        <v>141</v>
      </c>
      <c r="M50" t="s">
        <v>142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25977256.156462997</v>
      </c>
      <c r="D51" s="11">
        <v>3.3399999999999999E-2</v>
      </c>
      <c r="E51" s="10">
        <f t="shared" si="2"/>
        <v>839597.78945796937</v>
      </c>
      <c r="F51" s="3"/>
      <c r="G51" s="28"/>
      <c r="H51" s="10"/>
      <c r="I51" s="10">
        <f t="shared" si="8"/>
        <v>10992</v>
      </c>
      <c r="J51" s="10">
        <f t="shared" si="6"/>
        <v>285541999671.84125</v>
      </c>
      <c r="K51" s="11">
        <f t="shared" si="7"/>
        <v>3.3400000000000096E-2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25137658.367005028</v>
      </c>
      <c r="D52" s="11">
        <v>3.2599999999999997E-2</v>
      </c>
      <c r="E52" s="10">
        <f t="shared" si="2"/>
        <v>793615.78807317838</v>
      </c>
      <c r="F52" s="3"/>
      <c r="G52" s="28"/>
      <c r="H52" s="10"/>
      <c r="I52" s="10">
        <f t="shared" si="8"/>
        <v>10992</v>
      </c>
      <c r="J52" s="10">
        <f t="shared" si="6"/>
        <v>276313140770.11926</v>
      </c>
      <c r="K52" s="11">
        <f t="shared" si="7"/>
        <v>3.2599999999999962E-2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24344042.578931849</v>
      </c>
      <c r="D53" s="11">
        <v>3.1800000000000002E-2</v>
      </c>
      <c r="E53" s="10">
        <f t="shared" si="2"/>
        <v>750281.59915684536</v>
      </c>
      <c r="F53" s="3"/>
      <c r="G53" s="28"/>
      <c r="H53" s="10"/>
      <c r="I53" s="10">
        <f t="shared" si="8"/>
        <v>10992</v>
      </c>
      <c r="J53" s="10">
        <f t="shared" si="6"/>
        <v>267589716027.6189</v>
      </c>
      <c r="K53" s="11">
        <f t="shared" si="7"/>
        <v>3.180000000000005E-2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23593760.979775004</v>
      </c>
      <c r="D54" s="11">
        <v>3.1099999999999999E-2</v>
      </c>
      <c r="E54" s="10">
        <f t="shared" si="2"/>
        <v>711634.14457472786</v>
      </c>
      <c r="F54" s="3"/>
      <c r="G54" s="28"/>
      <c r="H54" s="10"/>
      <c r="I54" s="10">
        <f t="shared" si="8"/>
        <v>10992</v>
      </c>
      <c r="J54" s="10">
        <f t="shared" si="6"/>
        <v>259342620689.68686</v>
      </c>
      <c r="K54" s="11">
        <f t="shared" si="7"/>
        <v>3.1100000000000128E-2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22882126.835200276</v>
      </c>
      <c r="D55" s="11">
        <v>3.0599999999999999E-2</v>
      </c>
      <c r="E55" s="10">
        <f t="shared" si="2"/>
        <v>679403.33898421004</v>
      </c>
      <c r="F55" s="3"/>
      <c r="G55" s="28"/>
      <c r="H55" s="10"/>
      <c r="I55" s="10">
        <f t="shared" si="8"/>
        <v>10992</v>
      </c>
      <c r="J55" s="10">
        <f t="shared" si="6"/>
        <v>251520338172.52142</v>
      </c>
      <c r="K55" s="11">
        <f t="shared" si="7"/>
        <v>3.0599999999999739E-2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22202723.496216066</v>
      </c>
      <c r="D56" s="11">
        <v>3.0599999999999999E-2</v>
      </c>
      <c r="E56" s="10">
        <f t="shared" si="2"/>
        <v>659230.87423269078</v>
      </c>
      <c r="F56" s="3"/>
      <c r="G56" s="28"/>
      <c r="H56" s="10"/>
      <c r="I56" s="10">
        <f t="shared" si="8"/>
        <v>10992</v>
      </c>
      <c r="J56" s="10">
        <f t="shared" si="6"/>
        <v>244052336670.40701</v>
      </c>
      <c r="K56" s="11">
        <f t="shared" si="7"/>
        <v>3.0600000000000183E-2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21543492.621983375</v>
      </c>
      <c r="D57" s="11">
        <v>3.1199999999999999E-2</v>
      </c>
      <c r="E57" s="10">
        <f t="shared" si="2"/>
        <v>651820.18018413335</v>
      </c>
      <c r="F57" s="3"/>
      <c r="G57" s="28"/>
      <c r="H57" s="10"/>
      <c r="I57" s="10">
        <f t="shared" si="8"/>
        <v>10992</v>
      </c>
      <c r="J57" s="10">
        <f t="shared" si="6"/>
        <v>236806070900.84125</v>
      </c>
      <c r="K57" s="11">
        <f t="shared" si="7"/>
        <v>3.1199999999999894E-2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20891672.441799242</v>
      </c>
      <c r="D58" s="11">
        <v>3.2399999999999998E-2</v>
      </c>
      <c r="E58" s="10">
        <f t="shared" si="2"/>
        <v>655647.21727459878</v>
      </c>
      <c r="F58" s="3"/>
      <c r="G58" s="28"/>
      <c r="H58" s="10"/>
      <c r="I58" s="10">
        <f t="shared" si="8"/>
        <v>10992</v>
      </c>
      <c r="J58" s="10">
        <f t="shared" si="6"/>
        <v>229641263480.25726</v>
      </c>
      <c r="K58" s="11">
        <f t="shared" si="7"/>
        <v>3.2399999999999984E-2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20236025.224524643</v>
      </c>
      <c r="D59" s="11">
        <v>3.3700000000000001E-2</v>
      </c>
      <c r="E59" s="10">
        <f t="shared" si="2"/>
        <v>659721.43761872873</v>
      </c>
      <c r="F59" s="3"/>
      <c r="G59" s="28"/>
      <c r="H59" s="10"/>
      <c r="I59" s="10">
        <f t="shared" si="8"/>
        <v>10992</v>
      </c>
      <c r="J59" s="10">
        <f t="shared" si="6"/>
        <v>222434389267.97488</v>
      </c>
      <c r="K59" s="11">
        <f t="shared" si="7"/>
        <v>3.3700000000000063E-2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19576303.786905915</v>
      </c>
      <c r="D60" s="11">
        <v>3.4700000000000002E-2</v>
      </c>
      <c r="E60" s="10">
        <f t="shared" si="2"/>
        <v>656516.6148696579</v>
      </c>
      <c r="F60" s="3"/>
      <c r="G60" s="28"/>
      <c r="H60" s="10"/>
      <c r="I60" s="10">
        <f t="shared" si="8"/>
        <v>10992</v>
      </c>
      <c r="J60" s="10">
        <f t="shared" si="6"/>
        <v>215182731225.6698</v>
      </c>
      <c r="K60" s="11">
        <f t="shared" si="7"/>
        <v>3.4699999999999953E-2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18919787.172036257</v>
      </c>
      <c r="D61" s="11">
        <v>3.5099999999999999E-2</v>
      </c>
      <c r="E61" s="10">
        <f t="shared" si="2"/>
        <v>641565.57795234397</v>
      </c>
      <c r="F61" s="3"/>
      <c r="G61" s="28"/>
      <c r="H61" s="10"/>
      <c r="I61" s="10">
        <f t="shared" si="8"/>
        <v>10992</v>
      </c>
      <c r="J61" s="10">
        <f t="shared" si="6"/>
        <v>207966300595.02252</v>
      </c>
      <c r="K61" s="11">
        <f t="shared" si="7"/>
        <v>3.5099999999999909E-2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18278221.594083913</v>
      </c>
      <c r="D62" s="11">
        <v>3.4700000000000002E-2</v>
      </c>
      <c r="E62" s="10">
        <f t="shared" si="2"/>
        <v>612983.75308274105</v>
      </c>
      <c r="F62" s="3"/>
      <c r="G62" s="28"/>
      <c r="H62" s="10"/>
      <c r="I62" s="10">
        <f t="shared" si="8"/>
        <v>10992</v>
      </c>
      <c r="J62" s="10">
        <f t="shared" si="6"/>
        <v>200914211762.17038</v>
      </c>
      <c r="K62" s="11">
        <f t="shared" si="7"/>
        <v>3.4700000000000175E-2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17665237.841001172</v>
      </c>
      <c r="D63" s="11">
        <v>3.3399999999999999E-2</v>
      </c>
      <c r="E63" s="10">
        <f t="shared" si="2"/>
        <v>570949.23929692432</v>
      </c>
      <c r="F63" s="3"/>
      <c r="G63" s="28"/>
      <c r="H63" s="10"/>
      <c r="I63" s="10">
        <f t="shared" si="8"/>
        <v>10992</v>
      </c>
      <c r="J63" s="10">
        <f t="shared" si="6"/>
        <v>194176294348.28488</v>
      </c>
      <c r="K63" s="11">
        <f t="shared" si="7"/>
        <v>3.3400000000000318E-2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17094288.601704247</v>
      </c>
      <c r="D64" s="11">
        <v>3.1399999999999997E-2</v>
      </c>
      <c r="E64" s="10">
        <f t="shared" si="2"/>
        <v>520419.49010424316</v>
      </c>
      <c r="F64" s="3"/>
      <c r="G64" s="28"/>
      <c r="H64" s="10"/>
      <c r="I64" s="10">
        <f t="shared" si="8"/>
        <v>10992</v>
      </c>
      <c r="J64" s="10">
        <f t="shared" si="6"/>
        <v>187900420309.93307</v>
      </c>
      <c r="K64" s="11">
        <f t="shared" si="7"/>
        <v>3.1400000000000095E-2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16573869.111600004</v>
      </c>
      <c r="D65" s="11">
        <v>2.9399999999999999E-2</v>
      </c>
      <c r="E65" s="10">
        <f t="shared" si="2"/>
        <v>473355.11160000227</v>
      </c>
      <c r="F65" s="3"/>
      <c r="G65" s="28"/>
      <c r="H65" s="10"/>
      <c r="I65" s="10">
        <f t="shared" si="8"/>
        <v>10992</v>
      </c>
      <c r="J65" s="10">
        <f t="shared" si="6"/>
        <v>182179969274.70724</v>
      </c>
      <c r="K65" s="11">
        <f t="shared" si="7"/>
        <v>2.9400000000000093E-2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16100514.000000002</v>
      </c>
      <c r="D66" s="11">
        <v>2.75E-2</v>
      </c>
      <c r="E66" s="10">
        <f t="shared" si="2"/>
        <v>430914.00000000186</v>
      </c>
      <c r="F66" s="24">
        <f>SUM(F2)</f>
        <v>71957346</v>
      </c>
      <c r="G66" s="28"/>
      <c r="H66" s="10"/>
      <c r="I66" s="10">
        <f t="shared" si="8"/>
        <v>10992</v>
      </c>
      <c r="J66" s="10">
        <f t="shared" ref="J66:J67" si="9">IF(I66="","",I66*C66)</f>
        <v>176976849888.00003</v>
      </c>
      <c r="K66" s="11">
        <f t="shared" ref="K66" si="10">IFERROR(J66/J67-1,"")</f>
        <v>2.750000000000008E-2</v>
      </c>
    </row>
    <row r="67" spans="1:11" ht="22.5" customHeight="1">
      <c r="A67" s="3">
        <f t="shared" si="0"/>
        <v>1950</v>
      </c>
      <c r="B67" s="3">
        <v>1700</v>
      </c>
      <c r="C67" s="10">
        <v>15669600</v>
      </c>
      <c r="D67" s="11">
        <v>2.5700000000000001E-2</v>
      </c>
      <c r="E67" s="3" t="s">
        <v>72</v>
      </c>
      <c r="F67" s="10">
        <f>SUM(C2)</f>
        <v>71957417.637829334</v>
      </c>
      <c r="G67" s="28"/>
      <c r="H67" s="10"/>
      <c r="I67" s="10">
        <f t="shared" ref="I67" si="11">IF(H67&lt;&gt;"",H67,I66/(1+IF(G66="",0,G66)/100))</f>
        <v>10992</v>
      </c>
      <c r="J67" s="10">
        <f t="shared" si="9"/>
        <v>172240243200</v>
      </c>
      <c r="K67" s="11"/>
    </row>
  </sheetData>
  <dataValidations count="1">
    <dataValidation type="custom" allowBlank="1" showDropDown="1" sqref="D2:D67" xr:uid="{00000000-0002-0000-8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31948416.67182257</v>
      </c>
      <c r="D2" s="11">
        <v>2.9399999999999999E-2</v>
      </c>
      <c r="E2" s="10">
        <f t="shared" ref="E2:E66" si="2">SUM(C2-C3)</f>
        <v>912457.20822963491</v>
      </c>
      <c r="F2" s="15">
        <v>31948027</v>
      </c>
      <c r="G2" s="28"/>
      <c r="H2" s="10"/>
      <c r="I2" s="10">
        <f>IF(H2&lt;&gt;"",H2,492)</f>
        <v>492</v>
      </c>
      <c r="J2" s="10">
        <f t="shared" ref="J2:J33" si="3">IF(I2="","",I2*C2)</f>
        <v>15718621002.536705</v>
      </c>
      <c r="K2" s="11">
        <f t="shared" ref="K2:K33" si="4">IFERROR(J2/J3-1,"")</f>
        <v>2.9400000000000093E-2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31035959.463592935</v>
      </c>
      <c r="D3" s="11">
        <v>2.9499999999999998E-2</v>
      </c>
      <c r="E3" s="10">
        <f t="shared" si="2"/>
        <v>889325.69613986835</v>
      </c>
      <c r="F3" s="3"/>
      <c r="G3" s="28"/>
      <c r="H3" s="10"/>
      <c r="I3" s="10">
        <f t="shared" ref="I3:I34" si="5">IF(H3&lt;&gt;"",H3,I2/(1+IF(G2="",0,G2)/100))</f>
        <v>492</v>
      </c>
      <c r="J3" s="10">
        <f t="shared" si="3"/>
        <v>15269692056.087725</v>
      </c>
      <c r="K3" s="11">
        <f t="shared" si="4"/>
        <v>2.9500000000000082E-2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30146633.767453067</v>
      </c>
      <c r="D4" s="11">
        <v>2.9600000000000001E-2</v>
      </c>
      <c r="E4" s="10">
        <f t="shared" si="2"/>
        <v>866686.4408669509</v>
      </c>
      <c r="F4" s="3"/>
      <c r="G4" s="28"/>
      <c r="H4" s="10"/>
      <c r="I4" s="10">
        <f t="shared" si="5"/>
        <v>492</v>
      </c>
      <c r="J4" s="10">
        <f t="shared" si="3"/>
        <v>14832143813.586908</v>
      </c>
      <c r="K4" s="11">
        <f t="shared" si="4"/>
        <v>2.9600000000000071E-2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29279947.326586116</v>
      </c>
      <c r="D5" s="11">
        <v>2.9700000000000001E-2</v>
      </c>
      <c r="E5" s="10">
        <f t="shared" si="2"/>
        <v>844531.83995300531</v>
      </c>
      <c r="F5" s="3"/>
      <c r="G5" s="28"/>
      <c r="H5" s="10"/>
      <c r="I5" s="10">
        <f t="shared" si="5"/>
        <v>492</v>
      </c>
      <c r="J5" s="10">
        <f t="shared" si="3"/>
        <v>14405734084.680368</v>
      </c>
      <c r="K5" s="11">
        <f t="shared" si="4"/>
        <v>2.970000000000006E-2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28435415.486633111</v>
      </c>
      <c r="D6" s="11">
        <v>2.9899999999999999E-2</v>
      </c>
      <c r="E6" s="10">
        <f t="shared" si="2"/>
        <v>825535.4141667448</v>
      </c>
      <c r="F6" s="3"/>
      <c r="G6" s="28"/>
      <c r="H6" s="10"/>
      <c r="I6" s="10">
        <f t="shared" si="5"/>
        <v>492</v>
      </c>
      <c r="J6" s="10">
        <f t="shared" si="3"/>
        <v>13990224419.423491</v>
      </c>
      <c r="K6" s="11">
        <f t="shared" si="4"/>
        <v>2.9900000000000038E-2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27609880.072466366</v>
      </c>
      <c r="D7" s="11">
        <v>3.0200000000000001E-2</v>
      </c>
      <c r="E7" s="10">
        <f t="shared" si="2"/>
        <v>809375.24576634169</v>
      </c>
      <c r="F7" s="3"/>
      <c r="G7" s="28"/>
      <c r="H7" s="10"/>
      <c r="I7" s="10">
        <f t="shared" si="5"/>
        <v>492</v>
      </c>
      <c r="J7" s="10">
        <f t="shared" si="3"/>
        <v>13584060995.653452</v>
      </c>
      <c r="K7" s="11">
        <f t="shared" si="4"/>
        <v>3.0200000000000005E-2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26800504.826700024</v>
      </c>
      <c r="D8" s="11">
        <v>3.0599999999999999E-2</v>
      </c>
      <c r="E8" s="10">
        <f t="shared" si="2"/>
        <v>795745.6313768886</v>
      </c>
      <c r="F8" s="3"/>
      <c r="G8" s="28"/>
      <c r="H8" s="10"/>
      <c r="I8" s="10">
        <f t="shared" si="5"/>
        <v>492</v>
      </c>
      <c r="J8" s="10">
        <f t="shared" si="3"/>
        <v>13185848374.736412</v>
      </c>
      <c r="K8" s="11">
        <f t="shared" si="4"/>
        <v>3.0600000000000183E-2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26004759.195323136</v>
      </c>
      <c r="D9" s="11">
        <v>3.1099999999999999E-2</v>
      </c>
      <c r="E9" s="10">
        <f t="shared" si="2"/>
        <v>784354.58342987671</v>
      </c>
      <c r="F9" s="3"/>
      <c r="G9" s="28"/>
      <c r="H9" s="10"/>
      <c r="I9" s="10">
        <f t="shared" si="5"/>
        <v>492</v>
      </c>
      <c r="J9" s="10">
        <f t="shared" si="3"/>
        <v>12794341524.098982</v>
      </c>
      <c r="K9" s="11">
        <f t="shared" si="4"/>
        <v>3.1099999999999905E-2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25220404.611893259</v>
      </c>
      <c r="D10" s="11">
        <v>3.1600000000000003E-2</v>
      </c>
      <c r="E10" s="10">
        <f t="shared" si="2"/>
        <v>772552.13816966861</v>
      </c>
      <c r="F10" s="3"/>
      <c r="G10" s="28"/>
      <c r="H10" s="10"/>
      <c r="I10" s="10">
        <f t="shared" si="5"/>
        <v>492</v>
      </c>
      <c r="J10" s="10">
        <f t="shared" si="3"/>
        <v>12408439069.051483</v>
      </c>
      <c r="K10" s="11">
        <f t="shared" si="4"/>
        <v>3.1600000000000072E-2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24447852.47372359</v>
      </c>
      <c r="D11" s="11">
        <v>3.2099999999999997E-2</v>
      </c>
      <c r="E11" s="10">
        <f t="shared" si="2"/>
        <v>760368.24378115311</v>
      </c>
      <c r="F11" s="3"/>
      <c r="G11" s="28"/>
      <c r="H11" s="10"/>
      <c r="I11" s="10">
        <f t="shared" si="5"/>
        <v>492</v>
      </c>
      <c r="J11" s="10">
        <f t="shared" si="3"/>
        <v>12028343417.072006</v>
      </c>
      <c r="K11" s="11">
        <f t="shared" si="4"/>
        <v>3.2100000000000017E-2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23687484.229942437</v>
      </c>
      <c r="D12" s="11">
        <v>3.2599999999999997E-2</v>
      </c>
      <c r="E12" s="10">
        <f t="shared" si="2"/>
        <v>747832.64177428186</v>
      </c>
      <c r="F12" s="3"/>
      <c r="G12" s="28"/>
      <c r="H12" s="10"/>
      <c r="I12" s="10">
        <f t="shared" si="5"/>
        <v>492</v>
      </c>
      <c r="J12" s="10">
        <f t="shared" si="3"/>
        <v>11654242241.13168</v>
      </c>
      <c r="K12" s="11">
        <f t="shared" si="4"/>
        <v>3.2599999999999962E-2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22939651.588168155</v>
      </c>
      <c r="D13" s="11">
        <v>3.3000000000000002E-2</v>
      </c>
      <c r="E13" s="10">
        <f t="shared" si="2"/>
        <v>732825.26854747906</v>
      </c>
      <c r="F13" s="3"/>
      <c r="G13" s="28"/>
      <c r="H13" s="10"/>
      <c r="I13" s="10">
        <f t="shared" si="5"/>
        <v>492</v>
      </c>
      <c r="J13" s="10">
        <f t="shared" si="3"/>
        <v>11286308581.378733</v>
      </c>
      <c r="K13" s="11">
        <f t="shared" si="4"/>
        <v>3.2999999999999918E-2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22206826.319620676</v>
      </c>
      <c r="D14" s="11">
        <v>3.3300000000000003E-2</v>
      </c>
      <c r="E14" s="10">
        <f t="shared" si="2"/>
        <v>715655.97255721688</v>
      </c>
      <c r="F14" s="3"/>
      <c r="G14" s="28"/>
      <c r="H14" s="10"/>
      <c r="I14" s="10">
        <f t="shared" si="5"/>
        <v>492</v>
      </c>
      <c r="J14" s="10">
        <f t="shared" si="3"/>
        <v>10925758549.253372</v>
      </c>
      <c r="K14" s="11">
        <f t="shared" si="4"/>
        <v>3.3300000000000107E-2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21491170.347063459</v>
      </c>
      <c r="D15" s="11">
        <v>3.3399999999999999E-2</v>
      </c>
      <c r="E15" s="10">
        <f t="shared" si="2"/>
        <v>694605.27345841005</v>
      </c>
      <c r="F15" s="3"/>
      <c r="G15" s="28"/>
      <c r="H15" s="10"/>
      <c r="I15" s="10">
        <f t="shared" si="5"/>
        <v>492</v>
      </c>
      <c r="J15" s="10">
        <f t="shared" si="3"/>
        <v>10573655810.755222</v>
      </c>
      <c r="K15" s="11">
        <f t="shared" si="4"/>
        <v>3.3400000000000096E-2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20796565.073605049</v>
      </c>
      <c r="D16" s="11">
        <v>3.32E-2</v>
      </c>
      <c r="E16" s="10">
        <f t="shared" si="2"/>
        <v>668259.73716965318</v>
      </c>
      <c r="F16" s="3"/>
      <c r="G16" s="28"/>
      <c r="H16" s="10"/>
      <c r="I16" s="10">
        <f t="shared" si="5"/>
        <v>492</v>
      </c>
      <c r="J16" s="10">
        <f t="shared" si="3"/>
        <v>10231910016.213684</v>
      </c>
      <c r="K16" s="11">
        <f t="shared" si="4"/>
        <v>3.3199999999999896E-2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20128305.336435396</v>
      </c>
      <c r="D17" s="11">
        <v>3.2899999999999999E-2</v>
      </c>
      <c r="E17" s="10">
        <f t="shared" si="2"/>
        <v>641128.13008880243</v>
      </c>
      <c r="F17" s="3"/>
      <c r="G17" s="28"/>
      <c r="H17" s="10"/>
      <c r="I17" s="10">
        <f t="shared" si="5"/>
        <v>492</v>
      </c>
      <c r="J17" s="10">
        <f t="shared" si="3"/>
        <v>9903126225.5262146</v>
      </c>
      <c r="K17" s="11">
        <f t="shared" si="4"/>
        <v>3.2899999999999929E-2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19487177.206346594</v>
      </c>
      <c r="D18" s="11">
        <v>3.2500000000000001E-2</v>
      </c>
      <c r="E18" s="10">
        <f t="shared" si="2"/>
        <v>613397.82973972335</v>
      </c>
      <c r="F18" s="3"/>
      <c r="G18" s="28"/>
      <c r="H18" s="10"/>
      <c r="I18" s="10">
        <f t="shared" si="5"/>
        <v>492</v>
      </c>
      <c r="J18" s="10">
        <f t="shared" si="3"/>
        <v>9587691185.5225239</v>
      </c>
      <c r="K18" s="11">
        <f t="shared" si="4"/>
        <v>3.2499999999999973E-2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18873779.37660687</v>
      </c>
      <c r="D19" s="11">
        <v>3.2099999999999997E-2</v>
      </c>
      <c r="E19" s="10">
        <f t="shared" si="2"/>
        <v>587005.44326042011</v>
      </c>
      <c r="F19" s="3"/>
      <c r="G19" s="28"/>
      <c r="H19" s="10"/>
      <c r="I19" s="10">
        <f t="shared" si="5"/>
        <v>492</v>
      </c>
      <c r="J19" s="10">
        <f t="shared" si="3"/>
        <v>9285899453.2905807</v>
      </c>
      <c r="K19" s="11">
        <f t="shared" si="4"/>
        <v>3.2100000000000017E-2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18286773.93334645</v>
      </c>
      <c r="D20" s="11">
        <v>3.1600000000000003E-2</v>
      </c>
      <c r="E20" s="10">
        <f t="shared" si="2"/>
        <v>560160.96965272352</v>
      </c>
      <c r="F20" s="3"/>
      <c r="G20" s="28"/>
      <c r="H20" s="10"/>
      <c r="I20" s="10">
        <f t="shared" si="5"/>
        <v>492</v>
      </c>
      <c r="J20" s="10">
        <f t="shared" si="3"/>
        <v>8997092775.2064533</v>
      </c>
      <c r="K20" s="11">
        <f t="shared" si="4"/>
        <v>3.1600000000000072E-2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17726612.963693727</v>
      </c>
      <c r="D21" s="11">
        <v>3.1099999999999999E-2</v>
      </c>
      <c r="E21" s="10">
        <f t="shared" si="2"/>
        <v>534669.44347868487</v>
      </c>
      <c r="F21" s="3"/>
      <c r="G21" s="28"/>
      <c r="H21" s="10"/>
      <c r="I21" s="10">
        <f t="shared" si="5"/>
        <v>492</v>
      </c>
      <c r="J21" s="10">
        <f t="shared" si="3"/>
        <v>8721493578.1373138</v>
      </c>
      <c r="K21" s="11">
        <f t="shared" si="4"/>
        <v>3.1099999999999905E-2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17191943.520215042</v>
      </c>
      <c r="D22" s="11">
        <v>3.0599999999999999E-2</v>
      </c>
      <c r="E22" s="10">
        <f t="shared" si="2"/>
        <v>510453.59180921875</v>
      </c>
      <c r="F22" s="3"/>
      <c r="G22" s="28"/>
      <c r="H22" s="10"/>
      <c r="I22" s="10">
        <f t="shared" si="5"/>
        <v>492</v>
      </c>
      <c r="J22" s="10">
        <f t="shared" si="3"/>
        <v>8458436211.9458008</v>
      </c>
      <c r="K22" s="11">
        <f t="shared" si="4"/>
        <v>3.0599999999999961E-2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16681489.928405823</v>
      </c>
      <c r="D23" s="11">
        <v>3.0300000000000001E-2</v>
      </c>
      <c r="E23" s="10">
        <f t="shared" si="2"/>
        <v>490584.43640754744</v>
      </c>
      <c r="F23" s="3"/>
      <c r="G23" s="28"/>
      <c r="H23" s="10"/>
      <c r="I23" s="10">
        <f t="shared" si="5"/>
        <v>492</v>
      </c>
      <c r="J23" s="10">
        <f t="shared" si="3"/>
        <v>8207293044.7756653</v>
      </c>
      <c r="K23" s="11">
        <f t="shared" si="4"/>
        <v>3.0299999999999994E-2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16190905.491998276</v>
      </c>
      <c r="D24" s="11">
        <v>3.0200000000000001E-2</v>
      </c>
      <c r="E24" s="10">
        <f t="shared" si="2"/>
        <v>474631.47530416213</v>
      </c>
      <c r="F24" s="3"/>
      <c r="G24" s="28"/>
      <c r="H24" s="10"/>
      <c r="I24" s="10">
        <f t="shared" si="5"/>
        <v>492</v>
      </c>
      <c r="J24" s="10">
        <f t="shared" si="3"/>
        <v>7965925502.0631514</v>
      </c>
      <c r="K24" s="11">
        <f t="shared" si="4"/>
        <v>3.0200000000000005E-2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15716274.016694114</v>
      </c>
      <c r="D25" s="11">
        <v>3.0499999999999999E-2</v>
      </c>
      <c r="E25" s="10">
        <f t="shared" si="2"/>
        <v>465159.00777211972</v>
      </c>
      <c r="F25" s="3"/>
      <c r="G25" s="28"/>
      <c r="H25" s="10"/>
      <c r="I25" s="10">
        <f t="shared" si="5"/>
        <v>492</v>
      </c>
      <c r="J25" s="10">
        <f t="shared" si="3"/>
        <v>7732406816.2135038</v>
      </c>
      <c r="K25" s="11">
        <f t="shared" si="4"/>
        <v>3.0499999999999972E-2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15251115.008921994</v>
      </c>
      <c r="D26" s="11">
        <v>3.1099999999999999E-2</v>
      </c>
      <c r="E26" s="10">
        <f t="shared" si="2"/>
        <v>460003.56587864645</v>
      </c>
      <c r="F26" s="3"/>
      <c r="G26" s="28"/>
      <c r="H26" s="10"/>
      <c r="I26" s="10">
        <f t="shared" si="5"/>
        <v>492</v>
      </c>
      <c r="J26" s="10">
        <f t="shared" si="3"/>
        <v>7503548584.3896208</v>
      </c>
      <c r="K26" s="11">
        <f t="shared" si="4"/>
        <v>3.1099999999999905E-2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14791111.443043347</v>
      </c>
      <c r="D27" s="11">
        <v>3.2199999999999999E-2</v>
      </c>
      <c r="E27" s="10">
        <f t="shared" si="2"/>
        <v>461416.1872369647</v>
      </c>
      <c r="F27" s="3"/>
      <c r="G27" s="28"/>
      <c r="H27" s="10"/>
      <c r="I27" s="10">
        <f t="shared" si="5"/>
        <v>492</v>
      </c>
      <c r="J27" s="10">
        <f t="shared" si="3"/>
        <v>7277226829.9773273</v>
      </c>
      <c r="K27" s="11">
        <f t="shared" si="4"/>
        <v>3.2200000000000006E-2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14329695.255806383</v>
      </c>
      <c r="D28" s="11">
        <v>3.3599999999999998E-2</v>
      </c>
      <c r="E28" s="10">
        <f t="shared" si="2"/>
        <v>465826.00676770136</v>
      </c>
      <c r="F28" s="3"/>
      <c r="G28" s="28"/>
      <c r="H28" s="10"/>
      <c r="I28" s="10">
        <f t="shared" si="5"/>
        <v>492</v>
      </c>
      <c r="J28" s="10">
        <f t="shared" si="3"/>
        <v>7050210065.85674</v>
      </c>
      <c r="K28" s="11">
        <f t="shared" si="4"/>
        <v>3.3600000000000074E-2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13863869.249038681</v>
      </c>
      <c r="D29" s="11">
        <v>3.5099999999999999E-2</v>
      </c>
      <c r="E29" s="10">
        <f t="shared" si="2"/>
        <v>470120.57834147103</v>
      </c>
      <c r="F29" s="3"/>
      <c r="G29" s="28"/>
      <c r="H29" s="10"/>
      <c r="I29" s="10">
        <f t="shared" si="5"/>
        <v>492</v>
      </c>
      <c r="J29" s="10">
        <f t="shared" si="3"/>
        <v>6821023670.5270309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13393748.67069721</v>
      </c>
      <c r="D30" s="11">
        <v>3.6600000000000001E-2</v>
      </c>
      <c r="E30" s="10">
        <f t="shared" si="2"/>
        <v>472902.95325826481</v>
      </c>
      <c r="F30" s="3"/>
      <c r="G30" s="28"/>
      <c r="H30" s="10"/>
      <c r="I30" s="10">
        <f t="shared" si="5"/>
        <v>492</v>
      </c>
      <c r="J30" s="10">
        <f t="shared" si="3"/>
        <v>6589724345.9830275</v>
      </c>
      <c r="K30" s="11">
        <f t="shared" si="4"/>
        <v>3.6599999999999966E-2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12920845.717438946</v>
      </c>
      <c r="D31" s="11">
        <v>3.8100000000000002E-2</v>
      </c>
      <c r="E31" s="10">
        <f t="shared" si="2"/>
        <v>474216.57049843296</v>
      </c>
      <c r="F31" s="3"/>
      <c r="G31" s="28"/>
      <c r="H31" s="10"/>
      <c r="I31" s="10">
        <f t="shared" si="5"/>
        <v>492</v>
      </c>
      <c r="J31" s="10">
        <f t="shared" si="3"/>
        <v>6357056092.9799614</v>
      </c>
      <c r="K31" s="11">
        <f t="shared" si="4"/>
        <v>3.8100000000000023E-2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12446629.146940513</v>
      </c>
      <c r="D32" s="11">
        <v>3.9399999999999998E-2</v>
      </c>
      <c r="E32" s="10">
        <f t="shared" si="2"/>
        <v>471807.95496387966</v>
      </c>
      <c r="F32" s="3"/>
      <c r="G32" s="28"/>
      <c r="H32" s="10"/>
      <c r="I32" s="10">
        <f t="shared" si="5"/>
        <v>492</v>
      </c>
      <c r="J32" s="10">
        <f t="shared" si="3"/>
        <v>6123741540.2947321</v>
      </c>
      <c r="K32" s="11">
        <f t="shared" si="4"/>
        <v>3.9400000000000102E-2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11974821.191976633</v>
      </c>
      <c r="D33" s="11">
        <v>4.0300000000000002E-2</v>
      </c>
      <c r="E33" s="10">
        <f t="shared" si="2"/>
        <v>463890.50661987811</v>
      </c>
      <c r="F33" s="3"/>
      <c r="G33" s="28"/>
      <c r="H33" s="10"/>
      <c r="I33" s="10">
        <f t="shared" si="5"/>
        <v>492</v>
      </c>
      <c r="J33" s="10">
        <f t="shared" si="3"/>
        <v>5891612026.4525032</v>
      </c>
      <c r="K33" s="11">
        <f t="shared" si="4"/>
        <v>4.0300000000000002E-2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11510930.685356755</v>
      </c>
      <c r="D34" s="11">
        <v>4.07E-2</v>
      </c>
      <c r="E34" s="10">
        <f t="shared" si="2"/>
        <v>450172.84413761832</v>
      </c>
      <c r="F34" s="3"/>
      <c r="G34" s="28"/>
      <c r="H34" s="10"/>
      <c r="I34" s="10">
        <f t="shared" si="5"/>
        <v>492</v>
      </c>
      <c r="J34" s="10">
        <f t="shared" ref="J34:J65" si="6">IF(I34="","",I34*C34)</f>
        <v>5663377897.1955233</v>
      </c>
      <c r="K34" s="11">
        <f t="shared" ref="K34:K65" si="7">IFERROR(J34/J35-1,"")</f>
        <v>4.0699999999999958E-2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11060757.841219136</v>
      </c>
      <c r="D35" s="11">
        <v>4.07E-2</v>
      </c>
      <c r="E35" s="10">
        <f t="shared" si="2"/>
        <v>432567.35287558287</v>
      </c>
      <c r="F35" s="3"/>
      <c r="G35" s="28"/>
      <c r="H35" s="10"/>
      <c r="I35" s="10">
        <f t="shared" ref="I35:I66" si="8">IF(H35&lt;&gt;"",H35,I34/(1+IF(G34="",0,G34)/100))</f>
        <v>492</v>
      </c>
      <c r="J35" s="10">
        <f t="shared" si="6"/>
        <v>5441892857.8798151</v>
      </c>
      <c r="K35" s="11">
        <f t="shared" si="7"/>
        <v>4.070000000000018E-2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10628190.488343554</v>
      </c>
      <c r="D36" s="11">
        <v>4.0399999999999998E-2</v>
      </c>
      <c r="E36" s="10">
        <f t="shared" si="2"/>
        <v>412705.58989723213</v>
      </c>
      <c r="F36" s="3"/>
      <c r="G36" s="28"/>
      <c r="H36" s="10"/>
      <c r="I36" s="10">
        <f t="shared" si="8"/>
        <v>492</v>
      </c>
      <c r="J36" s="10">
        <f t="shared" si="6"/>
        <v>5229069720.265028</v>
      </c>
      <c r="K36" s="11">
        <f t="shared" si="7"/>
        <v>4.0399999999999991E-2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10215484.898446321</v>
      </c>
      <c r="D37" s="11">
        <v>3.9699999999999999E-2</v>
      </c>
      <c r="E37" s="10">
        <f t="shared" si="2"/>
        <v>390069.01074186713</v>
      </c>
      <c r="F37" s="3"/>
      <c r="G37" s="28"/>
      <c r="H37" s="10"/>
      <c r="I37" s="10">
        <f t="shared" si="8"/>
        <v>492</v>
      </c>
      <c r="J37" s="10">
        <f t="shared" si="6"/>
        <v>5026018570.0355902</v>
      </c>
      <c r="K37" s="11">
        <f t="shared" si="7"/>
        <v>3.9700000000000069E-2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9825415.8877044544</v>
      </c>
      <c r="D38" s="11">
        <v>3.8899999999999997E-2</v>
      </c>
      <c r="E38" s="10">
        <f t="shared" si="2"/>
        <v>367897.46658167616</v>
      </c>
      <c r="F38" s="3"/>
      <c r="G38" s="28"/>
      <c r="H38" s="10"/>
      <c r="I38" s="10">
        <f t="shared" si="8"/>
        <v>492</v>
      </c>
      <c r="J38" s="10">
        <f t="shared" si="6"/>
        <v>4834104616.7505913</v>
      </c>
      <c r="K38" s="11">
        <f t="shared" si="7"/>
        <v>3.8899999999999935E-2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9457518.4211227782</v>
      </c>
      <c r="D39" s="11">
        <v>3.8100000000000002E-2</v>
      </c>
      <c r="E39" s="10">
        <f t="shared" si="2"/>
        <v>347106.68706750683</v>
      </c>
      <c r="F39" s="3"/>
      <c r="G39" s="28"/>
      <c r="H39" s="10"/>
      <c r="I39" s="10">
        <f t="shared" si="8"/>
        <v>492</v>
      </c>
      <c r="J39" s="10">
        <f t="shared" si="6"/>
        <v>4653099063.1924067</v>
      </c>
      <c r="K39" s="11">
        <f t="shared" si="7"/>
        <v>3.8100000000000023E-2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9110411.7340552714</v>
      </c>
      <c r="D40" s="11">
        <v>3.73E-2</v>
      </c>
      <c r="E40" s="10">
        <f t="shared" si="2"/>
        <v>327598.91803746484</v>
      </c>
      <c r="F40" s="3"/>
      <c r="G40" s="28"/>
      <c r="H40" s="10"/>
      <c r="I40" s="10">
        <f t="shared" si="8"/>
        <v>492</v>
      </c>
      <c r="J40" s="10">
        <f t="shared" si="6"/>
        <v>4482322573.1551933</v>
      </c>
      <c r="K40" s="11">
        <f t="shared" si="7"/>
        <v>3.7300000000000111E-2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8782812.8160178065</v>
      </c>
      <c r="D41" s="11">
        <v>3.6499999999999998E-2</v>
      </c>
      <c r="E41" s="10">
        <f t="shared" si="2"/>
        <v>309283.8087647371</v>
      </c>
      <c r="F41" s="3"/>
      <c r="G41" s="28"/>
      <c r="H41" s="10"/>
      <c r="I41" s="10">
        <f t="shared" si="8"/>
        <v>492</v>
      </c>
      <c r="J41" s="10">
        <f t="shared" si="6"/>
        <v>4321143905.4807606</v>
      </c>
      <c r="K41" s="11">
        <f t="shared" si="7"/>
        <v>3.6499999999999977E-2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8473529.0072530694</v>
      </c>
      <c r="D42" s="11">
        <v>3.5799999999999998E-2</v>
      </c>
      <c r="E42" s="10">
        <f t="shared" si="2"/>
        <v>292867.67567065079</v>
      </c>
      <c r="F42" s="3"/>
      <c r="G42" s="28"/>
      <c r="H42" s="10"/>
      <c r="I42" s="10">
        <f t="shared" si="8"/>
        <v>492</v>
      </c>
      <c r="J42" s="10">
        <f t="shared" si="6"/>
        <v>4168976271.5685101</v>
      </c>
      <c r="K42" s="11">
        <f t="shared" si="7"/>
        <v>3.5800000000000054E-2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8180661.3315824186</v>
      </c>
      <c r="D43" s="11">
        <v>3.5200000000000002E-2</v>
      </c>
      <c r="E43" s="10">
        <f t="shared" si="2"/>
        <v>278167.77325318847</v>
      </c>
      <c r="F43" s="3"/>
      <c r="G43" s="28"/>
      <c r="H43" s="10"/>
      <c r="I43" s="10">
        <f t="shared" si="8"/>
        <v>492</v>
      </c>
      <c r="J43" s="10">
        <f t="shared" si="6"/>
        <v>4024885375.1385498</v>
      </c>
      <c r="K43" s="11">
        <f t="shared" si="7"/>
        <v>3.5199999999999898E-2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7902493.5583292302</v>
      </c>
      <c r="D44" s="11">
        <v>3.4700000000000002E-2</v>
      </c>
      <c r="E44" s="10">
        <f t="shared" si="2"/>
        <v>265020.32132407837</v>
      </c>
      <c r="F44" s="3"/>
      <c r="G44" s="28"/>
      <c r="H44" s="10"/>
      <c r="I44" s="10">
        <f t="shared" si="8"/>
        <v>492</v>
      </c>
      <c r="J44" s="10">
        <f t="shared" si="6"/>
        <v>3888026830.6979814</v>
      </c>
      <c r="K44" s="11">
        <f t="shared" si="7"/>
        <v>3.4699999999999953E-2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7637473.2370051518</v>
      </c>
      <c r="D45" s="11">
        <v>3.4299999999999997E-2</v>
      </c>
      <c r="E45" s="10">
        <f t="shared" si="2"/>
        <v>253277.90005731117</v>
      </c>
      <c r="F45" s="3"/>
      <c r="G45" s="28"/>
      <c r="H45" s="10"/>
      <c r="I45" s="10">
        <f t="shared" si="8"/>
        <v>492</v>
      </c>
      <c r="J45" s="10">
        <f t="shared" si="6"/>
        <v>3757636832.6065345</v>
      </c>
      <c r="K45" s="11">
        <f t="shared" si="7"/>
        <v>3.4299999999999997E-2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7384195.3369478406</v>
      </c>
      <c r="D46" s="11">
        <v>3.39E-2</v>
      </c>
      <c r="E46" s="10">
        <f t="shared" si="2"/>
        <v>242116.47347183712</v>
      </c>
      <c r="F46" s="3"/>
      <c r="G46" s="28"/>
      <c r="H46" s="10"/>
      <c r="I46" s="10">
        <f t="shared" si="8"/>
        <v>492</v>
      </c>
      <c r="J46" s="10">
        <f t="shared" si="6"/>
        <v>3633024105.7783375</v>
      </c>
      <c r="K46" s="11">
        <f t="shared" si="7"/>
        <v>3.3900000000000041E-2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7142078.8634760035</v>
      </c>
      <c r="D47" s="11">
        <v>3.32E-2</v>
      </c>
      <c r="E47" s="10">
        <f t="shared" si="2"/>
        <v>229497.69480004162</v>
      </c>
      <c r="F47" s="3"/>
      <c r="G47" s="28"/>
      <c r="H47" s="10"/>
      <c r="I47" s="10">
        <f t="shared" si="8"/>
        <v>492</v>
      </c>
      <c r="J47" s="10">
        <f t="shared" si="6"/>
        <v>3513902800.8301935</v>
      </c>
      <c r="K47" s="11">
        <f t="shared" si="7"/>
        <v>3.3199999999999896E-2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6912581.1686759619</v>
      </c>
      <c r="D48" s="11">
        <v>3.2099999999999997E-2</v>
      </c>
      <c r="E48" s="10">
        <f t="shared" si="2"/>
        <v>214992.59327051509</v>
      </c>
      <c r="F48" s="3"/>
      <c r="G48" s="28"/>
      <c r="H48" s="10"/>
      <c r="I48" s="10">
        <f t="shared" si="8"/>
        <v>492</v>
      </c>
      <c r="J48" s="10">
        <f t="shared" si="6"/>
        <v>3400989934.9885731</v>
      </c>
      <c r="K48" s="11">
        <f t="shared" si="7"/>
        <v>3.2100000000000017E-2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6697588.5754054468</v>
      </c>
      <c r="D49" s="11">
        <v>3.0700000000000002E-2</v>
      </c>
      <c r="E49" s="10">
        <f t="shared" si="2"/>
        <v>199491.57782569807</v>
      </c>
      <c r="F49" s="3"/>
      <c r="G49" s="28"/>
      <c r="H49" s="10"/>
      <c r="I49" s="10">
        <f t="shared" si="8"/>
        <v>492</v>
      </c>
      <c r="J49" s="10">
        <f t="shared" si="6"/>
        <v>3295213579.0994797</v>
      </c>
      <c r="K49" s="11">
        <f t="shared" si="7"/>
        <v>3.069999999999995E-2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6498096.9975797487</v>
      </c>
      <c r="D50" s="11">
        <v>2.9100000000000001E-2</v>
      </c>
      <c r="E50" s="10">
        <f t="shared" si="2"/>
        <v>183747.56838943716</v>
      </c>
      <c r="F50" s="3"/>
      <c r="G50" s="28"/>
      <c r="H50" s="10"/>
      <c r="I50" s="10">
        <f t="shared" si="8"/>
        <v>492</v>
      </c>
      <c r="J50" s="10">
        <f t="shared" si="6"/>
        <v>3197063722.8092365</v>
      </c>
      <c r="K50" s="11">
        <f t="shared" si="7"/>
        <v>2.9099999999999904E-2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6314349.4291903116</v>
      </c>
      <c r="D51" s="11">
        <v>2.75E-2</v>
      </c>
      <c r="E51" s="10">
        <f t="shared" si="2"/>
        <v>168997.18666932732</v>
      </c>
      <c r="F51" s="3"/>
      <c r="G51" s="28"/>
      <c r="H51" s="10"/>
      <c r="I51" s="10">
        <f t="shared" si="8"/>
        <v>492</v>
      </c>
      <c r="J51" s="10">
        <f t="shared" si="6"/>
        <v>3106659919.1616335</v>
      </c>
      <c r="K51" s="11">
        <f t="shared" si="7"/>
        <v>2.750000000000008E-2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6145352.2425209843</v>
      </c>
      <c r="D52" s="11">
        <v>2.6100000000000002E-2</v>
      </c>
      <c r="E52" s="10">
        <f t="shared" si="2"/>
        <v>156313.90072098002</v>
      </c>
      <c r="F52" s="3"/>
      <c r="G52" s="28"/>
      <c r="H52" s="10"/>
      <c r="I52" s="10">
        <f t="shared" si="8"/>
        <v>492</v>
      </c>
      <c r="J52" s="10">
        <f t="shared" si="6"/>
        <v>3023513303.3203244</v>
      </c>
      <c r="K52" s="11">
        <f t="shared" si="7"/>
        <v>2.6100000000000012E-2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5989038.3418000042</v>
      </c>
      <c r="D53" s="11">
        <v>2.4899999999999999E-2</v>
      </c>
      <c r="E53" s="10">
        <f t="shared" si="2"/>
        <v>145504.00498665217</v>
      </c>
      <c r="F53" s="3"/>
      <c r="G53" s="28"/>
      <c r="H53" s="10"/>
      <c r="I53" s="10">
        <f t="shared" si="8"/>
        <v>492</v>
      </c>
      <c r="J53" s="10">
        <f t="shared" si="6"/>
        <v>2946606864.1656022</v>
      </c>
      <c r="K53" s="11">
        <f t="shared" si="7"/>
        <v>2.4899999999999922E-2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5843534.3368133521</v>
      </c>
      <c r="D54" s="11">
        <v>2.41E-2</v>
      </c>
      <c r="E54" s="10">
        <f t="shared" si="2"/>
        <v>137515.06446362846</v>
      </c>
      <c r="F54" s="3"/>
      <c r="G54" s="28"/>
      <c r="H54" s="10"/>
      <c r="I54" s="10">
        <f t="shared" si="8"/>
        <v>492</v>
      </c>
      <c r="J54" s="10">
        <f t="shared" si="6"/>
        <v>2875018893.7121692</v>
      </c>
      <c r="K54" s="11">
        <f t="shared" si="7"/>
        <v>2.410000000000001E-2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5706019.2723497236</v>
      </c>
      <c r="D55" s="11">
        <v>2.3599999999999999E-2</v>
      </c>
      <c r="E55" s="10">
        <f t="shared" si="2"/>
        <v>131557.30248872004</v>
      </c>
      <c r="F55" s="3"/>
      <c r="G55" s="28"/>
      <c r="H55" s="10"/>
      <c r="I55" s="10">
        <f t="shared" si="8"/>
        <v>492</v>
      </c>
      <c r="J55" s="10">
        <f t="shared" si="6"/>
        <v>2807361481.9960642</v>
      </c>
      <c r="K55" s="11">
        <f t="shared" si="7"/>
        <v>2.3600000000000065E-2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5574461.9698610036</v>
      </c>
      <c r="D56" s="11">
        <v>2.3400000000000001E-2</v>
      </c>
      <c r="E56" s="10">
        <f t="shared" si="2"/>
        <v>127459.84961378574</v>
      </c>
      <c r="F56" s="3"/>
      <c r="G56" s="28"/>
      <c r="H56" s="10"/>
      <c r="I56" s="10">
        <f t="shared" si="8"/>
        <v>492</v>
      </c>
      <c r="J56" s="10">
        <f t="shared" si="6"/>
        <v>2742635289.1716137</v>
      </c>
      <c r="K56" s="11">
        <f t="shared" si="7"/>
        <v>2.3400000000000087E-2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5447002.1202472178</v>
      </c>
      <c r="D57" s="11">
        <v>2.3400000000000001E-2</v>
      </c>
      <c r="E57" s="10">
        <f t="shared" si="2"/>
        <v>124545.48525873106</v>
      </c>
      <c r="F57" s="3"/>
      <c r="G57" s="28"/>
      <c r="H57" s="10"/>
      <c r="I57" s="10">
        <f t="shared" si="8"/>
        <v>492</v>
      </c>
      <c r="J57" s="10">
        <f t="shared" si="6"/>
        <v>2679925043.1616311</v>
      </c>
      <c r="K57" s="11">
        <f t="shared" si="7"/>
        <v>2.3400000000000087E-2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5322456.6349884868</v>
      </c>
      <c r="D58" s="11">
        <v>2.3400000000000001E-2</v>
      </c>
      <c r="E58" s="10">
        <f t="shared" si="2"/>
        <v>121697.75772789866</v>
      </c>
      <c r="F58" s="3"/>
      <c r="G58" s="28"/>
      <c r="H58" s="10"/>
      <c r="I58" s="10">
        <f t="shared" si="8"/>
        <v>492</v>
      </c>
      <c r="J58" s="10">
        <f t="shared" si="6"/>
        <v>2618648664.4143353</v>
      </c>
      <c r="K58" s="11">
        <f t="shared" si="7"/>
        <v>2.3400000000000087E-2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5200758.8772605881</v>
      </c>
      <c r="D59" s="11">
        <v>2.3400000000000001E-2</v>
      </c>
      <c r="E59" s="10">
        <f t="shared" si="2"/>
        <v>118915.14337297063</v>
      </c>
      <c r="F59" s="3"/>
      <c r="G59" s="28"/>
      <c r="H59" s="10"/>
      <c r="I59" s="10">
        <f t="shared" si="8"/>
        <v>492</v>
      </c>
      <c r="J59" s="10">
        <f t="shared" si="6"/>
        <v>2558773367.6122093</v>
      </c>
      <c r="K59" s="11">
        <f t="shared" si="7"/>
        <v>2.3400000000000087E-2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5081843.7338876175</v>
      </c>
      <c r="D60" s="11">
        <v>2.3300000000000001E-2</v>
      </c>
      <c r="E60" s="10">
        <f t="shared" si="2"/>
        <v>115710.89514275547</v>
      </c>
      <c r="F60" s="3"/>
      <c r="G60" s="28"/>
      <c r="H60" s="10"/>
      <c r="I60" s="10">
        <f t="shared" si="8"/>
        <v>492</v>
      </c>
      <c r="J60" s="10">
        <f t="shared" si="6"/>
        <v>2500267117.0727077</v>
      </c>
      <c r="K60" s="11">
        <f t="shared" si="7"/>
        <v>2.3299999999999876E-2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4966132.838744862</v>
      </c>
      <c r="D61" s="11">
        <v>2.29E-2</v>
      </c>
      <c r="E61" s="10">
        <f t="shared" si="2"/>
        <v>111178.4553790763</v>
      </c>
      <c r="F61" s="3"/>
      <c r="G61" s="28"/>
      <c r="H61" s="10"/>
      <c r="I61" s="10">
        <f t="shared" si="8"/>
        <v>492</v>
      </c>
      <c r="J61" s="10">
        <f t="shared" si="6"/>
        <v>2443337356.6624722</v>
      </c>
      <c r="K61" s="11">
        <f t="shared" si="7"/>
        <v>2.289999999999992E-2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4854954.3833657857</v>
      </c>
      <c r="D62" s="11">
        <v>2.24E-2</v>
      </c>
      <c r="E62" s="10">
        <f t="shared" si="2"/>
        <v>106368.32764807623</v>
      </c>
      <c r="F62" s="3"/>
      <c r="G62" s="28"/>
      <c r="H62" s="10"/>
      <c r="I62" s="10">
        <f t="shared" si="8"/>
        <v>492</v>
      </c>
      <c r="J62" s="10">
        <f t="shared" si="6"/>
        <v>2388637556.6159668</v>
      </c>
      <c r="K62" s="11">
        <f t="shared" si="7"/>
        <v>2.2399999999999975E-2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4748586.0557177095</v>
      </c>
      <c r="D63" s="11">
        <v>2.1700000000000001E-2</v>
      </c>
      <c r="E63" s="10">
        <f t="shared" si="2"/>
        <v>100855.74768432509</v>
      </c>
      <c r="F63" s="3"/>
      <c r="G63" s="28"/>
      <c r="H63" s="10"/>
      <c r="I63" s="10">
        <f t="shared" si="8"/>
        <v>492</v>
      </c>
      <c r="J63" s="10">
        <f t="shared" si="6"/>
        <v>2336304339.4131131</v>
      </c>
      <c r="K63" s="11">
        <f t="shared" si="7"/>
        <v>2.1700000000000275E-2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4647730.3080333844</v>
      </c>
      <c r="D64" s="11">
        <v>2.1000000000000001E-2</v>
      </c>
      <c r="E64" s="10">
        <f t="shared" si="2"/>
        <v>95594.844729383476</v>
      </c>
      <c r="F64" s="3"/>
      <c r="G64" s="28"/>
      <c r="H64" s="10"/>
      <c r="I64" s="10">
        <f t="shared" si="8"/>
        <v>492</v>
      </c>
      <c r="J64" s="10">
        <f t="shared" si="6"/>
        <v>2286683311.5524249</v>
      </c>
      <c r="K64" s="11">
        <f t="shared" si="7"/>
        <v>2.0999999999999686E-2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4552135.4633040009</v>
      </c>
      <c r="D65" s="11">
        <v>2.0299999999999999E-2</v>
      </c>
      <c r="E65" s="10">
        <f t="shared" si="2"/>
        <v>90569.783304000273</v>
      </c>
      <c r="F65" s="3"/>
      <c r="G65" s="28"/>
      <c r="H65" s="10"/>
      <c r="I65" s="10">
        <f t="shared" si="8"/>
        <v>492</v>
      </c>
      <c r="J65" s="10">
        <f t="shared" si="6"/>
        <v>2239650647.9455686</v>
      </c>
      <c r="K65" s="11">
        <f t="shared" si="7"/>
        <v>2.0299999999999985E-2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4461565.6800000006</v>
      </c>
      <c r="D66" s="11">
        <v>1.9599999999999999E-2</v>
      </c>
      <c r="E66" s="10">
        <f t="shared" si="2"/>
        <v>85765.680000000633</v>
      </c>
      <c r="F66" s="24">
        <f>SUM(F2)</f>
        <v>31948027</v>
      </c>
      <c r="G66" s="28"/>
      <c r="H66" s="10"/>
      <c r="I66" s="10">
        <f t="shared" si="8"/>
        <v>492</v>
      </c>
      <c r="J66" s="10">
        <f t="shared" ref="J66:J67" si="9">IF(I66="","",I66*C66)</f>
        <v>2195090314.5600004</v>
      </c>
      <c r="K66" s="11">
        <f t="shared" ref="K66" si="10">IFERROR(J66/J67-1,"")</f>
        <v>1.9600000000000284E-2</v>
      </c>
    </row>
    <row r="67" spans="1:11" ht="22.5" customHeight="1">
      <c r="A67" s="3">
        <f t="shared" si="0"/>
        <v>1950</v>
      </c>
      <c r="B67" s="3">
        <v>1700</v>
      </c>
      <c r="C67" s="10">
        <v>4375800</v>
      </c>
      <c r="D67" s="11">
        <v>1.89E-2</v>
      </c>
      <c r="E67" s="3" t="s">
        <v>72</v>
      </c>
      <c r="F67" s="10">
        <f>SUM(C2)</f>
        <v>31948416.67182257</v>
      </c>
      <c r="G67" s="28"/>
      <c r="H67" s="10"/>
      <c r="I67" s="10">
        <f t="shared" ref="I67" si="11">IF(H67&lt;&gt;"",H67,I66/(1+IF(G66="",0,G66)/100))</f>
        <v>492</v>
      </c>
      <c r="J67" s="10">
        <f t="shared" si="9"/>
        <v>2152893600</v>
      </c>
      <c r="K67" s="11"/>
    </row>
  </sheetData>
  <dataValidations count="1">
    <dataValidation type="custom" allowBlank="1" showDropDown="1" sqref="D2:D67" xr:uid="{00000000-0002-0000-8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2898593.7232139963</v>
      </c>
      <c r="D2" s="11">
        <v>2.1000000000000001E-2</v>
      </c>
      <c r="E2" s="10">
        <f t="shared" ref="E2:E66" si="2">SUM(C2-C3)</f>
        <v>59618.480105282739</v>
      </c>
      <c r="F2" s="15">
        <v>2898502</v>
      </c>
      <c r="G2" s="28"/>
      <c r="H2" s="10"/>
      <c r="I2" s="10">
        <f>IF(H2&lt;&gt;"",H2,397)</f>
        <v>397</v>
      </c>
      <c r="J2" s="10">
        <f t="shared" ref="J2:J33" si="3">IF(I2="","",I2*C2)</f>
        <v>1150741708.1159565</v>
      </c>
      <c r="K2" s="11">
        <f t="shared" ref="K2:K33" si="4">IFERROR(J2/J3-1,"")</f>
        <v>2.0999999999999908E-2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2838975.2431087135</v>
      </c>
      <c r="D3" s="11">
        <v>2.1100000000000001E-2</v>
      </c>
      <c r="E3" s="10">
        <f t="shared" si="2"/>
        <v>58664.555508367252</v>
      </c>
      <c r="F3" s="3"/>
      <c r="G3" s="28"/>
      <c r="H3" s="10"/>
      <c r="I3" s="10">
        <f t="shared" ref="I3:I34" si="5">IF(H3&lt;&gt;"",H3,I2/(1+IF(G2="",0,G2)/100))</f>
        <v>397</v>
      </c>
      <c r="J3" s="10">
        <f t="shared" si="3"/>
        <v>1127073171.5141592</v>
      </c>
      <c r="K3" s="11">
        <f t="shared" si="4"/>
        <v>2.1100000000000119E-2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2780310.6876003463</v>
      </c>
      <c r="D4" s="11">
        <v>2.1399999999999999E-2</v>
      </c>
      <c r="E4" s="10">
        <f t="shared" si="2"/>
        <v>58252.054743144196</v>
      </c>
      <c r="F4" s="3"/>
      <c r="G4" s="28"/>
      <c r="H4" s="10"/>
      <c r="I4" s="10">
        <f t="shared" si="5"/>
        <v>397</v>
      </c>
      <c r="J4" s="10">
        <f t="shared" si="3"/>
        <v>1103783342.9773374</v>
      </c>
      <c r="K4" s="11">
        <f t="shared" si="4"/>
        <v>2.1399999999999864E-2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2722058.6328572021</v>
      </c>
      <c r="D5" s="11">
        <v>2.1700000000000001E-2</v>
      </c>
      <c r="E5" s="10">
        <f t="shared" si="2"/>
        <v>57814.106227857061</v>
      </c>
      <c r="F5" s="3"/>
      <c r="G5" s="28"/>
      <c r="H5" s="10"/>
      <c r="I5" s="10">
        <f t="shared" si="5"/>
        <v>397</v>
      </c>
      <c r="J5" s="10">
        <f t="shared" si="3"/>
        <v>1080657277.2443092</v>
      </c>
      <c r="K5" s="11">
        <f t="shared" si="4"/>
        <v>2.1700000000000053E-2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2664244.526629345</v>
      </c>
      <c r="D6" s="11">
        <v>2.2100000000000002E-2</v>
      </c>
      <c r="E6" s="10">
        <f t="shared" si="2"/>
        <v>57606.696055678185</v>
      </c>
      <c r="F6" s="3"/>
      <c r="G6" s="28"/>
      <c r="H6" s="10"/>
      <c r="I6" s="10">
        <f t="shared" si="5"/>
        <v>397</v>
      </c>
      <c r="J6" s="10">
        <f t="shared" si="3"/>
        <v>1057705077.0718499</v>
      </c>
      <c r="K6" s="11">
        <f t="shared" si="4"/>
        <v>2.2100000000000009E-2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2606637.8305736668</v>
      </c>
      <c r="D7" s="11">
        <v>2.2599999999999999E-2</v>
      </c>
      <c r="E7" s="10">
        <f t="shared" si="2"/>
        <v>57608.072531747166</v>
      </c>
      <c r="F7" s="3"/>
      <c r="G7" s="28"/>
      <c r="H7" s="10"/>
      <c r="I7" s="10">
        <f t="shared" si="5"/>
        <v>397</v>
      </c>
      <c r="J7" s="10">
        <f t="shared" si="3"/>
        <v>1034835218.7377458</v>
      </c>
      <c r="K7" s="11">
        <f t="shared" si="4"/>
        <v>2.2599999999999953E-2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2549029.7580419197</v>
      </c>
      <c r="D8" s="11">
        <v>2.3E-2</v>
      </c>
      <c r="E8" s="10">
        <f t="shared" si="2"/>
        <v>57309.564452555031</v>
      </c>
      <c r="F8" s="3"/>
      <c r="G8" s="28"/>
      <c r="H8" s="10"/>
      <c r="I8" s="10">
        <f t="shared" si="5"/>
        <v>397</v>
      </c>
      <c r="J8" s="10">
        <f t="shared" si="3"/>
        <v>1011964813.9426421</v>
      </c>
      <c r="K8" s="11">
        <f t="shared" si="4"/>
        <v>2.2999999999999909E-2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2491720.1935893646</v>
      </c>
      <c r="D9" s="11">
        <v>2.35E-2</v>
      </c>
      <c r="E9" s="10">
        <f t="shared" si="2"/>
        <v>57210.966828871984</v>
      </c>
      <c r="F9" s="3"/>
      <c r="G9" s="28"/>
      <c r="H9" s="10"/>
      <c r="I9" s="10">
        <f t="shared" si="5"/>
        <v>397</v>
      </c>
      <c r="J9" s="10">
        <f t="shared" si="3"/>
        <v>989212916.85497773</v>
      </c>
      <c r="K9" s="11">
        <f t="shared" si="4"/>
        <v>2.3500000000000298E-2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2434509.2267604927</v>
      </c>
      <c r="D10" s="11">
        <v>2.4E-2</v>
      </c>
      <c r="E10" s="10">
        <f t="shared" si="2"/>
        <v>57058.810002198908</v>
      </c>
      <c r="F10" s="3"/>
      <c r="G10" s="28"/>
      <c r="H10" s="10"/>
      <c r="I10" s="10">
        <f t="shared" si="5"/>
        <v>397</v>
      </c>
      <c r="J10" s="10">
        <f t="shared" si="3"/>
        <v>966500163.02391553</v>
      </c>
      <c r="K10" s="11">
        <f t="shared" si="4"/>
        <v>2.3999999999999799E-2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2377450.4167582938</v>
      </c>
      <c r="D11" s="11">
        <v>2.4500000000000001E-2</v>
      </c>
      <c r="E11" s="10">
        <f t="shared" si="2"/>
        <v>56854.597570110578</v>
      </c>
      <c r="F11" s="3"/>
      <c r="G11" s="28"/>
      <c r="H11" s="10"/>
      <c r="I11" s="10">
        <f t="shared" si="5"/>
        <v>397</v>
      </c>
      <c r="J11" s="10">
        <f t="shared" si="3"/>
        <v>943847815.45304263</v>
      </c>
      <c r="K11" s="11">
        <f t="shared" si="4"/>
        <v>2.4499999999999966E-2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2320595.8191881832</v>
      </c>
      <c r="D12" s="11">
        <v>2.4899999999999999E-2</v>
      </c>
      <c r="E12" s="10">
        <f t="shared" si="2"/>
        <v>56378.998826993629</v>
      </c>
      <c r="F12" s="3"/>
      <c r="G12" s="28"/>
      <c r="H12" s="10"/>
      <c r="I12" s="10">
        <f t="shared" si="5"/>
        <v>397</v>
      </c>
      <c r="J12" s="10">
        <f t="shared" si="3"/>
        <v>921276540.21770871</v>
      </c>
      <c r="K12" s="11">
        <f t="shared" si="4"/>
        <v>2.4899999999999922E-2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2264216.8203611895</v>
      </c>
      <c r="D13" s="11">
        <v>2.53E-2</v>
      </c>
      <c r="E13" s="10">
        <f t="shared" si="2"/>
        <v>55871.145572162699</v>
      </c>
      <c r="F13" s="3"/>
      <c r="G13" s="28"/>
      <c r="H13" s="10"/>
      <c r="I13" s="10">
        <f t="shared" si="5"/>
        <v>397</v>
      </c>
      <c r="J13" s="10">
        <f t="shared" si="3"/>
        <v>898894077.68339229</v>
      </c>
      <c r="K13" s="11">
        <f t="shared" si="4"/>
        <v>2.53000000000001E-2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2208345.6747890268</v>
      </c>
      <c r="D14" s="11">
        <v>2.5700000000000001E-2</v>
      </c>
      <c r="E14" s="10">
        <f t="shared" si="2"/>
        <v>55332.440130718518</v>
      </c>
      <c r="F14" s="3"/>
      <c r="G14" s="28"/>
      <c r="H14" s="10"/>
      <c r="I14" s="10">
        <f t="shared" si="5"/>
        <v>397</v>
      </c>
      <c r="J14" s="10">
        <f t="shared" si="3"/>
        <v>876713232.8912437</v>
      </c>
      <c r="K14" s="11">
        <f t="shared" si="4"/>
        <v>2.5700000000000056E-2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2153013.2346583083</v>
      </c>
      <c r="D15" s="11">
        <v>2.6100000000000002E-2</v>
      </c>
      <c r="E15" s="10">
        <f t="shared" si="2"/>
        <v>54764.297265940811</v>
      </c>
      <c r="F15" s="3"/>
      <c r="G15" s="28"/>
      <c r="H15" s="10"/>
      <c r="I15" s="10">
        <f t="shared" si="5"/>
        <v>397</v>
      </c>
      <c r="J15" s="10">
        <f t="shared" si="3"/>
        <v>854746254.15934837</v>
      </c>
      <c r="K15" s="11">
        <f t="shared" si="4"/>
        <v>2.6100000000000012E-2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2098248.9373923675</v>
      </c>
      <c r="D16" s="11">
        <v>2.6599999999999999E-2</v>
      </c>
      <c r="E16" s="10">
        <f t="shared" si="2"/>
        <v>54367.252809893806</v>
      </c>
      <c r="F16" s="3"/>
      <c r="G16" s="28"/>
      <c r="H16" s="10"/>
      <c r="I16" s="10">
        <f t="shared" si="5"/>
        <v>397</v>
      </c>
      <c r="J16" s="10">
        <f t="shared" si="3"/>
        <v>833004828.14476991</v>
      </c>
      <c r="K16" s="11">
        <f t="shared" si="4"/>
        <v>2.6599999999999957E-2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2043881.6845824737</v>
      </c>
      <c r="D17" s="11">
        <v>2.7199999999999998E-2</v>
      </c>
      <c r="E17" s="10">
        <f t="shared" si="2"/>
        <v>54121.477629130706</v>
      </c>
      <c r="F17" s="3"/>
      <c r="G17" s="28"/>
      <c r="H17" s="10"/>
      <c r="I17" s="10">
        <f t="shared" si="5"/>
        <v>397</v>
      </c>
      <c r="J17" s="10">
        <f t="shared" si="3"/>
        <v>811421028.77924204</v>
      </c>
      <c r="K17" s="11">
        <f t="shared" si="4"/>
        <v>2.7199999999999891E-2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1989760.206953343</v>
      </c>
      <c r="D18" s="11">
        <v>2.7900000000000001E-2</v>
      </c>
      <c r="E18" s="10">
        <f t="shared" si="2"/>
        <v>54007.500509775709</v>
      </c>
      <c r="F18" s="3"/>
      <c r="G18" s="28"/>
      <c r="H18" s="10"/>
      <c r="I18" s="10">
        <f t="shared" si="5"/>
        <v>397</v>
      </c>
      <c r="J18" s="10">
        <f t="shared" si="3"/>
        <v>789934802.16047716</v>
      </c>
      <c r="K18" s="11">
        <f t="shared" si="4"/>
        <v>2.7900000000000036E-2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1935752.7064435673</v>
      </c>
      <c r="D19" s="11">
        <v>2.87E-2</v>
      </c>
      <c r="E19" s="10">
        <f t="shared" si="2"/>
        <v>54006.126834772294</v>
      </c>
      <c r="F19" s="3"/>
      <c r="G19" s="28"/>
      <c r="H19" s="10"/>
      <c r="I19" s="10">
        <f t="shared" si="5"/>
        <v>397</v>
      </c>
      <c r="J19" s="10">
        <f t="shared" si="3"/>
        <v>768493824.45809627</v>
      </c>
      <c r="K19" s="11">
        <f t="shared" si="4"/>
        <v>2.8699999999999948E-2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1881746.579608795</v>
      </c>
      <c r="D20" s="11">
        <v>2.9499999999999998E-2</v>
      </c>
      <c r="E20" s="10">
        <f t="shared" si="2"/>
        <v>53920.858764895238</v>
      </c>
      <c r="F20" s="3"/>
      <c r="G20" s="28"/>
      <c r="H20" s="10"/>
      <c r="I20" s="10">
        <f t="shared" si="5"/>
        <v>397</v>
      </c>
      <c r="J20" s="10">
        <f t="shared" si="3"/>
        <v>747053392.10469162</v>
      </c>
      <c r="K20" s="11">
        <f t="shared" si="4"/>
        <v>2.9500000000000082E-2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1827825.7208438998</v>
      </c>
      <c r="D21" s="11">
        <v>3.0300000000000001E-2</v>
      </c>
      <c r="E21" s="10">
        <f t="shared" si="2"/>
        <v>53754.362167883199</v>
      </c>
      <c r="F21" s="3"/>
      <c r="G21" s="28"/>
      <c r="H21" s="10"/>
      <c r="I21" s="10">
        <f t="shared" si="5"/>
        <v>397</v>
      </c>
      <c r="J21" s="10">
        <f t="shared" si="3"/>
        <v>725646811.1750282</v>
      </c>
      <c r="K21" s="11">
        <f t="shared" si="4"/>
        <v>3.0299999999999994E-2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1774071.3586760166</v>
      </c>
      <c r="D22" s="11">
        <v>3.1199999999999999E-2</v>
      </c>
      <c r="E22" s="10">
        <f t="shared" si="2"/>
        <v>53676.32504915772</v>
      </c>
      <c r="F22" s="3"/>
      <c r="G22" s="28"/>
      <c r="H22" s="10"/>
      <c r="I22" s="10">
        <f t="shared" si="5"/>
        <v>397</v>
      </c>
      <c r="J22" s="10">
        <f t="shared" si="3"/>
        <v>704306329.39437854</v>
      </c>
      <c r="K22" s="11">
        <f t="shared" si="4"/>
        <v>3.1199999999999894E-2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1720395.0336268588</v>
      </c>
      <c r="D23" s="11">
        <v>3.2099999999999997E-2</v>
      </c>
      <c r="E23" s="10">
        <f t="shared" si="2"/>
        <v>53507.102586398832</v>
      </c>
      <c r="F23" s="3"/>
      <c r="G23" s="28"/>
      <c r="H23" s="10"/>
      <c r="I23" s="10">
        <f t="shared" si="5"/>
        <v>397</v>
      </c>
      <c r="J23" s="10">
        <f t="shared" si="3"/>
        <v>682996828.34986293</v>
      </c>
      <c r="K23" s="11">
        <f t="shared" si="4"/>
        <v>3.2100000000000017E-2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1666887.93104046</v>
      </c>
      <c r="D24" s="11">
        <v>3.2899999999999999E-2</v>
      </c>
      <c r="E24" s="10">
        <f t="shared" si="2"/>
        <v>53093.826054052683</v>
      </c>
      <c r="F24" s="3"/>
      <c r="G24" s="28"/>
      <c r="H24" s="10"/>
      <c r="I24" s="10">
        <f t="shared" si="5"/>
        <v>397</v>
      </c>
      <c r="J24" s="10">
        <f t="shared" si="3"/>
        <v>661754508.62306261</v>
      </c>
      <c r="K24" s="11">
        <f t="shared" si="4"/>
        <v>3.2899999999999929E-2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1613794.1049864073</v>
      </c>
      <c r="D25" s="11">
        <v>3.3700000000000001E-2</v>
      </c>
      <c r="E25" s="10">
        <f t="shared" si="2"/>
        <v>52611.842254079645</v>
      </c>
      <c r="F25" s="3"/>
      <c r="G25" s="28"/>
      <c r="H25" s="10"/>
      <c r="I25" s="10">
        <f t="shared" si="5"/>
        <v>397</v>
      </c>
      <c r="J25" s="10">
        <f t="shared" si="3"/>
        <v>640676259.6796037</v>
      </c>
      <c r="K25" s="11">
        <f t="shared" si="4"/>
        <v>3.3700000000000063E-2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1561182.2627323277</v>
      </c>
      <c r="D26" s="11">
        <v>3.4200000000000001E-2</v>
      </c>
      <c r="E26" s="10">
        <f t="shared" si="2"/>
        <v>51626.796930425102</v>
      </c>
      <c r="F26" s="3"/>
      <c r="G26" s="28"/>
      <c r="H26" s="10"/>
      <c r="I26" s="10">
        <f t="shared" si="5"/>
        <v>397</v>
      </c>
      <c r="J26" s="10">
        <f t="shared" si="3"/>
        <v>619789358.30473411</v>
      </c>
      <c r="K26" s="11">
        <f t="shared" si="4"/>
        <v>3.4200000000000008E-2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1509555.4658019026</v>
      </c>
      <c r="D27" s="11">
        <v>3.44E-2</v>
      </c>
      <c r="E27" s="10">
        <f t="shared" si="2"/>
        <v>50201.767230844358</v>
      </c>
      <c r="F27" s="3"/>
      <c r="G27" s="28"/>
      <c r="H27" s="10"/>
      <c r="I27" s="10">
        <f t="shared" si="5"/>
        <v>397</v>
      </c>
      <c r="J27" s="10">
        <f t="shared" si="3"/>
        <v>599293519.92335534</v>
      </c>
      <c r="K27" s="11">
        <f t="shared" si="4"/>
        <v>3.4399999999999986E-2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1459353.6985710582</v>
      </c>
      <c r="D28" s="11">
        <v>3.4200000000000001E-2</v>
      </c>
      <c r="E28" s="10">
        <f t="shared" si="2"/>
        <v>48259.424184036208</v>
      </c>
      <c r="F28" s="3"/>
      <c r="G28" s="28"/>
      <c r="H28" s="10"/>
      <c r="I28" s="10">
        <f t="shared" si="5"/>
        <v>397</v>
      </c>
      <c r="J28" s="10">
        <f t="shared" si="3"/>
        <v>579363418.33271015</v>
      </c>
      <c r="K28" s="11">
        <f t="shared" si="4"/>
        <v>3.4200000000000008E-2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1411094.274387022</v>
      </c>
      <c r="D29" s="11">
        <v>3.3700000000000001E-2</v>
      </c>
      <c r="E29" s="10">
        <f t="shared" si="2"/>
        <v>46003.557170206681</v>
      </c>
      <c r="F29" s="3"/>
      <c r="G29" s="28"/>
      <c r="H29" s="10"/>
      <c r="I29" s="10">
        <f t="shared" si="5"/>
        <v>397</v>
      </c>
      <c r="J29" s="10">
        <f t="shared" si="3"/>
        <v>560204426.93164778</v>
      </c>
      <c r="K29" s="11">
        <f t="shared" si="4"/>
        <v>3.3700000000000063E-2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1365090.7172168153</v>
      </c>
      <c r="D30" s="11">
        <v>3.3099999999999997E-2</v>
      </c>
      <c r="E30" s="10">
        <f t="shared" si="2"/>
        <v>43736.814190181438</v>
      </c>
      <c r="F30" s="3"/>
      <c r="G30" s="28"/>
      <c r="H30" s="10"/>
      <c r="I30" s="10">
        <f t="shared" si="5"/>
        <v>397</v>
      </c>
      <c r="J30" s="10">
        <f t="shared" si="3"/>
        <v>541941014.73507571</v>
      </c>
      <c r="K30" s="11">
        <f t="shared" si="4"/>
        <v>3.3099999999999907E-2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1321353.9030266339</v>
      </c>
      <c r="D31" s="11">
        <v>3.2599999999999997E-2</v>
      </c>
      <c r="E31" s="10">
        <f t="shared" si="2"/>
        <v>41716.189462200506</v>
      </c>
      <c r="F31" s="3"/>
      <c r="G31" s="28"/>
      <c r="H31" s="10"/>
      <c r="I31" s="10">
        <f t="shared" si="5"/>
        <v>397</v>
      </c>
      <c r="J31" s="10">
        <f t="shared" si="3"/>
        <v>524577499.50157368</v>
      </c>
      <c r="K31" s="11">
        <f t="shared" si="4"/>
        <v>3.2599999999999962E-2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1279637.7135644334</v>
      </c>
      <c r="D32" s="11">
        <v>3.2099999999999997E-2</v>
      </c>
      <c r="E32" s="10">
        <f t="shared" si="2"/>
        <v>39798.82821957022</v>
      </c>
      <c r="F32" s="3"/>
      <c r="G32" s="28"/>
      <c r="H32" s="10"/>
      <c r="I32" s="10">
        <f t="shared" si="5"/>
        <v>397</v>
      </c>
      <c r="J32" s="10">
        <f t="shared" si="3"/>
        <v>508016172.28508008</v>
      </c>
      <c r="K32" s="11">
        <f t="shared" si="4"/>
        <v>3.2100000000000017E-2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1239838.8853448632</v>
      </c>
      <c r="D33" s="11">
        <v>3.1800000000000002E-2</v>
      </c>
      <c r="E33" s="10">
        <f t="shared" si="2"/>
        <v>38211.74312266591</v>
      </c>
      <c r="F33" s="3"/>
      <c r="G33" s="28"/>
      <c r="H33" s="10"/>
      <c r="I33" s="10">
        <f t="shared" si="5"/>
        <v>397</v>
      </c>
      <c r="J33" s="10">
        <f t="shared" si="3"/>
        <v>492216037.48191071</v>
      </c>
      <c r="K33" s="11">
        <f t="shared" si="4"/>
        <v>3.180000000000005E-2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1201627.1422221973</v>
      </c>
      <c r="D34" s="11">
        <v>3.1399999999999997E-2</v>
      </c>
      <c r="E34" s="10">
        <f t="shared" si="2"/>
        <v>36582.404756425414</v>
      </c>
      <c r="F34" s="3"/>
      <c r="G34" s="28"/>
      <c r="H34" s="10"/>
      <c r="I34" s="10">
        <f t="shared" si="5"/>
        <v>397</v>
      </c>
      <c r="J34" s="10">
        <f t="shared" ref="J34:J65" si="6">IF(I34="","",I34*C34)</f>
        <v>477045975.46221232</v>
      </c>
      <c r="K34" s="11">
        <f t="shared" ref="K34:K65" si="7">IFERROR(J34/J35-1,"")</f>
        <v>3.1400000000000095E-2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1165044.7374657718</v>
      </c>
      <c r="D35" s="11">
        <v>3.09E-2</v>
      </c>
      <c r="E35" s="10">
        <f t="shared" si="2"/>
        <v>34920.828778438503</v>
      </c>
      <c r="F35" s="3"/>
      <c r="G35" s="28"/>
      <c r="H35" s="10"/>
      <c r="I35" s="10">
        <f t="shared" ref="I35:I66" si="8">IF(H35&lt;&gt;"",H35,I34/(1+IF(G34="",0,G34)/100))</f>
        <v>397</v>
      </c>
      <c r="J35" s="10">
        <f t="shared" si="6"/>
        <v>462522760.77391142</v>
      </c>
      <c r="K35" s="11">
        <f t="shared" si="7"/>
        <v>3.0899999999999928E-2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1130123.9086873333</v>
      </c>
      <c r="D36" s="11">
        <v>3.0200000000000001E-2</v>
      </c>
      <c r="E36" s="10">
        <f t="shared" si="2"/>
        <v>33129.239023837494</v>
      </c>
      <c r="F36" s="3"/>
      <c r="G36" s="28"/>
      <c r="H36" s="10"/>
      <c r="I36" s="10">
        <f t="shared" si="8"/>
        <v>397</v>
      </c>
      <c r="J36" s="10">
        <f t="shared" si="6"/>
        <v>448659191.74887133</v>
      </c>
      <c r="K36" s="11">
        <f t="shared" si="7"/>
        <v>3.0199999999999783E-2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1096994.6696634958</v>
      </c>
      <c r="D37" s="11">
        <v>2.92E-2</v>
      </c>
      <c r="E37" s="10">
        <f t="shared" si="2"/>
        <v>31123.439908836037</v>
      </c>
      <c r="F37" s="3"/>
      <c r="G37" s="28"/>
      <c r="H37" s="10"/>
      <c r="I37" s="10">
        <f t="shared" si="8"/>
        <v>397</v>
      </c>
      <c r="J37" s="10">
        <f t="shared" si="6"/>
        <v>435506883.85640788</v>
      </c>
      <c r="K37" s="11">
        <f t="shared" si="7"/>
        <v>2.9200000000000115E-2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1065871.2297546598</v>
      </c>
      <c r="D38" s="11">
        <v>2.81E-2</v>
      </c>
      <c r="E38" s="10">
        <f t="shared" si="2"/>
        <v>29132.362178879441</v>
      </c>
      <c r="F38" s="3"/>
      <c r="G38" s="28"/>
      <c r="H38" s="10"/>
      <c r="I38" s="10">
        <f t="shared" si="8"/>
        <v>397</v>
      </c>
      <c r="J38" s="10">
        <f t="shared" si="6"/>
        <v>423150878.21259993</v>
      </c>
      <c r="K38" s="11">
        <f t="shared" si="7"/>
        <v>2.8100000000000014E-2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1036738.8675757804</v>
      </c>
      <c r="D39" s="11">
        <v>2.7199999999999998E-2</v>
      </c>
      <c r="E39" s="10">
        <f t="shared" si="2"/>
        <v>27452.586836118717</v>
      </c>
      <c r="F39" s="3"/>
      <c r="G39" s="28"/>
      <c r="H39" s="10"/>
      <c r="I39" s="10">
        <f t="shared" si="8"/>
        <v>397</v>
      </c>
      <c r="J39" s="10">
        <f t="shared" si="6"/>
        <v>411585330.42758483</v>
      </c>
      <c r="K39" s="11">
        <f t="shared" si="7"/>
        <v>2.7199999999999891E-2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1009286.2807396617</v>
      </c>
      <c r="D40" s="11">
        <v>2.6599999999999999E-2</v>
      </c>
      <c r="E40" s="10">
        <f t="shared" si="2"/>
        <v>26151.388143069344</v>
      </c>
      <c r="F40" s="3"/>
      <c r="G40" s="28"/>
      <c r="H40" s="10"/>
      <c r="I40" s="10">
        <f t="shared" si="8"/>
        <v>397</v>
      </c>
      <c r="J40" s="10">
        <f t="shared" si="6"/>
        <v>400686653.45364571</v>
      </c>
      <c r="K40" s="11">
        <f t="shared" si="7"/>
        <v>2.6599999999999957E-2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983134.89259659231</v>
      </c>
      <c r="D41" s="11">
        <v>2.64E-2</v>
      </c>
      <c r="E41" s="10">
        <f t="shared" si="2"/>
        <v>25287.17962251557</v>
      </c>
      <c r="F41" s="3"/>
      <c r="G41" s="28"/>
      <c r="H41" s="10"/>
      <c r="I41" s="10">
        <f t="shared" si="8"/>
        <v>397</v>
      </c>
      <c r="J41" s="10">
        <f t="shared" si="6"/>
        <v>390304552.36084718</v>
      </c>
      <c r="K41" s="11">
        <f t="shared" si="7"/>
        <v>2.6399999999999979E-2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957847.71297407674</v>
      </c>
      <c r="D42" s="11">
        <v>2.6700000000000002E-2</v>
      </c>
      <c r="E42" s="10">
        <f t="shared" si="2"/>
        <v>24909.451579242013</v>
      </c>
      <c r="F42" s="3"/>
      <c r="G42" s="28"/>
      <c r="H42" s="10"/>
      <c r="I42" s="10">
        <f t="shared" si="8"/>
        <v>397</v>
      </c>
      <c r="J42" s="10">
        <f t="shared" si="6"/>
        <v>380265542.05070847</v>
      </c>
      <c r="K42" s="11">
        <f t="shared" si="7"/>
        <v>2.6699999999999946E-2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932938.26139483473</v>
      </c>
      <c r="D43" s="11">
        <v>2.7300000000000001E-2</v>
      </c>
      <c r="E43" s="10">
        <f t="shared" si="2"/>
        <v>24792.382493993035</v>
      </c>
      <c r="F43" s="3"/>
      <c r="G43" s="28"/>
      <c r="H43" s="10"/>
      <c r="I43" s="10">
        <f t="shared" si="8"/>
        <v>397</v>
      </c>
      <c r="J43" s="10">
        <f t="shared" si="6"/>
        <v>370376489.77374941</v>
      </c>
      <c r="K43" s="11">
        <f t="shared" si="7"/>
        <v>2.7300000000000102E-2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908145.87890084169</v>
      </c>
      <c r="D44" s="11">
        <v>2.81E-2</v>
      </c>
      <c r="E44" s="10">
        <f t="shared" si="2"/>
        <v>24821.417369043571</v>
      </c>
      <c r="F44" s="3"/>
      <c r="G44" s="28"/>
      <c r="H44" s="10"/>
      <c r="I44" s="10">
        <f t="shared" si="8"/>
        <v>397</v>
      </c>
      <c r="J44" s="10">
        <f t="shared" si="6"/>
        <v>360533913.92363417</v>
      </c>
      <c r="K44" s="11">
        <f t="shared" si="7"/>
        <v>2.8100000000000236E-2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883324.46153179812</v>
      </c>
      <c r="D45" s="11">
        <v>2.87E-2</v>
      </c>
      <c r="E45" s="10">
        <f t="shared" si="2"/>
        <v>24644.125640091952</v>
      </c>
      <c r="F45" s="3"/>
      <c r="G45" s="28"/>
      <c r="H45" s="10"/>
      <c r="I45" s="10">
        <f t="shared" si="8"/>
        <v>397</v>
      </c>
      <c r="J45" s="10">
        <f t="shared" si="6"/>
        <v>350679811.22812384</v>
      </c>
      <c r="K45" s="11">
        <f t="shared" si="7"/>
        <v>2.8699999999999948E-2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858680.33589170617</v>
      </c>
      <c r="D46" s="11">
        <v>2.92E-2</v>
      </c>
      <c r="E46" s="10">
        <f t="shared" si="2"/>
        <v>24362.092701163725</v>
      </c>
      <c r="F46" s="3"/>
      <c r="G46" s="28"/>
      <c r="H46" s="10"/>
      <c r="I46" s="10">
        <f t="shared" si="8"/>
        <v>397</v>
      </c>
      <c r="J46" s="10">
        <f t="shared" si="6"/>
        <v>340896093.34900737</v>
      </c>
      <c r="K46" s="11">
        <f t="shared" si="7"/>
        <v>2.9199999999999893E-2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834318.24319054245</v>
      </c>
      <c r="D47" s="11">
        <v>2.9499999999999998E-2</v>
      </c>
      <c r="E47" s="10">
        <f t="shared" si="2"/>
        <v>23907.127901040367</v>
      </c>
      <c r="F47" s="3"/>
      <c r="G47" s="28"/>
      <c r="H47" s="10"/>
      <c r="I47" s="10">
        <f t="shared" si="8"/>
        <v>397</v>
      </c>
      <c r="J47" s="10">
        <f t="shared" si="6"/>
        <v>331224342.54664534</v>
      </c>
      <c r="K47" s="11">
        <f t="shared" si="7"/>
        <v>2.9500000000000082E-2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810411.11528950208</v>
      </c>
      <c r="D48" s="11">
        <v>2.9399999999999999E-2</v>
      </c>
      <c r="E48" s="10">
        <f t="shared" si="2"/>
        <v>23145.605973879341</v>
      </c>
      <c r="F48" s="3"/>
      <c r="G48" s="28"/>
      <c r="H48" s="10"/>
      <c r="I48" s="10">
        <f t="shared" si="8"/>
        <v>397</v>
      </c>
      <c r="J48" s="10">
        <f t="shared" si="6"/>
        <v>321733212.76993233</v>
      </c>
      <c r="K48" s="11">
        <f t="shared" si="7"/>
        <v>2.9400000000000093E-2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787265.50931562274</v>
      </c>
      <c r="D49" s="11">
        <v>2.9100000000000001E-2</v>
      </c>
      <c r="E49" s="10">
        <f t="shared" si="2"/>
        <v>22261.61337196047</v>
      </c>
      <c r="F49" s="3"/>
      <c r="G49" s="28"/>
      <c r="H49" s="10"/>
      <c r="I49" s="10">
        <f t="shared" si="8"/>
        <v>397</v>
      </c>
      <c r="J49" s="10">
        <f t="shared" si="6"/>
        <v>312544407.19830221</v>
      </c>
      <c r="K49" s="11">
        <f t="shared" si="7"/>
        <v>2.9099999999999904E-2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765003.89594366227</v>
      </c>
      <c r="D50" s="11">
        <v>2.87E-2</v>
      </c>
      <c r="E50" s="10">
        <f t="shared" si="2"/>
        <v>21343.06582442217</v>
      </c>
      <c r="F50" s="3"/>
      <c r="G50" s="28"/>
      <c r="H50" s="10"/>
      <c r="I50" s="10">
        <f t="shared" si="8"/>
        <v>397</v>
      </c>
      <c r="J50" s="10">
        <f t="shared" si="6"/>
        <v>303706546.68963391</v>
      </c>
      <c r="K50" s="11">
        <f t="shared" si="7"/>
        <v>2.8699999999999948E-2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743660.8301192401</v>
      </c>
      <c r="D51" s="11">
        <v>2.8400000000000002E-2</v>
      </c>
      <c r="E51" s="10">
        <f t="shared" si="2"/>
        <v>20536.724596836255</v>
      </c>
      <c r="F51" s="3"/>
      <c r="G51" s="28"/>
      <c r="H51" s="10"/>
      <c r="I51" s="10">
        <f t="shared" si="8"/>
        <v>397</v>
      </c>
      <c r="J51" s="10">
        <f t="shared" si="6"/>
        <v>295233349.5573383</v>
      </c>
      <c r="K51" s="11">
        <f t="shared" si="7"/>
        <v>2.8399999999999981E-2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723124.10552240384</v>
      </c>
      <c r="D52" s="11">
        <v>2.8299999999999999E-2</v>
      </c>
      <c r="E52" s="10">
        <f t="shared" si="2"/>
        <v>19901.207999887178</v>
      </c>
      <c r="F52" s="3"/>
      <c r="G52" s="28"/>
      <c r="H52" s="10"/>
      <c r="I52" s="10">
        <f t="shared" si="8"/>
        <v>397</v>
      </c>
      <c r="J52" s="10">
        <f t="shared" si="6"/>
        <v>287080269.8923943</v>
      </c>
      <c r="K52" s="11">
        <f t="shared" si="7"/>
        <v>2.8299999999999992E-2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703222.89752251667</v>
      </c>
      <c r="D53" s="11">
        <v>2.8199999999999999E-2</v>
      </c>
      <c r="E53" s="10">
        <f t="shared" si="2"/>
        <v>19286.992521041655</v>
      </c>
      <c r="F53" s="3"/>
      <c r="G53" s="28"/>
      <c r="H53" s="10"/>
      <c r="I53" s="10">
        <f t="shared" si="8"/>
        <v>397</v>
      </c>
      <c r="J53" s="10">
        <f t="shared" si="6"/>
        <v>279179490.31643909</v>
      </c>
      <c r="K53" s="11">
        <f t="shared" si="7"/>
        <v>2.8200000000000003E-2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683935.90500147501</v>
      </c>
      <c r="D54" s="11">
        <v>2.8000000000000001E-2</v>
      </c>
      <c r="E54" s="10">
        <f t="shared" si="2"/>
        <v>18628.604416382615</v>
      </c>
      <c r="F54" s="3"/>
      <c r="G54" s="28"/>
      <c r="H54" s="10"/>
      <c r="I54" s="10">
        <f t="shared" si="8"/>
        <v>397</v>
      </c>
      <c r="J54" s="10">
        <f t="shared" si="6"/>
        <v>271522554.28558558</v>
      </c>
      <c r="K54" s="11">
        <f t="shared" si="7"/>
        <v>2.8000000000000025E-2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665307.30058509239</v>
      </c>
      <c r="D55" s="11">
        <v>2.7699999999999999E-2</v>
      </c>
      <c r="E55" s="10">
        <f t="shared" si="2"/>
        <v>17932.287852687645</v>
      </c>
      <c r="F55" s="3"/>
      <c r="G55" s="28"/>
      <c r="H55" s="10"/>
      <c r="I55" s="10">
        <f t="shared" si="8"/>
        <v>397</v>
      </c>
      <c r="J55" s="10">
        <f t="shared" si="6"/>
        <v>264126998.33228168</v>
      </c>
      <c r="K55" s="11">
        <f t="shared" si="7"/>
        <v>2.7700000000000058E-2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647375.01273240475</v>
      </c>
      <c r="D56" s="11">
        <v>2.7199999999999998E-2</v>
      </c>
      <c r="E56" s="10">
        <f t="shared" si="2"/>
        <v>17142.32899758697</v>
      </c>
      <c r="F56" s="3"/>
      <c r="G56" s="28"/>
      <c r="H56" s="10"/>
      <c r="I56" s="10">
        <f t="shared" si="8"/>
        <v>397</v>
      </c>
      <c r="J56" s="10">
        <f t="shared" si="6"/>
        <v>257007880.05476469</v>
      </c>
      <c r="K56" s="11">
        <f t="shared" si="7"/>
        <v>2.7199999999999891E-2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630232.68373481778</v>
      </c>
      <c r="D57" s="11">
        <v>2.6499999999999999E-2</v>
      </c>
      <c r="E57" s="10">
        <f t="shared" si="2"/>
        <v>16270.0108319266</v>
      </c>
      <c r="F57" s="3"/>
      <c r="G57" s="28"/>
      <c r="H57" s="10"/>
      <c r="I57" s="10">
        <f t="shared" si="8"/>
        <v>397</v>
      </c>
      <c r="J57" s="10">
        <f t="shared" si="6"/>
        <v>250202375.44272265</v>
      </c>
      <c r="K57" s="11">
        <f t="shared" si="7"/>
        <v>2.6499999999999968E-2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613962.67290289118</v>
      </c>
      <c r="D58" s="11">
        <v>2.58E-2</v>
      </c>
      <c r="E58" s="10">
        <f t="shared" si="2"/>
        <v>15441.837552051642</v>
      </c>
      <c r="F58" s="3"/>
      <c r="G58" s="28"/>
      <c r="H58" s="10"/>
      <c r="I58" s="10">
        <f t="shared" si="8"/>
        <v>397</v>
      </c>
      <c r="J58" s="10">
        <f t="shared" si="6"/>
        <v>243743181.1424478</v>
      </c>
      <c r="K58" s="11">
        <f t="shared" si="7"/>
        <v>2.5800000000000045E-2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598520.83535083954</v>
      </c>
      <c r="D59" s="11">
        <v>2.5100000000000001E-2</v>
      </c>
      <c r="E59" s="10">
        <f t="shared" si="2"/>
        <v>14655.031672330573</v>
      </c>
      <c r="F59" s="3"/>
      <c r="G59" s="28"/>
      <c r="H59" s="10"/>
      <c r="I59" s="10">
        <f t="shared" si="8"/>
        <v>397</v>
      </c>
      <c r="J59" s="10">
        <f t="shared" si="6"/>
        <v>237612771.6342833</v>
      </c>
      <c r="K59" s="11">
        <f t="shared" si="7"/>
        <v>2.5100000000000122E-2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583865.80367850896</v>
      </c>
      <c r="D60" s="11">
        <v>2.4500000000000001E-2</v>
      </c>
      <c r="E60" s="10">
        <f t="shared" si="2"/>
        <v>13962.627808807651</v>
      </c>
      <c r="F60" s="3"/>
      <c r="G60" s="28"/>
      <c r="H60" s="10"/>
      <c r="I60" s="10">
        <f t="shared" si="8"/>
        <v>397</v>
      </c>
      <c r="J60" s="10">
        <f t="shared" si="6"/>
        <v>231794724.06036806</v>
      </c>
      <c r="K60" s="11">
        <f t="shared" si="7"/>
        <v>2.4499999999999966E-2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569903.17586970131</v>
      </c>
      <c r="D61" s="11">
        <v>2.3800000000000002E-2</v>
      </c>
      <c r="E61" s="10">
        <f t="shared" si="2"/>
        <v>13248.384045418003</v>
      </c>
      <c r="F61" s="3"/>
      <c r="G61" s="28"/>
      <c r="H61" s="10"/>
      <c r="I61" s="10">
        <f t="shared" si="8"/>
        <v>397</v>
      </c>
      <c r="J61" s="10">
        <f t="shared" si="6"/>
        <v>226251560.82027143</v>
      </c>
      <c r="K61" s="11">
        <f t="shared" si="7"/>
        <v>2.3800000000000043E-2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556654.79182428331</v>
      </c>
      <c r="D62" s="11">
        <v>2.3099999999999999E-2</v>
      </c>
      <c r="E62" s="10">
        <f t="shared" si="2"/>
        <v>12568.395749331336</v>
      </c>
      <c r="F62" s="3"/>
      <c r="G62" s="28"/>
      <c r="H62" s="10"/>
      <c r="I62" s="10">
        <f t="shared" si="8"/>
        <v>397</v>
      </c>
      <c r="J62" s="10">
        <f t="shared" si="6"/>
        <v>220991952.35424048</v>
      </c>
      <c r="K62" s="11">
        <f t="shared" si="7"/>
        <v>2.3099999999999898E-2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544086.39607495198</v>
      </c>
      <c r="D63" s="11">
        <v>2.24E-2</v>
      </c>
      <c r="E63" s="10">
        <f t="shared" si="2"/>
        <v>11920.515719951945</v>
      </c>
      <c r="F63" s="3"/>
      <c r="G63" s="28"/>
      <c r="H63" s="10"/>
      <c r="I63" s="10">
        <f t="shared" si="8"/>
        <v>397</v>
      </c>
      <c r="J63" s="10">
        <f t="shared" si="6"/>
        <v>216002299.24175593</v>
      </c>
      <c r="K63" s="11">
        <f t="shared" si="7"/>
        <v>2.2399999999999753E-2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532165.88035500003</v>
      </c>
      <c r="D64" s="11">
        <v>2.1700000000000001E-2</v>
      </c>
      <c r="E64" s="10">
        <f t="shared" si="2"/>
        <v>11302.730355000065</v>
      </c>
      <c r="F64" s="3"/>
      <c r="G64" s="28"/>
      <c r="H64" s="10"/>
      <c r="I64" s="10">
        <f t="shared" si="8"/>
        <v>397</v>
      </c>
      <c r="J64" s="10">
        <f t="shared" si="6"/>
        <v>211269854.50093502</v>
      </c>
      <c r="K64" s="11">
        <f t="shared" si="7"/>
        <v>2.1700000000000275E-2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520863.14999999997</v>
      </c>
      <c r="D65" s="11">
        <v>2.1000000000000001E-2</v>
      </c>
      <c r="E65" s="10">
        <f t="shared" si="2"/>
        <v>10713.149999999965</v>
      </c>
      <c r="F65" s="3"/>
      <c r="G65" s="28"/>
      <c r="H65" s="10"/>
      <c r="I65" s="10">
        <f t="shared" si="8"/>
        <v>397</v>
      </c>
      <c r="J65" s="10">
        <f t="shared" si="6"/>
        <v>206782670.54999998</v>
      </c>
      <c r="K65" s="11">
        <f t="shared" si="7"/>
        <v>2.0999999999999908E-2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510150</v>
      </c>
      <c r="D66" s="11">
        <v>2.0299999999999999E-2</v>
      </c>
      <c r="E66" s="10">
        <f t="shared" si="2"/>
        <v>10150</v>
      </c>
      <c r="F66" s="24">
        <f>SUM(F2)</f>
        <v>2898502</v>
      </c>
      <c r="G66" s="28"/>
      <c r="H66" s="10"/>
      <c r="I66" s="10">
        <f t="shared" si="8"/>
        <v>397</v>
      </c>
      <c r="J66" s="10">
        <f t="shared" ref="J66:J67" si="9">IF(I66="","",I66*C66)</f>
        <v>202529550</v>
      </c>
      <c r="K66" s="11">
        <f t="shared" ref="K66" si="10">IFERROR(J66/J67-1,"")</f>
        <v>2.0299999999999985E-2</v>
      </c>
    </row>
    <row r="67" spans="1:11" ht="22.5" customHeight="1">
      <c r="A67" s="3">
        <f t="shared" si="0"/>
        <v>1950</v>
      </c>
      <c r="B67" s="3">
        <v>1700</v>
      </c>
      <c r="C67" s="10">
        <v>500000</v>
      </c>
      <c r="D67" s="11">
        <v>1.9599999999999999E-2</v>
      </c>
      <c r="E67" s="3" t="s">
        <v>72</v>
      </c>
      <c r="F67" s="10">
        <f>SUM(C2)</f>
        <v>2898593.7232139963</v>
      </c>
      <c r="G67" s="28"/>
      <c r="H67" s="10"/>
      <c r="I67" s="10">
        <f t="shared" ref="I67" si="11">IF(H67&lt;&gt;"",H67,I66/(1+IF(G66="",0,G66)/100))</f>
        <v>397</v>
      </c>
      <c r="J67" s="10">
        <f t="shared" si="9"/>
        <v>198500000</v>
      </c>
      <c r="K67" s="11"/>
    </row>
  </sheetData>
  <dataValidations count="1">
    <dataValidation type="custom" allowBlank="1" showDropDown="1" sqref="D2:D67" xr:uid="{00000000-0002-0000-8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39335963.012854345</v>
      </c>
      <c r="D2" s="11">
        <v>6.7000000000000002E-3</v>
      </c>
      <c r="E2" s="10">
        <f t="shared" ref="E2:E66" si="2">SUM(C2-C3)</f>
        <v>261796.91286989301</v>
      </c>
      <c r="F2" s="15">
        <v>39335005</v>
      </c>
      <c r="G2" s="28"/>
      <c r="H2" s="10"/>
      <c r="I2" s="10">
        <f>IF(H2&lt;&gt;"",H2,19087)</f>
        <v>19087</v>
      </c>
      <c r="J2" s="10">
        <f t="shared" ref="J2:J33" si="3">IF(I2="","",I2*C2)</f>
        <v>750805526026.35083</v>
      </c>
      <c r="K2" s="11">
        <f t="shared" ref="K2:K33" si="4">IFERROR(J2/J3-1,"")</f>
        <v>6.6999999999999282E-3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39074166.099984452</v>
      </c>
      <c r="D3" s="11">
        <v>5.8999999999999999E-3</v>
      </c>
      <c r="E3" s="10">
        <f t="shared" si="2"/>
        <v>229185.38621126115</v>
      </c>
      <c r="F3" s="3"/>
      <c r="G3" s="28"/>
      <c r="H3" s="10"/>
      <c r="I3" s="10">
        <f t="shared" ref="I3:I34" si="5">IF(H3&lt;&gt;"",H3,I2/(1+IF(G2="",0,G2)/100))</f>
        <v>19087</v>
      </c>
      <c r="J3" s="10">
        <f t="shared" si="3"/>
        <v>745808608350.4032</v>
      </c>
      <c r="K3" s="11">
        <f t="shared" si="4"/>
        <v>5.8999999999997943E-3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38844980.713773191</v>
      </c>
      <c r="D4" s="11">
        <v>4.3E-3</v>
      </c>
      <c r="E4" s="10">
        <f t="shared" si="2"/>
        <v>166318.24860024452</v>
      </c>
      <c r="F4" s="3"/>
      <c r="G4" s="28"/>
      <c r="H4" s="10"/>
      <c r="I4" s="10">
        <f t="shared" si="5"/>
        <v>19087</v>
      </c>
      <c r="J4" s="10">
        <f t="shared" si="3"/>
        <v>741434146883.78894</v>
      </c>
      <c r="K4" s="11">
        <f t="shared" si="4"/>
        <v>4.3000000000001926E-3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38678662.465172946</v>
      </c>
      <c r="D5" s="11">
        <v>4.0000000000000001E-3</v>
      </c>
      <c r="E5" s="10">
        <f t="shared" si="2"/>
        <v>154098.2568333596</v>
      </c>
      <c r="F5" s="3"/>
      <c r="G5" s="28"/>
      <c r="H5" s="10"/>
      <c r="I5" s="10">
        <f t="shared" si="5"/>
        <v>19087</v>
      </c>
      <c r="J5" s="10">
        <f t="shared" si="3"/>
        <v>738259630472.75598</v>
      </c>
      <c r="K5" s="11">
        <f t="shared" si="4"/>
        <v>4.0000000000000036E-3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38524564.208339587</v>
      </c>
      <c r="D6" s="11">
        <v>4.1000000000000003E-3</v>
      </c>
      <c r="E6" s="10">
        <f t="shared" si="2"/>
        <v>157305.75963967294</v>
      </c>
      <c r="F6" s="3"/>
      <c r="G6" s="28"/>
      <c r="H6" s="10"/>
      <c r="I6" s="10">
        <f t="shared" si="5"/>
        <v>19087</v>
      </c>
      <c r="J6" s="10">
        <f t="shared" si="3"/>
        <v>735318357044.57764</v>
      </c>
      <c r="K6" s="11">
        <f t="shared" si="4"/>
        <v>4.0999999999999925E-3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38367258.448699914</v>
      </c>
      <c r="D7" s="11">
        <v>4.8999999999999998E-3</v>
      </c>
      <c r="E7" s="10">
        <f t="shared" si="2"/>
        <v>187082.86038275063</v>
      </c>
      <c r="F7" s="3"/>
      <c r="G7" s="28"/>
      <c r="H7" s="10"/>
      <c r="I7" s="10">
        <f t="shared" si="5"/>
        <v>19087</v>
      </c>
      <c r="J7" s="10">
        <f t="shared" si="3"/>
        <v>732315862010.33521</v>
      </c>
      <c r="K7" s="11">
        <f t="shared" si="4"/>
        <v>4.8999999999999044E-3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38180175.588317163</v>
      </c>
      <c r="D8" s="11">
        <v>4.5999999999999999E-3</v>
      </c>
      <c r="E8" s="10">
        <f t="shared" si="2"/>
        <v>174824.61447965354</v>
      </c>
      <c r="F8" s="3"/>
      <c r="G8" s="28"/>
      <c r="H8" s="10"/>
      <c r="I8" s="10">
        <f t="shared" si="5"/>
        <v>19087</v>
      </c>
      <c r="J8" s="10">
        <f t="shared" si="3"/>
        <v>728745011454.20972</v>
      </c>
      <c r="K8" s="11">
        <f t="shared" si="4"/>
        <v>4.5999999999999375E-3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38005350.97383751</v>
      </c>
      <c r="D9" s="11">
        <v>4.0000000000000001E-3</v>
      </c>
      <c r="E9" s="10">
        <f t="shared" si="2"/>
        <v>151415.74093162268</v>
      </c>
      <c r="F9" s="3"/>
      <c r="G9" s="28"/>
      <c r="H9" s="10"/>
      <c r="I9" s="10">
        <f t="shared" si="5"/>
        <v>19087</v>
      </c>
      <c r="J9" s="10">
        <f t="shared" si="3"/>
        <v>725408134037.6366</v>
      </c>
      <c r="K9" s="11">
        <f t="shared" si="4"/>
        <v>4.0000000000002256E-3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37853935.232905887</v>
      </c>
      <c r="D10" s="11">
        <v>4.4000000000000003E-3</v>
      </c>
      <c r="E10" s="10">
        <f t="shared" si="2"/>
        <v>165827.67326243222</v>
      </c>
      <c r="F10" s="3"/>
      <c r="G10" s="28"/>
      <c r="H10" s="10"/>
      <c r="I10" s="10">
        <f t="shared" si="5"/>
        <v>19087</v>
      </c>
      <c r="J10" s="10">
        <f t="shared" si="3"/>
        <v>722518061790.47461</v>
      </c>
      <c r="K10" s="11">
        <f t="shared" si="4"/>
        <v>4.3999999999999595E-3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37688107.559643455</v>
      </c>
      <c r="D11" s="11">
        <v>4.1999999999999997E-3</v>
      </c>
      <c r="E11" s="10">
        <f t="shared" si="2"/>
        <v>157628.01409132034</v>
      </c>
      <c r="F11" s="3"/>
      <c r="G11" s="28"/>
      <c r="H11" s="10"/>
      <c r="I11" s="10">
        <f t="shared" si="5"/>
        <v>19087</v>
      </c>
      <c r="J11" s="10">
        <f t="shared" si="3"/>
        <v>719352908990.91467</v>
      </c>
      <c r="K11" s="11">
        <f t="shared" si="4"/>
        <v>4.1999999999999815E-3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37530479.545552135</v>
      </c>
      <c r="D12" s="11">
        <v>4.5999999999999999E-3</v>
      </c>
      <c r="E12" s="10">
        <f t="shared" si="2"/>
        <v>171849.69730194658</v>
      </c>
      <c r="F12" s="3"/>
      <c r="G12" s="28"/>
      <c r="H12" s="10"/>
      <c r="I12" s="10">
        <f t="shared" si="5"/>
        <v>19087</v>
      </c>
      <c r="J12" s="10">
        <f t="shared" si="3"/>
        <v>716344263085.95361</v>
      </c>
      <c r="K12" s="11">
        <f t="shared" si="4"/>
        <v>4.5999999999999375E-3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37358629.848250188</v>
      </c>
      <c r="D13" s="11">
        <v>5.1999999999999998E-3</v>
      </c>
      <c r="E13" s="10">
        <f t="shared" si="2"/>
        <v>193259.92360813916</v>
      </c>
      <c r="F13" s="3"/>
      <c r="G13" s="28"/>
      <c r="H13" s="10"/>
      <c r="I13" s="10">
        <f t="shared" si="5"/>
        <v>19087</v>
      </c>
      <c r="J13" s="10">
        <f t="shared" si="3"/>
        <v>713064167913.55139</v>
      </c>
      <c r="K13" s="11">
        <f t="shared" si="4"/>
        <v>5.2000000000000934E-3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37165369.924642049</v>
      </c>
      <c r="D14" s="11">
        <v>6.4999999999999997E-3</v>
      </c>
      <c r="E14" s="10">
        <f t="shared" si="2"/>
        <v>240014.80825650692</v>
      </c>
      <c r="F14" s="3"/>
      <c r="G14" s="28"/>
      <c r="H14" s="10"/>
      <c r="I14" s="10">
        <f t="shared" si="5"/>
        <v>19087</v>
      </c>
      <c r="J14" s="10">
        <f t="shared" si="3"/>
        <v>709375415751.64282</v>
      </c>
      <c r="K14" s="11">
        <f t="shared" si="4"/>
        <v>6.5000000000001723E-3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36925355.116385542</v>
      </c>
      <c r="D15" s="11">
        <v>6.1000000000000004E-3</v>
      </c>
      <c r="E15" s="10">
        <f t="shared" si="2"/>
        <v>223879.00428382307</v>
      </c>
      <c r="F15" s="3"/>
      <c r="G15" s="28"/>
      <c r="H15" s="10"/>
      <c r="I15" s="10">
        <f t="shared" si="5"/>
        <v>19087</v>
      </c>
      <c r="J15" s="10">
        <f t="shared" si="3"/>
        <v>704794253106.45081</v>
      </c>
      <c r="K15" s="11">
        <f t="shared" si="4"/>
        <v>6.0999999999999943E-3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36701476.112101719</v>
      </c>
      <c r="D16" s="11">
        <v>4.3E-3</v>
      </c>
      <c r="E16" s="10">
        <f t="shared" si="2"/>
        <v>157140.64251920581</v>
      </c>
      <c r="F16" s="3"/>
      <c r="G16" s="28"/>
      <c r="H16" s="10"/>
      <c r="I16" s="10">
        <f t="shared" si="5"/>
        <v>19087</v>
      </c>
      <c r="J16" s="10">
        <f t="shared" si="3"/>
        <v>700521074551.68555</v>
      </c>
      <c r="K16" s="11">
        <f t="shared" si="4"/>
        <v>4.3000000000001926E-3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36544335.469582513</v>
      </c>
      <c r="D17" s="11">
        <v>4.8999999999999998E-3</v>
      </c>
      <c r="E17" s="10">
        <f t="shared" si="2"/>
        <v>178194.0927464962</v>
      </c>
      <c r="F17" s="3"/>
      <c r="G17" s="28"/>
      <c r="H17" s="10"/>
      <c r="I17" s="10">
        <f t="shared" si="5"/>
        <v>19087</v>
      </c>
      <c r="J17" s="10">
        <f t="shared" si="3"/>
        <v>697521731107.92139</v>
      </c>
      <c r="K17" s="11">
        <f t="shared" si="4"/>
        <v>4.8999999999999044E-3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36366141.376836017</v>
      </c>
      <c r="D18" s="11">
        <v>3.5999999999999999E-3</v>
      </c>
      <c r="E18" s="10">
        <f t="shared" si="2"/>
        <v>130448.49437685311</v>
      </c>
      <c r="F18" s="3"/>
      <c r="G18" s="28"/>
      <c r="H18" s="10"/>
      <c r="I18" s="10">
        <f t="shared" si="5"/>
        <v>19087</v>
      </c>
      <c r="J18" s="10">
        <f t="shared" si="3"/>
        <v>694120540459.66907</v>
      </c>
      <c r="K18" s="11">
        <f t="shared" si="4"/>
        <v>3.6000000000000476E-3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36235692.882459164</v>
      </c>
      <c r="D19" s="11">
        <v>4.7999999999999996E-3</v>
      </c>
      <c r="E19" s="10">
        <f t="shared" si="2"/>
        <v>173100.44370601326</v>
      </c>
      <c r="F19" s="3"/>
      <c r="G19" s="28"/>
      <c r="H19" s="10"/>
      <c r="I19" s="10">
        <f t="shared" si="5"/>
        <v>19087</v>
      </c>
      <c r="J19" s="10">
        <f t="shared" si="3"/>
        <v>691630670047.49805</v>
      </c>
      <c r="K19" s="11">
        <f t="shared" si="4"/>
        <v>4.7999999999999154E-3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36062592.43875315</v>
      </c>
      <c r="D20" s="11">
        <v>4.4000000000000003E-3</v>
      </c>
      <c r="E20" s="10">
        <f t="shared" si="2"/>
        <v>157980.29343938082</v>
      </c>
      <c r="F20" s="3"/>
      <c r="G20" s="28"/>
      <c r="H20" s="10"/>
      <c r="I20" s="10">
        <f t="shared" si="5"/>
        <v>19087</v>
      </c>
      <c r="J20" s="10">
        <f t="shared" si="3"/>
        <v>688326701878.48132</v>
      </c>
      <c r="K20" s="11">
        <f t="shared" si="4"/>
        <v>4.3999999999999595E-3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35904612.14531377</v>
      </c>
      <c r="D21" s="11">
        <v>2.0999999999999999E-3</v>
      </c>
      <c r="E21" s="10">
        <f t="shared" si="2"/>
        <v>75241.677981399</v>
      </c>
      <c r="F21" s="3"/>
      <c r="G21" s="28"/>
      <c r="H21" s="10"/>
      <c r="I21" s="10">
        <f t="shared" si="5"/>
        <v>19087</v>
      </c>
      <c r="J21" s="10">
        <f t="shared" si="3"/>
        <v>685311332017.60388</v>
      </c>
      <c r="K21" s="11">
        <f t="shared" si="4"/>
        <v>2.0999999999999908E-3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35829370.467332371</v>
      </c>
      <c r="D22" s="11">
        <v>2.2000000000000001E-3</v>
      </c>
      <c r="E22" s="10">
        <f t="shared" si="2"/>
        <v>78651.581548720598</v>
      </c>
      <c r="F22" s="3"/>
      <c r="G22" s="28"/>
      <c r="H22" s="10"/>
      <c r="I22" s="10">
        <f t="shared" si="5"/>
        <v>19087</v>
      </c>
      <c r="J22" s="10">
        <f t="shared" si="3"/>
        <v>683875194109.9729</v>
      </c>
      <c r="K22" s="11">
        <f t="shared" si="4"/>
        <v>2.1999999999997577E-3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35750718.88578365</v>
      </c>
      <c r="D23" s="11">
        <v>2.5999999999999999E-3</v>
      </c>
      <c r="E23" s="10">
        <f t="shared" si="2"/>
        <v>92710.820968516171</v>
      </c>
      <c r="F23" s="3"/>
      <c r="G23" s="28"/>
      <c r="H23" s="10"/>
      <c r="I23" s="10">
        <f t="shared" si="5"/>
        <v>19087</v>
      </c>
      <c r="J23" s="10">
        <f t="shared" si="3"/>
        <v>682373971372.95251</v>
      </c>
      <c r="K23" s="11">
        <f t="shared" si="4"/>
        <v>2.5999999999999357E-3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35658008.064815134</v>
      </c>
      <c r="D24" s="11">
        <v>2.9000000000000002E-3</v>
      </c>
      <c r="E24" s="10">
        <f t="shared" si="2"/>
        <v>103109.20668856055</v>
      </c>
      <c r="F24" s="3"/>
      <c r="G24" s="28"/>
      <c r="H24" s="10"/>
      <c r="I24" s="10">
        <f t="shared" si="5"/>
        <v>19087</v>
      </c>
      <c r="J24" s="10">
        <f t="shared" si="3"/>
        <v>680604399933.12646</v>
      </c>
      <c r="K24" s="11">
        <f t="shared" si="4"/>
        <v>2.8999999999999027E-3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35554898.858126573</v>
      </c>
      <c r="D25" s="11">
        <v>3.0000000000000001E-3</v>
      </c>
      <c r="E25" s="10">
        <f t="shared" si="2"/>
        <v>106345.65959558636</v>
      </c>
      <c r="F25" s="3"/>
      <c r="G25" s="28"/>
      <c r="H25" s="10"/>
      <c r="I25" s="10">
        <f t="shared" si="5"/>
        <v>19087</v>
      </c>
      <c r="J25" s="10">
        <f t="shared" si="3"/>
        <v>678636354505.06189</v>
      </c>
      <c r="K25" s="11">
        <f t="shared" si="4"/>
        <v>2.9999999999996696E-3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35448553.198530987</v>
      </c>
      <c r="D26" s="11">
        <v>3.0999999999999999E-3</v>
      </c>
      <c r="E26" s="10">
        <f t="shared" si="2"/>
        <v>109550.90710342675</v>
      </c>
      <c r="F26" s="3"/>
      <c r="G26" s="28"/>
      <c r="H26" s="10"/>
      <c r="I26" s="10">
        <f t="shared" si="5"/>
        <v>19087</v>
      </c>
      <c r="J26" s="10">
        <f t="shared" si="3"/>
        <v>676606534900.36096</v>
      </c>
      <c r="K26" s="11">
        <f t="shared" si="4"/>
        <v>3.1000000000001027E-3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35339002.29142756</v>
      </c>
      <c r="D27" s="11">
        <v>3.0999999999999999E-3</v>
      </c>
      <c r="E27" s="10">
        <f t="shared" si="2"/>
        <v>109212.3488220796</v>
      </c>
      <c r="F27" s="3"/>
      <c r="G27" s="28"/>
      <c r="H27" s="10"/>
      <c r="I27" s="10">
        <f t="shared" si="5"/>
        <v>19087</v>
      </c>
      <c r="J27" s="10">
        <f t="shared" si="3"/>
        <v>674515536736.47778</v>
      </c>
      <c r="K27" s="11">
        <f t="shared" si="4"/>
        <v>3.0999999999998806E-3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35229789.942605481</v>
      </c>
      <c r="D28" s="11">
        <v>2.8E-3</v>
      </c>
      <c r="E28" s="10">
        <f t="shared" si="2"/>
        <v>98367.98149111867</v>
      </c>
      <c r="F28" s="3"/>
      <c r="G28" s="28"/>
      <c r="H28" s="10"/>
      <c r="I28" s="10">
        <f t="shared" si="5"/>
        <v>19087</v>
      </c>
      <c r="J28" s="10">
        <f t="shared" si="3"/>
        <v>672431000634.51086</v>
      </c>
      <c r="K28" s="11">
        <f t="shared" si="4"/>
        <v>2.8000000000001357E-3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35131421.961114362</v>
      </c>
      <c r="D29" s="11">
        <v>2.5999999999999999E-3</v>
      </c>
      <c r="E29" s="10">
        <f t="shared" si="2"/>
        <v>91104.824555054307</v>
      </c>
      <c r="F29" s="3"/>
      <c r="G29" s="28"/>
      <c r="H29" s="10"/>
      <c r="I29" s="10">
        <f t="shared" si="5"/>
        <v>19087</v>
      </c>
      <c r="J29" s="10">
        <f t="shared" si="3"/>
        <v>670553450971.78979</v>
      </c>
      <c r="K29" s="11">
        <f t="shared" si="4"/>
        <v>2.5999999999999357E-3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35040317.136559308</v>
      </c>
      <c r="D30" s="11">
        <v>3.0000000000000001E-3</v>
      </c>
      <c r="E30" s="10">
        <f t="shared" si="2"/>
        <v>104806.53181423247</v>
      </c>
      <c r="F30" s="3"/>
      <c r="G30" s="28"/>
      <c r="H30" s="10"/>
      <c r="I30" s="10">
        <f t="shared" si="5"/>
        <v>19087</v>
      </c>
      <c r="J30" s="10">
        <f t="shared" si="3"/>
        <v>668814533185.50745</v>
      </c>
      <c r="K30" s="11">
        <f t="shared" si="4"/>
        <v>2.9999999999996696E-3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34935510.604745075</v>
      </c>
      <c r="D31" s="11">
        <v>4.1000000000000003E-3</v>
      </c>
      <c r="E31" s="10">
        <f t="shared" si="2"/>
        <v>142650.72550488263</v>
      </c>
      <c r="F31" s="3"/>
      <c r="G31" s="28"/>
      <c r="H31" s="10"/>
      <c r="I31" s="10">
        <f t="shared" si="5"/>
        <v>19087</v>
      </c>
      <c r="J31" s="10">
        <f t="shared" si="3"/>
        <v>666814090912.76929</v>
      </c>
      <c r="K31" s="11">
        <f t="shared" si="4"/>
        <v>4.0999999999999925E-3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34792859.879240192</v>
      </c>
      <c r="D32" s="11">
        <v>5.5999999999999999E-3</v>
      </c>
      <c r="E32" s="10">
        <f t="shared" si="2"/>
        <v>193754.98739434034</v>
      </c>
      <c r="F32" s="3"/>
      <c r="G32" s="28"/>
      <c r="H32" s="10"/>
      <c r="I32" s="10">
        <f t="shared" si="5"/>
        <v>19087</v>
      </c>
      <c r="J32" s="10">
        <f t="shared" si="3"/>
        <v>664091316515.0575</v>
      </c>
      <c r="K32" s="11">
        <f t="shared" si="4"/>
        <v>5.6000000000000494E-3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34599104.891845852</v>
      </c>
      <c r="D33" s="11">
        <v>4.7000000000000002E-3</v>
      </c>
      <c r="E33" s="10">
        <f t="shared" si="2"/>
        <v>161855.07414320111</v>
      </c>
      <c r="F33" s="3"/>
      <c r="G33" s="28"/>
      <c r="H33" s="10"/>
      <c r="I33" s="10">
        <f t="shared" si="5"/>
        <v>19087</v>
      </c>
      <c r="J33" s="10">
        <f t="shared" si="3"/>
        <v>660393115070.66174</v>
      </c>
      <c r="K33" s="11">
        <f t="shared" si="4"/>
        <v>4.6999999999999265E-3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34437249.817702651</v>
      </c>
      <c r="D34" s="11">
        <v>5.4000000000000003E-3</v>
      </c>
      <c r="E34" s="10">
        <f t="shared" si="2"/>
        <v>184962.35231310874</v>
      </c>
      <c r="F34" s="3"/>
      <c r="G34" s="28"/>
      <c r="H34" s="10"/>
      <c r="I34" s="10">
        <f t="shared" si="5"/>
        <v>19087</v>
      </c>
      <c r="J34" s="10">
        <f t="shared" ref="J34:J65" si="6">IF(I34="","",I34*C34)</f>
        <v>657303787270.49048</v>
      </c>
      <c r="K34" s="11">
        <f t="shared" ref="K34:K65" si="7">IFERROR(J34/J35-1,"")</f>
        <v>5.4000000000002935E-3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34252287.465389542</v>
      </c>
      <c r="D35" s="11">
        <v>5.4999999999999997E-3</v>
      </c>
      <c r="E35" s="10">
        <f t="shared" si="2"/>
        <v>187357.11691660434</v>
      </c>
      <c r="F35" s="3"/>
      <c r="G35" s="28"/>
      <c r="H35" s="10"/>
      <c r="I35" s="10">
        <f t="shared" ref="I35:I66" si="8">IF(H35&lt;&gt;"",H35,I34/(1+IF(G34="",0,G34)/100))</f>
        <v>19087</v>
      </c>
      <c r="J35" s="10">
        <f t="shared" si="6"/>
        <v>653773410851.89014</v>
      </c>
      <c r="K35" s="11">
        <f t="shared" si="7"/>
        <v>5.5000000000000604E-3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34064930.348472938</v>
      </c>
      <c r="D36" s="11">
        <v>5.7999999999999996E-3</v>
      </c>
      <c r="E36" s="10">
        <f t="shared" si="2"/>
        <v>196437.25991364568</v>
      </c>
      <c r="F36" s="3"/>
      <c r="G36" s="28"/>
      <c r="H36" s="10"/>
      <c r="I36" s="10">
        <f t="shared" si="8"/>
        <v>19087</v>
      </c>
      <c r="J36" s="10">
        <f t="shared" si="6"/>
        <v>650197325561.30298</v>
      </c>
      <c r="K36" s="11">
        <f t="shared" si="7"/>
        <v>5.8000000000000274E-3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33868493.088559292</v>
      </c>
      <c r="D37" s="11">
        <v>6.3E-3</v>
      </c>
      <c r="E37" s="10">
        <f t="shared" si="2"/>
        <v>212035.68166344613</v>
      </c>
      <c r="F37" s="3"/>
      <c r="G37" s="28"/>
      <c r="H37" s="10"/>
      <c r="I37" s="10">
        <f t="shared" si="8"/>
        <v>19087</v>
      </c>
      <c r="J37" s="10">
        <f t="shared" si="6"/>
        <v>646447927581.33118</v>
      </c>
      <c r="K37" s="11">
        <f t="shared" si="7"/>
        <v>6.2999999999999723E-3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33656457.406895846</v>
      </c>
      <c r="D38" s="11">
        <v>6.8999999999999999E-3</v>
      </c>
      <c r="E38" s="10">
        <f t="shared" si="2"/>
        <v>230638.15285289288</v>
      </c>
      <c r="F38" s="3"/>
      <c r="G38" s="28"/>
      <c r="H38" s="10"/>
      <c r="I38" s="10">
        <f t="shared" si="8"/>
        <v>19087</v>
      </c>
      <c r="J38" s="10">
        <f t="shared" si="6"/>
        <v>642400802525.42102</v>
      </c>
      <c r="K38" s="11">
        <f t="shared" si="7"/>
        <v>6.8999999999999062E-3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33425819.254042953</v>
      </c>
      <c r="D39" s="11">
        <v>7.4000000000000003E-3</v>
      </c>
      <c r="E39" s="10">
        <f t="shared" si="2"/>
        <v>245534.11006543785</v>
      </c>
      <c r="F39" s="3"/>
      <c r="G39" s="28"/>
      <c r="H39" s="10"/>
      <c r="I39" s="10">
        <f t="shared" si="8"/>
        <v>19087</v>
      </c>
      <c r="J39" s="10">
        <f t="shared" si="6"/>
        <v>637998612101.91785</v>
      </c>
      <c r="K39" s="11">
        <f t="shared" si="7"/>
        <v>7.4000000000000732E-3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33180285.143977515</v>
      </c>
      <c r="D40" s="11">
        <v>7.7000000000000002E-3</v>
      </c>
      <c r="E40" s="10">
        <f t="shared" si="2"/>
        <v>253535.96865002438</v>
      </c>
      <c r="F40" s="3"/>
      <c r="G40" s="28"/>
      <c r="H40" s="10"/>
      <c r="I40" s="10">
        <f t="shared" si="8"/>
        <v>19087</v>
      </c>
      <c r="J40" s="10">
        <f t="shared" si="6"/>
        <v>633312102543.09888</v>
      </c>
      <c r="K40" s="11">
        <f t="shared" si="7"/>
        <v>7.7000000000000401E-3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32926749.175327491</v>
      </c>
      <c r="D41" s="11">
        <v>8.0999999999999996E-3</v>
      </c>
      <c r="E41" s="10">
        <f t="shared" si="2"/>
        <v>264563.70233127102</v>
      </c>
      <c r="F41" s="3"/>
      <c r="G41" s="28"/>
      <c r="H41" s="10"/>
      <c r="I41" s="10">
        <f t="shared" si="8"/>
        <v>19087</v>
      </c>
      <c r="J41" s="10">
        <f t="shared" si="6"/>
        <v>628472861509.47583</v>
      </c>
      <c r="K41" s="11">
        <f t="shared" si="7"/>
        <v>8.0999999999999961E-3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32662185.47299622</v>
      </c>
      <c r="D42" s="11">
        <v>8.5000000000000006E-3</v>
      </c>
      <c r="E42" s="10">
        <f t="shared" si="2"/>
        <v>275288.62322307006</v>
      </c>
      <c r="F42" s="3"/>
      <c r="G42" s="28"/>
      <c r="H42" s="10"/>
      <c r="I42" s="10">
        <f t="shared" si="8"/>
        <v>19087</v>
      </c>
      <c r="J42" s="10">
        <f t="shared" si="6"/>
        <v>623423134123.07886</v>
      </c>
      <c r="K42" s="11">
        <f t="shared" si="7"/>
        <v>8.499999999999952E-3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32386896.84977315</v>
      </c>
      <c r="D43" s="11">
        <v>9.1000000000000004E-3</v>
      </c>
      <c r="E43" s="10">
        <f t="shared" si="2"/>
        <v>292062.98814085871</v>
      </c>
      <c r="F43" s="3"/>
      <c r="G43" s="28"/>
      <c r="H43" s="10"/>
      <c r="I43" s="10">
        <f t="shared" si="8"/>
        <v>19087</v>
      </c>
      <c r="J43" s="10">
        <f t="shared" si="6"/>
        <v>618168700171.62012</v>
      </c>
      <c r="K43" s="11">
        <f t="shared" si="7"/>
        <v>9.100000000000108E-3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32094833.861632291</v>
      </c>
      <c r="D44" s="11">
        <v>9.1000000000000004E-3</v>
      </c>
      <c r="E44" s="10">
        <f t="shared" si="2"/>
        <v>289429.18257938325</v>
      </c>
      <c r="F44" s="3"/>
      <c r="G44" s="28"/>
      <c r="H44" s="10"/>
      <c r="I44" s="10">
        <f t="shared" si="8"/>
        <v>19087</v>
      </c>
      <c r="J44" s="10">
        <f t="shared" si="6"/>
        <v>612594093916.97559</v>
      </c>
      <c r="K44" s="11">
        <f t="shared" si="7"/>
        <v>9.100000000000108E-3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31805404.679052908</v>
      </c>
      <c r="D45" s="11">
        <v>1.0200000000000001E-2</v>
      </c>
      <c r="E45" s="10">
        <f t="shared" si="2"/>
        <v>321139.50477760658</v>
      </c>
      <c r="F45" s="3"/>
      <c r="G45" s="28"/>
      <c r="H45" s="10"/>
      <c r="I45" s="10">
        <f t="shared" si="8"/>
        <v>19087</v>
      </c>
      <c r="J45" s="10">
        <f t="shared" si="6"/>
        <v>607069759109.08289</v>
      </c>
      <c r="K45" s="11">
        <f t="shared" si="7"/>
        <v>1.0199999999999987E-2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31484265.174275301</v>
      </c>
      <c r="D46" s="11">
        <v>9.5999999999999992E-3</v>
      </c>
      <c r="E46" s="10">
        <f t="shared" si="2"/>
        <v>299374.94618962333</v>
      </c>
      <c r="F46" s="3"/>
      <c r="G46" s="28"/>
      <c r="H46" s="10"/>
      <c r="I46" s="10">
        <f t="shared" si="8"/>
        <v>19087</v>
      </c>
      <c r="J46" s="10">
        <f t="shared" si="6"/>
        <v>600940169381.3927</v>
      </c>
      <c r="K46" s="11">
        <f t="shared" si="7"/>
        <v>9.6000000000000529E-3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31184890.228085678</v>
      </c>
      <c r="D47" s="11">
        <v>1.01E-2</v>
      </c>
      <c r="E47" s="10">
        <f t="shared" si="2"/>
        <v>311818.0292086564</v>
      </c>
      <c r="F47" s="3"/>
      <c r="G47" s="28"/>
      <c r="H47" s="10"/>
      <c r="I47" s="10">
        <f t="shared" si="8"/>
        <v>19087</v>
      </c>
      <c r="J47" s="10">
        <f t="shared" si="6"/>
        <v>595225999783.47131</v>
      </c>
      <c r="K47" s="11">
        <f t="shared" si="7"/>
        <v>1.0099999999999998E-2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30873072.198877022</v>
      </c>
      <c r="D48" s="11">
        <v>9.5999999999999992E-3</v>
      </c>
      <c r="E48" s="10">
        <f t="shared" si="2"/>
        <v>293563.28556777164</v>
      </c>
      <c r="F48" s="3"/>
      <c r="G48" s="28"/>
      <c r="H48" s="10"/>
      <c r="I48" s="10">
        <f t="shared" si="8"/>
        <v>19087</v>
      </c>
      <c r="J48" s="10">
        <f t="shared" si="6"/>
        <v>589274329059.9657</v>
      </c>
      <c r="K48" s="11">
        <f t="shared" si="7"/>
        <v>9.6000000000000529E-3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30579508.91330925</v>
      </c>
      <c r="D49" s="11">
        <v>8.9999999999999993E-3</v>
      </c>
      <c r="E49" s="10">
        <f t="shared" si="2"/>
        <v>272760.7336172238</v>
      </c>
      <c r="F49" s="3"/>
      <c r="G49" s="28"/>
      <c r="H49" s="10"/>
      <c r="I49" s="10">
        <f t="shared" si="8"/>
        <v>19087</v>
      </c>
      <c r="J49" s="10">
        <f t="shared" si="6"/>
        <v>583671086628.33362</v>
      </c>
      <c r="K49" s="11">
        <f t="shared" si="7"/>
        <v>8.9999999999996749E-3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30306748.179692026</v>
      </c>
      <c r="D50" s="11">
        <v>8.3999999999999995E-3</v>
      </c>
      <c r="E50" s="10">
        <f t="shared" si="2"/>
        <v>252456.05385701358</v>
      </c>
      <c r="F50" s="3"/>
      <c r="G50" s="28"/>
      <c r="H50" s="10"/>
      <c r="I50" s="10">
        <f t="shared" si="8"/>
        <v>19087</v>
      </c>
      <c r="J50" s="10">
        <f t="shared" si="6"/>
        <v>578464902505.78174</v>
      </c>
      <c r="K50" s="11">
        <f t="shared" si="7"/>
        <v>8.4000000000001851E-3</v>
      </c>
      <c r="L50" t="s">
        <v>143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30054292.125835013</v>
      </c>
      <c r="D51" s="11">
        <v>8.0000000000000002E-3</v>
      </c>
      <c r="E51" s="10">
        <f t="shared" si="2"/>
        <v>238526.12798281759</v>
      </c>
      <c r="F51" s="3"/>
      <c r="G51" s="28"/>
      <c r="H51" s="10"/>
      <c r="I51" s="10">
        <f t="shared" si="8"/>
        <v>19087</v>
      </c>
      <c r="J51" s="10">
        <f t="shared" si="6"/>
        <v>573646273805.81287</v>
      </c>
      <c r="K51" s="11">
        <f t="shared" si="7"/>
        <v>8.0000000000000071E-3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29815765.997852195</v>
      </c>
      <c r="D52" s="11">
        <v>8.6E-3</v>
      </c>
      <c r="E52" s="10">
        <f t="shared" si="2"/>
        <v>254229.2163211666</v>
      </c>
      <c r="F52" s="3"/>
      <c r="G52" s="28"/>
      <c r="H52" s="10"/>
      <c r="I52" s="10">
        <f t="shared" si="8"/>
        <v>19087</v>
      </c>
      <c r="J52" s="10">
        <f t="shared" si="6"/>
        <v>569093525601.00488</v>
      </c>
      <c r="K52" s="11">
        <f t="shared" si="7"/>
        <v>8.599999999999941E-3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29561536.781531028</v>
      </c>
      <c r="D53" s="11">
        <v>8.0999999999999996E-3</v>
      </c>
      <c r="E53" s="10">
        <f t="shared" si="2"/>
        <v>237524.49948457628</v>
      </c>
      <c r="F53" s="3"/>
      <c r="G53" s="28"/>
      <c r="H53" s="10"/>
      <c r="I53" s="10">
        <f t="shared" si="8"/>
        <v>19087</v>
      </c>
      <c r="J53" s="10">
        <f t="shared" si="6"/>
        <v>564241052549.08276</v>
      </c>
      <c r="K53" s="11">
        <f t="shared" si="7"/>
        <v>8.0999999999999961E-3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29324012.282046452</v>
      </c>
      <c r="D54" s="11">
        <v>8.0999999999999996E-3</v>
      </c>
      <c r="E54" s="10">
        <f t="shared" si="2"/>
        <v>235616.00980515406</v>
      </c>
      <c r="F54" s="3"/>
      <c r="G54" s="28"/>
      <c r="H54" s="10"/>
      <c r="I54" s="10">
        <f t="shared" si="8"/>
        <v>19087</v>
      </c>
      <c r="J54" s="10">
        <f t="shared" si="6"/>
        <v>559707422427.42065</v>
      </c>
      <c r="K54" s="11">
        <f t="shared" si="7"/>
        <v>8.0999999999999961E-3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29088396.272241298</v>
      </c>
      <c r="D55" s="11">
        <v>8.0000000000000002E-3</v>
      </c>
      <c r="E55" s="10">
        <f t="shared" si="2"/>
        <v>230860.28787492961</v>
      </c>
      <c r="F55" s="3"/>
      <c r="G55" s="28"/>
      <c r="H55" s="10"/>
      <c r="I55" s="10">
        <f t="shared" si="8"/>
        <v>19087</v>
      </c>
      <c r="J55" s="10">
        <f t="shared" si="6"/>
        <v>555210219648.26965</v>
      </c>
      <c r="K55" s="11">
        <f t="shared" si="7"/>
        <v>8.0000000000000071E-3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28857535.984366369</v>
      </c>
      <c r="D56" s="11">
        <v>7.7999999999999996E-3</v>
      </c>
      <c r="E56" s="10">
        <f t="shared" si="2"/>
        <v>223346.67660057545</v>
      </c>
      <c r="F56" s="3"/>
      <c r="G56" s="28"/>
      <c r="H56" s="10"/>
      <c r="I56" s="10">
        <f t="shared" si="8"/>
        <v>19087</v>
      </c>
      <c r="J56" s="10">
        <f t="shared" si="6"/>
        <v>550803789333.60083</v>
      </c>
      <c r="K56" s="11">
        <f t="shared" si="7"/>
        <v>7.8000000000000291E-3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28634189.307765793</v>
      </c>
      <c r="D57" s="11">
        <v>8.0999999999999996E-3</v>
      </c>
      <c r="E57" s="10">
        <f t="shared" si="2"/>
        <v>230073.33934421465</v>
      </c>
      <c r="F57" s="3"/>
      <c r="G57" s="28"/>
      <c r="H57" s="10"/>
      <c r="I57" s="10">
        <f t="shared" si="8"/>
        <v>19087</v>
      </c>
      <c r="J57" s="10">
        <f t="shared" si="6"/>
        <v>546540771317.32568</v>
      </c>
      <c r="K57" s="11">
        <f t="shared" si="7"/>
        <v>8.0999999999999961E-3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28404115.968421578</v>
      </c>
      <c r="D58" s="11">
        <v>8.0999999999999996E-3</v>
      </c>
      <c r="E58" s="10">
        <f t="shared" si="2"/>
        <v>228224.71911934763</v>
      </c>
      <c r="F58" s="3"/>
      <c r="G58" s="28"/>
      <c r="H58" s="10"/>
      <c r="I58" s="10">
        <f t="shared" si="8"/>
        <v>19087</v>
      </c>
      <c r="J58" s="10">
        <f t="shared" si="6"/>
        <v>542149361489.2627</v>
      </c>
      <c r="K58" s="11">
        <f t="shared" si="7"/>
        <v>8.0999999999999961E-3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28175891.249302231</v>
      </c>
      <c r="D59" s="11">
        <v>8.0000000000000002E-3</v>
      </c>
      <c r="E59" s="10">
        <f t="shared" si="2"/>
        <v>223618.18451827019</v>
      </c>
      <c r="F59" s="3"/>
      <c r="G59" s="28"/>
      <c r="H59" s="10"/>
      <c r="I59" s="10">
        <f t="shared" si="8"/>
        <v>19087</v>
      </c>
      <c r="J59" s="10">
        <f t="shared" si="6"/>
        <v>537793236275.4317</v>
      </c>
      <c r="K59" s="11">
        <f t="shared" si="7"/>
        <v>8.0000000000000071E-3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27952273.064783961</v>
      </c>
      <c r="D60" s="11">
        <v>7.7999999999999996E-3</v>
      </c>
      <c r="E60" s="10">
        <f t="shared" si="2"/>
        <v>216340.2757544294</v>
      </c>
      <c r="F60" s="3"/>
      <c r="G60" s="28"/>
      <c r="H60" s="10"/>
      <c r="I60" s="10">
        <f t="shared" si="8"/>
        <v>19087</v>
      </c>
      <c r="J60" s="10">
        <f t="shared" si="6"/>
        <v>533525035987.53143</v>
      </c>
      <c r="K60" s="11">
        <f t="shared" si="7"/>
        <v>7.7999999999998071E-3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27735932.789029531</v>
      </c>
      <c r="D61" s="11">
        <v>7.4000000000000003E-3</v>
      </c>
      <c r="E61" s="10">
        <f t="shared" si="2"/>
        <v>203738.23966529593</v>
      </c>
      <c r="F61" s="3"/>
      <c r="G61" s="28"/>
      <c r="H61" s="10"/>
      <c r="I61" s="10">
        <f t="shared" si="8"/>
        <v>19087</v>
      </c>
      <c r="J61" s="10">
        <f t="shared" si="6"/>
        <v>529395749144.20667</v>
      </c>
      <c r="K61" s="11">
        <f t="shared" si="7"/>
        <v>7.4000000000000732E-3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27532194.549364235</v>
      </c>
      <c r="D62" s="11">
        <v>7.0000000000000001E-3</v>
      </c>
      <c r="E62" s="10">
        <f t="shared" si="2"/>
        <v>191385.66221007705</v>
      </c>
      <c r="F62" s="3"/>
      <c r="G62" s="28"/>
      <c r="H62" s="10"/>
      <c r="I62" s="10">
        <f t="shared" si="8"/>
        <v>19087</v>
      </c>
      <c r="J62" s="10">
        <f t="shared" si="6"/>
        <v>525506997363.71515</v>
      </c>
      <c r="K62" s="11">
        <f t="shared" si="7"/>
        <v>6.9999999999998952E-3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27340808.887154158</v>
      </c>
      <c r="D63" s="11">
        <v>7.7000000000000002E-3</v>
      </c>
      <c r="E63" s="10">
        <f t="shared" si="2"/>
        <v>208915.57847681642</v>
      </c>
      <c r="F63" s="3"/>
      <c r="G63" s="28"/>
      <c r="H63" s="10"/>
      <c r="I63" s="10">
        <f t="shared" si="8"/>
        <v>19087</v>
      </c>
      <c r="J63" s="10">
        <f t="shared" si="6"/>
        <v>521854019229.11139</v>
      </c>
      <c r="K63" s="11">
        <f t="shared" si="7"/>
        <v>7.7000000000000401E-3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27131893.308677342</v>
      </c>
      <c r="D64" s="11">
        <v>7.4000000000000003E-3</v>
      </c>
      <c r="E64" s="10">
        <f t="shared" si="2"/>
        <v>199301.18173934147</v>
      </c>
      <c r="F64" s="3"/>
      <c r="G64" s="28"/>
      <c r="H64" s="10"/>
      <c r="I64" s="10">
        <f t="shared" si="8"/>
        <v>19087</v>
      </c>
      <c r="J64" s="10">
        <f t="shared" si="6"/>
        <v>517866447582.72443</v>
      </c>
      <c r="K64" s="11">
        <f t="shared" si="7"/>
        <v>7.4000000000000732E-3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26932592.126938</v>
      </c>
      <c r="D65" s="11">
        <v>8.2000000000000007E-3</v>
      </c>
      <c r="E65" s="10">
        <f t="shared" si="2"/>
        <v>219051.03693800047</v>
      </c>
      <c r="F65" s="3"/>
      <c r="G65" s="28"/>
      <c r="H65" s="10"/>
      <c r="I65" s="10">
        <f t="shared" si="8"/>
        <v>19087</v>
      </c>
      <c r="J65" s="10">
        <f t="shared" si="6"/>
        <v>514062385926.8656</v>
      </c>
      <c r="K65" s="11">
        <f t="shared" si="7"/>
        <v>8.1999999999999851E-3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26713541.09</v>
      </c>
      <c r="D66" s="11">
        <v>8.0999999999999996E-3</v>
      </c>
      <c r="E66" s="10">
        <f t="shared" si="2"/>
        <v>214641.08999999985</v>
      </c>
      <c r="F66" s="24">
        <f>SUM(F2)</f>
        <v>39335005</v>
      </c>
      <c r="G66" s="28"/>
      <c r="H66" s="10"/>
      <c r="I66" s="10">
        <f t="shared" si="8"/>
        <v>19087</v>
      </c>
      <c r="J66" s="10">
        <f t="shared" ref="J66:J67" si="9">IF(I66="","",I66*C66)</f>
        <v>509881358784.83002</v>
      </c>
      <c r="K66" s="11">
        <f t="shared" ref="K66" si="10">IFERROR(J66/J67-1,"")</f>
        <v>8.0999999999999961E-3</v>
      </c>
    </row>
    <row r="67" spans="1:11" ht="22.5" customHeight="1">
      <c r="A67" s="3">
        <f t="shared" si="0"/>
        <v>1950</v>
      </c>
      <c r="B67" s="3">
        <v>1700</v>
      </c>
      <c r="C67" s="10">
        <v>26498900</v>
      </c>
      <c r="D67" s="11">
        <v>8.0999999999999996E-3</v>
      </c>
      <c r="E67" s="3" t="s">
        <v>72</v>
      </c>
      <c r="F67" s="10">
        <f>SUM(C2)</f>
        <v>39335963.012854345</v>
      </c>
      <c r="G67" s="28"/>
      <c r="H67" s="10"/>
      <c r="I67" s="10">
        <f t="shared" ref="I67" si="11">IF(H67&lt;&gt;"",H67,I66/(1+IF(G66="",0,G66)/100))</f>
        <v>19087</v>
      </c>
      <c r="J67" s="10">
        <f t="shared" si="9"/>
        <v>505784504300</v>
      </c>
      <c r="K67" s="11"/>
    </row>
  </sheetData>
  <dataValidations count="1">
    <dataValidation type="custom" allowBlank="1" showDropDown="1" sqref="D2:D67" xr:uid="{00000000-0002-0000-8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78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21995332.392196439</v>
      </c>
      <c r="D2" s="11">
        <v>1.6999999999999999E-3</v>
      </c>
      <c r="E2" s="10">
        <f t="shared" ref="E2:E66" si="2">SUM(C2-C3)</f>
        <v>37328.606435794383</v>
      </c>
      <c r="F2" s="15">
        <v>21995119</v>
      </c>
      <c r="G2" s="28"/>
      <c r="H2" s="10"/>
      <c r="I2" s="10">
        <f>IF(H2&lt;&gt;"",H2,3702)</f>
        <v>3702</v>
      </c>
      <c r="J2" s="10">
        <f t="shared" ref="J2:J33" si="3">IF(I2="","",I2*C2)</f>
        <v>81426720515.911224</v>
      </c>
      <c r="K2" s="11">
        <f t="shared" ref="K2:K33" si="4">IFERROR(J2/J3-1,"")</f>
        <v>1.7000000000000348E-3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21958003.785760645</v>
      </c>
      <c r="D3" s="11">
        <v>1.6000000000000001E-3</v>
      </c>
      <c r="E3" s="10">
        <f t="shared" si="2"/>
        <v>35076.683363836259</v>
      </c>
      <c r="F3" s="3"/>
      <c r="G3" s="28"/>
      <c r="H3" s="10"/>
      <c r="I3" s="10">
        <f t="shared" ref="I3:I34" si="5">IF(H3&lt;&gt;"",H3,I2/(1+IF(G2="",0,G2)/100))</f>
        <v>3702</v>
      </c>
      <c r="J3" s="10">
        <f t="shared" si="3"/>
        <v>81288530014.88591</v>
      </c>
      <c r="K3" s="11">
        <f t="shared" si="4"/>
        <v>1.6000000000000458E-3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21922927.102396809</v>
      </c>
      <c r="D4" s="11">
        <v>2E-3</v>
      </c>
      <c r="E4" s="10">
        <f t="shared" si="2"/>
        <v>43758.337529733777</v>
      </c>
      <c r="F4" s="3"/>
      <c r="G4" s="28"/>
      <c r="H4" s="10"/>
      <c r="I4" s="10">
        <f t="shared" si="5"/>
        <v>3702</v>
      </c>
      <c r="J4" s="10">
        <f t="shared" si="3"/>
        <v>81158676133.072983</v>
      </c>
      <c r="K4" s="11">
        <f t="shared" si="4"/>
        <v>1.9999999999997797E-3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21879168.764867075</v>
      </c>
      <c r="D5" s="11">
        <v>3.0000000000000001E-3</v>
      </c>
      <c r="E5" s="10">
        <f t="shared" si="2"/>
        <v>65441.182746358216</v>
      </c>
      <c r="F5" s="3"/>
      <c r="G5" s="28"/>
      <c r="H5" s="10"/>
      <c r="I5" s="10">
        <f t="shared" si="5"/>
        <v>3702</v>
      </c>
      <c r="J5" s="10">
        <f t="shared" si="3"/>
        <v>80996682767.537918</v>
      </c>
      <c r="K5" s="11">
        <f t="shared" si="4"/>
        <v>2.9999999999998916E-3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21813727.582120717</v>
      </c>
      <c r="D6" s="11">
        <v>4.1000000000000003E-3</v>
      </c>
      <c r="E6" s="10">
        <f t="shared" si="2"/>
        <v>89071.091611091048</v>
      </c>
      <c r="F6" s="3"/>
      <c r="G6" s="28"/>
      <c r="H6" s="10"/>
      <c r="I6" s="10">
        <f t="shared" si="5"/>
        <v>3702</v>
      </c>
      <c r="J6" s="10">
        <f t="shared" si="3"/>
        <v>80754419509.010895</v>
      </c>
      <c r="K6" s="11">
        <f t="shared" si="4"/>
        <v>4.0999999999999925E-3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21724656.490509626</v>
      </c>
      <c r="D7" s="11">
        <v>5.1000000000000004E-3</v>
      </c>
      <c r="E7" s="10">
        <f t="shared" si="2"/>
        <v>110233.55696110055</v>
      </c>
      <c r="F7" s="3"/>
      <c r="G7" s="28"/>
      <c r="H7" s="10"/>
      <c r="I7" s="10">
        <f t="shared" si="5"/>
        <v>3702</v>
      </c>
      <c r="J7" s="10">
        <f t="shared" si="3"/>
        <v>80424678327.866638</v>
      </c>
      <c r="K7" s="11">
        <f t="shared" si="4"/>
        <v>5.1000000000001044E-3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21614422.933548525</v>
      </c>
      <c r="D8" s="11">
        <v>6.1999999999999998E-3</v>
      </c>
      <c r="E8" s="10">
        <f t="shared" si="2"/>
        <v>133183.68335122243</v>
      </c>
      <c r="F8" s="3"/>
      <c r="G8" s="28"/>
      <c r="H8" s="10"/>
      <c r="I8" s="10">
        <f t="shared" si="5"/>
        <v>3702</v>
      </c>
      <c r="J8" s="10">
        <f t="shared" si="3"/>
        <v>80016593699.996643</v>
      </c>
      <c r="K8" s="11">
        <f t="shared" si="4"/>
        <v>6.1999999999999833E-3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21481239.250197303</v>
      </c>
      <c r="D9" s="11">
        <v>6.4999999999999997E-3</v>
      </c>
      <c r="E9" s="10">
        <f t="shared" si="2"/>
        <v>138726.33395557106</v>
      </c>
      <c r="F9" s="3"/>
      <c r="G9" s="28"/>
      <c r="H9" s="10"/>
      <c r="I9" s="10">
        <f t="shared" si="5"/>
        <v>3702</v>
      </c>
      <c r="J9" s="10">
        <f t="shared" si="3"/>
        <v>79523547704.230408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21342512.916241731</v>
      </c>
      <c r="D10" s="11">
        <v>6.4000000000000003E-3</v>
      </c>
      <c r="E10" s="10">
        <f t="shared" si="2"/>
        <v>135723.45256751403</v>
      </c>
      <c r="F10" s="3"/>
      <c r="G10" s="28"/>
      <c r="H10" s="10"/>
      <c r="I10" s="10">
        <f t="shared" si="5"/>
        <v>3702</v>
      </c>
      <c r="J10" s="10">
        <f t="shared" si="3"/>
        <v>79009982815.926895</v>
      </c>
      <c r="K10" s="11">
        <f t="shared" si="4"/>
        <v>6.3999999999999613E-3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21206789.463674217</v>
      </c>
      <c r="D11" s="11">
        <v>6.0000000000000001E-3</v>
      </c>
      <c r="E11" s="10">
        <f t="shared" si="2"/>
        <v>126481.84570780024</v>
      </c>
      <c r="F11" s="3"/>
      <c r="G11" s="28"/>
      <c r="H11" s="10"/>
      <c r="I11" s="10">
        <f t="shared" si="5"/>
        <v>3702</v>
      </c>
      <c r="J11" s="10">
        <f t="shared" si="3"/>
        <v>78507534594.521957</v>
      </c>
      <c r="K11" s="11">
        <f t="shared" si="4"/>
        <v>6.0000000000002274E-3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21080307.617966417</v>
      </c>
      <c r="D12" s="11">
        <v>5.7000000000000002E-3</v>
      </c>
      <c r="E12" s="10">
        <f t="shared" si="2"/>
        <v>119476.73602705449</v>
      </c>
      <c r="F12" s="3"/>
      <c r="G12" s="28"/>
      <c r="H12" s="10"/>
      <c r="I12" s="10">
        <f t="shared" si="5"/>
        <v>3702</v>
      </c>
      <c r="J12" s="10">
        <f t="shared" si="3"/>
        <v>78039298801.71167</v>
      </c>
      <c r="K12" s="11">
        <f t="shared" si="4"/>
        <v>5.7000000000000384E-3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20960830.881939363</v>
      </c>
      <c r="D13" s="11">
        <v>4.8999999999999998E-3</v>
      </c>
      <c r="E13" s="10">
        <f t="shared" si="2"/>
        <v>102207.25576823577</v>
      </c>
      <c r="F13" s="3"/>
      <c r="G13" s="28"/>
      <c r="H13" s="10"/>
      <c r="I13" s="10">
        <f t="shared" si="5"/>
        <v>3702</v>
      </c>
      <c r="J13" s="10">
        <f t="shared" si="3"/>
        <v>77596995924.939514</v>
      </c>
      <c r="K13" s="11">
        <f t="shared" si="4"/>
        <v>4.8999999999999044E-3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20858623.626171127</v>
      </c>
      <c r="D14" s="11">
        <v>3.3999999999999998E-3</v>
      </c>
      <c r="E14" s="10">
        <f t="shared" si="2"/>
        <v>70679.01168923825</v>
      </c>
      <c r="F14" s="3"/>
      <c r="G14" s="28"/>
      <c r="H14" s="10"/>
      <c r="I14" s="10">
        <f t="shared" si="5"/>
        <v>3702</v>
      </c>
      <c r="J14" s="10">
        <f t="shared" si="3"/>
        <v>77218624664.08551</v>
      </c>
      <c r="K14" s="11">
        <f t="shared" si="4"/>
        <v>3.4000000000000696E-3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20787944.614481889</v>
      </c>
      <c r="D15" s="11">
        <v>1.9E-3</v>
      </c>
      <c r="E15" s="10">
        <f t="shared" si="2"/>
        <v>39422.192601572722</v>
      </c>
      <c r="F15" s="3"/>
      <c r="G15" s="28"/>
      <c r="H15" s="10"/>
      <c r="I15" s="10">
        <f t="shared" si="5"/>
        <v>3702</v>
      </c>
      <c r="J15" s="10">
        <f t="shared" si="3"/>
        <v>76956970962.811951</v>
      </c>
      <c r="K15" s="11">
        <f t="shared" si="4"/>
        <v>1.9000000000000128E-3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20748522.421880316</v>
      </c>
      <c r="D16" s="11">
        <v>1.1000000000000001E-3</v>
      </c>
      <c r="E16" s="10">
        <f t="shared" si="2"/>
        <v>22798.296537879854</v>
      </c>
      <c r="F16" s="3"/>
      <c r="G16" s="28"/>
      <c r="H16" s="10"/>
      <c r="I16" s="10">
        <f t="shared" si="5"/>
        <v>3702</v>
      </c>
      <c r="J16" s="10">
        <f t="shared" si="3"/>
        <v>76811030005.800934</v>
      </c>
      <c r="K16" s="11">
        <f t="shared" si="4"/>
        <v>1.1000000000001009E-3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20725724.125342436</v>
      </c>
      <c r="D17" s="11">
        <v>1.1999999999999999E-3</v>
      </c>
      <c r="E17" s="10">
        <f t="shared" si="2"/>
        <v>24841.059678796679</v>
      </c>
      <c r="F17" s="3"/>
      <c r="G17" s="28"/>
      <c r="H17" s="10"/>
      <c r="I17" s="10">
        <f t="shared" si="5"/>
        <v>3702</v>
      </c>
      <c r="J17" s="10">
        <f t="shared" si="3"/>
        <v>76726630712.0177</v>
      </c>
      <c r="K17" s="11">
        <f t="shared" si="4"/>
        <v>1.2000000000000899E-3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20700883.065663639</v>
      </c>
      <c r="D18" s="11">
        <v>1.8E-3</v>
      </c>
      <c r="E18" s="10">
        <f t="shared" si="2"/>
        <v>37194.639167692512</v>
      </c>
      <c r="F18" s="3"/>
      <c r="G18" s="28"/>
      <c r="H18" s="10"/>
      <c r="I18" s="10">
        <f t="shared" si="5"/>
        <v>3702</v>
      </c>
      <c r="J18" s="10">
        <f t="shared" si="3"/>
        <v>76634669109.086792</v>
      </c>
      <c r="K18" s="11">
        <f t="shared" si="4"/>
        <v>1.7999999999998018E-3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20663688.426495947</v>
      </c>
      <c r="D19" s="11">
        <v>2.8999999999999998E-3</v>
      </c>
      <c r="E19" s="10">
        <f t="shared" si="2"/>
        <v>59751.417326588184</v>
      </c>
      <c r="F19" s="3"/>
      <c r="G19" s="28"/>
      <c r="H19" s="10"/>
      <c r="I19" s="10">
        <f t="shared" si="5"/>
        <v>3702</v>
      </c>
      <c r="J19" s="10">
        <f t="shared" si="3"/>
        <v>76496974554.888</v>
      </c>
      <c r="K19" s="11">
        <f t="shared" si="4"/>
        <v>2.8999999999999027E-3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20603937.009169359</v>
      </c>
      <c r="D20" s="11">
        <v>3.7000000000000002E-3</v>
      </c>
      <c r="E20" s="10">
        <f t="shared" si="2"/>
        <v>75953.538840219378</v>
      </c>
      <c r="F20" s="3"/>
      <c r="G20" s="28"/>
      <c r="H20" s="10"/>
      <c r="I20" s="10">
        <f t="shared" si="5"/>
        <v>3702</v>
      </c>
      <c r="J20" s="10">
        <f t="shared" si="3"/>
        <v>76275774807.944962</v>
      </c>
      <c r="K20" s="11">
        <f t="shared" si="4"/>
        <v>3.7000000000000366E-3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20527983.470329139</v>
      </c>
      <c r="D21" s="11">
        <v>4.0000000000000001E-3</v>
      </c>
      <c r="E21" s="10">
        <f t="shared" si="2"/>
        <v>81784.794702507555</v>
      </c>
      <c r="F21" s="3"/>
      <c r="G21" s="28"/>
      <c r="H21" s="10"/>
      <c r="I21" s="10">
        <f t="shared" si="5"/>
        <v>3702</v>
      </c>
      <c r="J21" s="10">
        <f t="shared" si="3"/>
        <v>75994594807.158478</v>
      </c>
      <c r="K21" s="11">
        <f t="shared" si="4"/>
        <v>4.0000000000002256E-3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20446198.675626632</v>
      </c>
      <c r="D22" s="11">
        <v>5.4000000000000003E-3</v>
      </c>
      <c r="E22" s="10">
        <f t="shared" si="2"/>
        <v>109816.46394309402</v>
      </c>
      <c r="F22" s="3"/>
      <c r="G22" s="28"/>
      <c r="H22" s="10"/>
      <c r="I22" s="10">
        <f t="shared" si="5"/>
        <v>3702</v>
      </c>
      <c r="J22" s="10">
        <f t="shared" si="3"/>
        <v>75691827497.169785</v>
      </c>
      <c r="K22" s="11">
        <f t="shared" si="4"/>
        <v>5.4000000000000714E-3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20336382.211683538</v>
      </c>
      <c r="D23" s="11">
        <v>1.3899999999999999E-2</v>
      </c>
      <c r="E23" s="10">
        <f t="shared" si="2"/>
        <v>278800.3873581253</v>
      </c>
      <c r="F23" s="3"/>
      <c r="G23" s="28"/>
      <c r="H23" s="10"/>
      <c r="I23" s="10">
        <f t="shared" si="5"/>
        <v>3702</v>
      </c>
      <c r="J23" s="10">
        <f t="shared" si="3"/>
        <v>75285286947.652451</v>
      </c>
      <c r="K23" s="11">
        <f t="shared" si="4"/>
        <v>1.3900000000000023E-2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20057581.824325413</v>
      </c>
      <c r="D24" s="11">
        <v>2.9100000000000001E-2</v>
      </c>
      <c r="E24" s="10">
        <f t="shared" si="2"/>
        <v>567170.95626068115</v>
      </c>
      <c r="F24" s="3"/>
      <c r="G24" s="28"/>
      <c r="H24" s="10"/>
      <c r="I24" s="10">
        <f t="shared" si="5"/>
        <v>3702</v>
      </c>
      <c r="J24" s="10">
        <f t="shared" si="3"/>
        <v>74253167913.652679</v>
      </c>
      <c r="K24" s="11">
        <f t="shared" si="4"/>
        <v>2.9099999999999904E-2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19490410.868064731</v>
      </c>
      <c r="D25" s="11">
        <v>4.1399999999999999E-2</v>
      </c>
      <c r="E25" s="10">
        <f t="shared" si="2"/>
        <v>774825.24480303749</v>
      </c>
      <c r="F25" s="3"/>
      <c r="G25" s="28"/>
      <c r="H25" s="10"/>
      <c r="I25" s="10">
        <f t="shared" si="5"/>
        <v>3702</v>
      </c>
      <c r="J25" s="10">
        <f t="shared" si="3"/>
        <v>72153501033.575638</v>
      </c>
      <c r="K25" s="11">
        <f t="shared" si="4"/>
        <v>4.1400000000000325E-2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18715585.623261694</v>
      </c>
      <c r="D26" s="11">
        <v>1.47E-2</v>
      </c>
      <c r="E26" s="10">
        <f t="shared" si="2"/>
        <v>271133.44699117541</v>
      </c>
      <c r="F26" s="3"/>
      <c r="G26" s="28"/>
      <c r="H26" s="10"/>
      <c r="I26" s="10">
        <f t="shared" si="5"/>
        <v>3702</v>
      </c>
      <c r="J26" s="10">
        <f t="shared" si="3"/>
        <v>69285097977.314789</v>
      </c>
      <c r="K26" s="11">
        <f t="shared" si="4"/>
        <v>1.4699999999999935E-2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18444452.176270518</v>
      </c>
      <c r="D27" s="11">
        <v>1.41E-2</v>
      </c>
      <c r="E27" s="10">
        <f t="shared" si="2"/>
        <v>256450.81913560256</v>
      </c>
      <c r="F27" s="3"/>
      <c r="G27" s="28"/>
      <c r="H27" s="10"/>
      <c r="I27" s="10">
        <f t="shared" si="5"/>
        <v>3702</v>
      </c>
      <c r="J27" s="10">
        <f t="shared" si="3"/>
        <v>68281361956.553459</v>
      </c>
      <c r="K27" s="11">
        <f t="shared" si="4"/>
        <v>1.4100000000000001E-2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18188001.357134916</v>
      </c>
      <c r="D28" s="11">
        <v>2.06E-2</v>
      </c>
      <c r="E28" s="10">
        <f t="shared" si="2"/>
        <v>367110.35465116426</v>
      </c>
      <c r="F28" s="3"/>
      <c r="G28" s="28"/>
      <c r="H28" s="10"/>
      <c r="I28" s="10">
        <f t="shared" si="5"/>
        <v>3702</v>
      </c>
      <c r="J28" s="10">
        <f t="shared" si="3"/>
        <v>67331981024.113457</v>
      </c>
      <c r="K28" s="11">
        <f t="shared" si="4"/>
        <v>2.0599999999999952E-2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17820891.002483752</v>
      </c>
      <c r="D29" s="11">
        <v>2.1499999999999998E-2</v>
      </c>
      <c r="E29" s="10">
        <f t="shared" si="2"/>
        <v>375084.83265139535</v>
      </c>
      <c r="F29" s="3"/>
      <c r="G29" s="28"/>
      <c r="H29" s="10"/>
      <c r="I29" s="10">
        <f t="shared" si="5"/>
        <v>3702</v>
      </c>
      <c r="J29" s="10">
        <f t="shared" si="3"/>
        <v>65972938491.194847</v>
      </c>
      <c r="K29" s="11">
        <f t="shared" si="4"/>
        <v>2.1499999999999853E-2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17445806.169832356</v>
      </c>
      <c r="D30" s="11">
        <v>2.24E-2</v>
      </c>
      <c r="E30" s="10">
        <f t="shared" si="2"/>
        <v>382224.23533279076</v>
      </c>
      <c r="F30" s="3"/>
      <c r="G30" s="28"/>
      <c r="H30" s="10"/>
      <c r="I30" s="10">
        <f t="shared" si="5"/>
        <v>3702</v>
      </c>
      <c r="J30" s="10">
        <f t="shared" si="3"/>
        <v>64584374440.719383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17063581.934499566</v>
      </c>
      <c r="D31" s="11">
        <v>2.29E-2</v>
      </c>
      <c r="E31" s="10">
        <f t="shared" si="2"/>
        <v>382008.04213514365</v>
      </c>
      <c r="F31" s="3"/>
      <c r="G31" s="28"/>
      <c r="H31" s="10"/>
      <c r="I31" s="10">
        <f t="shared" si="5"/>
        <v>3702</v>
      </c>
      <c r="J31" s="10">
        <f t="shared" si="3"/>
        <v>63169380321.517395</v>
      </c>
      <c r="K31" s="11">
        <f t="shared" si="4"/>
        <v>2.289999999999992E-2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16681573.892364422</v>
      </c>
      <c r="D32" s="11">
        <v>2.24E-2</v>
      </c>
      <c r="E32" s="10">
        <f t="shared" si="2"/>
        <v>365480.49216447771</v>
      </c>
      <c r="F32" s="3"/>
      <c r="G32" s="28"/>
      <c r="H32" s="10"/>
      <c r="I32" s="10">
        <f t="shared" si="5"/>
        <v>3702</v>
      </c>
      <c r="J32" s="10">
        <f t="shared" si="3"/>
        <v>61755186549.533089</v>
      </c>
      <c r="K32" s="11">
        <f t="shared" si="4"/>
        <v>2.2399999999999975E-2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16316093.400199944</v>
      </c>
      <c r="D33" s="11">
        <v>2.1499999999999998E-2</v>
      </c>
      <c r="E33" s="10">
        <f t="shared" si="2"/>
        <v>343412.63642124273</v>
      </c>
      <c r="F33" s="3"/>
      <c r="G33" s="28"/>
      <c r="H33" s="10"/>
      <c r="I33" s="10">
        <f t="shared" si="5"/>
        <v>3702</v>
      </c>
      <c r="J33" s="10">
        <f t="shared" si="3"/>
        <v>60402177767.540192</v>
      </c>
      <c r="K33" s="11">
        <f t="shared" si="4"/>
        <v>2.1500000000000075E-2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15972680.763778701</v>
      </c>
      <c r="D34" s="11">
        <v>2.0500000000000001E-2</v>
      </c>
      <c r="E34" s="10">
        <f t="shared" si="2"/>
        <v>320862.27893920988</v>
      </c>
      <c r="F34" s="3"/>
      <c r="G34" s="28"/>
      <c r="H34" s="10"/>
      <c r="I34" s="10">
        <f t="shared" si="5"/>
        <v>3702</v>
      </c>
      <c r="J34" s="10">
        <f t="shared" ref="J34:J65" si="6">IF(I34="","",I34*C34)</f>
        <v>59130864187.508751</v>
      </c>
      <c r="K34" s="11">
        <f t="shared" ref="K34:K65" si="7">IFERROR(J34/J35-1,"")</f>
        <v>2.0499999999999963E-2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15651818.484839492</v>
      </c>
      <c r="D35" s="11">
        <v>1.95E-2</v>
      </c>
      <c r="E35" s="10">
        <f t="shared" si="2"/>
        <v>299372.69294200279</v>
      </c>
      <c r="F35" s="3"/>
      <c r="G35" s="28"/>
      <c r="H35" s="10"/>
      <c r="I35" s="10">
        <f t="shared" ref="I35:I66" si="8">IF(H35&lt;&gt;"",H35,I34/(1+IF(G34="",0,G34)/100))</f>
        <v>3702</v>
      </c>
      <c r="J35" s="10">
        <f t="shared" si="6"/>
        <v>57943032030.875801</v>
      </c>
      <c r="K35" s="11">
        <f t="shared" si="7"/>
        <v>1.9500000000000295E-2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15352445.791897489</v>
      </c>
      <c r="D36" s="11">
        <v>1.8499999999999999E-2</v>
      </c>
      <c r="E36" s="10">
        <f t="shared" si="2"/>
        <v>278861.31286215223</v>
      </c>
      <c r="F36" s="3"/>
      <c r="G36" s="28"/>
      <c r="H36" s="10"/>
      <c r="I36" s="10">
        <f t="shared" si="8"/>
        <v>3702</v>
      </c>
      <c r="J36" s="10">
        <f t="shared" si="6"/>
        <v>56834754321.6045</v>
      </c>
      <c r="K36" s="11">
        <f t="shared" si="7"/>
        <v>1.8499999999999739E-2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15073584.479035337</v>
      </c>
      <c r="D37" s="11">
        <v>1.7600000000000001E-2</v>
      </c>
      <c r="E37" s="10">
        <f t="shared" si="2"/>
        <v>260706.64979463629</v>
      </c>
      <c r="F37" s="3"/>
      <c r="G37" s="28"/>
      <c r="H37" s="10"/>
      <c r="I37" s="10">
        <f t="shared" si="8"/>
        <v>3702</v>
      </c>
      <c r="J37" s="10">
        <f t="shared" si="6"/>
        <v>55802409741.388817</v>
      </c>
      <c r="K37" s="11">
        <f t="shared" si="7"/>
        <v>1.760000000000006E-2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14812877.8292407</v>
      </c>
      <c r="D38" s="11">
        <v>1.6899999999999998E-2</v>
      </c>
      <c r="E38" s="10">
        <f t="shared" si="2"/>
        <v>246177.23995886184</v>
      </c>
      <c r="F38" s="3"/>
      <c r="G38" s="28"/>
      <c r="H38" s="10"/>
      <c r="I38" s="10">
        <f t="shared" si="8"/>
        <v>3702</v>
      </c>
      <c r="J38" s="10">
        <f t="shared" si="6"/>
        <v>54837273723.849075</v>
      </c>
      <c r="K38" s="11">
        <f t="shared" si="7"/>
        <v>1.6900000000000137E-2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14566700.589281838</v>
      </c>
      <c r="D39" s="11">
        <v>1.6400000000000001E-2</v>
      </c>
      <c r="E39" s="10">
        <f t="shared" si="2"/>
        <v>235039.24602933973</v>
      </c>
      <c r="F39" s="3"/>
      <c r="G39" s="28"/>
      <c r="H39" s="10"/>
      <c r="I39" s="10">
        <f t="shared" si="8"/>
        <v>3702</v>
      </c>
      <c r="J39" s="10">
        <f t="shared" si="6"/>
        <v>53925925581.521362</v>
      </c>
      <c r="K39" s="11">
        <f t="shared" si="7"/>
        <v>1.639999999999997E-2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14331661.343252499</v>
      </c>
      <c r="D40" s="11">
        <v>1.6199999999999999E-2</v>
      </c>
      <c r="E40" s="10">
        <f t="shared" si="2"/>
        <v>228471.67266354151</v>
      </c>
      <c r="F40" s="3"/>
      <c r="G40" s="28"/>
      <c r="H40" s="10"/>
      <c r="I40" s="10">
        <f t="shared" si="8"/>
        <v>3702</v>
      </c>
      <c r="J40" s="10">
        <f t="shared" si="6"/>
        <v>53055810292.720749</v>
      </c>
      <c r="K40" s="11">
        <f t="shared" si="7"/>
        <v>1.6199999999999992E-2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14103189.670588957</v>
      </c>
      <c r="D41" s="11">
        <v>1.6299999999999999E-2</v>
      </c>
      <c r="E41" s="10">
        <f t="shared" si="2"/>
        <v>226195.01292000338</v>
      </c>
      <c r="F41" s="3"/>
      <c r="G41" s="28"/>
      <c r="H41" s="10"/>
      <c r="I41" s="10">
        <f t="shared" si="8"/>
        <v>3702</v>
      </c>
      <c r="J41" s="10">
        <f t="shared" si="6"/>
        <v>52210008160.520317</v>
      </c>
      <c r="K41" s="11">
        <f t="shared" si="7"/>
        <v>1.6299999999999981E-2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13876994.657668954</v>
      </c>
      <c r="D42" s="11">
        <v>1.6899999999999998E-2</v>
      </c>
      <c r="E42" s="10">
        <f t="shared" si="2"/>
        <v>230623.66969672963</v>
      </c>
      <c r="F42" s="3"/>
      <c r="G42" s="28"/>
      <c r="H42" s="10"/>
      <c r="I42" s="10">
        <f t="shared" si="8"/>
        <v>3702</v>
      </c>
      <c r="J42" s="10">
        <f t="shared" si="6"/>
        <v>51372634222.690468</v>
      </c>
      <c r="K42" s="11">
        <f t="shared" si="7"/>
        <v>1.6899999999999915E-2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13646370.987972224</v>
      </c>
      <c r="D43" s="11">
        <v>1.7899999999999999E-2</v>
      </c>
      <c r="E43" s="10">
        <f t="shared" si="2"/>
        <v>239974.49718509056</v>
      </c>
      <c r="F43" s="3"/>
      <c r="G43" s="28"/>
      <c r="H43" s="10"/>
      <c r="I43" s="10">
        <f t="shared" si="8"/>
        <v>3702</v>
      </c>
      <c r="J43" s="10">
        <f t="shared" si="6"/>
        <v>50518865397.473175</v>
      </c>
      <c r="K43" s="11">
        <f t="shared" si="7"/>
        <v>1.7900000000000027E-2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13406396.490787134</v>
      </c>
      <c r="D44" s="11">
        <v>1.9199999999999998E-2</v>
      </c>
      <c r="E44" s="10">
        <f t="shared" si="2"/>
        <v>252553.78004622646</v>
      </c>
      <c r="F44" s="3"/>
      <c r="G44" s="28"/>
      <c r="H44" s="10"/>
      <c r="I44" s="10">
        <f t="shared" si="8"/>
        <v>3702</v>
      </c>
      <c r="J44" s="10">
        <f t="shared" si="6"/>
        <v>49630479808.893967</v>
      </c>
      <c r="K44" s="11">
        <f t="shared" si="7"/>
        <v>1.9199999999999884E-2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13153842.710740907</v>
      </c>
      <c r="D45" s="11">
        <v>2.0500000000000001E-2</v>
      </c>
      <c r="E45" s="10">
        <f t="shared" si="2"/>
        <v>264236.91873609833</v>
      </c>
      <c r="F45" s="3"/>
      <c r="G45" s="28"/>
      <c r="H45" s="10"/>
      <c r="I45" s="10">
        <f t="shared" si="8"/>
        <v>3702</v>
      </c>
      <c r="J45" s="10">
        <f t="shared" si="6"/>
        <v>48695525715.162842</v>
      </c>
      <c r="K45" s="11">
        <f t="shared" si="7"/>
        <v>2.0500000000000185E-2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12889605.792004809</v>
      </c>
      <c r="D46" s="11">
        <v>2.1700000000000001E-2</v>
      </c>
      <c r="E46" s="10">
        <f t="shared" si="2"/>
        <v>273763.77183762938</v>
      </c>
      <c r="F46" s="3"/>
      <c r="G46" s="28"/>
      <c r="H46" s="10"/>
      <c r="I46" s="10">
        <f t="shared" si="8"/>
        <v>3702</v>
      </c>
      <c r="J46" s="10">
        <f t="shared" si="6"/>
        <v>47717320642.001801</v>
      </c>
      <c r="K46" s="11">
        <f t="shared" si="7"/>
        <v>2.1700000000000053E-2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12615842.020167179</v>
      </c>
      <c r="D47" s="11">
        <v>2.29E-2</v>
      </c>
      <c r="E47" s="10">
        <f t="shared" si="2"/>
        <v>282435.02029702626</v>
      </c>
      <c r="F47" s="3"/>
      <c r="G47" s="28"/>
      <c r="H47" s="10"/>
      <c r="I47" s="10">
        <f t="shared" si="8"/>
        <v>3702</v>
      </c>
      <c r="J47" s="10">
        <f t="shared" si="6"/>
        <v>46703847158.658897</v>
      </c>
      <c r="K47" s="11">
        <f t="shared" si="7"/>
        <v>2.289999999999992E-2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12333406.999870153</v>
      </c>
      <c r="D48" s="11">
        <v>2.3900000000000001E-2</v>
      </c>
      <c r="E48" s="10">
        <f t="shared" si="2"/>
        <v>287887.90633547865</v>
      </c>
      <c r="F48" s="3"/>
      <c r="G48" s="28"/>
      <c r="H48" s="10"/>
      <c r="I48" s="10">
        <f t="shared" si="8"/>
        <v>3702</v>
      </c>
      <c r="J48" s="10">
        <f t="shared" si="6"/>
        <v>45658272713.51931</v>
      </c>
      <c r="K48" s="11">
        <f t="shared" si="7"/>
        <v>2.3900000000000032E-2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12045519.093534674</v>
      </c>
      <c r="D49" s="11">
        <v>2.4899999999999999E-2</v>
      </c>
      <c r="E49" s="10">
        <f t="shared" si="2"/>
        <v>292646.52690897882</v>
      </c>
      <c r="F49" s="3"/>
      <c r="G49" s="28"/>
      <c r="H49" s="10"/>
      <c r="I49" s="10">
        <f t="shared" si="8"/>
        <v>3702</v>
      </c>
      <c r="J49" s="10">
        <f t="shared" si="6"/>
        <v>44592511684.265366</v>
      </c>
      <c r="K49" s="11">
        <f t="shared" si="7"/>
        <v>2.4899999999999922E-2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11752872.566625696</v>
      </c>
      <c r="D50" s="11">
        <v>2.5899999999999999E-2</v>
      </c>
      <c r="E50" s="10">
        <f t="shared" si="2"/>
        <v>296714.49407896027</v>
      </c>
      <c r="F50" s="3"/>
      <c r="G50" s="28"/>
      <c r="H50" s="10"/>
      <c r="I50" s="10">
        <f t="shared" si="8"/>
        <v>3702</v>
      </c>
      <c r="J50" s="10">
        <f t="shared" si="6"/>
        <v>43509134241.648323</v>
      </c>
      <c r="K50" s="11">
        <f t="shared" si="7"/>
        <v>2.5899999999999812E-2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11456158.072546735</v>
      </c>
      <c r="D51" s="11">
        <v>2.6800000000000001E-2</v>
      </c>
      <c r="E51" s="10">
        <f t="shared" si="2"/>
        <v>299011.52740967274</v>
      </c>
      <c r="F51" s="3"/>
      <c r="G51" s="28"/>
      <c r="H51" s="10"/>
      <c r="I51" s="10">
        <f t="shared" si="8"/>
        <v>3702</v>
      </c>
      <c r="J51" s="10">
        <f t="shared" si="6"/>
        <v>42410697184.568016</v>
      </c>
      <c r="K51" s="11">
        <f t="shared" si="7"/>
        <v>2.6799999999999935E-2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11157146.545137063</v>
      </c>
      <c r="D52" s="11">
        <v>2.7699999999999999E-2</v>
      </c>
      <c r="E52" s="10">
        <f t="shared" si="2"/>
        <v>300722.93402772956</v>
      </c>
      <c r="F52" s="3"/>
      <c r="G52" s="28"/>
      <c r="H52" s="10"/>
      <c r="I52" s="10">
        <f t="shared" si="8"/>
        <v>3702</v>
      </c>
      <c r="J52" s="10">
        <f t="shared" si="6"/>
        <v>41303756510.097404</v>
      </c>
      <c r="K52" s="11">
        <f t="shared" si="7"/>
        <v>2.7700000000000058E-2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10856423.611109333</v>
      </c>
      <c r="D53" s="11">
        <v>2.8400000000000002E-2</v>
      </c>
      <c r="E53" s="10">
        <f t="shared" si="2"/>
        <v>299807.88657672517</v>
      </c>
      <c r="F53" s="3"/>
      <c r="G53" s="28"/>
      <c r="H53" s="10"/>
      <c r="I53" s="10">
        <f t="shared" si="8"/>
        <v>3702</v>
      </c>
      <c r="J53" s="10">
        <f t="shared" si="6"/>
        <v>40190480208.326752</v>
      </c>
      <c r="K53" s="11">
        <f t="shared" si="7"/>
        <v>2.8399999999999981E-2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10556615.724532608</v>
      </c>
      <c r="D54" s="11">
        <v>2.92E-2</v>
      </c>
      <c r="E54" s="10">
        <f t="shared" si="2"/>
        <v>299507.55844962224</v>
      </c>
      <c r="F54" s="3"/>
      <c r="G54" s="28"/>
      <c r="H54" s="10"/>
      <c r="I54" s="10">
        <f t="shared" si="8"/>
        <v>3702</v>
      </c>
      <c r="J54" s="10">
        <f t="shared" si="6"/>
        <v>39080591412.219711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10257108.166082986</v>
      </c>
      <c r="D55" s="11">
        <v>2.9899999999999999E-2</v>
      </c>
      <c r="E55" s="10">
        <f t="shared" si="2"/>
        <v>297783.7985880971</v>
      </c>
      <c r="F55" s="3"/>
      <c r="G55" s="28"/>
      <c r="H55" s="10"/>
      <c r="I55" s="10">
        <f t="shared" si="8"/>
        <v>3702</v>
      </c>
      <c r="J55" s="10">
        <f t="shared" si="6"/>
        <v>37971814430.839211</v>
      </c>
      <c r="K55" s="11">
        <f t="shared" si="7"/>
        <v>2.9899999999999816E-2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9959324.3674948886</v>
      </c>
      <c r="D56" s="11">
        <v>3.0700000000000002E-2</v>
      </c>
      <c r="E56" s="10">
        <f t="shared" si="2"/>
        <v>296644.27872522734</v>
      </c>
      <c r="F56" s="3"/>
      <c r="G56" s="28"/>
      <c r="H56" s="10"/>
      <c r="I56" s="10">
        <f t="shared" si="8"/>
        <v>3702</v>
      </c>
      <c r="J56" s="10">
        <f t="shared" si="6"/>
        <v>36869418808.46608</v>
      </c>
      <c r="K56" s="11">
        <f t="shared" si="7"/>
        <v>3.069999999999995E-2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9662680.0887696613</v>
      </c>
      <c r="D57" s="11">
        <v>3.1600000000000003E-2</v>
      </c>
      <c r="E57" s="10">
        <f t="shared" si="2"/>
        <v>295987.48623993993</v>
      </c>
      <c r="F57" s="3"/>
      <c r="G57" s="28"/>
      <c r="H57" s="10"/>
      <c r="I57" s="10">
        <f t="shared" si="8"/>
        <v>3702</v>
      </c>
      <c r="J57" s="10">
        <f t="shared" si="6"/>
        <v>35771241688.625282</v>
      </c>
      <c r="K57" s="11">
        <f t="shared" si="7"/>
        <v>3.1600000000000072E-2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9366692.6025297213</v>
      </c>
      <c r="D58" s="11">
        <v>3.2500000000000001E-2</v>
      </c>
      <c r="E58" s="10">
        <f t="shared" si="2"/>
        <v>294835.36037018523</v>
      </c>
      <c r="F58" s="3"/>
      <c r="G58" s="28"/>
      <c r="H58" s="10"/>
      <c r="I58" s="10">
        <f t="shared" si="8"/>
        <v>3702</v>
      </c>
      <c r="J58" s="10">
        <f t="shared" si="6"/>
        <v>34675496014.565025</v>
      </c>
      <c r="K58" s="11">
        <f t="shared" si="7"/>
        <v>3.2499999999999973E-2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9071857.2421595361</v>
      </c>
      <c r="D59" s="11">
        <v>3.3500000000000002E-2</v>
      </c>
      <c r="E59" s="10">
        <f t="shared" si="2"/>
        <v>294056.33053927869</v>
      </c>
      <c r="F59" s="3"/>
      <c r="G59" s="28"/>
      <c r="H59" s="10"/>
      <c r="I59" s="10">
        <f t="shared" si="8"/>
        <v>3702</v>
      </c>
      <c r="J59" s="10">
        <f t="shared" si="6"/>
        <v>33584015510.474602</v>
      </c>
      <c r="K59" s="11">
        <f t="shared" si="7"/>
        <v>3.3500000000000085E-2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8777800.9116202574</v>
      </c>
      <c r="D60" s="11">
        <v>3.4500000000000003E-2</v>
      </c>
      <c r="E60" s="10">
        <f t="shared" si="2"/>
        <v>292734.78148951009</v>
      </c>
      <c r="F60" s="3"/>
      <c r="G60" s="28"/>
      <c r="H60" s="10"/>
      <c r="I60" s="10">
        <f t="shared" si="8"/>
        <v>3702</v>
      </c>
      <c r="J60" s="10">
        <f t="shared" si="6"/>
        <v>32495418974.818192</v>
      </c>
      <c r="K60" s="11">
        <f t="shared" si="7"/>
        <v>3.4499999999999975E-2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8485066.1301307473</v>
      </c>
      <c r="D61" s="11">
        <v>3.5499999999999997E-2</v>
      </c>
      <c r="E61" s="10">
        <f t="shared" si="2"/>
        <v>290893.14111022837</v>
      </c>
      <c r="F61" s="3"/>
      <c r="G61" s="28"/>
      <c r="H61" s="10"/>
      <c r="I61" s="10">
        <f t="shared" si="8"/>
        <v>3702</v>
      </c>
      <c r="J61" s="10">
        <f t="shared" si="6"/>
        <v>31411714813.744026</v>
      </c>
      <c r="K61" s="11">
        <f t="shared" si="7"/>
        <v>3.5499999999999865E-2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8194172.989020519</v>
      </c>
      <c r="D62" s="11">
        <v>3.6299999999999999E-2</v>
      </c>
      <c r="E62" s="10">
        <f t="shared" si="2"/>
        <v>287029.31535409112</v>
      </c>
      <c r="F62" s="3"/>
      <c r="G62" s="28"/>
      <c r="H62" s="10"/>
      <c r="I62" s="10">
        <f t="shared" si="8"/>
        <v>3702</v>
      </c>
      <c r="J62" s="10">
        <f t="shared" si="6"/>
        <v>30334828405.353962</v>
      </c>
      <c r="K62" s="11">
        <f t="shared" si="7"/>
        <v>3.6299999999999999E-2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7907143.6736664278</v>
      </c>
      <c r="D63" s="11">
        <v>3.6700000000000003E-2</v>
      </c>
      <c r="E63" s="10">
        <f t="shared" si="2"/>
        <v>279919.14037190843</v>
      </c>
      <c r="F63" s="3"/>
      <c r="G63" s="28"/>
      <c r="H63" s="10"/>
      <c r="I63" s="10">
        <f t="shared" si="8"/>
        <v>3702</v>
      </c>
      <c r="J63" s="10">
        <f t="shared" si="6"/>
        <v>29272245879.913116</v>
      </c>
      <c r="K63" s="11">
        <f t="shared" si="7"/>
        <v>3.6699999999999955E-2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7627224.5332945194</v>
      </c>
      <c r="D64" s="11">
        <v>3.6499999999999998E-2</v>
      </c>
      <c r="E64" s="10">
        <f t="shared" si="2"/>
        <v>268590.15481451992</v>
      </c>
      <c r="F64" s="3"/>
      <c r="G64" s="28"/>
      <c r="H64" s="10"/>
      <c r="I64" s="10">
        <f t="shared" si="8"/>
        <v>3702</v>
      </c>
      <c r="J64" s="10">
        <f t="shared" si="6"/>
        <v>28235985222.25631</v>
      </c>
      <c r="K64" s="11">
        <f t="shared" si="7"/>
        <v>3.6499999999999977E-2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7358634.3784799995</v>
      </c>
      <c r="D65" s="11">
        <v>3.5099999999999999E-2</v>
      </c>
      <c r="E65" s="10">
        <f t="shared" si="2"/>
        <v>249529.57847999968</v>
      </c>
      <c r="F65" s="3"/>
      <c r="G65" s="28"/>
      <c r="H65" s="10"/>
      <c r="I65" s="10">
        <f t="shared" si="8"/>
        <v>3702</v>
      </c>
      <c r="J65" s="10">
        <f t="shared" si="6"/>
        <v>27241664469.132957</v>
      </c>
      <c r="K65" s="11">
        <f t="shared" si="7"/>
        <v>3.5099999999999909E-2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7109104.7999999998</v>
      </c>
      <c r="D66" s="11">
        <v>3.2099999999999997E-2</v>
      </c>
      <c r="E66" s="10">
        <f t="shared" si="2"/>
        <v>221104.79999999981</v>
      </c>
      <c r="F66" s="24">
        <f>SUM(F2)</f>
        <v>21995119</v>
      </c>
      <c r="G66" s="28"/>
      <c r="H66" s="10"/>
      <c r="I66" s="10">
        <f t="shared" si="8"/>
        <v>3702</v>
      </c>
      <c r="J66" s="10">
        <f t="shared" ref="J66:J67" si="9">IF(I66="","",I66*C66)</f>
        <v>26317905969.599998</v>
      </c>
      <c r="K66" s="11">
        <f t="shared" ref="K66" si="10">IFERROR(J66/J67-1,"")</f>
        <v>3.2100000000000017E-2</v>
      </c>
    </row>
    <row r="67" spans="1:11" ht="22.5" customHeight="1">
      <c r="A67" s="3">
        <f t="shared" si="0"/>
        <v>1950</v>
      </c>
      <c r="B67" s="3">
        <v>1700</v>
      </c>
      <c r="C67" s="10">
        <v>6888000</v>
      </c>
      <c r="D67" s="11">
        <v>2.8400000000000002E-2</v>
      </c>
      <c r="E67" s="3" t="s">
        <v>72</v>
      </c>
      <c r="F67" s="10">
        <f>SUM(C2)</f>
        <v>21995332.392196439</v>
      </c>
      <c r="G67" s="28"/>
      <c r="H67" s="10"/>
      <c r="I67" s="10">
        <f t="shared" ref="I67" si="11">IF(H67&lt;&gt;"",H67,I66/(1+IF(G66="",0,G66)/100))</f>
        <v>3702</v>
      </c>
      <c r="J67" s="10">
        <f t="shared" si="9"/>
        <v>25499376000</v>
      </c>
      <c r="K67" s="11"/>
    </row>
  </sheetData>
  <dataValidations count="1">
    <dataValidation type="custom" allowBlank="1" showDropDown="1" sqref="D2:D67" xr:uid="{00000000-0002-0000-8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2166325.6440770118</v>
      </c>
      <c r="D2" s="11">
        <v>5.4999999999999997E-3</v>
      </c>
      <c r="E2" s="10">
        <f t="shared" ref="E2:E66" si="2">SUM(C2-C3)</f>
        <v>11849.618142639287</v>
      </c>
      <c r="F2" s="15">
        <v>2166683</v>
      </c>
      <c r="G2" s="28"/>
      <c r="H2" s="10"/>
      <c r="I2" s="10">
        <f>IF(H2&lt;&gt;"",H2,4008)</f>
        <v>4008</v>
      </c>
      <c r="J2" s="10">
        <f t="shared" ref="J2:J33" si="3">IF(I2="","",I2*C2)</f>
        <v>8682633181.4606628</v>
      </c>
      <c r="K2" s="11">
        <f t="shared" ref="K2:K33" si="4">IFERROR(J2/J3-1,"")</f>
        <v>5.5000000000000604E-3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2154476.0259343726</v>
      </c>
      <c r="D3" s="11">
        <v>5.5999999999999999E-3</v>
      </c>
      <c r="E3" s="10">
        <f t="shared" si="2"/>
        <v>11997.877630501986</v>
      </c>
      <c r="F3" s="10"/>
      <c r="G3" s="28"/>
      <c r="H3" s="10"/>
      <c r="I3" s="10">
        <f t="shared" ref="I3:I34" si="5">IF(H3&lt;&gt;"",H3,I2/(1+IF(G2="",0,G2)/100))</f>
        <v>4008</v>
      </c>
      <c r="J3" s="10">
        <f t="shared" si="3"/>
        <v>8635139911.9449654</v>
      </c>
      <c r="K3" s="11">
        <f t="shared" si="4"/>
        <v>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2142478.1483038706</v>
      </c>
      <c r="D4" s="11">
        <v>5.8999999999999999E-3</v>
      </c>
      <c r="E4" s="10">
        <f t="shared" si="2"/>
        <v>12566.478849779349</v>
      </c>
      <c r="F4" s="3"/>
      <c r="G4" s="28"/>
      <c r="H4" s="10"/>
      <c r="I4" s="10">
        <f t="shared" si="5"/>
        <v>4008</v>
      </c>
      <c r="J4" s="10">
        <f t="shared" si="3"/>
        <v>8587052418.4019136</v>
      </c>
      <c r="K4" s="11">
        <f t="shared" si="4"/>
        <v>5.9000000000000163E-3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2129911.6694540912</v>
      </c>
      <c r="D5" s="11">
        <v>6.1999999999999998E-3</v>
      </c>
      <c r="E5" s="10">
        <f t="shared" si="2"/>
        <v>13124.083035793621</v>
      </c>
      <c r="F5" s="3"/>
      <c r="G5" s="28"/>
      <c r="H5" s="10"/>
      <c r="I5" s="10">
        <f t="shared" si="5"/>
        <v>4008</v>
      </c>
      <c r="J5" s="10">
        <f t="shared" si="3"/>
        <v>8536685971.171998</v>
      </c>
      <c r="K5" s="11">
        <f t="shared" si="4"/>
        <v>6.1999999999999833E-3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2116787.5864182976</v>
      </c>
      <c r="D6" s="11">
        <v>6.1000000000000004E-3</v>
      </c>
      <c r="E6" s="10">
        <f t="shared" si="2"/>
        <v>12834.116168523673</v>
      </c>
      <c r="F6" s="3"/>
      <c r="G6" s="28"/>
      <c r="H6" s="10"/>
      <c r="I6" s="10">
        <f t="shared" si="5"/>
        <v>4008</v>
      </c>
      <c r="J6" s="10">
        <f t="shared" si="3"/>
        <v>8484084646.3645372</v>
      </c>
      <c r="K6" s="11">
        <f t="shared" si="4"/>
        <v>6.0999999999999943E-3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2103953.4702497739</v>
      </c>
      <c r="D7" s="11">
        <v>5.7000000000000002E-3</v>
      </c>
      <c r="E7" s="10">
        <f t="shared" si="2"/>
        <v>11924.564761284506</v>
      </c>
      <c r="F7" s="3"/>
      <c r="G7" s="28"/>
      <c r="H7" s="10"/>
      <c r="I7" s="10">
        <f t="shared" si="5"/>
        <v>4008</v>
      </c>
      <c r="J7" s="10">
        <f t="shared" si="3"/>
        <v>8432645508.7610941</v>
      </c>
      <c r="K7" s="11">
        <f t="shared" si="4"/>
        <v>5.7000000000000384E-3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2092028.9054884894</v>
      </c>
      <c r="D8" s="11">
        <v>5.1000000000000004E-3</v>
      </c>
      <c r="E8" s="10">
        <f t="shared" si="2"/>
        <v>10615.209847767837</v>
      </c>
      <c r="F8" s="3"/>
      <c r="G8" s="28"/>
      <c r="H8" s="10"/>
      <c r="I8" s="10">
        <f t="shared" si="5"/>
        <v>4008</v>
      </c>
      <c r="J8" s="10">
        <f t="shared" si="3"/>
        <v>8384851853.1978655</v>
      </c>
      <c r="K8" s="11">
        <f t="shared" si="4"/>
        <v>5.1000000000001044E-3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2081413.6956407216</v>
      </c>
      <c r="D9" s="11">
        <v>4.4000000000000003E-3</v>
      </c>
      <c r="E9" s="10">
        <f t="shared" si="2"/>
        <v>9118.100618099561</v>
      </c>
      <c r="F9" s="3"/>
      <c r="G9" s="28"/>
      <c r="H9" s="10"/>
      <c r="I9" s="10">
        <f t="shared" si="5"/>
        <v>4008</v>
      </c>
      <c r="J9" s="10">
        <f t="shared" si="3"/>
        <v>8342306092.1280117</v>
      </c>
      <c r="K9" s="11">
        <f t="shared" si="4"/>
        <v>4.3999999999999595E-3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2072295.595022622</v>
      </c>
      <c r="D10" s="11">
        <v>4.1000000000000003E-3</v>
      </c>
      <c r="E10" s="10">
        <f t="shared" si="2"/>
        <v>8461.7188921349589</v>
      </c>
      <c r="F10" s="3"/>
      <c r="G10" s="28"/>
      <c r="H10" s="10"/>
      <c r="I10" s="10">
        <f t="shared" si="5"/>
        <v>4008</v>
      </c>
      <c r="J10" s="10">
        <f t="shared" si="3"/>
        <v>8305760744.8506689</v>
      </c>
      <c r="K10" s="11">
        <f t="shared" si="4"/>
        <v>4.0999999999999925E-3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2063833.8761304871</v>
      </c>
      <c r="D11" s="11">
        <v>4.1000000000000003E-3</v>
      </c>
      <c r="E11" s="10">
        <f t="shared" si="2"/>
        <v>8427.1675053630024</v>
      </c>
      <c r="F11" s="3"/>
      <c r="G11" s="28"/>
      <c r="H11" s="10"/>
      <c r="I11" s="10">
        <f t="shared" si="5"/>
        <v>4008</v>
      </c>
      <c r="J11" s="10">
        <f t="shared" si="3"/>
        <v>8271846175.5309925</v>
      </c>
      <c r="K11" s="11">
        <f t="shared" si="4"/>
        <v>4.0999999999999925E-3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2055406.7086251241</v>
      </c>
      <c r="D12" s="11">
        <v>4.4999999999999997E-3</v>
      </c>
      <c r="E12" s="10">
        <f t="shared" si="2"/>
        <v>9207.8946628302801</v>
      </c>
      <c r="F12" s="3"/>
      <c r="G12" s="28"/>
      <c r="H12" s="10"/>
      <c r="I12" s="10">
        <f t="shared" si="5"/>
        <v>4008</v>
      </c>
      <c r="J12" s="10">
        <f t="shared" si="3"/>
        <v>8238070088.1694975</v>
      </c>
      <c r="K12" s="11">
        <f t="shared" si="4"/>
        <v>4.4999999999999485E-3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2046198.8139622938</v>
      </c>
      <c r="D13" s="11">
        <v>5.0000000000000001E-3</v>
      </c>
      <c r="E13" s="10">
        <f t="shared" si="2"/>
        <v>10180.093601802131</v>
      </c>
      <c r="F13" s="3"/>
      <c r="G13" s="28"/>
      <c r="H13" s="10"/>
      <c r="I13" s="10">
        <f t="shared" si="5"/>
        <v>4008</v>
      </c>
      <c r="J13" s="10">
        <f t="shared" si="3"/>
        <v>8201164846.3608732</v>
      </c>
      <c r="K13" s="11">
        <f t="shared" si="4"/>
        <v>4.9999999999998934E-3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2036018.7203604917</v>
      </c>
      <c r="D14" s="11">
        <v>5.3E-3</v>
      </c>
      <c r="E14" s="10">
        <f t="shared" si="2"/>
        <v>10734.008970367722</v>
      </c>
      <c r="F14" s="3"/>
      <c r="G14" s="28"/>
      <c r="H14" s="10"/>
      <c r="I14" s="10">
        <f t="shared" si="5"/>
        <v>4008</v>
      </c>
      <c r="J14" s="10">
        <f t="shared" si="3"/>
        <v>8160363031.2048502</v>
      </c>
      <c r="K14" s="11">
        <f t="shared" si="4"/>
        <v>5.3000000000000824E-3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2025284.7113901239</v>
      </c>
      <c r="D15" s="11">
        <v>5.3E-3</v>
      </c>
      <c r="E15" s="10">
        <f t="shared" si="2"/>
        <v>10677.418651514687</v>
      </c>
      <c r="F15" s="3"/>
      <c r="G15" s="28"/>
      <c r="H15" s="10"/>
      <c r="I15" s="10">
        <f t="shared" si="5"/>
        <v>4008</v>
      </c>
      <c r="J15" s="10">
        <f t="shared" si="3"/>
        <v>8117341123.2516165</v>
      </c>
      <c r="K15" s="11">
        <f t="shared" si="4"/>
        <v>5.3000000000000824E-3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2014607.2927386092</v>
      </c>
      <c r="D16" s="11">
        <v>5.0000000000000001E-3</v>
      </c>
      <c r="E16" s="10">
        <f t="shared" si="2"/>
        <v>10022.921854420798</v>
      </c>
      <c r="F16" s="3"/>
      <c r="G16" s="28"/>
      <c r="H16" s="10"/>
      <c r="I16" s="10">
        <f t="shared" si="5"/>
        <v>4008</v>
      </c>
      <c r="J16" s="10">
        <f t="shared" si="3"/>
        <v>8074546029.2963457</v>
      </c>
      <c r="K16" s="11">
        <f t="shared" si="4"/>
        <v>4.9999999999998934E-3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2004584.3708841885</v>
      </c>
      <c r="D17" s="11">
        <v>4.5999999999999999E-3</v>
      </c>
      <c r="E17" s="10">
        <f t="shared" si="2"/>
        <v>9178.865325569408</v>
      </c>
      <c r="F17" s="3"/>
      <c r="G17" s="28"/>
      <c r="H17" s="10"/>
      <c r="I17" s="10">
        <f t="shared" si="5"/>
        <v>4008</v>
      </c>
      <c r="J17" s="10">
        <f t="shared" si="3"/>
        <v>8034374158.5038271</v>
      </c>
      <c r="K17" s="11">
        <f t="shared" si="4"/>
        <v>4.5999999999999375E-3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1995405.505558619</v>
      </c>
      <c r="D18" s="11">
        <v>4.3E-3</v>
      </c>
      <c r="E18" s="10">
        <f t="shared" si="2"/>
        <v>8543.5065955412574</v>
      </c>
      <c r="F18" s="3"/>
      <c r="G18" s="28"/>
      <c r="H18" s="10"/>
      <c r="I18" s="10">
        <f t="shared" si="5"/>
        <v>4008</v>
      </c>
      <c r="J18" s="10">
        <f t="shared" si="3"/>
        <v>7997585266.278945</v>
      </c>
      <c r="K18" s="11">
        <f t="shared" si="4"/>
        <v>4.2999999999999705E-3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1986861.9989630778</v>
      </c>
      <c r="D19" s="11">
        <v>4.4000000000000003E-3</v>
      </c>
      <c r="E19" s="10">
        <f t="shared" si="2"/>
        <v>8703.8956545575056</v>
      </c>
      <c r="F19" s="3"/>
      <c r="G19" s="28"/>
      <c r="H19" s="10"/>
      <c r="I19" s="10">
        <f t="shared" si="5"/>
        <v>4008</v>
      </c>
      <c r="J19" s="10">
        <f t="shared" si="3"/>
        <v>7963342891.8440161</v>
      </c>
      <c r="K19" s="11">
        <f t="shared" si="4"/>
        <v>4.3999999999999595E-3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1978158.1033085203</v>
      </c>
      <c r="D20" s="11">
        <v>4.7999999999999996E-3</v>
      </c>
      <c r="E20" s="10">
        <f t="shared" si="2"/>
        <v>9449.7998565691523</v>
      </c>
      <c r="F20" s="3"/>
      <c r="G20" s="28"/>
      <c r="H20" s="10"/>
      <c r="I20" s="10">
        <f t="shared" si="5"/>
        <v>4008</v>
      </c>
      <c r="J20" s="10">
        <f t="shared" si="3"/>
        <v>7928457678.0605497</v>
      </c>
      <c r="K20" s="11">
        <f t="shared" si="4"/>
        <v>4.7999999999999154E-3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1968708.3034519511</v>
      </c>
      <c r="D21" s="11">
        <v>5.4999999999999997E-3</v>
      </c>
      <c r="E21" s="10">
        <f t="shared" si="2"/>
        <v>10768.667995013297</v>
      </c>
      <c r="F21" s="3"/>
      <c r="G21" s="28"/>
      <c r="H21" s="10"/>
      <c r="I21" s="10">
        <f t="shared" si="5"/>
        <v>4008</v>
      </c>
      <c r="J21" s="10">
        <f t="shared" si="3"/>
        <v>7890582880.2354202</v>
      </c>
      <c r="K21" s="11">
        <f t="shared" si="4"/>
        <v>5.5000000000000604E-3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1957939.6354569378</v>
      </c>
      <c r="D22" s="11">
        <v>6.4999999999999997E-3</v>
      </c>
      <c r="E22" s="10">
        <f t="shared" si="2"/>
        <v>12644.418907570885</v>
      </c>
      <c r="F22" s="3"/>
      <c r="G22" s="28"/>
      <c r="H22" s="10"/>
      <c r="I22" s="10">
        <f t="shared" si="5"/>
        <v>4008</v>
      </c>
      <c r="J22" s="10">
        <f t="shared" si="3"/>
        <v>7847422058.9114065</v>
      </c>
      <c r="K22" s="11">
        <f t="shared" si="4"/>
        <v>6.4999999999999503E-3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1945295.2165493669</v>
      </c>
      <c r="D23" s="11">
        <v>7.7999999999999996E-3</v>
      </c>
      <c r="E23" s="10">
        <f t="shared" si="2"/>
        <v>15055.866927054012</v>
      </c>
      <c r="F23" s="3"/>
      <c r="G23" s="28"/>
      <c r="H23" s="10"/>
      <c r="I23" s="10">
        <f t="shared" si="5"/>
        <v>4008</v>
      </c>
      <c r="J23" s="10">
        <f t="shared" si="3"/>
        <v>7796743227.929863</v>
      </c>
      <c r="K23" s="11">
        <f t="shared" si="4"/>
        <v>7.8000000000000291E-3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1930239.3496223129</v>
      </c>
      <c r="D24" s="11">
        <v>9.2999999999999992E-3</v>
      </c>
      <c r="E24" s="10">
        <f t="shared" si="2"/>
        <v>17785.817845524289</v>
      </c>
      <c r="F24" s="3"/>
      <c r="G24" s="28"/>
      <c r="H24" s="10"/>
      <c r="I24" s="10">
        <f t="shared" si="5"/>
        <v>4008</v>
      </c>
      <c r="J24" s="10">
        <f t="shared" si="3"/>
        <v>7736399313.2862301</v>
      </c>
      <c r="K24" s="11">
        <f t="shared" si="4"/>
        <v>9.300000000000086E-3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1912453.5317767886</v>
      </c>
      <c r="D25" s="11">
        <v>1.09E-2</v>
      </c>
      <c r="E25" s="10">
        <f t="shared" si="2"/>
        <v>20620.974870280828</v>
      </c>
      <c r="F25" s="3"/>
      <c r="G25" s="28"/>
      <c r="H25" s="10"/>
      <c r="I25" s="10">
        <f t="shared" si="5"/>
        <v>4008</v>
      </c>
      <c r="J25" s="10">
        <f t="shared" si="3"/>
        <v>7665113755.3613691</v>
      </c>
      <c r="K25" s="11">
        <f t="shared" si="4"/>
        <v>1.089999999999991E-2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1891832.5569065078</v>
      </c>
      <c r="D26" s="11">
        <v>1.23E-2</v>
      </c>
      <c r="E26" s="10">
        <f t="shared" si="2"/>
        <v>22986.802775807679</v>
      </c>
      <c r="F26" s="3"/>
      <c r="G26" s="28"/>
      <c r="H26" s="10"/>
      <c r="I26" s="10">
        <f t="shared" si="5"/>
        <v>4008</v>
      </c>
      <c r="J26" s="10">
        <f t="shared" si="3"/>
        <v>7582464888.0812836</v>
      </c>
      <c r="K26" s="11">
        <f t="shared" si="4"/>
        <v>1.2299999999999978E-2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1868845.7541307001</v>
      </c>
      <c r="D27" s="11">
        <v>1.3299999999999999E-2</v>
      </c>
      <c r="E27" s="10">
        <f t="shared" si="2"/>
        <v>24529.4074113674</v>
      </c>
      <c r="F27" s="3"/>
      <c r="G27" s="28"/>
      <c r="H27" s="10"/>
      <c r="I27" s="10">
        <f t="shared" si="5"/>
        <v>4008</v>
      </c>
      <c r="J27" s="10">
        <f t="shared" si="3"/>
        <v>7490333782.5558462</v>
      </c>
      <c r="K27" s="11">
        <f t="shared" si="4"/>
        <v>1.330000000000009E-2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1844316.3467193327</v>
      </c>
      <c r="D28" s="11">
        <v>1.41E-2</v>
      </c>
      <c r="E28" s="10">
        <f t="shared" si="2"/>
        <v>25643.29009835585</v>
      </c>
      <c r="F28" s="3"/>
      <c r="G28" s="28"/>
      <c r="H28" s="10"/>
      <c r="I28" s="10">
        <f t="shared" si="5"/>
        <v>4008</v>
      </c>
      <c r="J28" s="10">
        <f t="shared" si="3"/>
        <v>7392019917.6510859</v>
      </c>
      <c r="K28" s="11">
        <f t="shared" si="4"/>
        <v>1.4100000000000001E-2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1818673.0566209769</v>
      </c>
      <c r="D29" s="11">
        <v>1.47E-2</v>
      </c>
      <c r="E29" s="10">
        <f t="shared" si="2"/>
        <v>26347.190235861111</v>
      </c>
      <c r="F29" s="3"/>
      <c r="G29" s="28"/>
      <c r="H29" s="10"/>
      <c r="I29" s="10">
        <f t="shared" si="5"/>
        <v>4008</v>
      </c>
      <c r="J29" s="10">
        <f t="shared" si="3"/>
        <v>7289241610.9368753</v>
      </c>
      <c r="K29" s="11">
        <f t="shared" si="4"/>
        <v>1.4699999999999935E-2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1792325.8663851158</v>
      </c>
      <c r="D30" s="11">
        <v>1.55E-2</v>
      </c>
      <c r="E30" s="10">
        <f t="shared" si="2"/>
        <v>27357.017162943725</v>
      </c>
      <c r="F30" s="3"/>
      <c r="G30" s="28"/>
      <c r="H30" s="10"/>
      <c r="I30" s="10">
        <f t="shared" si="5"/>
        <v>4008</v>
      </c>
      <c r="J30" s="10">
        <f t="shared" si="3"/>
        <v>7183642072.4715443</v>
      </c>
      <c r="K30" s="11">
        <f t="shared" si="4"/>
        <v>1.5500000000000069E-2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1764968.8492221721</v>
      </c>
      <c r="D31" s="11">
        <v>1.6400000000000001E-2</v>
      </c>
      <c r="E31" s="10">
        <f t="shared" si="2"/>
        <v>28478.442667496623</v>
      </c>
      <c r="F31" s="3"/>
      <c r="G31" s="28"/>
      <c r="H31" s="10"/>
      <c r="I31" s="10">
        <f t="shared" si="5"/>
        <v>4008</v>
      </c>
      <c r="J31" s="10">
        <f t="shared" si="3"/>
        <v>7073995147.6824656</v>
      </c>
      <c r="K31" s="11">
        <f t="shared" si="4"/>
        <v>1.639999999999997E-2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1736490.4065546754</v>
      </c>
      <c r="D32" s="11">
        <v>1.7399999999999999E-2</v>
      </c>
      <c r="E32" s="10">
        <f t="shared" si="2"/>
        <v>29698.184660950908</v>
      </c>
      <c r="F32" s="3"/>
      <c r="G32" s="28"/>
      <c r="H32" s="10"/>
      <c r="I32" s="10">
        <f t="shared" si="5"/>
        <v>4008</v>
      </c>
      <c r="J32" s="10">
        <f t="shared" si="3"/>
        <v>6959853549.471139</v>
      </c>
      <c r="K32" s="11">
        <f t="shared" si="4"/>
        <v>1.7400000000000082E-2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1706792.2218937245</v>
      </c>
      <c r="D33" s="11">
        <v>1.84E-2</v>
      </c>
      <c r="E33" s="10">
        <f t="shared" si="2"/>
        <v>30837.565674434882</v>
      </c>
      <c r="F33" s="3"/>
      <c r="G33" s="28"/>
      <c r="H33" s="10"/>
      <c r="I33" s="10">
        <f t="shared" si="5"/>
        <v>4008</v>
      </c>
      <c r="J33" s="10">
        <f t="shared" si="3"/>
        <v>6840823225.3500481</v>
      </c>
      <c r="K33" s="11">
        <f t="shared" si="4"/>
        <v>1.8399999999999972E-2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1675954.6562192896</v>
      </c>
      <c r="D34" s="11">
        <v>1.9300000000000001E-2</v>
      </c>
      <c r="E34" s="10">
        <f t="shared" si="2"/>
        <v>31733.46891497355</v>
      </c>
      <c r="F34" s="3"/>
      <c r="G34" s="28"/>
      <c r="H34" s="10"/>
      <c r="I34" s="10">
        <f t="shared" si="5"/>
        <v>4008</v>
      </c>
      <c r="J34" s="10">
        <f t="shared" ref="J34:J65" si="6">IF(I34="","",I34*C34)</f>
        <v>6717226262.1269131</v>
      </c>
      <c r="K34" s="11">
        <f t="shared" ref="K34:K65" si="7">IFERROR(J34/J35-1,"")</f>
        <v>1.9300000000000095E-2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1644221.1873043161</v>
      </c>
      <c r="D35" s="11">
        <v>2.01E-2</v>
      </c>
      <c r="E35" s="10">
        <f t="shared" si="2"/>
        <v>32397.653038738063</v>
      </c>
      <c r="F35" s="3"/>
      <c r="G35" s="28"/>
      <c r="H35" s="10"/>
      <c r="I35" s="10">
        <f t="shared" ref="I35:I66" si="8">IF(H35&lt;&gt;"",H35,I34/(1+IF(G34="",0,G34)/100))</f>
        <v>4008</v>
      </c>
      <c r="J35" s="10">
        <f t="shared" si="6"/>
        <v>6590038518.7156992</v>
      </c>
      <c r="K35" s="11">
        <f t="shared" si="7"/>
        <v>2.0100000000000007E-2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1611823.534265578</v>
      </c>
      <c r="D36" s="11">
        <v>2.0799999999999999E-2</v>
      </c>
      <c r="E36" s="10">
        <f t="shared" si="2"/>
        <v>32842.799287542934</v>
      </c>
      <c r="F36" s="3"/>
      <c r="G36" s="28"/>
      <c r="H36" s="10"/>
      <c r="I36" s="10">
        <f t="shared" si="8"/>
        <v>4008</v>
      </c>
      <c r="J36" s="10">
        <f t="shared" si="6"/>
        <v>6460188725.3364363</v>
      </c>
      <c r="K36" s="11">
        <f t="shared" si="7"/>
        <v>2.079999999999993E-2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1578980.7349780351</v>
      </c>
      <c r="D37" s="11">
        <v>2.1499999999999998E-2</v>
      </c>
      <c r="E37" s="10">
        <f t="shared" si="2"/>
        <v>33233.564172322862</v>
      </c>
      <c r="F37" s="3"/>
      <c r="G37" s="28"/>
      <c r="H37" s="10"/>
      <c r="I37" s="10">
        <f t="shared" si="8"/>
        <v>4008</v>
      </c>
      <c r="J37" s="10">
        <f t="shared" si="6"/>
        <v>6328554785.7919645</v>
      </c>
      <c r="K37" s="11">
        <f t="shared" si="7"/>
        <v>2.1500000000000075E-2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1545747.1708057122</v>
      </c>
      <c r="D38" s="11">
        <v>2.2100000000000002E-2</v>
      </c>
      <c r="E38" s="10">
        <f t="shared" si="2"/>
        <v>33422.377922714222</v>
      </c>
      <c r="F38" s="3"/>
      <c r="G38" s="28"/>
      <c r="H38" s="10"/>
      <c r="I38" s="10">
        <f t="shared" si="8"/>
        <v>4008</v>
      </c>
      <c r="J38" s="10">
        <f t="shared" si="6"/>
        <v>6195354660.5892944</v>
      </c>
      <c r="K38" s="11">
        <f t="shared" si="7"/>
        <v>2.2100000000000009E-2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1512324.792882998</v>
      </c>
      <c r="D39" s="11">
        <v>2.2700000000000001E-2</v>
      </c>
      <c r="E39" s="10">
        <f t="shared" si="2"/>
        <v>33567.784099387936</v>
      </c>
      <c r="F39" s="3"/>
      <c r="G39" s="28"/>
      <c r="H39" s="10"/>
      <c r="I39" s="10">
        <f t="shared" si="8"/>
        <v>4008</v>
      </c>
      <c r="J39" s="10">
        <f t="shared" si="6"/>
        <v>6061397769.8750563</v>
      </c>
      <c r="K39" s="11">
        <f t="shared" si="7"/>
        <v>2.2700000000000164E-2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1478757.0087836101</v>
      </c>
      <c r="D40" s="11">
        <v>2.3300000000000001E-2</v>
      </c>
      <c r="E40" s="10">
        <f t="shared" si="2"/>
        <v>33670.515298209852</v>
      </c>
      <c r="F40" s="3"/>
      <c r="G40" s="28"/>
      <c r="H40" s="10"/>
      <c r="I40" s="10">
        <f t="shared" si="8"/>
        <v>4008</v>
      </c>
      <c r="J40" s="10">
        <f t="shared" si="6"/>
        <v>5926858091.2047091</v>
      </c>
      <c r="K40" s="11">
        <f t="shared" si="7"/>
        <v>2.3299999999999876E-2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1445086.4934854002</v>
      </c>
      <c r="D41" s="11">
        <v>2.4E-2</v>
      </c>
      <c r="E41" s="10">
        <f t="shared" si="2"/>
        <v>33869.214691064088</v>
      </c>
      <c r="F41" s="3"/>
      <c r="G41" s="28"/>
      <c r="H41" s="10"/>
      <c r="I41" s="10">
        <f t="shared" si="8"/>
        <v>4008</v>
      </c>
      <c r="J41" s="10">
        <f t="shared" si="6"/>
        <v>5791906665.8894844</v>
      </c>
      <c r="K41" s="11">
        <f t="shared" si="7"/>
        <v>2.4000000000000021E-2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1411217.2787943361</v>
      </c>
      <c r="D42" s="11">
        <v>2.4799999999999999E-2</v>
      </c>
      <c r="E42" s="10">
        <f t="shared" si="2"/>
        <v>34151.237816256238</v>
      </c>
      <c r="F42" s="3"/>
      <c r="G42" s="28"/>
      <c r="H42" s="10"/>
      <c r="I42" s="10">
        <f t="shared" si="8"/>
        <v>4008</v>
      </c>
      <c r="J42" s="10">
        <f t="shared" si="6"/>
        <v>5656158853.4076996</v>
      </c>
      <c r="K42" s="11">
        <f t="shared" si="7"/>
        <v>2.4799999999999933E-2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1377066.0409780799</v>
      </c>
      <c r="D43" s="11">
        <v>2.5499999999999998E-2</v>
      </c>
      <c r="E43" s="10">
        <f t="shared" si="2"/>
        <v>34242.012720566709</v>
      </c>
      <c r="F43" s="3"/>
      <c r="G43" s="28"/>
      <c r="H43" s="10"/>
      <c r="I43" s="10">
        <f t="shared" si="8"/>
        <v>4008</v>
      </c>
      <c r="J43" s="10">
        <f t="shared" si="6"/>
        <v>5519280692.2401438</v>
      </c>
      <c r="K43" s="11">
        <f t="shared" si="7"/>
        <v>2.5500000000000078E-2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1342824.0282575132</v>
      </c>
      <c r="D44" s="11">
        <v>2.6200000000000001E-2</v>
      </c>
      <c r="E44" s="10">
        <f t="shared" si="2"/>
        <v>34283.755155278603</v>
      </c>
      <c r="F44" s="3"/>
      <c r="G44" s="28"/>
      <c r="H44" s="10"/>
      <c r="I44" s="10">
        <f t="shared" si="8"/>
        <v>4008</v>
      </c>
      <c r="J44" s="10">
        <f t="shared" si="6"/>
        <v>5382038705.2561131</v>
      </c>
      <c r="K44" s="11">
        <f t="shared" si="7"/>
        <v>2.6200000000000001E-2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1308540.2731022346</v>
      </c>
      <c r="D45" s="11">
        <v>2.6700000000000002E-2</v>
      </c>
      <c r="E45" s="10">
        <f t="shared" si="2"/>
        <v>34029.43926349422</v>
      </c>
      <c r="F45" s="3"/>
      <c r="G45" s="28"/>
      <c r="H45" s="10"/>
      <c r="I45" s="10">
        <f t="shared" si="8"/>
        <v>4008</v>
      </c>
      <c r="J45" s="10">
        <f t="shared" si="6"/>
        <v>5244629414.5937567</v>
      </c>
      <c r="K45" s="11">
        <f t="shared" si="7"/>
        <v>2.6699999999999946E-2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1274510.8338387404</v>
      </c>
      <c r="D46" s="11">
        <v>2.7199999999999998E-2</v>
      </c>
      <c r="E46" s="10">
        <f t="shared" si="2"/>
        <v>33748.729244950926</v>
      </c>
      <c r="F46" s="3"/>
      <c r="G46" s="28"/>
      <c r="H46" s="10"/>
      <c r="I46" s="10">
        <f t="shared" si="8"/>
        <v>4008</v>
      </c>
      <c r="J46" s="10">
        <f t="shared" si="6"/>
        <v>5108239422.025671</v>
      </c>
      <c r="K46" s="11">
        <f t="shared" si="7"/>
        <v>2.7199999999999669E-2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1240762.1045937894</v>
      </c>
      <c r="D47" s="11">
        <v>2.75E-2</v>
      </c>
      <c r="E47" s="10">
        <f t="shared" si="2"/>
        <v>33207.744891804643</v>
      </c>
      <c r="F47" s="3"/>
      <c r="G47" s="28"/>
      <c r="H47" s="10"/>
      <c r="I47" s="10">
        <f t="shared" si="8"/>
        <v>4008</v>
      </c>
      <c r="J47" s="10">
        <f t="shared" si="6"/>
        <v>4972974515.2119083</v>
      </c>
      <c r="K47" s="11">
        <f t="shared" si="7"/>
        <v>2.750000000000008E-2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1207554.3597019848</v>
      </c>
      <c r="D48" s="11">
        <v>2.7799999999999998E-2</v>
      </c>
      <c r="E48" s="10">
        <f t="shared" si="2"/>
        <v>32662.007394157583</v>
      </c>
      <c r="F48" s="3"/>
      <c r="G48" s="28"/>
      <c r="H48" s="10"/>
      <c r="I48" s="10">
        <f t="shared" si="8"/>
        <v>4008</v>
      </c>
      <c r="J48" s="10">
        <f t="shared" si="6"/>
        <v>4839877873.6855555</v>
      </c>
      <c r="K48" s="11">
        <f t="shared" si="7"/>
        <v>2.7800000000000047E-2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1174892.3523078272</v>
      </c>
      <c r="D49" s="11">
        <v>2.81E-2</v>
      </c>
      <c r="E49" s="10">
        <f t="shared" si="2"/>
        <v>32112.12440409488</v>
      </c>
      <c r="F49" s="3"/>
      <c r="G49" s="28"/>
      <c r="H49" s="10"/>
      <c r="I49" s="10">
        <f t="shared" si="8"/>
        <v>4008</v>
      </c>
      <c r="J49" s="10">
        <f t="shared" si="6"/>
        <v>4708968548.0497713</v>
      </c>
      <c r="K49" s="11">
        <f t="shared" si="7"/>
        <v>2.8100000000000014E-2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1142780.2279037323</v>
      </c>
      <c r="D50" s="11">
        <v>2.8299999999999999E-2</v>
      </c>
      <c r="E50" s="10">
        <f t="shared" si="2"/>
        <v>31450.627686157357</v>
      </c>
      <c r="F50" s="3"/>
      <c r="G50" s="28"/>
      <c r="H50" s="10"/>
      <c r="I50" s="10">
        <f t="shared" si="8"/>
        <v>4008</v>
      </c>
      <c r="J50" s="10">
        <f t="shared" si="6"/>
        <v>4580263153.438159</v>
      </c>
      <c r="K50" s="11">
        <f t="shared" si="7"/>
        <v>2.829999999999977E-2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1111329.600217575</v>
      </c>
      <c r="D51" s="11">
        <v>2.8400000000000002E-2</v>
      </c>
      <c r="E51" s="10">
        <f t="shared" si="2"/>
        <v>30690.160099357367</v>
      </c>
      <c r="F51" s="3"/>
      <c r="G51" s="28"/>
      <c r="H51" s="10"/>
      <c r="I51" s="10">
        <f t="shared" si="8"/>
        <v>4008</v>
      </c>
      <c r="J51" s="10">
        <f t="shared" si="6"/>
        <v>4454209037.6720409</v>
      </c>
      <c r="K51" s="11">
        <f t="shared" si="7"/>
        <v>2.8399999999999981E-2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1080639.4401182176</v>
      </c>
      <c r="D52" s="11">
        <v>2.8400000000000002E-2</v>
      </c>
      <c r="E52" s="10">
        <f t="shared" si="2"/>
        <v>29842.629423723556</v>
      </c>
      <c r="F52" s="3"/>
      <c r="G52" s="28"/>
      <c r="H52" s="10"/>
      <c r="I52" s="10">
        <f t="shared" si="8"/>
        <v>4008</v>
      </c>
      <c r="J52" s="10">
        <f t="shared" si="6"/>
        <v>4331202875.9938164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1050796.8106944941</v>
      </c>
      <c r="D53" s="11">
        <v>2.8299999999999999E-2</v>
      </c>
      <c r="E53" s="10">
        <f t="shared" si="2"/>
        <v>28919.138133476838</v>
      </c>
      <c r="F53" s="3"/>
      <c r="G53" s="28"/>
      <c r="H53" s="10"/>
      <c r="I53" s="10">
        <f t="shared" si="8"/>
        <v>4008</v>
      </c>
      <c r="J53" s="10">
        <f t="shared" si="6"/>
        <v>4211593617.2635322</v>
      </c>
      <c r="K53" s="11">
        <f t="shared" si="7"/>
        <v>2.8299999999999992E-2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1021877.6725610172</v>
      </c>
      <c r="D54" s="11">
        <v>2.8199999999999999E-2</v>
      </c>
      <c r="E54" s="10">
        <f t="shared" si="2"/>
        <v>28026.600239467691</v>
      </c>
      <c r="F54" s="3"/>
      <c r="G54" s="28"/>
      <c r="H54" s="10"/>
      <c r="I54" s="10">
        <f t="shared" si="8"/>
        <v>4008</v>
      </c>
      <c r="J54" s="10">
        <f t="shared" si="6"/>
        <v>4095685711.624557</v>
      </c>
      <c r="K54" s="11">
        <f t="shared" si="7"/>
        <v>2.8200000000000003E-2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993851.07232154952</v>
      </c>
      <c r="D55" s="11">
        <v>2.81E-2</v>
      </c>
      <c r="E55" s="10">
        <f t="shared" si="2"/>
        <v>27163.90928142739</v>
      </c>
      <c r="F55" s="3"/>
      <c r="G55" s="28"/>
      <c r="H55" s="10"/>
      <c r="I55" s="10">
        <f t="shared" si="8"/>
        <v>4008</v>
      </c>
      <c r="J55" s="10">
        <f t="shared" si="6"/>
        <v>3983355097.8647704</v>
      </c>
      <c r="K55" s="11">
        <f t="shared" si="7"/>
        <v>2.8100000000000014E-2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966687.16304012213</v>
      </c>
      <c r="D56" s="11">
        <v>2.81E-2</v>
      </c>
      <c r="E56" s="10">
        <f t="shared" si="2"/>
        <v>26421.466084454325</v>
      </c>
      <c r="F56" s="3"/>
      <c r="G56" s="28"/>
      <c r="H56" s="10"/>
      <c r="I56" s="10">
        <f t="shared" si="8"/>
        <v>4008</v>
      </c>
      <c r="J56" s="10">
        <f t="shared" si="6"/>
        <v>3874482149.4648094</v>
      </c>
      <c r="K56" s="11">
        <f t="shared" si="7"/>
        <v>2.8100000000000014E-2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940265.69695566781</v>
      </c>
      <c r="D57" s="11">
        <v>2.81E-2</v>
      </c>
      <c r="E57" s="10">
        <f t="shared" si="2"/>
        <v>25699.315323853982</v>
      </c>
      <c r="F57" s="3"/>
      <c r="G57" s="28"/>
      <c r="H57" s="10"/>
      <c r="I57" s="10">
        <f t="shared" si="8"/>
        <v>4008</v>
      </c>
      <c r="J57" s="10">
        <f t="shared" si="6"/>
        <v>3768584913.3983164</v>
      </c>
      <c r="K57" s="11">
        <f t="shared" si="7"/>
        <v>2.8100000000000014E-2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914566.38163181383</v>
      </c>
      <c r="D58" s="11">
        <v>2.8199999999999999E-2</v>
      </c>
      <c r="E58" s="10">
        <f t="shared" si="2"/>
        <v>25083.419531236286</v>
      </c>
      <c r="F58" s="3"/>
      <c r="G58" s="28"/>
      <c r="H58" s="10"/>
      <c r="I58" s="10">
        <f t="shared" si="8"/>
        <v>4008</v>
      </c>
      <c r="J58" s="10">
        <f t="shared" si="6"/>
        <v>3665582057.5803099</v>
      </c>
      <c r="K58" s="11">
        <f t="shared" si="7"/>
        <v>2.8200000000000003E-2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889482.96210057754</v>
      </c>
      <c r="D59" s="11">
        <v>2.8299999999999999E-2</v>
      </c>
      <c r="E59" s="10">
        <f t="shared" si="2"/>
        <v>24479.595280994195</v>
      </c>
      <c r="F59" s="3"/>
      <c r="G59" s="28"/>
      <c r="H59" s="10"/>
      <c r="I59" s="10">
        <f t="shared" si="8"/>
        <v>4008</v>
      </c>
      <c r="J59" s="10">
        <f t="shared" si="6"/>
        <v>3565047712.0991149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865003.36681958335</v>
      </c>
      <c r="D60" s="11">
        <v>2.8299999999999999E-2</v>
      </c>
      <c r="E60" s="10">
        <f t="shared" si="2"/>
        <v>23805.888632689137</v>
      </c>
      <c r="F60" s="3"/>
      <c r="G60" s="28"/>
      <c r="H60" s="10"/>
      <c r="I60" s="10">
        <f t="shared" si="8"/>
        <v>4008</v>
      </c>
      <c r="J60" s="10">
        <f t="shared" si="6"/>
        <v>3466933494.2128901</v>
      </c>
      <c r="K60" s="11">
        <f t="shared" si="7"/>
        <v>2.8299999999999992E-2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841197.47818689421</v>
      </c>
      <c r="D61" s="11">
        <v>2.8199999999999999E-2</v>
      </c>
      <c r="E61" s="10">
        <f t="shared" si="2"/>
        <v>23071.162113276077</v>
      </c>
      <c r="F61" s="3"/>
      <c r="G61" s="28"/>
      <c r="H61" s="10"/>
      <c r="I61" s="10">
        <f t="shared" si="8"/>
        <v>4008</v>
      </c>
      <c r="J61" s="10">
        <f t="shared" si="6"/>
        <v>3371519492.573072</v>
      </c>
      <c r="K61" s="11">
        <f t="shared" si="7"/>
        <v>2.8200000000000003E-2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818126.31607361813</v>
      </c>
      <c r="D62" s="11">
        <v>2.8000000000000001E-2</v>
      </c>
      <c r="E62" s="10">
        <f t="shared" si="2"/>
        <v>22283.596157647204</v>
      </c>
      <c r="F62" s="3"/>
      <c r="G62" s="28"/>
      <c r="H62" s="10"/>
      <c r="I62" s="10">
        <f t="shared" si="8"/>
        <v>4008</v>
      </c>
      <c r="J62" s="10">
        <f t="shared" si="6"/>
        <v>3279050274.8230615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795842.71991597093</v>
      </c>
      <c r="D63" s="11">
        <v>2.76E-2</v>
      </c>
      <c r="E63" s="10">
        <f t="shared" si="2"/>
        <v>21375.30076847109</v>
      </c>
      <c r="F63" s="3"/>
      <c r="G63" s="28"/>
      <c r="H63" s="10"/>
      <c r="I63" s="10">
        <f t="shared" si="8"/>
        <v>4008</v>
      </c>
      <c r="J63" s="10">
        <f t="shared" si="6"/>
        <v>3189737621.4232116</v>
      </c>
      <c r="K63" s="11">
        <f t="shared" si="7"/>
        <v>2.7600000000000291E-2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774467.41914749984</v>
      </c>
      <c r="D64" s="11">
        <v>2.7E-2</v>
      </c>
      <c r="E64" s="10">
        <f t="shared" si="2"/>
        <v>20360.876647499972</v>
      </c>
      <c r="F64" s="3"/>
      <c r="G64" s="28"/>
      <c r="H64" s="10"/>
      <c r="I64" s="10">
        <f t="shared" si="8"/>
        <v>4008</v>
      </c>
      <c r="J64" s="10">
        <f t="shared" si="6"/>
        <v>3104065415.9431791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754106.54249999986</v>
      </c>
      <c r="D65" s="11">
        <v>2.6100000000000002E-2</v>
      </c>
      <c r="E65" s="10">
        <f t="shared" si="2"/>
        <v>19181.542499999981</v>
      </c>
      <c r="F65" s="3"/>
      <c r="G65" s="28"/>
      <c r="H65" s="10"/>
      <c r="I65" s="10">
        <f t="shared" si="8"/>
        <v>4008</v>
      </c>
      <c r="J65" s="10">
        <f t="shared" si="6"/>
        <v>3022459022.3399997</v>
      </c>
      <c r="K65" s="11">
        <f t="shared" si="7"/>
        <v>2.6100000000000012E-2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734924.99999999988</v>
      </c>
      <c r="D66" s="11">
        <v>2.5000000000000001E-2</v>
      </c>
      <c r="E66" s="10">
        <f t="shared" si="2"/>
        <v>17924.999999999884</v>
      </c>
      <c r="F66" s="24">
        <f>SUM(F2)</f>
        <v>2166683</v>
      </c>
      <c r="G66" s="28"/>
      <c r="H66" s="10"/>
      <c r="I66" s="10">
        <f t="shared" si="8"/>
        <v>4008</v>
      </c>
      <c r="J66" s="10">
        <f t="shared" ref="J66:J67" si="9">IF(I66="","",I66*C66)</f>
        <v>2945579399.9999995</v>
      </c>
      <c r="K66" s="11">
        <f t="shared" ref="K66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717000</v>
      </c>
      <c r="D67" s="11">
        <v>2.3900000000000001E-2</v>
      </c>
      <c r="E67" s="3" t="s">
        <v>72</v>
      </c>
      <c r="F67" s="10">
        <f>SUM(C2)</f>
        <v>2166325.6440770118</v>
      </c>
      <c r="G67" s="28"/>
      <c r="H67" s="10"/>
      <c r="I67" s="10">
        <f t="shared" ref="I67" si="11">IF(H67&lt;&gt;"",H67,I66/(1+IF(G66="",0,G66)/100))</f>
        <v>4008</v>
      </c>
      <c r="J67" s="10">
        <f t="shared" si="9"/>
        <v>2873736000</v>
      </c>
      <c r="K67" s="11"/>
    </row>
  </sheetData>
  <dataValidations count="1">
    <dataValidation type="custom" allowBlank="1" showDropDown="1" sqref="D2:D67" xr:uid="{00000000-0002-0000-8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345185.74208120658</v>
      </c>
      <c r="D2" s="11">
        <v>-1.6000000000000001E-3</v>
      </c>
      <c r="E2" s="10">
        <f t="shared" ref="E2:E66" si="2">SUM(C2-C3)</f>
        <v>-553.18227897631004</v>
      </c>
      <c r="F2" s="15">
        <v>345037</v>
      </c>
      <c r="G2" s="28"/>
      <c r="H2" s="10"/>
      <c r="I2" s="10">
        <f>IF(H2&lt;&gt;"",H2,24643)</f>
        <v>24643</v>
      </c>
      <c r="J2" s="10">
        <f t="shared" ref="J2:J33" si="3">IF(I2="","",I2*C2)</f>
        <v>8506412242.1071739</v>
      </c>
      <c r="K2" s="11">
        <f t="shared" ref="K2:K33" si="4">IFERROR(J2/J3-1,"")</f>
        <v>-1.6000000000000458E-3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345738.92436018289</v>
      </c>
      <c r="D3" s="11">
        <v>-1.2999999999999999E-3</v>
      </c>
      <c r="E3" s="10">
        <f t="shared" si="2"/>
        <v>-450.04566102754325</v>
      </c>
      <c r="F3" s="3"/>
      <c r="G3" s="28"/>
      <c r="H3" s="10"/>
      <c r="I3" s="10">
        <f t="shared" ref="I3:I34" si="5">IF(H3&lt;&gt;"",H3,I2/(1+IF(G2="",0,G2)/100))</f>
        <v>24643</v>
      </c>
      <c r="J3" s="10">
        <f t="shared" si="3"/>
        <v>8520044313.007987</v>
      </c>
      <c r="K3" s="11">
        <f t="shared" si="4"/>
        <v>-1.2999999999999678E-3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346188.97002121044</v>
      </c>
      <c r="D4" s="11">
        <v>-1.5E-3</v>
      </c>
      <c r="E4" s="10">
        <f t="shared" si="2"/>
        <v>-520.0635503573576</v>
      </c>
      <c r="F4" s="3"/>
      <c r="G4" s="28"/>
      <c r="H4" s="10"/>
      <c r="I4" s="10">
        <f t="shared" si="5"/>
        <v>24643</v>
      </c>
      <c r="J4" s="10">
        <f t="shared" si="3"/>
        <v>8531134788.2326889</v>
      </c>
      <c r="K4" s="11">
        <f t="shared" si="4"/>
        <v>-1.4999999999999458E-3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346709.03357156779</v>
      </c>
      <c r="D5" s="11">
        <v>-1.6000000000000001E-3</v>
      </c>
      <c r="E5" s="10">
        <f t="shared" si="2"/>
        <v>-555.62345123651903</v>
      </c>
      <c r="F5" s="3"/>
      <c r="G5" s="28"/>
      <c r="H5" s="10"/>
      <c r="I5" s="10">
        <f t="shared" si="5"/>
        <v>24643</v>
      </c>
      <c r="J5" s="10">
        <f t="shared" si="3"/>
        <v>8543950714.3041449</v>
      </c>
      <c r="K5" s="11">
        <f t="shared" si="4"/>
        <v>-1.6000000000001569E-3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347264.65702280431</v>
      </c>
      <c r="D6" s="11">
        <v>-1.5E-3</v>
      </c>
      <c r="E6" s="10">
        <f t="shared" si="2"/>
        <v>-521.67950479139108</v>
      </c>
      <c r="F6" s="3"/>
      <c r="G6" s="28"/>
      <c r="H6" s="10"/>
      <c r="I6" s="10">
        <f t="shared" si="5"/>
        <v>24643</v>
      </c>
      <c r="J6" s="10">
        <f t="shared" si="3"/>
        <v>8557642943.0129671</v>
      </c>
      <c r="K6" s="11">
        <f t="shared" si="4"/>
        <v>-1.4999999999999458E-3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347786.3365275957</v>
      </c>
      <c r="D7" s="11">
        <v>-1.1000000000000001E-3</v>
      </c>
      <c r="E7" s="10">
        <f t="shared" si="2"/>
        <v>-382.98625506093958</v>
      </c>
      <c r="F7" s="3"/>
      <c r="G7" s="28"/>
      <c r="H7" s="10"/>
      <c r="I7" s="10">
        <f t="shared" si="5"/>
        <v>24643</v>
      </c>
      <c r="J7" s="10">
        <f t="shared" si="3"/>
        <v>8570498691.0495405</v>
      </c>
      <c r="K7" s="11">
        <f t="shared" si="4"/>
        <v>-1.1000000000001009E-3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348169.32278265664</v>
      </c>
      <c r="D8" s="11">
        <v>-5.0000000000000001E-4</v>
      </c>
      <c r="E8" s="10">
        <f t="shared" si="2"/>
        <v>-174.17174726491794</v>
      </c>
      <c r="F8" s="3"/>
      <c r="G8" s="28"/>
      <c r="H8" s="10"/>
      <c r="I8" s="10">
        <f t="shared" si="5"/>
        <v>24643</v>
      </c>
      <c r="J8" s="10">
        <f t="shared" si="3"/>
        <v>8579936621.3330078</v>
      </c>
      <c r="K8" s="11">
        <f t="shared" si="4"/>
        <v>-4.9999999999983391E-4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348343.49452992156</v>
      </c>
      <c r="D9" s="11">
        <v>-1E-4</v>
      </c>
      <c r="E9" s="10">
        <f t="shared" si="2"/>
        <v>-34.837833236320876</v>
      </c>
      <c r="F9" s="3"/>
      <c r="G9" s="28"/>
      <c r="H9" s="10"/>
      <c r="I9" s="10">
        <f t="shared" si="5"/>
        <v>24643</v>
      </c>
      <c r="J9" s="10">
        <f t="shared" si="3"/>
        <v>8584228735.7008572</v>
      </c>
      <c r="K9" s="11">
        <f t="shared" si="4"/>
        <v>-9.9999999999988987E-5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348378.33236315788</v>
      </c>
      <c r="D10" s="11">
        <v>5.0000000000000001E-4</v>
      </c>
      <c r="E10" s="10">
        <f t="shared" si="2"/>
        <v>174.10211512399837</v>
      </c>
      <c r="F10" s="3"/>
      <c r="G10" s="28"/>
      <c r="H10" s="10"/>
      <c r="I10" s="10">
        <f t="shared" si="5"/>
        <v>24643</v>
      </c>
      <c r="J10" s="10">
        <f t="shared" si="3"/>
        <v>8585087244.4252996</v>
      </c>
      <c r="K10" s="11">
        <f t="shared" si="4"/>
        <v>4.9999999999994493E-4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348204.23024803388</v>
      </c>
      <c r="D11" s="11">
        <v>8.9999999999999998E-4</v>
      </c>
      <c r="E11" s="10">
        <f t="shared" si="2"/>
        <v>313.10201540932758</v>
      </c>
      <c r="F11" s="3"/>
      <c r="G11" s="28"/>
      <c r="H11" s="10"/>
      <c r="I11" s="10">
        <f t="shared" si="5"/>
        <v>24643</v>
      </c>
      <c r="J11" s="10">
        <f t="shared" si="3"/>
        <v>8580796846.0022993</v>
      </c>
      <c r="K11" s="11">
        <f t="shared" si="4"/>
        <v>8.9999999999990088E-4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347891.12823262456</v>
      </c>
      <c r="D12" s="11">
        <v>5.9999999999999995E-4</v>
      </c>
      <c r="E12" s="10">
        <f t="shared" si="2"/>
        <v>208.60951123281848</v>
      </c>
      <c r="F12" s="3"/>
      <c r="G12" s="28"/>
      <c r="H12" s="10"/>
      <c r="I12" s="10">
        <f t="shared" si="5"/>
        <v>24643</v>
      </c>
      <c r="J12" s="10">
        <f t="shared" si="3"/>
        <v>8573081073.0365667</v>
      </c>
      <c r="K12" s="11">
        <f t="shared" si="4"/>
        <v>5.9999999999993392E-4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347682.51872139174</v>
      </c>
      <c r="D13" s="11">
        <v>-2.9999999999999997E-4</v>
      </c>
      <c r="E13" s="10">
        <f t="shared" si="2"/>
        <v>-104.33605643332703</v>
      </c>
      <c r="F13" s="3"/>
      <c r="G13" s="28"/>
      <c r="H13" s="10"/>
      <c r="I13" s="10">
        <f t="shared" si="5"/>
        <v>24643</v>
      </c>
      <c r="J13" s="10">
        <f t="shared" si="3"/>
        <v>8567940308.8512564</v>
      </c>
      <c r="K13" s="11">
        <f t="shared" si="4"/>
        <v>-2.9999999999996696E-4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347786.85477782506</v>
      </c>
      <c r="D14" s="11">
        <v>-8.0000000000000004E-4</v>
      </c>
      <c r="E14" s="10">
        <f t="shared" si="2"/>
        <v>-278.45224561874056</v>
      </c>
      <c r="F14" s="3"/>
      <c r="G14" s="28"/>
      <c r="H14" s="10"/>
      <c r="I14" s="10">
        <f t="shared" si="5"/>
        <v>24643</v>
      </c>
      <c r="J14" s="10">
        <f t="shared" si="3"/>
        <v>8570511462.2899427</v>
      </c>
      <c r="K14" s="11">
        <f t="shared" si="4"/>
        <v>-7.9999999999991189E-4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348065.30702344381</v>
      </c>
      <c r="D15" s="11">
        <v>-8.9999999999999998E-4</v>
      </c>
      <c r="E15" s="10">
        <f t="shared" si="2"/>
        <v>-313.54096318798838</v>
      </c>
      <c r="F15" s="3"/>
      <c r="G15" s="28"/>
      <c r="H15" s="10"/>
      <c r="I15" s="10">
        <f t="shared" si="5"/>
        <v>24643</v>
      </c>
      <c r="J15" s="10">
        <f t="shared" si="3"/>
        <v>8577373360.9787254</v>
      </c>
      <c r="K15" s="11">
        <f t="shared" si="4"/>
        <v>-9.0000000000012292E-4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348378.84798663179</v>
      </c>
      <c r="D16" s="11">
        <v>-6.9999999999999999E-4</v>
      </c>
      <c r="E16" s="10">
        <f t="shared" si="2"/>
        <v>-244.03601880383212</v>
      </c>
      <c r="F16" s="3"/>
      <c r="G16" s="28"/>
      <c r="H16" s="10"/>
      <c r="I16" s="10">
        <f t="shared" si="5"/>
        <v>24643</v>
      </c>
      <c r="J16" s="10">
        <f t="shared" si="3"/>
        <v>8585099950.9345675</v>
      </c>
      <c r="K16" s="11">
        <f t="shared" si="4"/>
        <v>-7.0000000000003393E-4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348622.88400543563</v>
      </c>
      <c r="D17" s="11">
        <v>-1E-4</v>
      </c>
      <c r="E17" s="10">
        <f t="shared" si="2"/>
        <v>-34.86577497801045</v>
      </c>
      <c r="F17" s="3"/>
      <c r="G17" s="28"/>
      <c r="H17" s="10"/>
      <c r="I17" s="10">
        <f t="shared" si="5"/>
        <v>24643</v>
      </c>
      <c r="J17" s="10">
        <f t="shared" si="3"/>
        <v>8591113730.5459499</v>
      </c>
      <c r="K17" s="11">
        <f t="shared" si="4"/>
        <v>-9.9999999999988987E-5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348657.74978041364</v>
      </c>
      <c r="D18" s="11">
        <v>5.9999999999999995E-4</v>
      </c>
      <c r="E18" s="10">
        <f t="shared" si="2"/>
        <v>209.06920834322227</v>
      </c>
      <c r="F18" s="3"/>
      <c r="G18" s="28"/>
      <c r="H18" s="10"/>
      <c r="I18" s="10">
        <f t="shared" si="5"/>
        <v>24643</v>
      </c>
      <c r="J18" s="10">
        <f t="shared" si="3"/>
        <v>8591972927.8387337</v>
      </c>
      <c r="K18" s="11">
        <f t="shared" si="4"/>
        <v>5.9999999999993392E-4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348448.68057207041</v>
      </c>
      <c r="D19" s="11">
        <v>1E-3</v>
      </c>
      <c r="E19" s="10">
        <f t="shared" si="2"/>
        <v>348.1005799920531</v>
      </c>
      <c r="F19" s="3"/>
      <c r="G19" s="28"/>
      <c r="H19" s="10"/>
      <c r="I19" s="10">
        <f t="shared" si="5"/>
        <v>24643</v>
      </c>
      <c r="J19" s="10">
        <f t="shared" si="3"/>
        <v>8586820835.3375311</v>
      </c>
      <c r="K19" s="11">
        <f t="shared" si="4"/>
        <v>9.9999999999988987E-4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348100.57999207836</v>
      </c>
      <c r="D20" s="11">
        <v>1E-3</v>
      </c>
      <c r="E20" s="10">
        <f t="shared" si="2"/>
        <v>347.75282716489164</v>
      </c>
      <c r="F20" s="3"/>
      <c r="G20" s="28"/>
      <c r="H20" s="10"/>
      <c r="I20" s="10">
        <f t="shared" si="5"/>
        <v>24643</v>
      </c>
      <c r="J20" s="10">
        <f t="shared" si="3"/>
        <v>8578242592.7447872</v>
      </c>
      <c r="K20" s="11">
        <f t="shared" si="4"/>
        <v>9.9999999999988987E-4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347752.82716491347</v>
      </c>
      <c r="D21" s="11">
        <v>2.9999999999999997E-4</v>
      </c>
      <c r="E21" s="10">
        <f t="shared" si="2"/>
        <v>104.29455978155602</v>
      </c>
      <c r="F21" s="3"/>
      <c r="G21" s="28"/>
      <c r="H21" s="10"/>
      <c r="I21" s="10">
        <f t="shared" si="5"/>
        <v>24643</v>
      </c>
      <c r="J21" s="10">
        <f t="shared" si="3"/>
        <v>8569672919.8249626</v>
      </c>
      <c r="K21" s="11">
        <f t="shared" si="4"/>
        <v>2.9999999999996696E-4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347648.53260513191</v>
      </c>
      <c r="D22" s="11">
        <v>-1.1000000000000001E-3</v>
      </c>
      <c r="E22" s="10">
        <f t="shared" si="2"/>
        <v>-382.83450381981675</v>
      </c>
      <c r="F22" s="3"/>
      <c r="G22" s="28"/>
      <c r="H22" s="10"/>
      <c r="I22" s="10">
        <f t="shared" si="5"/>
        <v>24643</v>
      </c>
      <c r="J22" s="10">
        <f t="shared" si="3"/>
        <v>8567102788.988266</v>
      </c>
      <c r="K22" s="11">
        <f t="shared" si="4"/>
        <v>-1.0999999999998789E-3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348031.36710895173</v>
      </c>
      <c r="D23" s="11">
        <v>-3.3999999999999998E-3</v>
      </c>
      <c r="E23" s="10">
        <f t="shared" si="2"/>
        <v>-1187.3436164663872</v>
      </c>
      <c r="F23" s="3"/>
      <c r="G23" s="28"/>
      <c r="H23" s="10"/>
      <c r="I23" s="10">
        <f t="shared" si="5"/>
        <v>24643</v>
      </c>
      <c r="J23" s="10">
        <f t="shared" si="3"/>
        <v>8576536979.6658974</v>
      </c>
      <c r="K23" s="11">
        <f t="shared" si="4"/>
        <v>-3.3999999999999586E-3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349218.71072541812</v>
      </c>
      <c r="D24" s="11">
        <v>-6.1999999999999998E-3</v>
      </c>
      <c r="E24" s="10">
        <f t="shared" si="2"/>
        <v>-2178.6637215713272</v>
      </c>
      <c r="F24" s="3"/>
      <c r="G24" s="28"/>
      <c r="H24" s="10"/>
      <c r="I24" s="10">
        <f t="shared" si="5"/>
        <v>24643</v>
      </c>
      <c r="J24" s="10">
        <f t="shared" si="3"/>
        <v>8605796688.4064789</v>
      </c>
      <c r="K24" s="11">
        <f t="shared" si="4"/>
        <v>-6.1999999999998723E-3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351397.37444698944</v>
      </c>
      <c r="D25" s="11">
        <v>-8.8999999999999999E-3</v>
      </c>
      <c r="E25" s="10">
        <f t="shared" si="2"/>
        <v>-3155.5207674081321</v>
      </c>
      <c r="F25" s="3"/>
      <c r="G25" s="28"/>
      <c r="H25" s="10"/>
      <c r="I25" s="10">
        <f t="shared" si="5"/>
        <v>24643</v>
      </c>
      <c r="J25" s="10">
        <f t="shared" si="3"/>
        <v>8659485498.49716</v>
      </c>
      <c r="K25" s="11">
        <f t="shared" si="4"/>
        <v>-8.90000000000013E-3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354552.89521439758</v>
      </c>
      <c r="D26" s="11">
        <v>-1.12E-2</v>
      </c>
      <c r="E26" s="10">
        <f t="shared" si="2"/>
        <v>-4015.9713050174178</v>
      </c>
      <c r="F26" s="3"/>
      <c r="G26" s="28"/>
      <c r="H26" s="10"/>
      <c r="I26" s="10">
        <f t="shared" si="5"/>
        <v>24643</v>
      </c>
      <c r="J26" s="10">
        <f t="shared" si="3"/>
        <v>8737246996.7684002</v>
      </c>
      <c r="K26" s="11">
        <f t="shared" si="4"/>
        <v>-1.1199999999999766E-2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358568.86651941499</v>
      </c>
      <c r="D27" s="11">
        <v>-1.32E-2</v>
      </c>
      <c r="E27" s="10">
        <f t="shared" si="2"/>
        <v>-4796.4218058940605</v>
      </c>
      <c r="F27" s="3"/>
      <c r="G27" s="28"/>
      <c r="H27" s="10"/>
      <c r="I27" s="10">
        <f t="shared" si="5"/>
        <v>24643</v>
      </c>
      <c r="J27" s="10">
        <f t="shared" si="3"/>
        <v>8836212577.6379433</v>
      </c>
      <c r="K27" s="11">
        <f t="shared" si="4"/>
        <v>-1.3199999999999878E-2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363365.28832530905</v>
      </c>
      <c r="D28" s="11">
        <v>-1.4999999999999999E-2</v>
      </c>
      <c r="E28" s="10">
        <f t="shared" si="2"/>
        <v>-5533.4815481011756</v>
      </c>
      <c r="F28" s="3"/>
      <c r="G28" s="28"/>
      <c r="H28" s="10"/>
      <c r="I28" s="10">
        <f t="shared" si="5"/>
        <v>24643</v>
      </c>
      <c r="J28" s="10">
        <f t="shared" si="3"/>
        <v>8954410800.2005901</v>
      </c>
      <c r="K28" s="11">
        <f t="shared" si="4"/>
        <v>-1.5000000000000124E-2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368898.76987341023</v>
      </c>
      <c r="D29" s="11">
        <v>-1.6299999999999999E-2</v>
      </c>
      <c r="E29" s="10">
        <f t="shared" si="2"/>
        <v>-6112.6867428449332</v>
      </c>
      <c r="F29" s="3"/>
      <c r="G29" s="28"/>
      <c r="H29" s="10"/>
      <c r="I29" s="10">
        <f t="shared" si="5"/>
        <v>24643</v>
      </c>
      <c r="J29" s="10">
        <f t="shared" si="3"/>
        <v>9090772385.990448</v>
      </c>
      <c r="K29" s="11">
        <f t="shared" si="4"/>
        <v>-1.6300000000000092E-2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375011.45661625516</v>
      </c>
      <c r="D30" s="11">
        <v>-1.7399999999999999E-2</v>
      </c>
      <c r="E30" s="10">
        <f t="shared" si="2"/>
        <v>-6640.7483667034539</v>
      </c>
      <c r="F30" s="3"/>
      <c r="G30" s="28"/>
      <c r="H30" s="10"/>
      <c r="I30" s="10">
        <f t="shared" si="5"/>
        <v>24643</v>
      </c>
      <c r="J30" s="10">
        <f t="shared" si="3"/>
        <v>9241407325.3943768</v>
      </c>
      <c r="K30" s="11">
        <f t="shared" si="4"/>
        <v>-1.7399999999999971E-2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381652.20498295862</v>
      </c>
      <c r="D31" s="11">
        <v>-1.77E-2</v>
      </c>
      <c r="E31" s="10">
        <f t="shared" si="2"/>
        <v>-6876.9663322797278</v>
      </c>
      <c r="F31" s="3"/>
      <c r="G31" s="28"/>
      <c r="H31" s="10"/>
      <c r="I31" s="10">
        <f t="shared" si="5"/>
        <v>24643</v>
      </c>
      <c r="J31" s="10">
        <f t="shared" si="3"/>
        <v>9405055287.39505</v>
      </c>
      <c r="K31" s="11">
        <f t="shared" si="4"/>
        <v>-1.7699999999999938E-2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388529.17131523835</v>
      </c>
      <c r="D32" s="11">
        <v>-1.3299999999999999E-2</v>
      </c>
      <c r="E32" s="10">
        <f t="shared" si="2"/>
        <v>-5237.0912926853634</v>
      </c>
      <c r="F32" s="3"/>
      <c r="G32" s="28"/>
      <c r="H32" s="10"/>
      <c r="I32" s="10">
        <f t="shared" si="5"/>
        <v>24643</v>
      </c>
      <c r="J32" s="10">
        <f t="shared" si="3"/>
        <v>9574524368.7214184</v>
      </c>
      <c r="K32" s="11">
        <f t="shared" si="4"/>
        <v>-1.3299999999999867E-2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393766.26260792371</v>
      </c>
      <c r="D33" s="11">
        <v>-5.4000000000000003E-3</v>
      </c>
      <c r="E33" s="10">
        <f t="shared" si="2"/>
        <v>-2137.8823829506873</v>
      </c>
      <c r="F33" s="3"/>
      <c r="G33" s="28"/>
      <c r="H33" s="10"/>
      <c r="I33" s="10">
        <f t="shared" si="5"/>
        <v>24643</v>
      </c>
      <c r="J33" s="10">
        <f t="shared" si="3"/>
        <v>9703582009.4470634</v>
      </c>
      <c r="K33" s="11">
        <f t="shared" si="4"/>
        <v>-5.4000000000000714E-3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395904.1449908744</v>
      </c>
      <c r="D34" s="11">
        <v>2.3999999999999998E-3</v>
      </c>
      <c r="E34" s="10">
        <f t="shared" si="2"/>
        <v>947.89499997813255</v>
      </c>
      <c r="F34" s="3"/>
      <c r="G34" s="28"/>
      <c r="H34" s="10"/>
      <c r="I34" s="10">
        <f t="shared" si="5"/>
        <v>24643</v>
      </c>
      <c r="J34" s="10">
        <f t="shared" ref="J34:J65" si="6">IF(I34="","",I34*C34)</f>
        <v>9756265845.0101185</v>
      </c>
      <c r="K34" s="11">
        <f t="shared" ref="K34:K65" si="7">IFERROR(J34/J35-1,"")</f>
        <v>2.4000000000001798E-3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394956.24999089626</v>
      </c>
      <c r="D35" s="11">
        <v>9.9000000000000008E-3</v>
      </c>
      <c r="E35" s="10">
        <f t="shared" si="2"/>
        <v>3871.7366817604634</v>
      </c>
      <c r="F35" s="3"/>
      <c r="G35" s="28"/>
      <c r="H35" s="10"/>
      <c r="I35" s="10">
        <f t="shared" ref="I35:I66" si="8">IF(H35&lt;&gt;"",H35,I34/(1+IF(G34="",0,G34)/100))</f>
        <v>24643</v>
      </c>
      <c r="J35" s="10">
        <f t="shared" si="6"/>
        <v>9732906868.5256557</v>
      </c>
      <c r="K35" s="11">
        <f t="shared" si="7"/>
        <v>9.9000000000000199E-3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391084.5133091358</v>
      </c>
      <c r="D36" s="11">
        <v>1.72E-2</v>
      </c>
      <c r="E36" s="10">
        <f t="shared" si="2"/>
        <v>6612.9115502528148</v>
      </c>
      <c r="F36" s="3"/>
      <c r="G36" s="28"/>
      <c r="H36" s="10"/>
      <c r="I36" s="10">
        <f t="shared" si="8"/>
        <v>24643</v>
      </c>
      <c r="J36" s="10">
        <f t="shared" si="6"/>
        <v>9637495661.4770336</v>
      </c>
      <c r="K36" s="11">
        <f t="shared" si="7"/>
        <v>1.7200000000000104E-2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384471.60175888299</v>
      </c>
      <c r="D37" s="11">
        <v>2.4799999999999999E-2</v>
      </c>
      <c r="E37" s="10">
        <f t="shared" si="2"/>
        <v>9304.1527357731247</v>
      </c>
      <c r="F37" s="3"/>
      <c r="G37" s="28"/>
      <c r="H37" s="10"/>
      <c r="I37" s="10">
        <f t="shared" si="8"/>
        <v>24643</v>
      </c>
      <c r="J37" s="10">
        <f t="shared" si="6"/>
        <v>9474533682.1441536</v>
      </c>
      <c r="K37" s="11">
        <f t="shared" si="7"/>
        <v>2.4799999999999933E-2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375167.44902310986</v>
      </c>
      <c r="D38" s="11">
        <v>3.2599999999999997E-2</v>
      </c>
      <c r="E38" s="10">
        <f t="shared" si="2"/>
        <v>11844.333563968015</v>
      </c>
      <c r="F38" s="3"/>
      <c r="G38" s="28"/>
      <c r="H38" s="10"/>
      <c r="I38" s="10">
        <f t="shared" si="8"/>
        <v>24643</v>
      </c>
      <c r="J38" s="10">
        <f t="shared" si="6"/>
        <v>9245251446.2764969</v>
      </c>
      <c r="K38" s="11">
        <f t="shared" si="7"/>
        <v>3.2600000000000184E-2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363323.11545914185</v>
      </c>
      <c r="D39" s="11">
        <v>4.0800000000000003E-2</v>
      </c>
      <c r="E39" s="10">
        <f t="shared" si="2"/>
        <v>14242.489537598914</v>
      </c>
      <c r="F39" s="3"/>
      <c r="G39" s="28"/>
      <c r="H39" s="10"/>
      <c r="I39" s="10">
        <f t="shared" si="8"/>
        <v>24643</v>
      </c>
      <c r="J39" s="10">
        <f t="shared" si="6"/>
        <v>8953371534.2596321</v>
      </c>
      <c r="K39" s="11">
        <f t="shared" si="7"/>
        <v>4.0799999999999725E-2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349080.62592154293</v>
      </c>
      <c r="D40" s="11">
        <v>4.9200000000000001E-2</v>
      </c>
      <c r="E40" s="10">
        <f t="shared" si="2"/>
        <v>16369.39267569565</v>
      </c>
      <c r="F40" s="3"/>
      <c r="G40" s="28"/>
      <c r="H40" s="10"/>
      <c r="I40" s="10">
        <f t="shared" si="8"/>
        <v>24643</v>
      </c>
      <c r="J40" s="10">
        <f t="shared" si="6"/>
        <v>8602393864.5845833</v>
      </c>
      <c r="K40" s="11">
        <f t="shared" si="7"/>
        <v>4.919999999999991E-2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332711.23324584728</v>
      </c>
      <c r="D41" s="11">
        <v>5.74E-2</v>
      </c>
      <c r="E41" s="10">
        <f t="shared" si="2"/>
        <v>18060.927547107625</v>
      </c>
      <c r="F41" s="3"/>
      <c r="G41" s="28"/>
      <c r="H41" s="10"/>
      <c r="I41" s="10">
        <f t="shared" si="8"/>
        <v>24643</v>
      </c>
      <c r="J41" s="10">
        <f t="shared" si="6"/>
        <v>8199002920.8774147</v>
      </c>
      <c r="K41" s="11">
        <f t="shared" si="7"/>
        <v>5.7399999999999896E-2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314650.30569873966</v>
      </c>
      <c r="D42" s="11">
        <v>6.5500000000000003E-2</v>
      </c>
      <c r="E42" s="10">
        <f t="shared" si="2"/>
        <v>19342.651359237439</v>
      </c>
      <c r="F42" s="3"/>
      <c r="G42" s="28"/>
      <c r="H42" s="10"/>
      <c r="I42" s="10">
        <f t="shared" si="8"/>
        <v>24643</v>
      </c>
      <c r="J42" s="10">
        <f t="shared" si="6"/>
        <v>7753927483.3340416</v>
      </c>
      <c r="K42" s="11">
        <f t="shared" si="7"/>
        <v>6.5500000000000114E-2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295307.65433950222</v>
      </c>
      <c r="D43" s="11">
        <v>7.2999999999999995E-2</v>
      </c>
      <c r="E43" s="10">
        <f t="shared" si="2"/>
        <v>20090.828300823516</v>
      </c>
      <c r="F43" s="3"/>
      <c r="G43" s="28"/>
      <c r="H43" s="10"/>
      <c r="I43" s="10">
        <f t="shared" si="8"/>
        <v>24643</v>
      </c>
      <c r="J43" s="10">
        <f t="shared" si="6"/>
        <v>7277266525.8883533</v>
      </c>
      <c r="K43" s="11">
        <f t="shared" si="7"/>
        <v>7.2999999999999954E-2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275216.8260386787</v>
      </c>
      <c r="D44" s="11">
        <v>7.8200000000000006E-2</v>
      </c>
      <c r="E44" s="10">
        <f t="shared" si="2"/>
        <v>19961.005190340104</v>
      </c>
      <c r="F44" s="3"/>
      <c r="G44" s="28"/>
      <c r="H44" s="10"/>
      <c r="I44" s="10">
        <f t="shared" si="8"/>
        <v>24643</v>
      </c>
      <c r="J44" s="10">
        <f t="shared" si="6"/>
        <v>6782168244.0711594</v>
      </c>
      <c r="K44" s="11">
        <f t="shared" si="7"/>
        <v>7.8200000000000047E-2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255255.8208483386</v>
      </c>
      <c r="D45" s="11">
        <v>8.0199999999999994E-2</v>
      </c>
      <c r="E45" s="10">
        <f t="shared" si="2"/>
        <v>18951.598622511345</v>
      </c>
      <c r="F45" s="3"/>
      <c r="G45" s="28"/>
      <c r="H45" s="10"/>
      <c r="I45" s="10">
        <f t="shared" si="8"/>
        <v>24643</v>
      </c>
      <c r="J45" s="10">
        <f t="shared" si="6"/>
        <v>6290269193.1656084</v>
      </c>
      <c r="K45" s="11">
        <f t="shared" si="7"/>
        <v>8.0200000000000049E-2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236304.22222582725</v>
      </c>
      <c r="D46" s="11">
        <v>7.6600000000000001E-2</v>
      </c>
      <c r="E46" s="10">
        <f t="shared" si="2"/>
        <v>16813.025657159917</v>
      </c>
      <c r="F46" s="3"/>
      <c r="G46" s="28"/>
      <c r="H46" s="10"/>
      <c r="I46" s="10">
        <f t="shared" si="8"/>
        <v>24643</v>
      </c>
      <c r="J46" s="10">
        <f t="shared" si="6"/>
        <v>5823244948.3110609</v>
      </c>
      <c r="K46" s="11">
        <f t="shared" si="7"/>
        <v>7.6600000000000001E-2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219491.19656866734</v>
      </c>
      <c r="D47" s="11">
        <v>6.59E-2</v>
      </c>
      <c r="E47" s="10">
        <f t="shared" si="2"/>
        <v>13570.194064992218</v>
      </c>
      <c r="F47" s="3"/>
      <c r="G47" s="28"/>
      <c r="H47" s="10"/>
      <c r="I47" s="10">
        <f t="shared" si="8"/>
        <v>24643</v>
      </c>
      <c r="J47" s="10">
        <f t="shared" si="6"/>
        <v>5408921557.0416689</v>
      </c>
      <c r="K47" s="11">
        <f t="shared" si="7"/>
        <v>6.590000000000007E-2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205921.00250367512</v>
      </c>
      <c r="D48" s="11">
        <v>5.5599999999999997E-2</v>
      </c>
      <c r="E48" s="10">
        <f t="shared" si="2"/>
        <v>10846.16117772297</v>
      </c>
      <c r="F48" s="3"/>
      <c r="G48" s="28"/>
      <c r="H48" s="10"/>
      <c r="I48" s="10">
        <f t="shared" si="8"/>
        <v>24643</v>
      </c>
      <c r="J48" s="10">
        <f t="shared" si="6"/>
        <v>5074511264.6980658</v>
      </c>
      <c r="K48" s="11">
        <f t="shared" si="7"/>
        <v>5.5600000000000094E-2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195074.84132595215</v>
      </c>
      <c r="D49" s="11">
        <v>5.04E-2</v>
      </c>
      <c r="E49" s="10">
        <f t="shared" si="2"/>
        <v>9360.0266592041007</v>
      </c>
      <c r="F49" s="3"/>
      <c r="G49" s="28"/>
      <c r="H49" s="10"/>
      <c r="I49" s="10">
        <f t="shared" si="8"/>
        <v>24643</v>
      </c>
      <c r="J49" s="10">
        <f t="shared" si="6"/>
        <v>4807229314.7954388</v>
      </c>
      <c r="K49" s="11">
        <f t="shared" si="7"/>
        <v>5.04E-2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185714.81466674805</v>
      </c>
      <c r="D50" s="11">
        <v>5.4199999999999998E-2</v>
      </c>
      <c r="E50" s="10">
        <f t="shared" si="2"/>
        <v>9548.2289460612228</v>
      </c>
      <c r="F50" s="3"/>
      <c r="G50" s="28"/>
      <c r="H50" s="10"/>
      <c r="I50" s="10">
        <f t="shared" si="8"/>
        <v>24643</v>
      </c>
      <c r="J50" s="10">
        <f t="shared" si="6"/>
        <v>4576570177.8326721</v>
      </c>
      <c r="K50" s="11">
        <f t="shared" si="7"/>
        <v>5.4200000000000026E-2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176166.58572068682</v>
      </c>
      <c r="D51" s="11">
        <v>6.6900000000000001E-2</v>
      </c>
      <c r="E51" s="10">
        <f t="shared" si="2"/>
        <v>11046.53161937758</v>
      </c>
      <c r="F51" s="3"/>
      <c r="G51" s="28"/>
      <c r="H51" s="10"/>
      <c r="I51" s="10">
        <f t="shared" si="8"/>
        <v>24643</v>
      </c>
      <c r="J51" s="10">
        <f t="shared" si="6"/>
        <v>4341273171.9148855</v>
      </c>
      <c r="K51" s="11">
        <f t="shared" si="7"/>
        <v>6.6899999999999959E-2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165120.05410130924</v>
      </c>
      <c r="D52" s="11">
        <v>7.2999999999999995E-2</v>
      </c>
      <c r="E52" s="10">
        <f t="shared" si="2"/>
        <v>11233.703587507509</v>
      </c>
      <c r="F52" s="3"/>
      <c r="G52" s="28"/>
      <c r="H52" s="10"/>
      <c r="I52" s="10">
        <f t="shared" si="8"/>
        <v>24643</v>
      </c>
      <c r="J52" s="10">
        <f t="shared" si="6"/>
        <v>4069053493.2185636</v>
      </c>
      <c r="K52" s="11">
        <f t="shared" si="7"/>
        <v>7.2999999999999954E-2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153886.35051380174</v>
      </c>
      <c r="D53" s="11">
        <v>5.6800000000000003E-2</v>
      </c>
      <c r="E53" s="10">
        <f t="shared" si="2"/>
        <v>8270.954493928788</v>
      </c>
      <c r="F53" s="3"/>
      <c r="G53" s="28"/>
      <c r="H53" s="10"/>
      <c r="I53" s="10">
        <f t="shared" si="8"/>
        <v>24643</v>
      </c>
      <c r="J53" s="10">
        <f t="shared" si="6"/>
        <v>3792221335.711616</v>
      </c>
      <c r="K53" s="11">
        <f t="shared" si="7"/>
        <v>5.6799999999999962E-2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145615.39601987295</v>
      </c>
      <c r="D54" s="11">
        <v>3.7900000000000003E-2</v>
      </c>
      <c r="E54" s="10">
        <f t="shared" si="2"/>
        <v>5317.2979180587572</v>
      </c>
      <c r="F54" s="3"/>
      <c r="G54" s="28"/>
      <c r="H54" s="10"/>
      <c r="I54" s="10">
        <f t="shared" si="8"/>
        <v>24643</v>
      </c>
      <c r="J54" s="10">
        <f t="shared" si="6"/>
        <v>3588400204.1177292</v>
      </c>
      <c r="K54" s="11">
        <f t="shared" si="7"/>
        <v>3.7900000000000045E-2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140298.09810181419</v>
      </c>
      <c r="D55" s="11">
        <v>2.6700000000000002E-2</v>
      </c>
      <c r="E55" s="10">
        <f t="shared" si="2"/>
        <v>3648.5431180660671</v>
      </c>
      <c r="F55" s="3"/>
      <c r="G55" s="28"/>
      <c r="H55" s="10"/>
      <c r="I55" s="10">
        <f t="shared" si="8"/>
        <v>24643</v>
      </c>
      <c r="J55" s="10">
        <f t="shared" si="6"/>
        <v>3457366031.5230069</v>
      </c>
      <c r="K55" s="11">
        <f t="shared" si="7"/>
        <v>2.6699999999999724E-2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136649.55498374812</v>
      </c>
      <c r="D56" s="11">
        <v>2.1700000000000001E-2</v>
      </c>
      <c r="E56" s="10">
        <f t="shared" si="2"/>
        <v>2902.31510536102</v>
      </c>
      <c r="F56" s="3"/>
      <c r="G56" s="28"/>
      <c r="H56" s="10"/>
      <c r="I56" s="10">
        <f t="shared" si="8"/>
        <v>24643</v>
      </c>
      <c r="J56" s="10">
        <f t="shared" si="6"/>
        <v>3367454983.4645052</v>
      </c>
      <c r="K56" s="11">
        <f t="shared" si="7"/>
        <v>2.1700000000000275E-2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133747.2398783871</v>
      </c>
      <c r="D57" s="11">
        <v>1.8100000000000002E-2</v>
      </c>
      <c r="E57" s="10">
        <f t="shared" si="2"/>
        <v>2377.7870953725651</v>
      </c>
      <c r="F57" s="3"/>
      <c r="G57" s="28"/>
      <c r="H57" s="10"/>
      <c r="I57" s="10">
        <f t="shared" si="8"/>
        <v>24643</v>
      </c>
      <c r="J57" s="10">
        <f t="shared" si="6"/>
        <v>3295933232.3230934</v>
      </c>
      <c r="K57" s="11">
        <f t="shared" si="7"/>
        <v>1.8100000000000005E-2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131369.45278301454</v>
      </c>
      <c r="D58" s="11">
        <v>1.5900000000000001E-2</v>
      </c>
      <c r="E58" s="10">
        <f t="shared" si="2"/>
        <v>2056.082586130462</v>
      </c>
      <c r="F58" s="3"/>
      <c r="G58" s="28"/>
      <c r="H58" s="10"/>
      <c r="I58" s="10">
        <f t="shared" si="8"/>
        <v>24643</v>
      </c>
      <c r="J58" s="10">
        <f t="shared" si="6"/>
        <v>3237337424.9318271</v>
      </c>
      <c r="K58" s="11">
        <f t="shared" si="7"/>
        <v>1.5900000000000025E-2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129313.37019688408</v>
      </c>
      <c r="D59" s="11">
        <v>1.6E-2</v>
      </c>
      <c r="E59" s="10">
        <f t="shared" si="2"/>
        <v>2036.431026722581</v>
      </c>
      <c r="F59" s="3"/>
      <c r="G59" s="28"/>
      <c r="H59" s="10"/>
      <c r="I59" s="10">
        <f t="shared" si="8"/>
        <v>24643</v>
      </c>
      <c r="J59" s="10">
        <f t="shared" si="6"/>
        <v>3186669381.7618141</v>
      </c>
      <c r="K59" s="11">
        <f t="shared" si="7"/>
        <v>1.6000000000000014E-2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127276.93917016149</v>
      </c>
      <c r="D60" s="11">
        <v>1.7100000000000001E-2</v>
      </c>
      <c r="E60" s="10">
        <f t="shared" si="2"/>
        <v>2139.8443219051696</v>
      </c>
      <c r="F60" s="3"/>
      <c r="G60" s="28"/>
      <c r="H60" s="10"/>
      <c r="I60" s="10">
        <f t="shared" si="8"/>
        <v>24643</v>
      </c>
      <c r="J60" s="10">
        <f t="shared" si="6"/>
        <v>3136485611.9702897</v>
      </c>
      <c r="K60" s="11">
        <f t="shared" si="7"/>
        <v>1.7099999999999893E-2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125137.09484825633</v>
      </c>
      <c r="D61" s="11">
        <v>1.78E-2</v>
      </c>
      <c r="E61" s="10">
        <f t="shared" si="2"/>
        <v>2188.4852508341137</v>
      </c>
      <c r="F61" s="3"/>
      <c r="G61" s="28"/>
      <c r="H61" s="10"/>
      <c r="I61" s="10">
        <f t="shared" si="8"/>
        <v>24643</v>
      </c>
      <c r="J61" s="10">
        <f t="shared" si="6"/>
        <v>3083753428.3455806</v>
      </c>
      <c r="K61" s="11">
        <f t="shared" si="7"/>
        <v>1.7800000000000038E-2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122948.60959742221</v>
      </c>
      <c r="D62" s="11">
        <v>1.61E-2</v>
      </c>
      <c r="E62" s="10">
        <f t="shared" si="2"/>
        <v>1948.1080745187501</v>
      </c>
      <c r="F62" s="3"/>
      <c r="G62" s="28"/>
      <c r="H62" s="10"/>
      <c r="I62" s="10">
        <f t="shared" si="8"/>
        <v>24643</v>
      </c>
      <c r="J62" s="10">
        <f t="shared" si="6"/>
        <v>3029822586.3092756</v>
      </c>
      <c r="K62" s="11">
        <f t="shared" si="7"/>
        <v>1.6100000000000003E-2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121000.50152290346</v>
      </c>
      <c r="D63" s="11">
        <v>1.6299999999999999E-2</v>
      </c>
      <c r="E63" s="10">
        <f t="shared" si="2"/>
        <v>1940.6751695595012</v>
      </c>
      <c r="F63" s="3"/>
      <c r="G63" s="28"/>
      <c r="H63" s="10"/>
      <c r="I63" s="10">
        <f t="shared" si="8"/>
        <v>24643</v>
      </c>
      <c r="J63" s="10">
        <f t="shared" si="6"/>
        <v>2981815359.0289102</v>
      </c>
      <c r="K63" s="11">
        <f t="shared" si="7"/>
        <v>1.6299999999999981E-2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119059.82635334396</v>
      </c>
      <c r="D64" s="11">
        <v>1.7000000000000001E-2</v>
      </c>
      <c r="E64" s="10">
        <f t="shared" si="2"/>
        <v>1990.1839213439816</v>
      </c>
      <c r="F64" s="3"/>
      <c r="G64" s="28"/>
      <c r="H64" s="10"/>
      <c r="I64" s="10">
        <f t="shared" si="8"/>
        <v>24643</v>
      </c>
      <c r="J64" s="10">
        <f t="shared" si="6"/>
        <v>2933991300.8254552</v>
      </c>
      <c r="K64" s="11">
        <f t="shared" si="7"/>
        <v>1.6999999999999904E-2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117069.64243199998</v>
      </c>
      <c r="D65" s="11">
        <v>1.84E-2</v>
      </c>
      <c r="E65" s="10">
        <f t="shared" si="2"/>
        <v>2115.1624319999974</v>
      </c>
      <c r="F65" s="3"/>
      <c r="G65" s="28"/>
      <c r="H65" s="10"/>
      <c r="I65" s="10">
        <f t="shared" si="8"/>
        <v>24643</v>
      </c>
      <c r="J65" s="10">
        <f t="shared" si="6"/>
        <v>2884947198.4517756</v>
      </c>
      <c r="K65" s="11">
        <f t="shared" si="7"/>
        <v>1.8399999999999972E-2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114954.47999999998</v>
      </c>
      <c r="D66" s="11">
        <v>1.9099999999999999E-2</v>
      </c>
      <c r="E66" s="10">
        <f t="shared" si="2"/>
        <v>2154.4799999999814</v>
      </c>
      <c r="F66" s="24">
        <f>SUM(F2)</f>
        <v>345037</v>
      </c>
      <c r="G66" s="28"/>
      <c r="H66" s="10"/>
      <c r="I66" s="10">
        <f t="shared" si="8"/>
        <v>24643</v>
      </c>
      <c r="J66" s="10">
        <f t="shared" ref="J66:J67" si="9">IF(I66="","",I66*C66)</f>
        <v>2832823250.6399994</v>
      </c>
      <c r="K66" s="11">
        <f t="shared" ref="K66" si="10">IFERROR(J66/J67-1,"")</f>
        <v>1.9099999999999673E-2</v>
      </c>
    </row>
    <row r="67" spans="1:11" ht="22.5" customHeight="1">
      <c r="A67" s="3">
        <f t="shared" si="0"/>
        <v>1950</v>
      </c>
      <c r="B67" s="3">
        <v>1700</v>
      </c>
      <c r="C67" s="10">
        <v>112800</v>
      </c>
      <c r="D67" s="11">
        <v>1.9099999999999999E-2</v>
      </c>
      <c r="E67" s="3" t="s">
        <v>72</v>
      </c>
      <c r="F67" s="10">
        <f>SUM(C2)</f>
        <v>345185.74208120658</v>
      </c>
      <c r="G67" s="28"/>
      <c r="H67" s="10"/>
      <c r="I67" s="10">
        <f t="shared" ref="I67" si="11">IF(H67&lt;&gt;"",H67,I66/(1+IF(G66="",0,G66)/100))</f>
        <v>24643</v>
      </c>
      <c r="J67" s="10">
        <f t="shared" si="9"/>
        <v>2779730400</v>
      </c>
      <c r="K67" s="11"/>
    </row>
  </sheetData>
  <dataValidations count="1">
    <dataValidation type="custom" allowBlank="1" showDropDown="1" sqref="D2:D67" xr:uid="{00000000-0002-0000-8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54705418.575097799</v>
      </c>
      <c r="D2" s="11">
        <v>0.02</v>
      </c>
      <c r="E2" s="10">
        <f t="shared" ref="E2:E66" si="2">SUM(C2-C3)</f>
        <v>1072655.2661783919</v>
      </c>
      <c r="F2" s="15">
        <v>54705622</v>
      </c>
      <c r="G2" s="28"/>
      <c r="H2" s="10"/>
      <c r="I2" s="10">
        <f>IF(H2&lt;&gt;"",H2,6429)</f>
        <v>6429</v>
      </c>
      <c r="J2" s="10">
        <f t="shared" ref="J2:J33" si="3">IF(I2="","",I2*C2)</f>
        <v>351701136019.30377</v>
      </c>
      <c r="K2" s="11">
        <f t="shared" ref="K2:K33" si="4">IFERROR(J2/J3-1,"")</f>
        <v>2.000000000000024E-2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53632763.308919407</v>
      </c>
      <c r="D3" s="11">
        <v>1.8499999999999999E-2</v>
      </c>
      <c r="E3" s="10">
        <f t="shared" si="2"/>
        <v>974183.72235150635</v>
      </c>
      <c r="F3" s="3"/>
      <c r="G3" s="28"/>
      <c r="H3" s="10"/>
      <c r="I3" s="10">
        <f t="shared" ref="I3:I34" si="5">IF(H3&lt;&gt;"",H3,I2/(1+IF(G2="",0,G2)/100))</f>
        <v>6429</v>
      </c>
      <c r="J3" s="10">
        <f t="shared" si="3"/>
        <v>344805035313.04285</v>
      </c>
      <c r="K3" s="11">
        <f t="shared" si="4"/>
        <v>1.8499999999999961E-2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52658579.586567901</v>
      </c>
      <c r="D4" s="11">
        <v>1.9199999999999998E-2</v>
      </c>
      <c r="E4" s="10">
        <f t="shared" si="2"/>
        <v>991998.35955858231</v>
      </c>
      <c r="F4" s="3"/>
      <c r="G4" s="28"/>
      <c r="H4" s="10"/>
      <c r="I4" s="10">
        <f t="shared" si="5"/>
        <v>6429</v>
      </c>
      <c r="J4" s="10">
        <f t="shared" si="3"/>
        <v>338542008162.04504</v>
      </c>
      <c r="K4" s="11">
        <f t="shared" si="4"/>
        <v>1.9200000000000106E-2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51666581.227009319</v>
      </c>
      <c r="D5" s="11">
        <v>1.9099999999999999E-2</v>
      </c>
      <c r="E5" s="10">
        <f t="shared" si="2"/>
        <v>968336.47476780415</v>
      </c>
      <c r="F5" s="3"/>
      <c r="G5" s="28"/>
      <c r="H5" s="10"/>
      <c r="I5" s="10">
        <f t="shared" si="5"/>
        <v>6429</v>
      </c>
      <c r="J5" s="10">
        <f t="shared" si="3"/>
        <v>332164450708.44293</v>
      </c>
      <c r="K5" s="11">
        <f t="shared" si="4"/>
        <v>1.9099999999999895E-2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50698244.752241515</v>
      </c>
      <c r="D6" s="11">
        <v>1.9400000000000001E-2</v>
      </c>
      <c r="E6" s="10">
        <f t="shared" si="2"/>
        <v>964828.27956983447</v>
      </c>
      <c r="F6" s="3"/>
      <c r="G6" s="28"/>
      <c r="H6" s="10"/>
      <c r="I6" s="10">
        <f t="shared" si="5"/>
        <v>6429</v>
      </c>
      <c r="J6" s="10">
        <f t="shared" si="3"/>
        <v>325939015512.16071</v>
      </c>
      <c r="K6" s="11">
        <f t="shared" si="4"/>
        <v>1.9400000000000084E-2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49733416.47267168</v>
      </c>
      <c r="D7" s="11">
        <v>1.9199999999999998E-2</v>
      </c>
      <c r="E7" s="10">
        <f t="shared" si="2"/>
        <v>936893.24595300108</v>
      </c>
      <c r="F7" s="3"/>
      <c r="G7" s="28"/>
      <c r="H7" s="10"/>
      <c r="I7" s="10">
        <f t="shared" si="5"/>
        <v>6429</v>
      </c>
      <c r="J7" s="10">
        <f t="shared" si="3"/>
        <v>319736134502.80621</v>
      </c>
      <c r="K7" s="11">
        <f t="shared" si="4"/>
        <v>1.9199999999999884E-2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48796523.226718679</v>
      </c>
      <c r="D8" s="11">
        <v>2.12E-2</v>
      </c>
      <c r="E8" s="10">
        <f t="shared" si="2"/>
        <v>1013010.4704332575</v>
      </c>
      <c r="F8" s="3"/>
      <c r="G8" s="28"/>
      <c r="H8" s="10"/>
      <c r="I8" s="10">
        <f t="shared" si="5"/>
        <v>6429</v>
      </c>
      <c r="J8" s="10">
        <f t="shared" si="3"/>
        <v>313712847824.5744</v>
      </c>
      <c r="K8" s="11">
        <f t="shared" si="4"/>
        <v>2.1200000000000108E-2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47783512.756285422</v>
      </c>
      <c r="D9" s="11">
        <v>2.0799999999999999E-2</v>
      </c>
      <c r="E9" s="10">
        <f t="shared" si="2"/>
        <v>973645.24425032735</v>
      </c>
      <c r="F9" s="3"/>
      <c r="G9" s="28"/>
      <c r="H9" s="10"/>
      <c r="I9" s="10">
        <f t="shared" si="5"/>
        <v>6429</v>
      </c>
      <c r="J9" s="10">
        <f t="shared" si="3"/>
        <v>307200203510.159</v>
      </c>
      <c r="K9" s="11">
        <f t="shared" si="4"/>
        <v>2.0800000000000152E-2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46809867.512035094</v>
      </c>
      <c r="D10" s="11">
        <v>2.0400000000000001E-2</v>
      </c>
      <c r="E10" s="10">
        <f t="shared" si="2"/>
        <v>935830.3579434678</v>
      </c>
      <c r="F10" s="3"/>
      <c r="G10" s="28"/>
      <c r="H10" s="10"/>
      <c r="I10" s="10">
        <f t="shared" si="5"/>
        <v>6429</v>
      </c>
      <c r="J10" s="10">
        <f t="shared" si="3"/>
        <v>300940638234.8736</v>
      </c>
      <c r="K10" s="11">
        <f t="shared" si="4"/>
        <v>2.0399999999999752E-2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45874037.154091626</v>
      </c>
      <c r="D11" s="11">
        <v>2.01E-2</v>
      </c>
      <c r="E11" s="10">
        <f t="shared" si="2"/>
        <v>903899.76158929616</v>
      </c>
      <c r="F11" s="3"/>
      <c r="G11" s="28"/>
      <c r="H11" s="10"/>
      <c r="I11" s="10">
        <f t="shared" si="5"/>
        <v>6429</v>
      </c>
      <c r="J11" s="10">
        <f t="shared" si="3"/>
        <v>294924184863.65509</v>
      </c>
      <c r="K11" s="11">
        <f t="shared" si="4"/>
        <v>2.0100000000000229E-2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44970137.39250233</v>
      </c>
      <c r="D12" s="11">
        <v>2.0299999999999999E-2</v>
      </c>
      <c r="E12" s="10">
        <f t="shared" si="2"/>
        <v>894730.75474644452</v>
      </c>
      <c r="F12" s="3"/>
      <c r="G12" s="28"/>
      <c r="H12" s="10"/>
      <c r="I12" s="10">
        <f t="shared" si="5"/>
        <v>6429</v>
      </c>
      <c r="J12" s="10">
        <f t="shared" si="3"/>
        <v>289113013296.39746</v>
      </c>
      <c r="K12" s="11">
        <f t="shared" si="4"/>
        <v>2.0299999999999985E-2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44075406.637755886</v>
      </c>
      <c r="D13" s="11">
        <v>0.02</v>
      </c>
      <c r="E13" s="10">
        <f t="shared" si="2"/>
        <v>864223.65956383944</v>
      </c>
      <c r="F13" s="3"/>
      <c r="G13" s="28"/>
      <c r="H13" s="10"/>
      <c r="I13" s="10">
        <f t="shared" si="5"/>
        <v>6429</v>
      </c>
      <c r="J13" s="10">
        <f t="shared" si="3"/>
        <v>283360789274.13257</v>
      </c>
      <c r="K13" s="11">
        <f t="shared" si="4"/>
        <v>1.9999999999999796E-2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43211182.978192046</v>
      </c>
      <c r="D14" s="11">
        <v>1.9099999999999999E-2</v>
      </c>
      <c r="E14" s="10">
        <f t="shared" si="2"/>
        <v>809865.17013390362</v>
      </c>
      <c r="F14" s="3"/>
      <c r="G14" s="28"/>
      <c r="H14" s="10"/>
      <c r="I14" s="10">
        <f t="shared" si="5"/>
        <v>6429</v>
      </c>
      <c r="J14" s="10">
        <f t="shared" si="3"/>
        <v>277804695366.79669</v>
      </c>
      <c r="K14" s="11">
        <f t="shared" si="4"/>
        <v>1.9099999999999895E-2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42401317.808058143</v>
      </c>
      <c r="D15" s="11">
        <v>1.7899999999999999E-2</v>
      </c>
      <c r="E15" s="10">
        <f t="shared" si="2"/>
        <v>745636.69197783619</v>
      </c>
      <c r="F15" s="3"/>
      <c r="G15" s="28"/>
      <c r="H15" s="10"/>
      <c r="I15" s="10">
        <f t="shared" si="5"/>
        <v>6429</v>
      </c>
      <c r="J15" s="10">
        <f t="shared" si="3"/>
        <v>272598072188.0058</v>
      </c>
      <c r="K15" s="11">
        <f t="shared" si="4"/>
        <v>1.7899999999999805E-2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41655681.116080306</v>
      </c>
      <c r="D16" s="11">
        <v>1.7100000000000001E-2</v>
      </c>
      <c r="E16" s="10">
        <f t="shared" si="2"/>
        <v>700336.39473500103</v>
      </c>
      <c r="F16" s="3"/>
      <c r="G16" s="28"/>
      <c r="H16" s="10"/>
      <c r="I16" s="10">
        <f t="shared" si="5"/>
        <v>6429</v>
      </c>
      <c r="J16" s="10">
        <f t="shared" si="3"/>
        <v>267804373895.2803</v>
      </c>
      <c r="K16" s="11">
        <f t="shared" si="4"/>
        <v>1.7099999999999893E-2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40955344.721345305</v>
      </c>
      <c r="D17" s="11">
        <v>1.6299999999999999E-2</v>
      </c>
      <c r="E17" s="10">
        <f t="shared" si="2"/>
        <v>656865.21593813598</v>
      </c>
      <c r="F17" s="3"/>
      <c r="G17" s="28"/>
      <c r="H17" s="10"/>
      <c r="I17" s="10">
        <f t="shared" si="5"/>
        <v>6429</v>
      </c>
      <c r="J17" s="10">
        <f t="shared" si="3"/>
        <v>263301911213.52896</v>
      </c>
      <c r="K17" s="11">
        <f t="shared" si="4"/>
        <v>1.6299999999999981E-2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40298479.505407169</v>
      </c>
      <c r="D18" s="11">
        <v>1.5800000000000002E-2</v>
      </c>
      <c r="E18" s="10">
        <f t="shared" si="2"/>
        <v>626812.34119456261</v>
      </c>
      <c r="F18" s="3"/>
      <c r="G18" s="28"/>
      <c r="H18" s="10"/>
      <c r="I18" s="10">
        <f t="shared" si="5"/>
        <v>6429</v>
      </c>
      <c r="J18" s="10">
        <f t="shared" si="3"/>
        <v>259078924740.2627</v>
      </c>
      <c r="K18" s="11">
        <f t="shared" si="4"/>
        <v>1.5800000000000036E-2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39671667.164212607</v>
      </c>
      <c r="D19" s="11">
        <v>1.55E-2</v>
      </c>
      <c r="E19" s="10">
        <f t="shared" si="2"/>
        <v>605525.20043849945</v>
      </c>
      <c r="F19" s="3"/>
      <c r="G19" s="28"/>
      <c r="H19" s="10"/>
      <c r="I19" s="10">
        <f t="shared" si="5"/>
        <v>6429</v>
      </c>
      <c r="J19" s="10">
        <f t="shared" si="3"/>
        <v>255049148198.72284</v>
      </c>
      <c r="K19" s="11">
        <f t="shared" si="4"/>
        <v>1.5500000000000069E-2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39066141.963774107</v>
      </c>
      <c r="D20" s="11">
        <v>1.52E-2</v>
      </c>
      <c r="E20" s="10">
        <f t="shared" si="2"/>
        <v>584914.65509197116</v>
      </c>
      <c r="F20" s="3"/>
      <c r="G20" s="28"/>
      <c r="H20" s="10"/>
      <c r="I20" s="10">
        <f t="shared" si="5"/>
        <v>6429</v>
      </c>
      <c r="J20" s="10">
        <f t="shared" si="3"/>
        <v>251156226685.10373</v>
      </c>
      <c r="K20" s="11">
        <f t="shared" si="4"/>
        <v>1.5200000000000102E-2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38481227.308682136</v>
      </c>
      <c r="D21" s="11">
        <v>1.49E-2</v>
      </c>
      <c r="E21" s="10">
        <f t="shared" si="2"/>
        <v>564952.49472791702</v>
      </c>
      <c r="F21" s="3"/>
      <c r="G21" s="28"/>
      <c r="H21" s="10"/>
      <c r="I21" s="10">
        <f t="shared" si="5"/>
        <v>6429</v>
      </c>
      <c r="J21" s="10">
        <f t="shared" si="3"/>
        <v>247395810367.51746</v>
      </c>
      <c r="K21" s="11">
        <f t="shared" si="4"/>
        <v>1.4899999999999913E-2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37916274.813954219</v>
      </c>
      <c r="D22" s="11">
        <v>1.55E-2</v>
      </c>
      <c r="E22" s="10">
        <f t="shared" si="2"/>
        <v>578731.91493480653</v>
      </c>
      <c r="F22" s="3"/>
      <c r="G22" s="28"/>
      <c r="H22" s="10"/>
      <c r="I22" s="10">
        <f t="shared" si="5"/>
        <v>6429</v>
      </c>
      <c r="J22" s="10">
        <f t="shared" si="3"/>
        <v>243763730778.91168</v>
      </c>
      <c r="K22" s="11">
        <f t="shared" si="4"/>
        <v>1.5500000000000069E-2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37337542.899019413</v>
      </c>
      <c r="D23" s="11">
        <v>1.7500000000000002E-2</v>
      </c>
      <c r="E23" s="10">
        <f t="shared" si="2"/>
        <v>642169.04248928279</v>
      </c>
      <c r="F23" s="3"/>
      <c r="G23" s="28"/>
      <c r="H23" s="10"/>
      <c r="I23" s="10">
        <f t="shared" si="5"/>
        <v>6429</v>
      </c>
      <c r="J23" s="10">
        <f t="shared" si="3"/>
        <v>240043063297.79581</v>
      </c>
      <c r="K23" s="11">
        <f t="shared" si="4"/>
        <v>1.7500000000000071E-2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36695373.85653013</v>
      </c>
      <c r="D24" s="11">
        <v>1.9199999999999998E-2</v>
      </c>
      <c r="E24" s="10">
        <f t="shared" si="2"/>
        <v>691278.62838047743</v>
      </c>
      <c r="F24" s="3"/>
      <c r="G24" s="28"/>
      <c r="H24" s="10"/>
      <c r="I24" s="10">
        <f t="shared" si="5"/>
        <v>6429</v>
      </c>
      <c r="J24" s="10">
        <f t="shared" si="3"/>
        <v>235914558523.6322</v>
      </c>
      <c r="K24" s="11">
        <f t="shared" si="4"/>
        <v>1.9200000000000106E-2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36004095.228149652</v>
      </c>
      <c r="D25" s="11">
        <v>2.06E-2</v>
      </c>
      <c r="E25" s="10">
        <f t="shared" si="2"/>
        <v>726714.05222406238</v>
      </c>
      <c r="F25" s="3"/>
      <c r="G25" s="28"/>
      <c r="H25" s="10"/>
      <c r="I25" s="10">
        <f t="shared" si="5"/>
        <v>6429</v>
      </c>
      <c r="J25" s="10">
        <f t="shared" si="3"/>
        <v>231470328221.77411</v>
      </c>
      <c r="K25" s="11">
        <f t="shared" si="4"/>
        <v>2.0599999999999952E-2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35277381.17592559</v>
      </c>
      <c r="D26" s="11">
        <v>2.1499999999999998E-2</v>
      </c>
      <c r="E26" s="10">
        <f t="shared" si="2"/>
        <v>742499.94643407315</v>
      </c>
      <c r="F26" s="3"/>
      <c r="G26" s="28"/>
      <c r="H26" s="10"/>
      <c r="I26" s="10">
        <f t="shared" si="5"/>
        <v>6429</v>
      </c>
      <c r="J26" s="10">
        <f t="shared" si="3"/>
        <v>226798283580.0256</v>
      </c>
      <c r="K26" s="11">
        <f t="shared" si="4"/>
        <v>2.1500000000000075E-2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34534881.229491517</v>
      </c>
      <c r="D27" s="11">
        <v>2.24E-2</v>
      </c>
      <c r="E27" s="10">
        <f t="shared" si="2"/>
        <v>756632.76559136063</v>
      </c>
      <c r="F27" s="3"/>
      <c r="G27" s="28"/>
      <c r="H27" s="10"/>
      <c r="I27" s="10">
        <f t="shared" si="5"/>
        <v>6429</v>
      </c>
      <c r="J27" s="10">
        <f t="shared" si="3"/>
        <v>222024751424.40097</v>
      </c>
      <c r="K27" s="11">
        <f t="shared" si="4"/>
        <v>2.2399999999999975E-2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33778248.463900156</v>
      </c>
      <c r="D28" s="11">
        <v>2.3800000000000002E-2</v>
      </c>
      <c r="E28" s="10">
        <f t="shared" si="2"/>
        <v>785233.75018638745</v>
      </c>
      <c r="F28" s="3"/>
      <c r="G28" s="28"/>
      <c r="H28" s="10"/>
      <c r="I28" s="10">
        <f t="shared" si="5"/>
        <v>6429</v>
      </c>
      <c r="J28" s="10">
        <f t="shared" si="3"/>
        <v>217160359374.41409</v>
      </c>
      <c r="K28" s="11">
        <f t="shared" si="4"/>
        <v>2.3800000000000043E-2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32993014.713713769</v>
      </c>
      <c r="D29" s="11">
        <v>2.5399999999999999E-2</v>
      </c>
      <c r="E29" s="10">
        <f t="shared" si="2"/>
        <v>817264.06644073874</v>
      </c>
      <c r="F29" s="3"/>
      <c r="G29" s="28"/>
      <c r="H29" s="10"/>
      <c r="I29" s="10">
        <f t="shared" si="5"/>
        <v>6429</v>
      </c>
      <c r="J29" s="10">
        <f t="shared" si="3"/>
        <v>212112091594.46582</v>
      </c>
      <c r="K29" s="11">
        <f t="shared" si="4"/>
        <v>2.5400000000000089E-2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32175750.64727303</v>
      </c>
      <c r="D30" s="11">
        <v>2.7E-2</v>
      </c>
      <c r="E30" s="10">
        <f t="shared" si="2"/>
        <v>845905.81059042737</v>
      </c>
      <c r="F30" s="3"/>
      <c r="G30" s="28"/>
      <c r="H30" s="10"/>
      <c r="I30" s="10">
        <f t="shared" si="5"/>
        <v>6429</v>
      </c>
      <c r="J30" s="10">
        <f t="shared" si="3"/>
        <v>206857900911.3183</v>
      </c>
      <c r="K30" s="11">
        <f t="shared" si="4"/>
        <v>2.6999999999999913E-2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31329844.836682603</v>
      </c>
      <c r="D31" s="11">
        <v>2.86E-2</v>
      </c>
      <c r="E31" s="10">
        <f t="shared" si="2"/>
        <v>871119.54338821769</v>
      </c>
      <c r="F31" s="3"/>
      <c r="G31" s="28"/>
      <c r="H31" s="10"/>
      <c r="I31" s="10">
        <f t="shared" si="5"/>
        <v>6429</v>
      </c>
      <c r="J31" s="10">
        <f t="shared" si="3"/>
        <v>201419572455.03244</v>
      </c>
      <c r="K31" s="11">
        <f t="shared" si="4"/>
        <v>2.8599999999999959E-2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30458725.293294385</v>
      </c>
      <c r="D32" s="11">
        <v>3.0200000000000001E-2</v>
      </c>
      <c r="E32" s="10">
        <f t="shared" si="2"/>
        <v>892888.27786593884</v>
      </c>
      <c r="F32" s="3"/>
      <c r="G32" s="28"/>
      <c r="H32" s="10"/>
      <c r="I32" s="10">
        <f t="shared" si="5"/>
        <v>6429</v>
      </c>
      <c r="J32" s="10">
        <f t="shared" si="3"/>
        <v>195819144910.5896</v>
      </c>
      <c r="K32" s="11">
        <f t="shared" si="4"/>
        <v>3.0200000000000005E-2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29565837.015428446</v>
      </c>
      <c r="D33" s="11">
        <v>3.1800000000000002E-2</v>
      </c>
      <c r="E33" s="10">
        <f t="shared" si="2"/>
        <v>911216.91906438023</v>
      </c>
      <c r="F33" s="3"/>
      <c r="G33" s="28"/>
      <c r="H33" s="10"/>
      <c r="I33" s="10">
        <f t="shared" si="5"/>
        <v>6429</v>
      </c>
      <c r="J33" s="10">
        <f t="shared" si="3"/>
        <v>190078766172.18948</v>
      </c>
      <c r="K33" s="11">
        <f t="shared" si="4"/>
        <v>3.1800000000000272E-2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28654620.096364066</v>
      </c>
      <c r="D34" s="11">
        <v>3.3399999999999999E-2</v>
      </c>
      <c r="E34" s="10">
        <f t="shared" si="2"/>
        <v>926131.51850064099</v>
      </c>
      <c r="F34" s="3"/>
      <c r="G34" s="28"/>
      <c r="H34" s="10"/>
      <c r="I34" s="10">
        <f t="shared" si="5"/>
        <v>6429</v>
      </c>
      <c r="J34" s="10">
        <f t="shared" ref="J34:J65" si="6">IF(I34="","",I34*C34)</f>
        <v>184220552599.52457</v>
      </c>
      <c r="K34" s="11">
        <f t="shared" ref="K34:K65" si="7">IFERROR(J34/J35-1,"")</f>
        <v>3.3400000000000096E-2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27728488.577863425</v>
      </c>
      <c r="D35" s="11">
        <v>3.5000000000000003E-2</v>
      </c>
      <c r="E35" s="10">
        <f t="shared" si="2"/>
        <v>937678.35770552605</v>
      </c>
      <c r="F35" s="3"/>
      <c r="G35" s="28"/>
      <c r="H35" s="10"/>
      <c r="I35" s="10">
        <f t="shared" ref="I35:I66" si="8">IF(H35&lt;&gt;"",H35,I34/(1+IF(G34="",0,G34)/100))</f>
        <v>6429</v>
      </c>
      <c r="J35" s="10">
        <f t="shared" si="6"/>
        <v>178266453067.08395</v>
      </c>
      <c r="K35" s="11">
        <f t="shared" si="7"/>
        <v>3.499999999999992E-2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26790810.220157899</v>
      </c>
      <c r="D36" s="11">
        <v>3.6600000000000001E-2</v>
      </c>
      <c r="E36" s="10">
        <f t="shared" si="2"/>
        <v>945922.87676806748</v>
      </c>
      <c r="F36" s="3"/>
      <c r="G36" s="28"/>
      <c r="H36" s="10"/>
      <c r="I36" s="10">
        <f t="shared" si="8"/>
        <v>6429</v>
      </c>
      <c r="J36" s="10">
        <f t="shared" si="6"/>
        <v>172238118905.39514</v>
      </c>
      <c r="K36" s="11">
        <f t="shared" si="7"/>
        <v>3.6599999999999966E-2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25844887.343389831</v>
      </c>
      <c r="D37" s="11">
        <v>3.8199999999999998E-2</v>
      </c>
      <c r="E37" s="10">
        <f t="shared" si="2"/>
        <v>950948.46514880657</v>
      </c>
      <c r="F37" s="3"/>
      <c r="G37" s="28"/>
      <c r="H37" s="10"/>
      <c r="I37" s="10">
        <f t="shared" si="8"/>
        <v>6429</v>
      </c>
      <c r="J37" s="10">
        <f t="shared" si="6"/>
        <v>166156780730.65323</v>
      </c>
      <c r="K37" s="11">
        <f t="shared" si="7"/>
        <v>3.8200000000000012E-2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24893938.878241025</v>
      </c>
      <c r="D38" s="11">
        <v>3.9100000000000003E-2</v>
      </c>
      <c r="E38" s="10">
        <f t="shared" si="2"/>
        <v>936726.98502475396</v>
      </c>
      <c r="F38" s="3"/>
      <c r="G38" s="28"/>
      <c r="H38" s="10"/>
      <c r="I38" s="10">
        <f t="shared" si="8"/>
        <v>6429</v>
      </c>
      <c r="J38" s="10">
        <f t="shared" si="6"/>
        <v>160043133048.21155</v>
      </c>
      <c r="K38" s="11">
        <f t="shared" si="7"/>
        <v>3.9099999999999913E-2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23957211.893216271</v>
      </c>
      <c r="D39" s="11">
        <v>3.9100000000000003E-2</v>
      </c>
      <c r="E39" s="10">
        <f t="shared" si="2"/>
        <v>901479.15024998039</v>
      </c>
      <c r="F39" s="3"/>
      <c r="G39" s="28"/>
      <c r="H39" s="10"/>
      <c r="I39" s="10">
        <f t="shared" si="8"/>
        <v>6429</v>
      </c>
      <c r="J39" s="10">
        <f t="shared" si="6"/>
        <v>154020915261.4874</v>
      </c>
      <c r="K39" s="11">
        <f t="shared" si="7"/>
        <v>3.9099999999999913E-2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23055732.742966291</v>
      </c>
      <c r="D40" s="11">
        <v>3.8300000000000001E-2</v>
      </c>
      <c r="E40" s="10">
        <f t="shared" si="2"/>
        <v>850461.87427102774</v>
      </c>
      <c r="F40" s="3"/>
      <c r="G40" s="28"/>
      <c r="H40" s="10"/>
      <c r="I40" s="10">
        <f t="shared" si="8"/>
        <v>6429</v>
      </c>
      <c r="J40" s="10">
        <f t="shared" si="6"/>
        <v>148225305804.53027</v>
      </c>
      <c r="K40" s="11">
        <f t="shared" si="7"/>
        <v>3.8299999999999779E-2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22205270.868695263</v>
      </c>
      <c r="D41" s="11">
        <v>3.7100000000000001E-2</v>
      </c>
      <c r="E41" s="10">
        <f t="shared" si="2"/>
        <v>794345.3372178115</v>
      </c>
      <c r="F41" s="3"/>
      <c r="G41" s="28"/>
      <c r="H41" s="10"/>
      <c r="I41" s="10">
        <f t="shared" si="8"/>
        <v>6429</v>
      </c>
      <c r="J41" s="10">
        <f t="shared" si="6"/>
        <v>142757686414.84186</v>
      </c>
      <c r="K41" s="11">
        <f t="shared" si="7"/>
        <v>3.7100000000000133E-2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21410925.531477451</v>
      </c>
      <c r="D42" s="11">
        <v>3.5400000000000001E-2</v>
      </c>
      <c r="E42" s="10">
        <f t="shared" si="2"/>
        <v>732032.8026021868</v>
      </c>
      <c r="F42" s="3"/>
      <c r="G42" s="28"/>
      <c r="H42" s="10"/>
      <c r="I42" s="10">
        <f t="shared" si="8"/>
        <v>6429</v>
      </c>
      <c r="J42" s="10">
        <f t="shared" si="6"/>
        <v>137650840241.86853</v>
      </c>
      <c r="K42" s="11">
        <f t="shared" si="7"/>
        <v>3.5400000000000098E-2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20678892.728875265</v>
      </c>
      <c r="D43" s="11">
        <v>3.3599999999999998E-2</v>
      </c>
      <c r="E43" s="10">
        <f t="shared" si="2"/>
        <v>672224.06703774258</v>
      </c>
      <c r="F43" s="3"/>
      <c r="G43" s="28"/>
      <c r="H43" s="10"/>
      <c r="I43" s="10">
        <f t="shared" si="8"/>
        <v>6429</v>
      </c>
      <c r="J43" s="10">
        <f t="shared" si="6"/>
        <v>132944601353.93907</v>
      </c>
      <c r="K43" s="11">
        <f t="shared" si="7"/>
        <v>3.3600000000000074E-2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20006668.661837522</v>
      </c>
      <c r="D44" s="11">
        <v>3.2099999999999997E-2</v>
      </c>
      <c r="E44" s="10">
        <f t="shared" si="2"/>
        <v>622240.15506732464</v>
      </c>
      <c r="F44" s="3"/>
      <c r="G44" s="28"/>
      <c r="H44" s="10"/>
      <c r="I44" s="10">
        <f t="shared" si="8"/>
        <v>6429</v>
      </c>
      <c r="J44" s="10">
        <f t="shared" si="6"/>
        <v>128622872826.95343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19384428.506770197</v>
      </c>
      <c r="D45" s="11">
        <v>3.09E-2</v>
      </c>
      <c r="E45" s="10">
        <f t="shared" si="2"/>
        <v>581025.16331283003</v>
      </c>
      <c r="F45" s="3"/>
      <c r="G45" s="28"/>
      <c r="H45" s="10"/>
      <c r="I45" s="10">
        <f t="shared" si="8"/>
        <v>6429</v>
      </c>
      <c r="J45" s="10">
        <f t="shared" si="6"/>
        <v>124622490870.0256</v>
      </c>
      <c r="K45" s="11">
        <f t="shared" si="7"/>
        <v>3.0899999999999928E-2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18803403.343457367</v>
      </c>
      <c r="D46" s="11">
        <v>2.9700000000000001E-2</v>
      </c>
      <c r="E46" s="10">
        <f t="shared" si="2"/>
        <v>542353.18957044184</v>
      </c>
      <c r="F46" s="3"/>
      <c r="G46" s="28"/>
      <c r="H46" s="10"/>
      <c r="I46" s="10">
        <f t="shared" si="8"/>
        <v>6429</v>
      </c>
      <c r="J46" s="10">
        <f t="shared" si="6"/>
        <v>120887080095.08742</v>
      </c>
      <c r="K46" s="11">
        <f t="shared" si="7"/>
        <v>2.970000000000006E-2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18261050.153886925</v>
      </c>
      <c r="D47" s="11">
        <v>2.87E-2</v>
      </c>
      <c r="E47" s="10">
        <f t="shared" si="2"/>
        <v>509470.34064017981</v>
      </c>
      <c r="F47" s="3"/>
      <c r="G47" s="28"/>
      <c r="H47" s="10"/>
      <c r="I47" s="10">
        <f t="shared" si="8"/>
        <v>6429</v>
      </c>
      <c r="J47" s="10">
        <f t="shared" si="6"/>
        <v>117400291439.33905</v>
      </c>
      <c r="K47" s="11">
        <f t="shared" si="7"/>
        <v>2.8699999999999948E-2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17751579.813246746</v>
      </c>
      <c r="D48" s="11">
        <v>2.7799999999999998E-2</v>
      </c>
      <c r="E48" s="10">
        <f t="shared" si="2"/>
        <v>480145.86379476637</v>
      </c>
      <c r="F48" s="3"/>
      <c r="G48" s="28"/>
      <c r="H48" s="10"/>
      <c r="I48" s="10">
        <f t="shared" si="8"/>
        <v>6429</v>
      </c>
      <c r="J48" s="10">
        <f t="shared" si="6"/>
        <v>114124906619.36333</v>
      </c>
      <c r="K48" s="11">
        <f t="shared" si="7"/>
        <v>2.7800000000000047E-2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17271433.949451979</v>
      </c>
      <c r="D49" s="11">
        <v>2.69E-2</v>
      </c>
      <c r="E49" s="10">
        <f t="shared" si="2"/>
        <v>452431.1746423766</v>
      </c>
      <c r="F49" s="3"/>
      <c r="G49" s="28"/>
      <c r="H49" s="10"/>
      <c r="I49" s="10">
        <f t="shared" si="8"/>
        <v>6429</v>
      </c>
      <c r="J49" s="10">
        <f t="shared" si="6"/>
        <v>111038048861.02678</v>
      </c>
      <c r="K49" s="11">
        <f t="shared" si="7"/>
        <v>2.6899999999999924E-2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16819002.774809603</v>
      </c>
      <c r="D50" s="11">
        <v>2.6100000000000002E-2</v>
      </c>
      <c r="E50" s="10">
        <f t="shared" si="2"/>
        <v>427810.12807965279</v>
      </c>
      <c r="F50" s="3"/>
      <c r="G50" s="28"/>
      <c r="H50" s="10"/>
      <c r="I50" s="10">
        <f t="shared" si="8"/>
        <v>6429</v>
      </c>
      <c r="J50" s="10">
        <f t="shared" si="6"/>
        <v>108129368839.25093</v>
      </c>
      <c r="K50" s="11">
        <f t="shared" si="7"/>
        <v>2.6100000000000012E-2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16391192.64672995</v>
      </c>
      <c r="D51" s="11">
        <v>2.5100000000000001E-2</v>
      </c>
      <c r="E51" s="10">
        <f t="shared" si="2"/>
        <v>401345.17162512988</v>
      </c>
      <c r="F51" s="3"/>
      <c r="G51" s="28"/>
      <c r="H51" s="10"/>
      <c r="I51" s="10">
        <f t="shared" si="8"/>
        <v>6429</v>
      </c>
      <c r="J51" s="10">
        <f t="shared" si="6"/>
        <v>105378977525.82684</v>
      </c>
      <c r="K51" s="11">
        <f t="shared" si="7"/>
        <v>2.50999999999999E-2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15989847.47510482</v>
      </c>
      <c r="D52" s="11">
        <v>2.3900000000000001E-2</v>
      </c>
      <c r="E52" s="10">
        <f t="shared" si="2"/>
        <v>373236.99058013968</v>
      </c>
      <c r="F52" s="3"/>
      <c r="G52" s="28"/>
      <c r="H52" s="10"/>
      <c r="I52" s="10">
        <f t="shared" si="8"/>
        <v>6429</v>
      </c>
      <c r="J52" s="10">
        <f t="shared" si="6"/>
        <v>102798729417.44888</v>
      </c>
      <c r="K52" s="11">
        <f t="shared" si="7"/>
        <v>2.3900000000000032E-2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15616610.48452468</v>
      </c>
      <c r="D53" s="11">
        <v>2.2499999999999999E-2</v>
      </c>
      <c r="E53" s="10">
        <f t="shared" si="2"/>
        <v>343641.79550298676</v>
      </c>
      <c r="F53" s="3"/>
      <c r="G53" s="28"/>
      <c r="H53" s="10"/>
      <c r="I53" s="10">
        <f t="shared" si="8"/>
        <v>6429</v>
      </c>
      <c r="J53" s="10">
        <f t="shared" si="6"/>
        <v>100399188805.00917</v>
      </c>
      <c r="K53" s="11">
        <f t="shared" si="7"/>
        <v>2.2499999999999964E-2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15272968.689021694</v>
      </c>
      <c r="D54" s="11">
        <v>2.12E-2</v>
      </c>
      <c r="E54" s="10">
        <f t="shared" si="2"/>
        <v>317065.154922897</v>
      </c>
      <c r="F54" s="3"/>
      <c r="G54" s="28"/>
      <c r="H54" s="10"/>
      <c r="I54" s="10">
        <f t="shared" si="8"/>
        <v>6429</v>
      </c>
      <c r="J54" s="10">
        <f t="shared" si="6"/>
        <v>98189915701.720474</v>
      </c>
      <c r="K54" s="11">
        <f t="shared" si="7"/>
        <v>2.120000000000033E-2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14955903.534098797</v>
      </c>
      <c r="D55" s="11">
        <v>0.02</v>
      </c>
      <c r="E55" s="10">
        <f t="shared" si="2"/>
        <v>293253.01047252491</v>
      </c>
      <c r="F55" s="3"/>
      <c r="G55" s="28"/>
      <c r="H55" s="10"/>
      <c r="I55" s="10">
        <f t="shared" si="8"/>
        <v>6429</v>
      </c>
      <c r="J55" s="10">
        <f t="shared" si="6"/>
        <v>96151503820.721161</v>
      </c>
      <c r="K55" s="11">
        <f t="shared" si="7"/>
        <v>2.0000000000000018E-2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14662650.523626272</v>
      </c>
      <c r="D56" s="11">
        <v>1.89E-2</v>
      </c>
      <c r="E56" s="10">
        <f t="shared" si="2"/>
        <v>271983.60476644896</v>
      </c>
      <c r="F56" s="3"/>
      <c r="G56" s="28"/>
      <c r="H56" s="10"/>
      <c r="I56" s="10">
        <f t="shared" si="8"/>
        <v>6429</v>
      </c>
      <c r="J56" s="10">
        <f t="shared" si="6"/>
        <v>94266180216.393295</v>
      </c>
      <c r="K56" s="11">
        <f t="shared" si="7"/>
        <v>1.8899999999999917E-2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14390666.918859823</v>
      </c>
      <c r="D57" s="11">
        <v>1.7999999999999999E-2</v>
      </c>
      <c r="E57" s="10">
        <f t="shared" si="2"/>
        <v>254451.87086392567</v>
      </c>
      <c r="F57" s="3"/>
      <c r="G57" s="28"/>
      <c r="H57" s="10"/>
      <c r="I57" s="10">
        <f t="shared" si="8"/>
        <v>6429</v>
      </c>
      <c r="J57" s="10">
        <f t="shared" si="6"/>
        <v>92517597621.349792</v>
      </c>
      <c r="K57" s="11">
        <f t="shared" si="7"/>
        <v>1.7999999999999794E-2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14136215.047995897</v>
      </c>
      <c r="D58" s="11">
        <v>1.7100000000000001E-2</v>
      </c>
      <c r="E58" s="10">
        <f t="shared" si="2"/>
        <v>237665.20236036554</v>
      </c>
      <c r="F58" s="3"/>
      <c r="G58" s="28"/>
      <c r="H58" s="10"/>
      <c r="I58" s="10">
        <f t="shared" si="8"/>
        <v>6429</v>
      </c>
      <c r="J58" s="10">
        <f t="shared" si="6"/>
        <v>90881726543.565628</v>
      </c>
      <c r="K58" s="11">
        <f t="shared" si="7"/>
        <v>1.7099999999999893E-2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13898549.845635531</v>
      </c>
      <c r="D59" s="11">
        <v>1.61E-2</v>
      </c>
      <c r="E59" s="10">
        <f t="shared" si="2"/>
        <v>220221.09291874059</v>
      </c>
      <c r="F59" s="3"/>
      <c r="G59" s="28"/>
      <c r="H59" s="10"/>
      <c r="I59" s="10">
        <f t="shared" si="8"/>
        <v>6429</v>
      </c>
      <c r="J59" s="10">
        <f t="shared" si="6"/>
        <v>89353776957.590836</v>
      </c>
      <c r="K59" s="11">
        <f t="shared" si="7"/>
        <v>1.6100000000000003E-2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13678328.752716791</v>
      </c>
      <c r="D60" s="11">
        <v>1.4999999999999999E-2</v>
      </c>
      <c r="E60" s="10">
        <f t="shared" si="2"/>
        <v>202142.78944901563</v>
      </c>
      <c r="F60" s="3"/>
      <c r="G60" s="28"/>
      <c r="H60" s="10"/>
      <c r="I60" s="10">
        <f t="shared" si="8"/>
        <v>6429</v>
      </c>
      <c r="J60" s="10">
        <f t="shared" si="6"/>
        <v>87937975551.216248</v>
      </c>
      <c r="K60" s="11">
        <f t="shared" si="7"/>
        <v>1.4999999999999902E-2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13476185.963267775</v>
      </c>
      <c r="D61" s="11">
        <v>1.4200000000000001E-2</v>
      </c>
      <c r="E61" s="10">
        <f t="shared" si="2"/>
        <v>188682.54848984629</v>
      </c>
      <c r="F61" s="3"/>
      <c r="G61" s="28"/>
      <c r="H61" s="10"/>
      <c r="I61" s="10">
        <f t="shared" si="8"/>
        <v>6429</v>
      </c>
      <c r="J61" s="10">
        <f t="shared" si="6"/>
        <v>86638399557.848526</v>
      </c>
      <c r="K61" s="11">
        <f t="shared" si="7"/>
        <v>1.419999999999999E-2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13287503.414777929</v>
      </c>
      <c r="D62" s="11">
        <v>1.3299999999999999E-2</v>
      </c>
      <c r="E62" s="10">
        <f t="shared" si="2"/>
        <v>174404.2192998603</v>
      </c>
      <c r="F62" s="3"/>
      <c r="G62" s="28"/>
      <c r="H62" s="10"/>
      <c r="I62" s="10">
        <f t="shared" si="8"/>
        <v>6429</v>
      </c>
      <c r="J62" s="10">
        <f t="shared" si="6"/>
        <v>85425359453.6073</v>
      </c>
      <c r="K62" s="11">
        <f t="shared" si="7"/>
        <v>1.330000000000009E-2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13113099.195478069</v>
      </c>
      <c r="D63" s="11">
        <v>1.2500000000000001E-2</v>
      </c>
      <c r="E63" s="10">
        <f t="shared" si="2"/>
        <v>161890.11352442019</v>
      </c>
      <c r="F63" s="3"/>
      <c r="G63" s="28"/>
      <c r="H63" s="10"/>
      <c r="I63" s="10">
        <f t="shared" si="8"/>
        <v>6429</v>
      </c>
      <c r="J63" s="10">
        <f t="shared" si="6"/>
        <v>84304114727.7285</v>
      </c>
      <c r="K63" s="11">
        <f t="shared" si="7"/>
        <v>1.2499999999999956E-2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12951209.081953648</v>
      </c>
      <c r="D64" s="11">
        <v>1.18E-2</v>
      </c>
      <c r="E64" s="10">
        <f t="shared" si="2"/>
        <v>151041.97189864889</v>
      </c>
      <c r="F64" s="3"/>
      <c r="G64" s="28"/>
      <c r="H64" s="10"/>
      <c r="I64" s="10">
        <f t="shared" si="8"/>
        <v>6429</v>
      </c>
      <c r="J64" s="10">
        <f t="shared" si="6"/>
        <v>83263323187.880005</v>
      </c>
      <c r="K64" s="11">
        <f t="shared" si="7"/>
        <v>1.1800000000000033E-2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12800167.110055</v>
      </c>
      <c r="D65" s="11">
        <v>1.11E-2</v>
      </c>
      <c r="E65" s="10">
        <f t="shared" si="2"/>
        <v>140522.06005500071</v>
      </c>
      <c r="F65" s="3"/>
      <c r="G65" s="28"/>
      <c r="H65" s="10"/>
      <c r="I65" s="10">
        <f t="shared" si="8"/>
        <v>6429</v>
      </c>
      <c r="J65" s="10">
        <f t="shared" si="6"/>
        <v>82292274350.543594</v>
      </c>
      <c r="K65" s="11">
        <f t="shared" si="7"/>
        <v>1.110000000000011E-2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12659645.049999999</v>
      </c>
      <c r="D66" s="11">
        <v>1.0500000000000001E-2</v>
      </c>
      <c r="E66" s="10">
        <f t="shared" si="2"/>
        <v>131545.04999999888</v>
      </c>
      <c r="F66" s="24">
        <f>SUM(F2)</f>
        <v>54705622</v>
      </c>
      <c r="G66" s="28"/>
      <c r="H66" s="10"/>
      <c r="I66" s="10">
        <f t="shared" si="8"/>
        <v>6429</v>
      </c>
      <c r="J66" s="10">
        <f t="shared" ref="J66:J67" si="9">IF(I66="","",I66*C66)</f>
        <v>81388858026.449997</v>
      </c>
      <c r="K66" s="11">
        <f t="shared" ref="K66" si="10">IFERROR(J66/J67-1,"")</f>
        <v>1.0499999999999954E-2</v>
      </c>
    </row>
    <row r="67" spans="1:11" ht="22.5" customHeight="1">
      <c r="A67" s="3">
        <f t="shared" si="0"/>
        <v>1950</v>
      </c>
      <c r="B67" s="3">
        <v>1700</v>
      </c>
      <c r="C67" s="10">
        <v>12528100</v>
      </c>
      <c r="D67" s="11">
        <v>9.9000000000000008E-3</v>
      </c>
      <c r="E67" s="3" t="s">
        <v>72</v>
      </c>
      <c r="F67" s="10">
        <f>SUM(C2)</f>
        <v>54705418.575097799</v>
      </c>
      <c r="G67" s="28"/>
      <c r="H67" s="10"/>
      <c r="I67" s="10">
        <f t="shared" ref="I67" si="11">IF(H67&lt;&gt;"",H67,I66/(1+IF(G66="",0,G66)/100))</f>
        <v>6429</v>
      </c>
      <c r="J67" s="10">
        <f t="shared" si="9"/>
        <v>80543154900</v>
      </c>
      <c r="K67" s="11"/>
    </row>
  </sheetData>
  <dataValidations count="1">
    <dataValidation type="custom" allowBlank="1" showDropDown="1" sqref="D2:D67" xr:uid="{00000000-0002-0000-8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79558708.221049875</v>
      </c>
      <c r="D2" s="11">
        <v>3.3999999999999998E-3</v>
      </c>
      <c r="E2" s="10">
        <f t="shared" ref="E2:E66" si="2">SUM(C2-C3)</f>
        <v>269583.02566431463</v>
      </c>
      <c r="F2" s="15">
        <v>79558877</v>
      </c>
      <c r="G2" s="28"/>
      <c r="H2" s="10"/>
      <c r="I2" s="10">
        <f>IF(H2&lt;&gt;"",H2,12579)</f>
        <v>12579</v>
      </c>
      <c r="J2" s="10">
        <f t="shared" ref="J2:J33" si="3">IF(I2="","",I2*C2)</f>
        <v>1000768990712.5864</v>
      </c>
      <c r="K2" s="11">
        <f t="shared" ref="K2:K33" si="4">IFERROR(J2/J3-1,"")</f>
        <v>3.4000000000000696E-3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79289125.19538556</v>
      </c>
      <c r="D3" s="11">
        <v>3.8E-3</v>
      </c>
      <c r="E3" s="10">
        <f t="shared" si="2"/>
        <v>300158.07505725324</v>
      </c>
      <c r="F3" s="10"/>
      <c r="G3" s="28"/>
      <c r="H3" s="10"/>
      <c r="I3" s="10">
        <f t="shared" ref="I3:I34" si="5">IF(H3&lt;&gt;"",H3,I2/(1+IF(G2="",0,G2)/100))</f>
        <v>12579</v>
      </c>
      <c r="J3" s="10">
        <f t="shared" si="3"/>
        <v>997377905832.755</v>
      </c>
      <c r="K3" s="11">
        <f t="shared" si="4"/>
        <v>3.8000000000002476E-3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78988967.120328307</v>
      </c>
      <c r="D4" s="11">
        <v>4.3E-3</v>
      </c>
      <c r="E4" s="10">
        <f t="shared" si="2"/>
        <v>338198.30590203404</v>
      </c>
      <c r="F4" s="3"/>
      <c r="G4" s="28"/>
      <c r="H4" s="10"/>
      <c r="I4" s="10">
        <f t="shared" si="5"/>
        <v>12579</v>
      </c>
      <c r="J4" s="10">
        <f t="shared" si="3"/>
        <v>993602217406.60974</v>
      </c>
      <c r="K4" s="11">
        <f t="shared" si="4"/>
        <v>4.2999999999999705E-3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78650768.814426273</v>
      </c>
      <c r="D5" s="11">
        <v>4.8999999999999998E-3</v>
      </c>
      <c r="E5" s="10">
        <f t="shared" si="2"/>
        <v>383509.57029622793</v>
      </c>
      <c r="F5" s="3"/>
      <c r="G5" s="28"/>
      <c r="H5" s="10"/>
      <c r="I5" s="10">
        <f t="shared" si="5"/>
        <v>12579</v>
      </c>
      <c r="J5" s="10">
        <f t="shared" si="3"/>
        <v>989348020916.66809</v>
      </c>
      <c r="K5" s="11">
        <f t="shared" si="4"/>
        <v>4.8999999999999044E-3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78267259.244130045</v>
      </c>
      <c r="D6" s="11">
        <v>5.4000000000000003E-3</v>
      </c>
      <c r="E6" s="10">
        <f t="shared" si="2"/>
        <v>420373.18472081423</v>
      </c>
      <c r="F6" s="3"/>
      <c r="G6" s="28"/>
      <c r="H6" s="10"/>
      <c r="I6" s="10">
        <f t="shared" si="5"/>
        <v>12579</v>
      </c>
      <c r="J6" s="10">
        <f t="shared" si="3"/>
        <v>984523854031.91187</v>
      </c>
      <c r="K6" s="11">
        <f t="shared" si="4"/>
        <v>5.4000000000000714E-3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77846886.059409231</v>
      </c>
      <c r="D7" s="11">
        <v>6.1000000000000004E-3</v>
      </c>
      <c r="E7" s="10">
        <f t="shared" si="2"/>
        <v>471986.88496410847</v>
      </c>
      <c r="F7" s="3"/>
      <c r="G7" s="28"/>
      <c r="H7" s="10"/>
      <c r="I7" s="10">
        <f t="shared" si="5"/>
        <v>12579</v>
      </c>
      <c r="J7" s="10">
        <f t="shared" si="3"/>
        <v>979235979741.30872</v>
      </c>
      <c r="K7" s="11">
        <f t="shared" si="4"/>
        <v>6.0999999999999943E-3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77374899.174445122</v>
      </c>
      <c r="D8" s="11">
        <v>6.4999999999999997E-3</v>
      </c>
      <c r="E8" s="10">
        <f t="shared" si="2"/>
        <v>499688.86699840426</v>
      </c>
      <c r="F8" s="3"/>
      <c r="G8" s="28"/>
      <c r="H8" s="10"/>
      <c r="I8" s="10">
        <f t="shared" si="5"/>
        <v>12579</v>
      </c>
      <c r="J8" s="10">
        <f t="shared" si="3"/>
        <v>973298856715.34521</v>
      </c>
      <c r="K8" s="11">
        <f t="shared" si="4"/>
        <v>6.4999999999999503E-3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76875210.307446718</v>
      </c>
      <c r="D9" s="11">
        <v>6.8999999999999999E-3</v>
      </c>
      <c r="E9" s="10">
        <f t="shared" si="2"/>
        <v>526804.00349724293</v>
      </c>
      <c r="F9" s="3"/>
      <c r="G9" s="28"/>
      <c r="H9" s="10"/>
      <c r="I9" s="10">
        <f t="shared" si="5"/>
        <v>12579</v>
      </c>
      <c r="J9" s="10">
        <f t="shared" si="3"/>
        <v>967013270457.37231</v>
      </c>
      <c r="K9" s="11">
        <f t="shared" si="4"/>
        <v>6.8999999999999062E-3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76348406.303949475</v>
      </c>
      <c r="D10" s="11">
        <v>7.1999999999999998E-3</v>
      </c>
      <c r="E10" s="10">
        <f t="shared" si="2"/>
        <v>545778.9171847105</v>
      </c>
      <c r="F10" s="3"/>
      <c r="G10" s="28"/>
      <c r="H10" s="10"/>
      <c r="I10" s="10">
        <f t="shared" si="5"/>
        <v>12579</v>
      </c>
      <c r="J10" s="10">
        <f t="shared" si="3"/>
        <v>960386602897.38049</v>
      </c>
      <c r="K10" s="11">
        <f t="shared" si="4"/>
        <v>7.2000000000000952E-3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75802627.386764765</v>
      </c>
      <c r="D11" s="11">
        <v>7.4999999999999997E-3</v>
      </c>
      <c r="E11" s="10">
        <f t="shared" si="2"/>
        <v>564287.54878485203</v>
      </c>
      <c r="F11" s="3"/>
      <c r="G11" s="28"/>
      <c r="H11" s="10"/>
      <c r="I11" s="10">
        <f t="shared" si="5"/>
        <v>12579</v>
      </c>
      <c r="J11" s="10">
        <f t="shared" si="3"/>
        <v>953521249898.11401</v>
      </c>
      <c r="K11" s="11">
        <f t="shared" si="4"/>
        <v>7.5000000000000622E-3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75238339.837979913</v>
      </c>
      <c r="D12" s="11">
        <v>7.9000000000000008E-3</v>
      </c>
      <c r="E12" s="10">
        <f t="shared" si="2"/>
        <v>589724.0646096319</v>
      </c>
      <c r="F12" s="3"/>
      <c r="G12" s="28"/>
      <c r="H12" s="10"/>
      <c r="I12" s="10">
        <f t="shared" si="5"/>
        <v>12579</v>
      </c>
      <c r="J12" s="10">
        <f t="shared" si="3"/>
        <v>946423076821.94934</v>
      </c>
      <c r="K12" s="11">
        <f t="shared" si="4"/>
        <v>7.9000000000002402E-3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74648615.773370281</v>
      </c>
      <c r="D13" s="11">
        <v>8.2000000000000007E-3</v>
      </c>
      <c r="E13" s="10">
        <f t="shared" si="2"/>
        <v>607140.10051739216</v>
      </c>
      <c r="F13" s="3"/>
      <c r="G13" s="28"/>
      <c r="H13" s="10"/>
      <c r="I13" s="10">
        <f t="shared" si="5"/>
        <v>12579</v>
      </c>
      <c r="J13" s="10">
        <f t="shared" si="3"/>
        <v>939004937813.22473</v>
      </c>
      <c r="K13" s="11">
        <f t="shared" si="4"/>
        <v>8.1999999999999851E-3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74041475.672852889</v>
      </c>
      <c r="D14" s="11">
        <v>8.6E-3</v>
      </c>
      <c r="E14" s="10">
        <f t="shared" si="2"/>
        <v>631327.27621111274</v>
      </c>
      <c r="F14" s="3"/>
      <c r="G14" s="28"/>
      <c r="H14" s="10"/>
      <c r="I14" s="10">
        <f t="shared" si="5"/>
        <v>12579</v>
      </c>
      <c r="J14" s="10">
        <f t="shared" si="3"/>
        <v>931367722488.81653</v>
      </c>
      <c r="K14" s="11">
        <f t="shared" si="4"/>
        <v>8.599999999999941E-3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73410148.396641776</v>
      </c>
      <c r="D15" s="11">
        <v>8.9999999999999993E-3</v>
      </c>
      <c r="E15" s="10">
        <f t="shared" si="2"/>
        <v>654798.1521999687</v>
      </c>
      <c r="F15" s="3"/>
      <c r="G15" s="28"/>
      <c r="H15" s="10"/>
      <c r="I15" s="10">
        <f t="shared" si="5"/>
        <v>12579</v>
      </c>
      <c r="J15" s="10">
        <f t="shared" si="3"/>
        <v>923426256681.35693</v>
      </c>
      <c r="K15" s="11">
        <f t="shared" si="4"/>
        <v>8.999999999999897E-3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72755350.244441807</v>
      </c>
      <c r="D16" s="11">
        <v>9.4000000000000004E-3</v>
      </c>
      <c r="E16" s="10">
        <f t="shared" si="2"/>
        <v>677531.49623316526</v>
      </c>
      <c r="F16" s="3"/>
      <c r="G16" s="28"/>
      <c r="H16" s="10"/>
      <c r="I16" s="10">
        <f t="shared" si="5"/>
        <v>12579</v>
      </c>
      <c r="J16" s="10">
        <f t="shared" si="3"/>
        <v>915189550724.8335</v>
      </c>
      <c r="K16" s="11">
        <f t="shared" si="4"/>
        <v>9.400000000000075E-3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72077818.748208642</v>
      </c>
      <c r="D17" s="11">
        <v>9.7999999999999997E-3</v>
      </c>
      <c r="E17" s="10">
        <f t="shared" si="2"/>
        <v>699507.45071543753</v>
      </c>
      <c r="F17" s="3"/>
      <c r="G17" s="28"/>
      <c r="H17" s="10"/>
      <c r="I17" s="10">
        <f t="shared" si="5"/>
        <v>12579</v>
      </c>
      <c r="J17" s="10">
        <f t="shared" si="3"/>
        <v>906666882033.71655</v>
      </c>
      <c r="K17" s="11">
        <f t="shared" si="4"/>
        <v>9.8000000000000309E-3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71378311.297493204</v>
      </c>
      <c r="D18" s="11">
        <v>1.03E-2</v>
      </c>
      <c r="E18" s="10">
        <f t="shared" si="2"/>
        <v>727701.28314775229</v>
      </c>
      <c r="F18" s="3"/>
      <c r="G18" s="28"/>
      <c r="H18" s="10"/>
      <c r="I18" s="10">
        <f t="shared" si="5"/>
        <v>12579</v>
      </c>
      <c r="J18" s="10">
        <f t="shared" si="3"/>
        <v>897867777811.16699</v>
      </c>
      <c r="K18" s="11">
        <f t="shared" si="4"/>
        <v>1.0299999999999976E-2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70650610.014345452</v>
      </c>
      <c r="D19" s="11">
        <v>1.0800000000000001E-2</v>
      </c>
      <c r="E19" s="10">
        <f t="shared" si="2"/>
        <v>754873.94950032234</v>
      </c>
      <c r="F19" s="3"/>
      <c r="G19" s="28"/>
      <c r="H19" s="10"/>
      <c r="I19" s="10">
        <f t="shared" si="5"/>
        <v>12579</v>
      </c>
      <c r="J19" s="10">
        <f t="shared" si="3"/>
        <v>888714023370.45142</v>
      </c>
      <c r="K19" s="11">
        <f t="shared" si="4"/>
        <v>1.0799999999999921E-2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69895736.06484513</v>
      </c>
      <c r="D20" s="11">
        <v>1.14E-2</v>
      </c>
      <c r="E20" s="10">
        <f t="shared" si="2"/>
        <v>787830.12768363953</v>
      </c>
      <c r="F20" s="3"/>
      <c r="G20" s="28"/>
      <c r="H20" s="10"/>
      <c r="I20" s="10">
        <f t="shared" si="5"/>
        <v>12579</v>
      </c>
      <c r="J20" s="10">
        <f t="shared" si="3"/>
        <v>879218463959.68689</v>
      </c>
      <c r="K20" s="11">
        <f t="shared" si="4"/>
        <v>1.1399999999999855E-2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69107905.93716149</v>
      </c>
      <c r="D21" s="11">
        <v>1.21E-2</v>
      </c>
      <c r="E21" s="10">
        <f t="shared" si="2"/>
        <v>826208.538523525</v>
      </c>
      <c r="F21" s="3"/>
      <c r="G21" s="28"/>
      <c r="H21" s="10"/>
      <c r="I21" s="10">
        <f t="shared" si="5"/>
        <v>12579</v>
      </c>
      <c r="J21" s="10">
        <f t="shared" si="3"/>
        <v>869308348783.55444</v>
      </c>
      <c r="K21" s="11">
        <f t="shared" si="4"/>
        <v>1.2100000000000222E-2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68281697.398637965</v>
      </c>
      <c r="D22" s="11">
        <v>1.2800000000000001E-2</v>
      </c>
      <c r="E22" s="10">
        <f t="shared" si="2"/>
        <v>862959.84074106812</v>
      </c>
      <c r="F22" s="3"/>
      <c r="G22" s="28"/>
      <c r="H22" s="10"/>
      <c r="I22" s="10">
        <f t="shared" si="5"/>
        <v>12579</v>
      </c>
      <c r="J22" s="10">
        <f t="shared" si="3"/>
        <v>858915471577.46692</v>
      </c>
      <c r="K22" s="11">
        <f t="shared" si="4"/>
        <v>1.2799999999999701E-2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67418737.557896897</v>
      </c>
      <c r="D23" s="11">
        <v>1.3599999999999999E-2</v>
      </c>
      <c r="E23" s="10">
        <f t="shared" si="2"/>
        <v>904592.37449427694</v>
      </c>
      <c r="F23" s="3"/>
      <c r="G23" s="28"/>
      <c r="H23" s="10"/>
      <c r="I23" s="10">
        <f t="shared" si="5"/>
        <v>12579</v>
      </c>
      <c r="J23" s="10">
        <f t="shared" si="3"/>
        <v>848060299740.78503</v>
      </c>
      <c r="K23" s="11">
        <f t="shared" si="4"/>
        <v>1.3599999999999834E-2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66514145.18340262</v>
      </c>
      <c r="D24" s="11">
        <v>1.44E-2</v>
      </c>
      <c r="E24" s="10">
        <f t="shared" si="2"/>
        <v>944207.10828173906</v>
      </c>
      <c r="F24" s="3"/>
      <c r="G24" s="28"/>
      <c r="H24" s="10"/>
      <c r="I24" s="10">
        <f t="shared" si="5"/>
        <v>12579</v>
      </c>
      <c r="J24" s="10">
        <f t="shared" si="3"/>
        <v>836681432262.02161</v>
      </c>
      <c r="K24" s="11">
        <f t="shared" si="4"/>
        <v>1.4399999999999968E-2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65569938.075120881</v>
      </c>
      <c r="D25" s="11">
        <v>1.5299999999999999E-2</v>
      </c>
      <c r="E25" s="10">
        <f t="shared" si="2"/>
        <v>988102.09056372941</v>
      </c>
      <c r="F25" s="3"/>
      <c r="G25" s="28"/>
      <c r="H25" s="10"/>
      <c r="I25" s="10">
        <f t="shared" si="5"/>
        <v>12579</v>
      </c>
      <c r="J25" s="10">
        <f t="shared" si="3"/>
        <v>824804251046.94556</v>
      </c>
      <c r="K25" s="11">
        <f t="shared" si="4"/>
        <v>1.5300000000000091E-2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64581835.984557152</v>
      </c>
      <c r="D26" s="11">
        <v>1.6400000000000001E-2</v>
      </c>
      <c r="E26" s="10">
        <f t="shared" si="2"/>
        <v>1042052.4499672726</v>
      </c>
      <c r="F26" s="3"/>
      <c r="G26" s="28"/>
      <c r="H26" s="10"/>
      <c r="I26" s="10">
        <f t="shared" si="5"/>
        <v>12579</v>
      </c>
      <c r="J26" s="10">
        <f t="shared" si="3"/>
        <v>812374914849.74438</v>
      </c>
      <c r="K26" s="11">
        <f t="shared" si="4"/>
        <v>1.639999999999997E-2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63539783.534589879</v>
      </c>
      <c r="D27" s="11">
        <v>1.7600000000000001E-2</v>
      </c>
      <c r="E27" s="10">
        <f t="shared" si="2"/>
        <v>1098958.520252347</v>
      </c>
      <c r="F27" s="3"/>
      <c r="G27" s="28"/>
      <c r="H27" s="10"/>
      <c r="I27" s="10">
        <f t="shared" si="5"/>
        <v>12579</v>
      </c>
      <c r="J27" s="10">
        <f t="shared" si="3"/>
        <v>799266937081.60608</v>
      </c>
      <c r="K27" s="11">
        <f t="shared" si="4"/>
        <v>1.760000000000006E-2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62440825.014337532</v>
      </c>
      <c r="D28" s="11">
        <v>1.89E-2</v>
      </c>
      <c r="E28" s="10">
        <f t="shared" si="2"/>
        <v>1158240.8408783749</v>
      </c>
      <c r="F28" s="3"/>
      <c r="G28" s="28"/>
      <c r="H28" s="10"/>
      <c r="I28" s="10">
        <f t="shared" si="5"/>
        <v>12579</v>
      </c>
      <c r="J28" s="10">
        <f t="shared" si="3"/>
        <v>785443137855.35181</v>
      </c>
      <c r="K28" s="11">
        <f t="shared" si="4"/>
        <v>1.8899999999999917E-2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61282584.173459157</v>
      </c>
      <c r="D29" s="11">
        <v>2.0400000000000001E-2</v>
      </c>
      <c r="E29" s="10">
        <f t="shared" si="2"/>
        <v>1225171.2241655886</v>
      </c>
      <c r="F29" s="3"/>
      <c r="G29" s="28"/>
      <c r="H29" s="10"/>
      <c r="I29" s="10">
        <f t="shared" si="5"/>
        <v>12579</v>
      </c>
      <c r="J29" s="10">
        <f t="shared" si="3"/>
        <v>770873626317.94275</v>
      </c>
      <c r="K29" s="11">
        <f t="shared" si="4"/>
        <v>2.0399999999999974E-2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60057412.949293569</v>
      </c>
      <c r="D30" s="11">
        <v>2.1999999999999999E-2</v>
      </c>
      <c r="E30" s="10">
        <f t="shared" si="2"/>
        <v>1292821.0223918408</v>
      </c>
      <c r="F30" s="3"/>
      <c r="G30" s="28"/>
      <c r="H30" s="10"/>
      <c r="I30" s="10">
        <f t="shared" si="5"/>
        <v>12579</v>
      </c>
      <c r="J30" s="10">
        <f t="shared" si="3"/>
        <v>755462197489.16382</v>
      </c>
      <c r="K30" s="11">
        <f t="shared" si="4"/>
        <v>2.200000000000002E-2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58764591.926901728</v>
      </c>
      <c r="D31" s="11">
        <v>2.3699999999999999E-2</v>
      </c>
      <c r="E31" s="10">
        <f t="shared" si="2"/>
        <v>1360477.5116416663</v>
      </c>
      <c r="F31" s="3"/>
      <c r="G31" s="28"/>
      <c r="H31" s="10"/>
      <c r="I31" s="10">
        <f t="shared" si="5"/>
        <v>12579</v>
      </c>
      <c r="J31" s="10">
        <f t="shared" si="3"/>
        <v>739199801848.49683</v>
      </c>
      <c r="K31" s="11">
        <f t="shared" si="4"/>
        <v>2.3700000000000054E-2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57404114.415260062</v>
      </c>
      <c r="D32" s="11">
        <v>2.5399999999999999E-2</v>
      </c>
      <c r="E32" s="10">
        <f t="shared" si="2"/>
        <v>1421947.0510509163</v>
      </c>
      <c r="F32" s="3"/>
      <c r="G32" s="28"/>
      <c r="H32" s="10"/>
      <c r="I32" s="10">
        <f t="shared" si="5"/>
        <v>12579</v>
      </c>
      <c r="J32" s="10">
        <f t="shared" si="3"/>
        <v>722086355229.55627</v>
      </c>
      <c r="K32" s="11">
        <f t="shared" si="4"/>
        <v>2.5400000000000089E-2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55982167.364209145</v>
      </c>
      <c r="D33" s="11">
        <v>2.69E-2</v>
      </c>
      <c r="E33" s="10">
        <f t="shared" si="2"/>
        <v>1466472.1999193877</v>
      </c>
      <c r="F33" s="3"/>
      <c r="G33" s="28"/>
      <c r="H33" s="10"/>
      <c r="I33" s="10">
        <f t="shared" si="5"/>
        <v>12579</v>
      </c>
      <c r="J33" s="10">
        <f t="shared" si="3"/>
        <v>704199683274.38684</v>
      </c>
      <c r="K33" s="11">
        <f t="shared" si="4"/>
        <v>2.6899999999999924E-2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54515695.164289758</v>
      </c>
      <c r="D34" s="11">
        <v>2.81E-2</v>
      </c>
      <c r="E34" s="10">
        <f t="shared" si="2"/>
        <v>1490021.4318806976</v>
      </c>
      <c r="F34" s="3"/>
      <c r="G34" s="28"/>
      <c r="H34" s="10"/>
      <c r="I34" s="10">
        <f t="shared" si="5"/>
        <v>12579</v>
      </c>
      <c r="J34" s="10">
        <f t="shared" ref="J34:J65" si="6">IF(I34="","",I34*C34)</f>
        <v>685752929471.60083</v>
      </c>
      <c r="K34" s="11">
        <f t="shared" ref="K34:K65" si="7">IFERROR(J34/J35-1,"")</f>
        <v>2.8100000000000014E-2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53025673.73240906</v>
      </c>
      <c r="D35" s="11">
        <v>2.8899999999999999E-2</v>
      </c>
      <c r="E35" s="10">
        <f t="shared" si="2"/>
        <v>1489398.3583114147</v>
      </c>
      <c r="F35" s="3"/>
      <c r="G35" s="28"/>
      <c r="H35" s="10"/>
      <c r="I35" s="10">
        <f t="shared" ref="I35:I66" si="8">IF(H35&lt;&gt;"",H35,I34/(1+IF(G34="",0,G34)/100))</f>
        <v>12579</v>
      </c>
      <c r="J35" s="10">
        <f t="shared" si="6"/>
        <v>667009949879.97351</v>
      </c>
      <c r="K35" s="11">
        <f t="shared" si="7"/>
        <v>2.8899999999999704E-2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51536275.374097645</v>
      </c>
      <c r="D36" s="11">
        <v>2.92E-2</v>
      </c>
      <c r="E36" s="10">
        <f t="shared" si="2"/>
        <v>1462164.050644815</v>
      </c>
      <c r="F36" s="3"/>
      <c r="G36" s="28"/>
      <c r="H36" s="10"/>
      <c r="I36" s="10">
        <f t="shared" si="8"/>
        <v>12579</v>
      </c>
      <c r="J36" s="10">
        <f t="shared" si="6"/>
        <v>648274807930.77429</v>
      </c>
      <c r="K36" s="11">
        <f t="shared" si="7"/>
        <v>2.9199999999999893E-2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50074111.32345283</v>
      </c>
      <c r="D37" s="11">
        <v>2.9000000000000001E-2</v>
      </c>
      <c r="E37" s="10">
        <f t="shared" si="2"/>
        <v>1411223.7399223819</v>
      </c>
      <c r="F37" s="3"/>
      <c r="G37" s="28"/>
      <c r="H37" s="10"/>
      <c r="I37" s="10">
        <f t="shared" si="8"/>
        <v>12579</v>
      </c>
      <c r="J37" s="10">
        <f t="shared" si="6"/>
        <v>629882246337.71313</v>
      </c>
      <c r="K37" s="11">
        <f t="shared" si="7"/>
        <v>2.8999999999999915E-2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48662887.583530448</v>
      </c>
      <c r="D38" s="11">
        <v>2.8400000000000002E-2</v>
      </c>
      <c r="E38" s="10">
        <f t="shared" si="2"/>
        <v>1343860.3727851659</v>
      </c>
      <c r="F38" s="3"/>
      <c r="G38" s="28"/>
      <c r="H38" s="10"/>
      <c r="I38" s="10">
        <f t="shared" si="8"/>
        <v>12579</v>
      </c>
      <c r="J38" s="10">
        <f t="shared" si="6"/>
        <v>612130462913.22949</v>
      </c>
      <c r="K38" s="11">
        <f t="shared" si="7"/>
        <v>2.8399999999999759E-2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47319027.210745282</v>
      </c>
      <c r="D39" s="11">
        <v>2.7799999999999998E-2</v>
      </c>
      <c r="E39" s="10">
        <f t="shared" si="2"/>
        <v>1279888.0681637675</v>
      </c>
      <c r="F39" s="3"/>
      <c r="G39" s="28"/>
      <c r="H39" s="10"/>
      <c r="I39" s="10">
        <f t="shared" si="8"/>
        <v>12579</v>
      </c>
      <c r="J39" s="10">
        <f t="shared" si="6"/>
        <v>595226043283.96497</v>
      </c>
      <c r="K39" s="11">
        <f t="shared" si="7"/>
        <v>2.7800000000000269E-2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46039139.142581515</v>
      </c>
      <c r="D40" s="11">
        <v>2.7400000000000001E-2</v>
      </c>
      <c r="E40" s="10">
        <f t="shared" si="2"/>
        <v>1227829.8739602268</v>
      </c>
      <c r="F40" s="3"/>
      <c r="G40" s="28"/>
      <c r="H40" s="10"/>
      <c r="I40" s="10">
        <f t="shared" si="8"/>
        <v>12579</v>
      </c>
      <c r="J40" s="10">
        <f t="shared" si="6"/>
        <v>579126331274.53284</v>
      </c>
      <c r="K40" s="11">
        <f t="shared" si="7"/>
        <v>2.7400000000000091E-2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44811309.268621288</v>
      </c>
      <c r="D41" s="11">
        <v>2.7300000000000001E-2</v>
      </c>
      <c r="E41" s="10">
        <f t="shared" si="2"/>
        <v>1190838.8426295817</v>
      </c>
      <c r="F41" s="3"/>
      <c r="G41" s="28"/>
      <c r="H41" s="10"/>
      <c r="I41" s="10">
        <f t="shared" si="8"/>
        <v>12579</v>
      </c>
      <c r="J41" s="10">
        <f t="shared" si="6"/>
        <v>563681459289.98718</v>
      </c>
      <c r="K41" s="11">
        <f t="shared" si="7"/>
        <v>2.7300000000000102E-2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43620470.425991707</v>
      </c>
      <c r="D42" s="11">
        <v>2.76E-2</v>
      </c>
      <c r="E42" s="10">
        <f t="shared" si="2"/>
        <v>1171589.1239367202</v>
      </c>
      <c r="F42" s="3"/>
      <c r="G42" s="28"/>
      <c r="H42" s="10"/>
      <c r="I42" s="10">
        <f t="shared" si="8"/>
        <v>12579</v>
      </c>
      <c r="J42" s="10">
        <f t="shared" si="6"/>
        <v>548701897488.54968</v>
      </c>
      <c r="K42" s="11">
        <f t="shared" si="7"/>
        <v>2.7600000000000069E-2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42448881.302054986</v>
      </c>
      <c r="D43" s="11">
        <v>2.8299999999999999E-2</v>
      </c>
      <c r="E43" s="10">
        <f t="shared" si="2"/>
        <v>1168242.0897093788</v>
      </c>
      <c r="F43" s="3"/>
      <c r="G43" s="28"/>
      <c r="H43" s="10"/>
      <c r="I43" s="10">
        <f t="shared" si="8"/>
        <v>12579</v>
      </c>
      <c r="J43" s="10">
        <f t="shared" si="6"/>
        <v>533964477898.54968</v>
      </c>
      <c r="K43" s="11">
        <f t="shared" si="7"/>
        <v>2.8299999999999992E-2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41280639.212345608</v>
      </c>
      <c r="D44" s="11">
        <v>2.92E-2</v>
      </c>
      <c r="E44" s="10">
        <f t="shared" si="2"/>
        <v>1171195.7491260096</v>
      </c>
      <c r="F44" s="3"/>
      <c r="G44" s="28"/>
      <c r="H44" s="10"/>
      <c r="I44" s="10">
        <f t="shared" si="8"/>
        <v>12579</v>
      </c>
      <c r="J44" s="10">
        <f t="shared" si="6"/>
        <v>519269160652.0954</v>
      </c>
      <c r="K44" s="11">
        <f t="shared" si="7"/>
        <v>2.9199999999999893E-2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40109443.463219598</v>
      </c>
      <c r="D45" s="11">
        <v>3.0300000000000001E-2</v>
      </c>
      <c r="E45" s="10">
        <f t="shared" si="2"/>
        <v>1179575.014011018</v>
      </c>
      <c r="F45" s="3"/>
      <c r="G45" s="28"/>
      <c r="H45" s="10"/>
      <c r="I45" s="10">
        <f t="shared" si="8"/>
        <v>12579</v>
      </c>
      <c r="J45" s="10">
        <f t="shared" si="6"/>
        <v>504536689323.83929</v>
      </c>
      <c r="K45" s="11">
        <f t="shared" si="7"/>
        <v>3.0299999999999994E-2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38929868.44920858</v>
      </c>
      <c r="D46" s="11">
        <v>3.1300000000000001E-2</v>
      </c>
      <c r="E46" s="10">
        <f t="shared" si="2"/>
        <v>1181523.2061090171</v>
      </c>
      <c r="F46" s="3"/>
      <c r="G46" s="28"/>
      <c r="H46" s="10"/>
      <c r="I46" s="10">
        <f t="shared" si="8"/>
        <v>12579</v>
      </c>
      <c r="J46" s="10">
        <f t="shared" si="6"/>
        <v>489698815222.59473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37748345.243099563</v>
      </c>
      <c r="D47" s="11">
        <v>3.2099999999999997E-2</v>
      </c>
      <c r="E47" s="10">
        <f t="shared" si="2"/>
        <v>1174035.3476441205</v>
      </c>
      <c r="F47" s="3"/>
      <c r="G47" s="28"/>
      <c r="H47" s="10"/>
      <c r="I47" s="10">
        <f t="shared" si="8"/>
        <v>12579</v>
      </c>
      <c r="J47" s="10">
        <f t="shared" si="6"/>
        <v>474836434812.9494</v>
      </c>
      <c r="K47" s="11">
        <f t="shared" si="7"/>
        <v>3.2100000000000017E-2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36574309.895455442</v>
      </c>
      <c r="D48" s="11">
        <v>3.2399999999999998E-2</v>
      </c>
      <c r="E48" s="10">
        <f t="shared" si="2"/>
        <v>1147818.3268236667</v>
      </c>
      <c r="F48" s="3"/>
      <c r="G48" s="28"/>
      <c r="H48" s="10"/>
      <c r="I48" s="10">
        <f t="shared" si="8"/>
        <v>12579</v>
      </c>
      <c r="J48" s="10">
        <f t="shared" si="6"/>
        <v>460068244174.93402</v>
      </c>
      <c r="K48" s="11">
        <f t="shared" si="7"/>
        <v>3.2399999999999984E-2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35426491.568631776</v>
      </c>
      <c r="D49" s="11">
        <v>3.2399999999999998E-2</v>
      </c>
      <c r="E49" s="10">
        <f t="shared" si="2"/>
        <v>1111796.1321422607</v>
      </c>
      <c r="F49" s="3"/>
      <c r="G49" s="28"/>
      <c r="H49" s="10"/>
      <c r="I49" s="10">
        <f t="shared" si="8"/>
        <v>12579</v>
      </c>
      <c r="J49" s="10">
        <f t="shared" si="6"/>
        <v>445629837441.81909</v>
      </c>
      <c r="K49" s="11">
        <f t="shared" si="7"/>
        <v>3.2399999999999984E-2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34314695.436489515</v>
      </c>
      <c r="D50" s="11">
        <v>3.2099999999999997E-2</v>
      </c>
      <c r="E50" s="10">
        <f t="shared" si="2"/>
        <v>1067243.2162690759</v>
      </c>
      <c r="F50" s="3"/>
      <c r="G50" s="28"/>
      <c r="H50" s="10"/>
      <c r="I50" s="10">
        <f t="shared" si="8"/>
        <v>12579</v>
      </c>
      <c r="J50" s="10">
        <f t="shared" si="6"/>
        <v>431644553895.60162</v>
      </c>
      <c r="K50" s="11">
        <f t="shared" si="7"/>
        <v>3.2100000000000017E-2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33247452.220220439</v>
      </c>
      <c r="D51" s="11">
        <v>3.1600000000000003E-2</v>
      </c>
      <c r="E51" s="10">
        <f t="shared" si="2"/>
        <v>1018436.8846054375</v>
      </c>
      <c r="F51" s="3"/>
      <c r="G51" s="28"/>
      <c r="H51" s="10"/>
      <c r="I51" s="10">
        <f t="shared" si="8"/>
        <v>12579</v>
      </c>
      <c r="J51" s="10">
        <f t="shared" si="6"/>
        <v>418219701478.15289</v>
      </c>
      <c r="K51" s="11">
        <f t="shared" si="7"/>
        <v>3.1600000000000072E-2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32229015.335615002</v>
      </c>
      <c r="D52" s="11">
        <v>3.1E-2</v>
      </c>
      <c r="E52" s="10">
        <f t="shared" si="2"/>
        <v>969058.65703594685</v>
      </c>
      <c r="F52" s="3"/>
      <c r="G52" s="28"/>
      <c r="H52" s="10"/>
      <c r="I52" s="10">
        <f t="shared" si="8"/>
        <v>12579</v>
      </c>
      <c r="J52" s="10">
        <f t="shared" si="6"/>
        <v>405408783906.70111</v>
      </c>
      <c r="K52" s="11">
        <f t="shared" si="7"/>
        <v>3.0999999999999917E-2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31259956.678579055</v>
      </c>
      <c r="D53" s="11">
        <v>3.04E-2</v>
      </c>
      <c r="E53" s="10">
        <f t="shared" si="2"/>
        <v>922265.80262888595</v>
      </c>
      <c r="F53" s="3"/>
      <c r="G53" s="28"/>
      <c r="H53" s="10"/>
      <c r="I53" s="10">
        <f t="shared" si="8"/>
        <v>12579</v>
      </c>
      <c r="J53" s="10">
        <f t="shared" si="6"/>
        <v>393218995059.84595</v>
      </c>
      <c r="K53" s="11">
        <f t="shared" si="7"/>
        <v>3.0400000000000205E-2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30337690.875950169</v>
      </c>
      <c r="D54" s="11">
        <v>2.9700000000000001E-2</v>
      </c>
      <c r="E54" s="10">
        <f t="shared" si="2"/>
        <v>875040.70993077755</v>
      </c>
      <c r="F54" s="3"/>
      <c r="G54" s="28"/>
      <c r="H54" s="10"/>
      <c r="I54" s="10">
        <f t="shared" si="8"/>
        <v>12579</v>
      </c>
      <c r="J54" s="10">
        <f t="shared" si="6"/>
        <v>381617813528.57715</v>
      </c>
      <c r="K54" s="11">
        <f t="shared" si="7"/>
        <v>2.970000000000006E-2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29462650.166019391</v>
      </c>
      <c r="D55" s="11">
        <v>2.9000000000000001E-2</v>
      </c>
      <c r="E55" s="10">
        <f t="shared" si="2"/>
        <v>830337.07950880378</v>
      </c>
      <c r="F55" s="3"/>
      <c r="G55" s="28"/>
      <c r="H55" s="10"/>
      <c r="I55" s="10">
        <f t="shared" si="8"/>
        <v>12579</v>
      </c>
      <c r="J55" s="10">
        <f t="shared" si="6"/>
        <v>370610676438.35791</v>
      </c>
      <c r="K55" s="11">
        <f t="shared" si="7"/>
        <v>2.8999999999999915E-2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28632313.086510587</v>
      </c>
      <c r="D56" s="11">
        <v>2.8400000000000002E-2</v>
      </c>
      <c r="E56" s="10">
        <f t="shared" si="2"/>
        <v>790701.7616267018</v>
      </c>
      <c r="F56" s="3"/>
      <c r="G56" s="28"/>
      <c r="H56" s="10"/>
      <c r="I56" s="10">
        <f t="shared" si="8"/>
        <v>12579</v>
      </c>
      <c r="J56" s="10">
        <f t="shared" si="6"/>
        <v>360165866315.21667</v>
      </c>
      <c r="K56" s="11">
        <f t="shared" si="7"/>
        <v>2.8399999999999981E-2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27841611.324883886</v>
      </c>
      <c r="D57" s="11">
        <v>2.7699999999999999E-2</v>
      </c>
      <c r="E57" s="10">
        <f t="shared" si="2"/>
        <v>750425.83798704296</v>
      </c>
      <c r="F57" s="3"/>
      <c r="G57" s="28"/>
      <c r="H57" s="10"/>
      <c r="I57" s="10">
        <f t="shared" si="8"/>
        <v>12579</v>
      </c>
      <c r="J57" s="10">
        <f t="shared" si="6"/>
        <v>350219628855.71442</v>
      </c>
      <c r="K57" s="11">
        <f t="shared" si="7"/>
        <v>2.7700000000000058E-2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27091185.486896843</v>
      </c>
      <c r="D58" s="11">
        <v>2.7099999999999999E-2</v>
      </c>
      <c r="E58" s="10">
        <f t="shared" si="2"/>
        <v>714800.04546285793</v>
      </c>
      <c r="F58" s="3"/>
      <c r="G58" s="28"/>
      <c r="H58" s="10"/>
      <c r="I58" s="10">
        <f t="shared" si="8"/>
        <v>12579</v>
      </c>
      <c r="J58" s="10">
        <f t="shared" si="6"/>
        <v>340780022239.67542</v>
      </c>
      <c r="K58" s="11">
        <f t="shared" si="7"/>
        <v>2.7099999999999902E-2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26376385.441433985</v>
      </c>
      <c r="D59" s="11">
        <v>2.64E-2</v>
      </c>
      <c r="E59" s="10">
        <f t="shared" si="2"/>
        <v>678426.12592932209</v>
      </c>
      <c r="F59" s="3"/>
      <c r="G59" s="28"/>
      <c r="H59" s="10"/>
      <c r="I59" s="10">
        <f t="shared" si="8"/>
        <v>12579</v>
      </c>
      <c r="J59" s="10">
        <f t="shared" si="6"/>
        <v>331788552467.7981</v>
      </c>
      <c r="K59" s="11">
        <f t="shared" si="7"/>
        <v>2.6399999999999979E-2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25697959.315504663</v>
      </c>
      <c r="D60" s="11">
        <v>2.5700000000000001E-2</v>
      </c>
      <c r="E60" s="10">
        <f t="shared" si="2"/>
        <v>643889.59189672396</v>
      </c>
      <c r="F60" s="3"/>
      <c r="G60" s="28"/>
      <c r="H60" s="10"/>
      <c r="I60" s="10">
        <f t="shared" si="8"/>
        <v>12579</v>
      </c>
      <c r="J60" s="10">
        <f t="shared" si="6"/>
        <v>323254630229.73315</v>
      </c>
      <c r="K60" s="11">
        <f t="shared" si="7"/>
        <v>2.5699999999999834E-2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25054069.723607939</v>
      </c>
      <c r="D61" s="11">
        <v>2.5000000000000001E-2</v>
      </c>
      <c r="E61" s="10">
        <f t="shared" si="2"/>
        <v>611074.87130750716</v>
      </c>
      <c r="F61" s="3"/>
      <c r="G61" s="28"/>
      <c r="H61" s="10"/>
      <c r="I61" s="10">
        <f t="shared" si="8"/>
        <v>12579</v>
      </c>
      <c r="J61" s="10">
        <f t="shared" si="6"/>
        <v>315155143053.26428</v>
      </c>
      <c r="K61" s="11">
        <f t="shared" si="7"/>
        <v>2.4999999999999911E-2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24442994.852300432</v>
      </c>
      <c r="D62" s="11">
        <v>2.4299999999999999E-2</v>
      </c>
      <c r="E62" s="10">
        <f t="shared" si="2"/>
        <v>579873.84058469161</v>
      </c>
      <c r="F62" s="3"/>
      <c r="G62" s="28"/>
      <c r="H62" s="10"/>
      <c r="I62" s="10">
        <f t="shared" si="8"/>
        <v>12579</v>
      </c>
      <c r="J62" s="10">
        <f t="shared" si="6"/>
        <v>307468432247.08716</v>
      </c>
      <c r="K62" s="11">
        <f t="shared" si="7"/>
        <v>2.4299999999999988E-2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23863121.01171574</v>
      </c>
      <c r="D63" s="11">
        <v>2.3699999999999999E-2</v>
      </c>
      <c r="E63" s="10">
        <f t="shared" si="2"/>
        <v>552462.60425677896</v>
      </c>
      <c r="F63" s="3"/>
      <c r="G63" s="28"/>
      <c r="H63" s="10"/>
      <c r="I63" s="10">
        <f t="shared" si="8"/>
        <v>12579</v>
      </c>
      <c r="J63" s="10">
        <f t="shared" si="6"/>
        <v>300174199206.37231</v>
      </c>
      <c r="K63" s="11">
        <f t="shared" si="7"/>
        <v>2.3700000000000054E-2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23310658.407458961</v>
      </c>
      <c r="D64" s="11">
        <v>2.3300000000000001E-2</v>
      </c>
      <c r="E64" s="10">
        <f t="shared" si="2"/>
        <v>530771.36801895499</v>
      </c>
      <c r="F64" s="3"/>
      <c r="G64" s="28"/>
      <c r="H64" s="10"/>
      <c r="I64" s="10">
        <f t="shared" si="8"/>
        <v>12579</v>
      </c>
      <c r="J64" s="10">
        <f t="shared" si="6"/>
        <v>293224772107.42627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22779887.039440006</v>
      </c>
      <c r="D65" s="11">
        <v>2.3199999999999998E-2</v>
      </c>
      <c r="E65" s="10">
        <f t="shared" si="2"/>
        <v>516510.33944000304</v>
      </c>
      <c r="F65" s="3"/>
      <c r="G65" s="28"/>
      <c r="H65" s="10"/>
      <c r="I65" s="10">
        <f t="shared" si="8"/>
        <v>12579</v>
      </c>
      <c r="J65" s="10">
        <f t="shared" si="6"/>
        <v>286548199069.11584</v>
      </c>
      <c r="K65" s="11">
        <f t="shared" si="7"/>
        <v>2.3200000000000109E-2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22263376.700000003</v>
      </c>
      <c r="D66" s="11">
        <v>2.35E-2</v>
      </c>
      <c r="E66" s="10">
        <f t="shared" si="2"/>
        <v>511176.70000000298</v>
      </c>
      <c r="F66" s="24">
        <f>SUM(F2)</f>
        <v>79558877</v>
      </c>
      <c r="G66" s="28"/>
      <c r="H66" s="10"/>
      <c r="I66" s="10">
        <f t="shared" si="8"/>
        <v>12579</v>
      </c>
      <c r="J66" s="10">
        <f t="shared" ref="J66:J67" si="9">IF(I66="","",I66*C66)</f>
        <v>280051015509.30005</v>
      </c>
      <c r="K66" s="11">
        <f t="shared" ref="K66" si="10">IFERROR(J66/J67-1,"")</f>
        <v>2.3500000000000076E-2</v>
      </c>
    </row>
    <row r="67" spans="1:11" ht="22.5" customHeight="1">
      <c r="A67" s="3">
        <f t="shared" si="0"/>
        <v>1950</v>
      </c>
      <c r="B67" s="3">
        <v>1700</v>
      </c>
      <c r="C67" s="10">
        <v>21752200</v>
      </c>
      <c r="D67" s="11">
        <v>2.4199999999999999E-2</v>
      </c>
      <c r="E67" s="3" t="s">
        <v>72</v>
      </c>
      <c r="F67" s="10">
        <f>SUM(C2)</f>
        <v>79558708.221049875</v>
      </c>
      <c r="G67" s="28"/>
      <c r="H67" s="10"/>
      <c r="I67" s="10">
        <f t="shared" ref="I67" si="11">IF(H67&lt;&gt;"",H67,I66/(1+IF(G66="",0,G66)/100))</f>
        <v>12579</v>
      </c>
      <c r="J67" s="10">
        <f t="shared" si="9"/>
        <v>273620923800</v>
      </c>
      <c r="K67" s="11"/>
    </row>
  </sheetData>
  <dataValidations count="1">
    <dataValidation type="custom" allowBlank="1" showDropDown="1" sqref="D2:D67" xr:uid="{00000000-0002-0000-8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2162590.4836562523</v>
      </c>
      <c r="D2" s="11">
        <v>-1.4200000000000001E-2</v>
      </c>
      <c r="E2" s="10">
        <f t="shared" ref="E2:E66" si="2">SUM(C2-C3)</f>
        <v>-31151.130927083548</v>
      </c>
      <c r="F2" s="15">
        <v>2162677</v>
      </c>
      <c r="G2" s="28"/>
      <c r="H2" s="10"/>
      <c r="I2" s="10">
        <f>IF(H2&lt;&gt;"",H2,13214)</f>
        <v>13214</v>
      </c>
      <c r="J2" s="10">
        <f t="shared" ref="J2:J33" si="3">IF(I2="","",I2*C2)</f>
        <v>28576470651.033718</v>
      </c>
      <c r="K2" s="11">
        <f t="shared" ref="K2:K33" si="4">IFERROR(J2/J3-1,"")</f>
        <v>-1.419999999999999E-2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2193741.6145833358</v>
      </c>
      <c r="D3" s="11">
        <v>-1.3100000000000001E-2</v>
      </c>
      <c r="E3" s="10">
        <f t="shared" si="2"/>
        <v>-29119.480343542062</v>
      </c>
      <c r="F3" s="3"/>
      <c r="G3" s="28"/>
      <c r="H3" s="10"/>
      <c r="I3" s="10">
        <f t="shared" ref="I3:I34" si="5">IF(H3&lt;&gt;"",H3,I2/(1+IF(G2="",0,G2)/100))</f>
        <v>13214</v>
      </c>
      <c r="J3" s="10">
        <f t="shared" si="3"/>
        <v>28988101695.104198</v>
      </c>
      <c r="K3" s="11">
        <f t="shared" si="4"/>
        <v>-1.3100000000000112E-2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2222861.0949268779</v>
      </c>
      <c r="D4" s="11">
        <v>-1.37E-2</v>
      </c>
      <c r="E4" s="10">
        <f t="shared" si="2"/>
        <v>-30876.200953562278</v>
      </c>
      <c r="F4" s="3"/>
      <c r="G4" s="28"/>
      <c r="H4" s="10"/>
      <c r="I4" s="10">
        <f t="shared" si="5"/>
        <v>13214</v>
      </c>
      <c r="J4" s="10">
        <f t="shared" si="3"/>
        <v>29372886508.363766</v>
      </c>
      <c r="K4" s="11">
        <f t="shared" si="4"/>
        <v>-1.3700000000000045E-2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2253737.2958804402</v>
      </c>
      <c r="D5" s="11">
        <v>-1.4800000000000001E-2</v>
      </c>
      <c r="E5" s="10">
        <f t="shared" si="2"/>
        <v>-33856.386499219108</v>
      </c>
      <c r="F5" s="3"/>
      <c r="G5" s="28"/>
      <c r="H5" s="10"/>
      <c r="I5" s="10">
        <f t="shared" si="5"/>
        <v>13214</v>
      </c>
      <c r="J5" s="10">
        <f t="shared" si="3"/>
        <v>29780884627.764137</v>
      </c>
      <c r="K5" s="11">
        <f t="shared" si="4"/>
        <v>-1.4800000000000035E-2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2287593.6823796593</v>
      </c>
      <c r="D6" s="11">
        <v>-1.4800000000000001E-2</v>
      </c>
      <c r="E6" s="10">
        <f t="shared" si="2"/>
        <v>-34364.988326450344</v>
      </c>
      <c r="F6" s="3"/>
      <c r="G6" s="28"/>
      <c r="H6" s="10"/>
      <c r="I6" s="10">
        <f t="shared" si="5"/>
        <v>13214</v>
      </c>
      <c r="J6" s="10">
        <f t="shared" si="3"/>
        <v>30228262918.964817</v>
      </c>
      <c r="K6" s="11">
        <f t="shared" si="4"/>
        <v>-1.4800000000000035E-2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2321958.6707061096</v>
      </c>
      <c r="D7" s="11">
        <v>-1.18E-2</v>
      </c>
      <c r="E7" s="10">
        <f t="shared" si="2"/>
        <v>-27726.282447209116</v>
      </c>
      <c r="F7" s="3"/>
      <c r="G7" s="28"/>
      <c r="H7" s="10"/>
      <c r="I7" s="10">
        <f t="shared" si="5"/>
        <v>13214</v>
      </c>
      <c r="J7" s="10">
        <f t="shared" si="3"/>
        <v>30682361874.710533</v>
      </c>
      <c r="K7" s="11">
        <f t="shared" si="4"/>
        <v>-1.1799999999999922E-2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2349684.9531533187</v>
      </c>
      <c r="D8" s="11">
        <v>-4.4999999999999997E-3</v>
      </c>
      <c r="E8" s="10">
        <f t="shared" si="2"/>
        <v>-10621.378492405638</v>
      </c>
      <c r="F8" s="3"/>
      <c r="G8" s="28"/>
      <c r="H8" s="10"/>
      <c r="I8" s="10">
        <f t="shared" si="5"/>
        <v>13214</v>
      </c>
      <c r="J8" s="10">
        <f t="shared" si="3"/>
        <v>31048736970.967953</v>
      </c>
      <c r="K8" s="11">
        <f t="shared" si="4"/>
        <v>-4.4999999999999485E-3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2360306.3316457244</v>
      </c>
      <c r="D9" s="11">
        <v>6.4999999999999997E-3</v>
      </c>
      <c r="E9" s="10">
        <f t="shared" si="2"/>
        <v>15242.912226226646</v>
      </c>
      <c r="F9" s="3"/>
      <c r="G9" s="28"/>
      <c r="H9" s="10"/>
      <c r="I9" s="10">
        <f t="shared" si="5"/>
        <v>13214</v>
      </c>
      <c r="J9" s="10">
        <f t="shared" si="3"/>
        <v>31189087866.3666</v>
      </c>
      <c r="K9" s="11">
        <f t="shared" si="4"/>
        <v>6.4999999999999503E-3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2345063.4194194977</v>
      </c>
      <c r="D10" s="11">
        <v>1.89E-2</v>
      </c>
      <c r="E10" s="10">
        <f t="shared" si="2"/>
        <v>43499.556999733206</v>
      </c>
      <c r="F10" s="3"/>
      <c r="G10" s="28"/>
      <c r="H10" s="10"/>
      <c r="I10" s="10">
        <f t="shared" si="5"/>
        <v>13214</v>
      </c>
      <c r="J10" s="10">
        <f t="shared" si="3"/>
        <v>30987668024.209244</v>
      </c>
      <c r="K10" s="11">
        <f t="shared" si="4"/>
        <v>1.8899999999999917E-2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2301563.8624197645</v>
      </c>
      <c r="D11" s="11">
        <v>3.04E-2</v>
      </c>
      <c r="E11" s="10">
        <f t="shared" si="2"/>
        <v>67903.28165524127</v>
      </c>
      <c r="F11" s="3"/>
      <c r="G11" s="28"/>
      <c r="H11" s="10"/>
      <c r="I11" s="10">
        <f t="shared" si="5"/>
        <v>13214</v>
      </c>
      <c r="J11" s="10">
        <f t="shared" si="3"/>
        <v>30412864878.014767</v>
      </c>
      <c r="K11" s="11">
        <f t="shared" si="4"/>
        <v>3.0399999999999983E-2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2233660.5807645232</v>
      </c>
      <c r="D12" s="11">
        <v>3.9399999999999998E-2</v>
      </c>
      <c r="E12" s="10">
        <f t="shared" si="2"/>
        <v>84670.220206005964</v>
      </c>
      <c r="F12" s="3"/>
      <c r="G12" s="28"/>
      <c r="H12" s="10"/>
      <c r="I12" s="10">
        <f t="shared" si="5"/>
        <v>13214</v>
      </c>
      <c r="J12" s="10">
        <f t="shared" si="3"/>
        <v>29515590914.222408</v>
      </c>
      <c r="K12" s="11">
        <f t="shared" si="4"/>
        <v>3.9400000000000102E-2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2148990.3605585173</v>
      </c>
      <c r="D13" s="11">
        <v>4.6199999999999998E-2</v>
      </c>
      <c r="E13" s="10">
        <f t="shared" si="2"/>
        <v>94899.019936726661</v>
      </c>
      <c r="F13" s="3"/>
      <c r="G13" s="28"/>
      <c r="H13" s="10"/>
      <c r="I13" s="10">
        <f t="shared" si="5"/>
        <v>13214</v>
      </c>
      <c r="J13" s="10">
        <f t="shared" si="3"/>
        <v>28396758624.420246</v>
      </c>
      <c r="K13" s="11">
        <f t="shared" si="4"/>
        <v>4.6200000000000019E-2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2054091.3406217906</v>
      </c>
      <c r="D14" s="11">
        <v>4.9099999999999998E-2</v>
      </c>
      <c r="E14" s="10">
        <f t="shared" si="2"/>
        <v>96135.625607215567</v>
      </c>
      <c r="F14" s="3"/>
      <c r="G14" s="28"/>
      <c r="H14" s="10"/>
      <c r="I14" s="10">
        <f t="shared" si="5"/>
        <v>13214</v>
      </c>
      <c r="J14" s="10">
        <f t="shared" si="3"/>
        <v>27142762974.976341</v>
      </c>
      <c r="K14" s="11">
        <f t="shared" si="4"/>
        <v>4.9099999999999921E-2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1957955.715014575</v>
      </c>
      <c r="D15" s="11">
        <v>4.8599999999999997E-2</v>
      </c>
      <c r="E15" s="10">
        <f t="shared" si="2"/>
        <v>90746.373974545393</v>
      </c>
      <c r="F15" s="3"/>
      <c r="G15" s="28"/>
      <c r="H15" s="10"/>
      <c r="I15" s="10">
        <f t="shared" si="5"/>
        <v>13214</v>
      </c>
      <c r="J15" s="10">
        <f t="shared" si="3"/>
        <v>25872426818.202595</v>
      </c>
      <c r="K15" s="11">
        <f t="shared" si="4"/>
        <v>4.8599999999999977E-2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1867209.3410400297</v>
      </c>
      <c r="D16" s="11">
        <v>4.4699999999999997E-2</v>
      </c>
      <c r="E16" s="10">
        <f t="shared" si="2"/>
        <v>79893.038713974645</v>
      </c>
      <c r="F16" s="3"/>
      <c r="G16" s="28"/>
      <c r="H16" s="10"/>
      <c r="I16" s="10">
        <f t="shared" si="5"/>
        <v>13214</v>
      </c>
      <c r="J16" s="10">
        <f t="shared" si="3"/>
        <v>24673304232.502953</v>
      </c>
      <c r="K16" s="11">
        <f t="shared" si="4"/>
        <v>4.4700000000000184E-2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1787316.302326055</v>
      </c>
      <c r="D17" s="11">
        <v>3.9199999999999999E-2</v>
      </c>
      <c r="E17" s="10">
        <f t="shared" si="2"/>
        <v>67419.937501136679</v>
      </c>
      <c r="F17" s="3"/>
      <c r="G17" s="28"/>
      <c r="H17" s="10"/>
      <c r="I17" s="10">
        <f t="shared" si="5"/>
        <v>13214</v>
      </c>
      <c r="J17" s="10">
        <f t="shared" si="3"/>
        <v>23617597618.936489</v>
      </c>
      <c r="K17" s="11">
        <f t="shared" si="4"/>
        <v>3.9199999999999902E-2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1719896.3648249183</v>
      </c>
      <c r="D18" s="11">
        <v>3.5099999999999999E-2</v>
      </c>
      <c r="E18" s="10">
        <f t="shared" si="2"/>
        <v>58321.285291618668</v>
      </c>
      <c r="F18" s="3"/>
      <c r="G18" s="28"/>
      <c r="H18" s="10"/>
      <c r="I18" s="10">
        <f t="shared" si="5"/>
        <v>13214</v>
      </c>
      <c r="J18" s="10">
        <f t="shared" si="3"/>
        <v>22726710564.796471</v>
      </c>
      <c r="K18" s="11">
        <f t="shared" si="4"/>
        <v>3.5099999999999909E-2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1661575.0795332997</v>
      </c>
      <c r="D19" s="11">
        <v>3.5400000000000001E-2</v>
      </c>
      <c r="E19" s="10">
        <f t="shared" si="2"/>
        <v>56808.728815413313</v>
      </c>
      <c r="F19" s="3"/>
      <c r="G19" s="28"/>
      <c r="H19" s="10"/>
      <c r="I19" s="10">
        <f t="shared" si="5"/>
        <v>13214</v>
      </c>
      <c r="J19" s="10">
        <f t="shared" si="3"/>
        <v>21956053100.953022</v>
      </c>
      <c r="K19" s="11">
        <f t="shared" si="4"/>
        <v>3.5400000000000098E-2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1604766.3507178864</v>
      </c>
      <c r="D20" s="11">
        <v>3.8800000000000001E-2</v>
      </c>
      <c r="E20" s="10">
        <f t="shared" si="2"/>
        <v>59939.289957502857</v>
      </c>
      <c r="F20" s="3"/>
      <c r="G20" s="28"/>
      <c r="H20" s="10"/>
      <c r="I20" s="10">
        <f t="shared" si="5"/>
        <v>13214</v>
      </c>
      <c r="J20" s="10">
        <f t="shared" si="3"/>
        <v>21205382558.38615</v>
      </c>
      <c r="K20" s="11">
        <f t="shared" si="4"/>
        <v>3.8799999999999946E-2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1544827.0607603835</v>
      </c>
      <c r="D21" s="11">
        <v>4.3099999999999999E-2</v>
      </c>
      <c r="E21" s="10">
        <f t="shared" si="2"/>
        <v>63830.933102073148</v>
      </c>
      <c r="F21" s="3"/>
      <c r="G21" s="28"/>
      <c r="H21" s="10"/>
      <c r="I21" s="10">
        <f t="shared" si="5"/>
        <v>13214</v>
      </c>
      <c r="J21" s="10">
        <f t="shared" si="3"/>
        <v>20413344780.887707</v>
      </c>
      <c r="K21" s="11">
        <f t="shared" si="4"/>
        <v>4.3100000000000138E-2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1480996.1276583103</v>
      </c>
      <c r="D22" s="11">
        <v>4.6399999999999997E-2</v>
      </c>
      <c r="E22" s="10">
        <f t="shared" si="2"/>
        <v>65671.082113289041</v>
      </c>
      <c r="F22" s="3"/>
      <c r="G22" s="28"/>
      <c r="H22" s="10"/>
      <c r="I22" s="10">
        <f t="shared" si="5"/>
        <v>13214</v>
      </c>
      <c r="J22" s="10">
        <f t="shared" si="3"/>
        <v>19569882830.876911</v>
      </c>
      <c r="K22" s="11">
        <f t="shared" si="4"/>
        <v>4.6399999999999775E-2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1415325.0455450213</v>
      </c>
      <c r="D23" s="11">
        <v>4.8300000000000003E-2</v>
      </c>
      <c r="E23" s="10">
        <f t="shared" si="2"/>
        <v>65210.531050104415</v>
      </c>
      <c r="F23" s="3"/>
      <c r="G23" s="28"/>
      <c r="H23" s="10"/>
      <c r="I23" s="10">
        <f t="shared" si="5"/>
        <v>13214</v>
      </c>
      <c r="J23" s="10">
        <f t="shared" si="3"/>
        <v>18702105151.831913</v>
      </c>
      <c r="K23" s="11">
        <f t="shared" si="4"/>
        <v>4.830000000000001E-2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1350114.5144949169</v>
      </c>
      <c r="D24" s="11">
        <v>4.9099999999999998E-2</v>
      </c>
      <c r="E24" s="10">
        <f t="shared" si="2"/>
        <v>63188.087562387111</v>
      </c>
      <c r="F24" s="3"/>
      <c r="G24" s="28"/>
      <c r="H24" s="10"/>
      <c r="I24" s="10">
        <f t="shared" si="5"/>
        <v>13214</v>
      </c>
      <c r="J24" s="10">
        <f t="shared" si="3"/>
        <v>17840413194.535831</v>
      </c>
      <c r="K24" s="11">
        <f t="shared" si="4"/>
        <v>4.9099999999999921E-2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1286926.4269325298</v>
      </c>
      <c r="D25" s="11">
        <v>4.9599999999999998E-2</v>
      </c>
      <c r="E25" s="10">
        <f t="shared" si="2"/>
        <v>60815.120784921572</v>
      </c>
      <c r="F25" s="3"/>
      <c r="G25" s="28"/>
      <c r="H25" s="10"/>
      <c r="I25" s="10">
        <f t="shared" si="5"/>
        <v>13214</v>
      </c>
      <c r="J25" s="10">
        <f t="shared" si="3"/>
        <v>17005445805.486448</v>
      </c>
      <c r="K25" s="11">
        <f t="shared" si="4"/>
        <v>4.9600000000000311E-2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1226111.3061476082</v>
      </c>
      <c r="D26" s="11">
        <v>4.9799999999999997E-2</v>
      </c>
      <c r="E26" s="10">
        <f t="shared" si="2"/>
        <v>58163.786479473114</v>
      </c>
      <c r="F26" s="3"/>
      <c r="G26" s="28"/>
      <c r="H26" s="10"/>
      <c r="I26" s="10">
        <f t="shared" si="5"/>
        <v>13214</v>
      </c>
      <c r="J26" s="10">
        <f t="shared" si="3"/>
        <v>16201834799.434494</v>
      </c>
      <c r="K26" s="11">
        <f t="shared" si="4"/>
        <v>4.9799999999999844E-2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1167947.5196681351</v>
      </c>
      <c r="D27" s="11">
        <v>5.0099999999999999E-2</v>
      </c>
      <c r="E27" s="10">
        <f t="shared" si="2"/>
        <v>55722.474750379566</v>
      </c>
      <c r="F27" s="3"/>
      <c r="G27" s="28"/>
      <c r="H27" s="10"/>
      <c r="I27" s="10">
        <f t="shared" si="5"/>
        <v>13214</v>
      </c>
      <c r="J27" s="10">
        <f t="shared" si="3"/>
        <v>15433258524.894737</v>
      </c>
      <c r="K27" s="11">
        <f t="shared" si="4"/>
        <v>5.0100000000000033E-2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1112225.0449177555</v>
      </c>
      <c r="D28" s="11">
        <v>5.0299999999999997E-2</v>
      </c>
      <c r="E28" s="10">
        <f t="shared" si="2"/>
        <v>53265.657202097587</v>
      </c>
      <c r="F28" s="3"/>
      <c r="G28" s="28"/>
      <c r="H28" s="10"/>
      <c r="I28" s="10">
        <f t="shared" si="5"/>
        <v>13214</v>
      </c>
      <c r="J28" s="10">
        <f t="shared" si="3"/>
        <v>14696941743.543222</v>
      </c>
      <c r="K28" s="11">
        <f t="shared" si="4"/>
        <v>5.0300000000000011E-2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1058959.3877156579</v>
      </c>
      <c r="D29" s="11">
        <v>5.0200000000000002E-2</v>
      </c>
      <c r="E29" s="10">
        <f t="shared" si="2"/>
        <v>50618.7024027101</v>
      </c>
      <c r="F29" s="3"/>
      <c r="G29" s="28"/>
      <c r="H29" s="10"/>
      <c r="I29" s="10">
        <f t="shared" si="5"/>
        <v>13214</v>
      </c>
      <c r="J29" s="10">
        <f t="shared" si="3"/>
        <v>13993089349.274704</v>
      </c>
      <c r="K29" s="11">
        <f t="shared" si="4"/>
        <v>5.0200000000000244E-2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1008340.6853129478</v>
      </c>
      <c r="D30" s="11">
        <v>4.9599999999999998E-2</v>
      </c>
      <c r="E30" s="10">
        <f t="shared" si="2"/>
        <v>47650.245799849741</v>
      </c>
      <c r="F30" s="3"/>
      <c r="G30" s="28"/>
      <c r="H30" s="10"/>
      <c r="I30" s="10">
        <f t="shared" si="5"/>
        <v>13214</v>
      </c>
      <c r="J30" s="10">
        <f t="shared" si="3"/>
        <v>13324213815.725292</v>
      </c>
      <c r="K30" s="11">
        <f t="shared" si="4"/>
        <v>4.9600000000000088E-2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960690.4395130981</v>
      </c>
      <c r="D31" s="11">
        <v>4.87E-2</v>
      </c>
      <c r="E31" s="10">
        <f t="shared" si="2"/>
        <v>44612.972636872204</v>
      </c>
      <c r="F31" s="3"/>
      <c r="G31" s="28"/>
      <c r="H31" s="10"/>
      <c r="I31" s="10">
        <f t="shared" si="5"/>
        <v>13214</v>
      </c>
      <c r="J31" s="10">
        <f t="shared" si="3"/>
        <v>12694563467.726078</v>
      </c>
      <c r="K31" s="11">
        <f t="shared" si="4"/>
        <v>4.8699999999999966E-2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916077.4668762259</v>
      </c>
      <c r="D32" s="11">
        <v>4.7600000000000003E-2</v>
      </c>
      <c r="E32" s="10">
        <f t="shared" si="2"/>
        <v>41623.985703807208</v>
      </c>
      <c r="F32" s="3"/>
      <c r="G32" s="28"/>
      <c r="H32" s="10"/>
      <c r="I32" s="10">
        <f t="shared" si="5"/>
        <v>13214</v>
      </c>
      <c r="J32" s="10">
        <f t="shared" si="3"/>
        <v>12105047647.302448</v>
      </c>
      <c r="K32" s="11">
        <f t="shared" si="4"/>
        <v>4.7599999999999865E-2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874453.48117241869</v>
      </c>
      <c r="D33" s="11">
        <v>4.6199999999999998E-2</v>
      </c>
      <c r="E33" s="10">
        <f t="shared" si="2"/>
        <v>38615.705247721053</v>
      </c>
      <c r="F33" s="3"/>
      <c r="G33" s="28"/>
      <c r="H33" s="10"/>
      <c r="I33" s="10">
        <f t="shared" si="5"/>
        <v>13214</v>
      </c>
      <c r="J33" s="10">
        <f t="shared" si="3"/>
        <v>11555028300.212341</v>
      </c>
      <c r="K33" s="11">
        <f t="shared" si="4"/>
        <v>4.6200000000000019E-2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835837.77592469763</v>
      </c>
      <c r="D34" s="11">
        <v>4.4400000000000002E-2</v>
      </c>
      <c r="E34" s="10">
        <f t="shared" si="2"/>
        <v>35533.509432264022</v>
      </c>
      <c r="F34" s="3"/>
      <c r="G34" s="28"/>
      <c r="H34" s="10"/>
      <c r="I34" s="10">
        <f t="shared" si="5"/>
        <v>13214</v>
      </c>
      <c r="J34" s="10">
        <f t="shared" ref="J34:J65" si="6">IF(I34="","",I34*C34)</f>
        <v>11044760371.068954</v>
      </c>
      <c r="K34" s="11">
        <f t="shared" ref="K34:K65" si="7">IFERROR(J34/J35-1,"")</f>
        <v>4.4399999999999995E-2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800304.26649243361</v>
      </c>
      <c r="D35" s="11">
        <v>4.2700000000000002E-2</v>
      </c>
      <c r="E35" s="10">
        <f t="shared" si="2"/>
        <v>32773.561119427322</v>
      </c>
      <c r="F35" s="3"/>
      <c r="G35" s="28"/>
      <c r="H35" s="10"/>
      <c r="I35" s="10">
        <f t="shared" ref="I35:I66" si="8">IF(H35&lt;&gt;"",H35,I34/(1+IF(G34="",0,G34)/100))</f>
        <v>13214</v>
      </c>
      <c r="J35" s="10">
        <f t="shared" si="6"/>
        <v>10575220577.431017</v>
      </c>
      <c r="K35" s="11">
        <f t="shared" si="7"/>
        <v>4.269999999999996E-2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767530.70537300629</v>
      </c>
      <c r="D36" s="11">
        <v>4.0099999999999997E-2</v>
      </c>
      <c r="E36" s="10">
        <f t="shared" si="2"/>
        <v>29591.367450685124</v>
      </c>
      <c r="F36" s="3"/>
      <c r="G36" s="28"/>
      <c r="H36" s="10"/>
      <c r="I36" s="10">
        <f t="shared" si="8"/>
        <v>13214</v>
      </c>
      <c r="J36" s="10">
        <f t="shared" si="6"/>
        <v>10142150740.798904</v>
      </c>
      <c r="K36" s="11">
        <f t="shared" si="7"/>
        <v>4.0100000000000025E-2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737939.33792232117</v>
      </c>
      <c r="D37" s="11">
        <v>3.7400000000000003E-2</v>
      </c>
      <c r="E37" s="10">
        <f t="shared" si="2"/>
        <v>26603.943742331699</v>
      </c>
      <c r="F37" s="3"/>
      <c r="G37" s="28"/>
      <c r="H37" s="10"/>
      <c r="I37" s="10">
        <f t="shared" si="8"/>
        <v>13214</v>
      </c>
      <c r="J37" s="10">
        <f t="shared" si="6"/>
        <v>9751130411.3055515</v>
      </c>
      <c r="K37" s="11">
        <f t="shared" si="7"/>
        <v>3.74000000000001E-2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711335.39417998947</v>
      </c>
      <c r="D38" s="11">
        <v>3.4700000000000002E-2</v>
      </c>
      <c r="E38" s="10">
        <f t="shared" si="2"/>
        <v>23855.55057315703</v>
      </c>
      <c r="F38" s="3"/>
      <c r="G38" s="28"/>
      <c r="H38" s="10"/>
      <c r="I38" s="10">
        <f t="shared" si="8"/>
        <v>13214</v>
      </c>
      <c r="J38" s="10">
        <f t="shared" si="6"/>
        <v>9399585898.6943817</v>
      </c>
      <c r="K38" s="11">
        <f t="shared" si="7"/>
        <v>3.4700000000000175E-2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687479.84360683244</v>
      </c>
      <c r="D39" s="11">
        <v>3.3000000000000002E-2</v>
      </c>
      <c r="E39" s="10">
        <f t="shared" si="2"/>
        <v>21962.086000992684</v>
      </c>
      <c r="F39" s="3"/>
      <c r="G39" s="28"/>
      <c r="H39" s="10"/>
      <c r="I39" s="10">
        <f t="shared" si="8"/>
        <v>13214</v>
      </c>
      <c r="J39" s="10">
        <f t="shared" si="6"/>
        <v>9084358653.4206829</v>
      </c>
      <c r="K39" s="11">
        <f t="shared" si="7"/>
        <v>3.2999999999999918E-2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665517.75760583975</v>
      </c>
      <c r="D40" s="11">
        <v>3.2500000000000001E-2</v>
      </c>
      <c r="E40" s="10">
        <f t="shared" si="2"/>
        <v>20948.500844735885</v>
      </c>
      <c r="F40" s="3"/>
      <c r="G40" s="28"/>
      <c r="H40" s="10"/>
      <c r="I40" s="10">
        <f t="shared" si="8"/>
        <v>13214</v>
      </c>
      <c r="J40" s="10">
        <f t="shared" si="6"/>
        <v>8794151649.0035667</v>
      </c>
      <c r="K40" s="11">
        <f t="shared" si="7"/>
        <v>3.2499999999999973E-2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644569.25676110387</v>
      </c>
      <c r="D41" s="11">
        <v>3.3700000000000001E-2</v>
      </c>
      <c r="E41" s="10">
        <f t="shared" si="2"/>
        <v>21013.818276917096</v>
      </c>
      <c r="F41" s="3"/>
      <c r="G41" s="28"/>
      <c r="H41" s="10"/>
      <c r="I41" s="10">
        <f t="shared" si="8"/>
        <v>13214</v>
      </c>
      <c r="J41" s="10">
        <f t="shared" si="6"/>
        <v>8517338158.8412266</v>
      </c>
      <c r="K41" s="11">
        <f t="shared" si="7"/>
        <v>3.3700000000000063E-2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623555.43848418677</v>
      </c>
      <c r="D42" s="11">
        <v>3.6299999999999999E-2</v>
      </c>
      <c r="E42" s="10">
        <f t="shared" si="2"/>
        <v>21842.190887750592</v>
      </c>
      <c r="F42" s="3"/>
      <c r="G42" s="28"/>
      <c r="H42" s="10"/>
      <c r="I42" s="10">
        <f t="shared" si="8"/>
        <v>13214</v>
      </c>
      <c r="J42" s="10">
        <f t="shared" si="6"/>
        <v>8239661564.130044</v>
      </c>
      <c r="K42" s="11">
        <f t="shared" si="7"/>
        <v>3.6299999999999999E-2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601713.24759643618</v>
      </c>
      <c r="D43" s="11">
        <v>3.9899999999999998E-2</v>
      </c>
      <c r="E43" s="10">
        <f t="shared" si="2"/>
        <v>23087.180093372241</v>
      </c>
      <c r="F43" s="3"/>
      <c r="G43" s="28"/>
      <c r="H43" s="10"/>
      <c r="I43" s="10">
        <f t="shared" si="8"/>
        <v>13214</v>
      </c>
      <c r="J43" s="10">
        <f t="shared" si="6"/>
        <v>7951038853.7393074</v>
      </c>
      <c r="K43" s="11">
        <f t="shared" si="7"/>
        <v>3.9899999999999824E-2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578626.06750306394</v>
      </c>
      <c r="D44" s="11">
        <v>4.4200000000000003E-2</v>
      </c>
      <c r="E44" s="10">
        <f t="shared" si="2"/>
        <v>24492.695061899489</v>
      </c>
      <c r="F44" s="3"/>
      <c r="G44" s="28"/>
      <c r="H44" s="10"/>
      <c r="I44" s="10">
        <f t="shared" si="8"/>
        <v>13214</v>
      </c>
      <c r="J44" s="10">
        <f t="shared" si="6"/>
        <v>7645964855.985487</v>
      </c>
      <c r="K44" s="11">
        <f t="shared" si="7"/>
        <v>4.4200000000000017E-2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554133.37244116445</v>
      </c>
      <c r="D45" s="11">
        <v>4.8800000000000003E-2</v>
      </c>
      <c r="E45" s="10">
        <f t="shared" si="2"/>
        <v>25783.474995355471</v>
      </c>
      <c r="F45" s="3"/>
      <c r="G45" s="28"/>
      <c r="H45" s="10"/>
      <c r="I45" s="10">
        <f t="shared" si="8"/>
        <v>13214</v>
      </c>
      <c r="J45" s="10">
        <f t="shared" si="6"/>
        <v>7322318383.4375467</v>
      </c>
      <c r="K45" s="11">
        <f t="shared" si="7"/>
        <v>4.8799999999999955E-2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528349.89744580898</v>
      </c>
      <c r="D46" s="11">
        <v>5.3499999999999999E-2</v>
      </c>
      <c r="E46" s="10">
        <f t="shared" si="2"/>
        <v>26831.247758282756</v>
      </c>
      <c r="F46" s="3"/>
      <c r="G46" s="28"/>
      <c r="H46" s="10"/>
      <c r="I46" s="10">
        <f t="shared" si="8"/>
        <v>13214</v>
      </c>
      <c r="J46" s="10">
        <f t="shared" si="6"/>
        <v>6981615544.8489199</v>
      </c>
      <c r="K46" s="11">
        <f t="shared" si="7"/>
        <v>5.3500000000000325E-2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501518.64968752622</v>
      </c>
      <c r="D47" s="11">
        <v>5.8099999999999999E-2</v>
      </c>
      <c r="E47" s="10">
        <f t="shared" si="2"/>
        <v>27538.260605656658</v>
      </c>
      <c r="F47" s="3"/>
      <c r="G47" s="28"/>
      <c r="H47" s="10"/>
      <c r="I47" s="10">
        <f t="shared" si="8"/>
        <v>13214</v>
      </c>
      <c r="J47" s="10">
        <f t="shared" si="6"/>
        <v>6627067436.9709711</v>
      </c>
      <c r="K47" s="11">
        <f t="shared" si="7"/>
        <v>5.8100000000000041E-2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473980.38908186957</v>
      </c>
      <c r="D48" s="11">
        <v>6.25E-2</v>
      </c>
      <c r="E48" s="10">
        <f t="shared" si="2"/>
        <v>27881.199357757054</v>
      </c>
      <c r="F48" s="3"/>
      <c r="G48" s="28"/>
      <c r="H48" s="10"/>
      <c r="I48" s="10">
        <f t="shared" si="8"/>
        <v>13214</v>
      </c>
      <c r="J48" s="10">
        <f t="shared" si="6"/>
        <v>6263176861.3278246</v>
      </c>
      <c r="K48" s="11">
        <f t="shared" si="7"/>
        <v>6.2500000000000222E-2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446099.18972411251</v>
      </c>
      <c r="D49" s="11">
        <v>6.6699999999999995E-2</v>
      </c>
      <c r="E49" s="10">
        <f t="shared" si="2"/>
        <v>27894.26826155273</v>
      </c>
      <c r="F49" s="3"/>
      <c r="G49" s="28"/>
      <c r="H49" s="10"/>
      <c r="I49" s="10">
        <f t="shared" si="8"/>
        <v>13214</v>
      </c>
      <c r="J49" s="10">
        <f t="shared" si="6"/>
        <v>5894754693.0144224</v>
      </c>
      <c r="K49" s="11">
        <f t="shared" si="7"/>
        <v>6.6699999999999982E-2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418204.92146255978</v>
      </c>
      <c r="D50" s="11">
        <v>7.0999999999999994E-2</v>
      </c>
      <c r="E50" s="10">
        <f t="shared" si="2"/>
        <v>27724.135783232225</v>
      </c>
      <c r="F50" s="3"/>
      <c r="G50" s="28"/>
      <c r="H50" s="10"/>
      <c r="I50" s="10">
        <f t="shared" si="8"/>
        <v>13214</v>
      </c>
      <c r="J50" s="10">
        <f t="shared" si="6"/>
        <v>5526159832.2062645</v>
      </c>
      <c r="K50" s="11">
        <f t="shared" si="7"/>
        <v>7.099999999999973E-2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390480.78567932756</v>
      </c>
      <c r="D51" s="11">
        <v>7.5399999999999995E-2</v>
      </c>
      <c r="E51" s="10">
        <f t="shared" si="2"/>
        <v>27377.953543073498</v>
      </c>
      <c r="F51" s="3"/>
      <c r="G51" s="28"/>
      <c r="H51" s="10"/>
      <c r="I51" s="10">
        <f t="shared" si="8"/>
        <v>13214</v>
      </c>
      <c r="J51" s="10">
        <f t="shared" si="6"/>
        <v>5159813101.9666348</v>
      </c>
      <c r="K51" s="11">
        <f t="shared" si="7"/>
        <v>7.5399999999999912E-2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363102.83213625406</v>
      </c>
      <c r="D52" s="11">
        <v>7.9600000000000004E-2</v>
      </c>
      <c r="E52" s="10">
        <f t="shared" si="2"/>
        <v>26771.939086741244</v>
      </c>
      <c r="F52" s="3"/>
      <c r="G52" s="28"/>
      <c r="H52" s="10"/>
      <c r="I52" s="10">
        <f t="shared" si="8"/>
        <v>13214</v>
      </c>
      <c r="J52" s="10">
        <f t="shared" si="6"/>
        <v>4798040823.8484612</v>
      </c>
      <c r="K52" s="11">
        <f t="shared" si="7"/>
        <v>7.9599999999999893E-2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336330.89304951282</v>
      </c>
      <c r="D53" s="11">
        <v>8.3599999999999994E-2</v>
      </c>
      <c r="E53" s="10">
        <f t="shared" si="2"/>
        <v>25948.009098319686</v>
      </c>
      <c r="F53" s="3"/>
      <c r="G53" s="28"/>
      <c r="H53" s="10"/>
      <c r="I53" s="10">
        <f t="shared" si="8"/>
        <v>13214</v>
      </c>
      <c r="J53" s="10">
        <f t="shared" si="6"/>
        <v>4444276420.7562628</v>
      </c>
      <c r="K53" s="11">
        <f t="shared" si="7"/>
        <v>8.3599999999999897E-2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310382.88395119313</v>
      </c>
      <c r="D54" s="11">
        <v>8.72E-2</v>
      </c>
      <c r="E54" s="10">
        <f t="shared" si="2"/>
        <v>24894.580096158956</v>
      </c>
      <c r="F54" s="3"/>
      <c r="G54" s="28"/>
      <c r="H54" s="10"/>
      <c r="I54" s="10">
        <f t="shared" si="8"/>
        <v>13214</v>
      </c>
      <c r="J54" s="10">
        <f t="shared" si="6"/>
        <v>4101399428.5310659</v>
      </c>
      <c r="K54" s="11">
        <f t="shared" si="7"/>
        <v>8.7199999999999944E-2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285488.30385503417</v>
      </c>
      <c r="D55" s="11">
        <v>9.0200000000000002E-2</v>
      </c>
      <c r="E55" s="10">
        <f t="shared" si="2"/>
        <v>23620.477901049424</v>
      </c>
      <c r="F55" s="3"/>
      <c r="G55" s="28"/>
      <c r="H55" s="10"/>
      <c r="I55" s="10">
        <f t="shared" si="8"/>
        <v>13214</v>
      </c>
      <c r="J55" s="10">
        <f t="shared" si="6"/>
        <v>3772442447.1404214</v>
      </c>
      <c r="K55" s="11">
        <f t="shared" si="7"/>
        <v>9.0200000000000058E-2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261867.82595398475</v>
      </c>
      <c r="D56" s="11">
        <v>9.2700000000000005E-2</v>
      </c>
      <c r="E56" s="10">
        <f t="shared" si="2"/>
        <v>22215.747658034583</v>
      </c>
      <c r="F56" s="3"/>
      <c r="G56" s="28"/>
      <c r="H56" s="10"/>
      <c r="I56" s="10">
        <f t="shared" si="8"/>
        <v>13214</v>
      </c>
      <c r="J56" s="10">
        <f t="shared" si="6"/>
        <v>3460321452.1559544</v>
      </c>
      <c r="K56" s="11">
        <f t="shared" si="7"/>
        <v>9.2700000000000005E-2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239652.07829595017</v>
      </c>
      <c r="D57" s="11">
        <v>9.4399999999999998E-2</v>
      </c>
      <c r="E57" s="10">
        <f t="shared" si="2"/>
        <v>20671.743595703301</v>
      </c>
      <c r="F57" s="3"/>
      <c r="G57" s="28"/>
      <c r="H57" s="10"/>
      <c r="I57" s="10">
        <f t="shared" si="8"/>
        <v>13214</v>
      </c>
      <c r="J57" s="10">
        <f t="shared" si="6"/>
        <v>3166762562.6026855</v>
      </c>
      <c r="K57" s="11">
        <f t="shared" si="7"/>
        <v>9.4400000000000039E-2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218980.33470024687</v>
      </c>
      <c r="D58" s="11">
        <v>9.5500000000000002E-2</v>
      </c>
      <c r="E58" s="10">
        <f t="shared" si="2"/>
        <v>19089.568200706126</v>
      </c>
      <c r="F58" s="3"/>
      <c r="G58" s="28"/>
      <c r="H58" s="10"/>
      <c r="I58" s="10">
        <f t="shared" si="8"/>
        <v>13214</v>
      </c>
      <c r="J58" s="10">
        <f t="shared" si="6"/>
        <v>2893606142.7290621</v>
      </c>
      <c r="K58" s="11">
        <f t="shared" si="7"/>
        <v>9.5499999999999918E-2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199890.76649954074</v>
      </c>
      <c r="D59" s="11">
        <v>9.5600000000000004E-2</v>
      </c>
      <c r="E59" s="10">
        <f t="shared" si="2"/>
        <v>17442.093170277542</v>
      </c>
      <c r="F59" s="3"/>
      <c r="G59" s="28"/>
      <c r="H59" s="10"/>
      <c r="I59" s="10">
        <f t="shared" si="8"/>
        <v>13214</v>
      </c>
      <c r="J59" s="10">
        <f t="shared" si="6"/>
        <v>2641356588.5249314</v>
      </c>
      <c r="K59" s="11">
        <f t="shared" si="7"/>
        <v>9.5599999999999907E-2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182448.6733292632</v>
      </c>
      <c r="D60" s="11">
        <v>9.3899999999999997E-2</v>
      </c>
      <c r="E60" s="10">
        <f t="shared" si="2"/>
        <v>15661.33140654341</v>
      </c>
      <c r="F60" s="3"/>
      <c r="G60" s="28"/>
      <c r="H60" s="10"/>
      <c r="I60" s="10">
        <f t="shared" si="8"/>
        <v>13214</v>
      </c>
      <c r="J60" s="10">
        <f t="shared" si="6"/>
        <v>2410876769.3728838</v>
      </c>
      <c r="K60" s="11">
        <f t="shared" si="7"/>
        <v>9.3900000000000095E-2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166787.34192271979</v>
      </c>
      <c r="D61" s="11">
        <v>8.8800000000000004E-2</v>
      </c>
      <c r="E61" s="10">
        <f t="shared" si="2"/>
        <v>13602.788356665609</v>
      </c>
      <c r="F61" s="3"/>
      <c r="G61" s="28"/>
      <c r="H61" s="10"/>
      <c r="I61" s="10">
        <f t="shared" si="8"/>
        <v>13214</v>
      </c>
      <c r="J61" s="10">
        <f t="shared" si="6"/>
        <v>2203927936.1668191</v>
      </c>
      <c r="K61" s="11">
        <f t="shared" si="7"/>
        <v>8.879999999999999E-2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153184.55356605418</v>
      </c>
      <c r="D62" s="11">
        <v>0.08</v>
      </c>
      <c r="E62" s="10">
        <f t="shared" si="2"/>
        <v>11347.003967855882</v>
      </c>
      <c r="F62" s="3"/>
      <c r="G62" s="28"/>
      <c r="H62" s="10"/>
      <c r="I62" s="10">
        <f t="shared" si="8"/>
        <v>13214</v>
      </c>
      <c r="J62" s="10">
        <f t="shared" si="6"/>
        <v>2024180690.8218398</v>
      </c>
      <c r="K62" s="11">
        <f t="shared" si="7"/>
        <v>8.0000000000000071E-2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141837.5495981983</v>
      </c>
      <c r="D63" s="11">
        <v>7.0000000000000007E-2</v>
      </c>
      <c r="E63" s="10">
        <f t="shared" si="2"/>
        <v>9279.0920297886769</v>
      </c>
      <c r="F63" s="3"/>
      <c r="G63" s="28"/>
      <c r="H63" s="10"/>
      <c r="I63" s="10">
        <f t="shared" si="8"/>
        <v>13214</v>
      </c>
      <c r="J63" s="10">
        <f t="shared" si="6"/>
        <v>1874241380.3905923</v>
      </c>
      <c r="K63" s="11">
        <f t="shared" si="7"/>
        <v>7.0000000000000062E-2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132558.45756840962</v>
      </c>
      <c r="D64" s="11">
        <v>6.1600000000000002E-2</v>
      </c>
      <c r="E64" s="10">
        <f t="shared" si="2"/>
        <v>7691.7869124096178</v>
      </c>
      <c r="F64" s="3"/>
      <c r="G64" s="28"/>
      <c r="H64" s="10"/>
      <c r="I64" s="10">
        <f t="shared" si="8"/>
        <v>13214</v>
      </c>
      <c r="J64" s="10">
        <f t="shared" si="6"/>
        <v>1751627458.3089647</v>
      </c>
      <c r="K64" s="11">
        <f t="shared" si="7"/>
        <v>6.1600000000000099E-2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124866.670656</v>
      </c>
      <c r="D65" s="11">
        <v>5.5599999999999997E-2</v>
      </c>
      <c r="E65" s="10">
        <f t="shared" si="2"/>
        <v>6576.9106560000073</v>
      </c>
      <c r="F65" s="3"/>
      <c r="G65" s="28"/>
      <c r="H65" s="10"/>
      <c r="I65" s="10">
        <f t="shared" si="8"/>
        <v>13214</v>
      </c>
      <c r="J65" s="10">
        <f t="shared" si="6"/>
        <v>1649988186.048384</v>
      </c>
      <c r="K65" s="11">
        <f t="shared" si="7"/>
        <v>5.5600000000000094E-2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118289.76</v>
      </c>
      <c r="D66" s="11">
        <v>5.2400000000000002E-2</v>
      </c>
      <c r="E66" s="10">
        <f t="shared" si="2"/>
        <v>5889.7599999999948</v>
      </c>
      <c r="F66" s="24">
        <f>SUM(F2)</f>
        <v>2162677</v>
      </c>
      <c r="G66" s="28"/>
      <c r="H66" s="10"/>
      <c r="I66" s="10">
        <f t="shared" si="8"/>
        <v>13214</v>
      </c>
      <c r="J66" s="10">
        <f t="shared" ref="J66:J67" si="9">IF(I66="","",I66*C66)</f>
        <v>1563080888.6399999</v>
      </c>
      <c r="K66" s="11">
        <f t="shared" ref="K66" si="10">IFERROR(J66/J67-1,"")</f>
        <v>5.2400000000000002E-2</v>
      </c>
    </row>
    <row r="67" spans="1:11" ht="22.5" customHeight="1">
      <c r="A67" s="3">
        <f t="shared" si="0"/>
        <v>1950</v>
      </c>
      <c r="B67" s="3">
        <v>1700</v>
      </c>
      <c r="C67" s="10">
        <v>112400</v>
      </c>
      <c r="D67" s="11">
        <v>5.1400000000000001E-2</v>
      </c>
      <c r="E67" s="3" t="s">
        <v>72</v>
      </c>
      <c r="F67" s="10">
        <f>SUM(C2)</f>
        <v>2162590.4836562523</v>
      </c>
      <c r="G67" s="28"/>
      <c r="H67" s="10"/>
      <c r="I67" s="10">
        <f t="shared" ref="I67" si="11">IF(H67&lt;&gt;"",H67,I66/(1+IF(G66="",0,G66)/100))</f>
        <v>13214</v>
      </c>
      <c r="J67" s="10">
        <f t="shared" si="9"/>
        <v>1485253600</v>
      </c>
      <c r="K67" s="11"/>
    </row>
  </sheetData>
  <dataValidations count="1">
    <dataValidation type="custom" allowBlank="1" showDropDown="1" sqref="D2:D67" xr:uid="{00000000-0002-0000-8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45062459.972715989</v>
      </c>
      <c r="D2" s="11">
        <v>3.5400000000000001E-2</v>
      </c>
      <c r="E2" s="10">
        <f t="shared" ref="E2:E66" si="2">SUM(C2-C3)</f>
        <v>1540671.3183640614</v>
      </c>
      <c r="F2" s="15">
        <v>45062542</v>
      </c>
      <c r="G2" s="28"/>
      <c r="H2" s="10"/>
      <c r="I2" s="10">
        <f>IF(H2&lt;&gt;"",H2,234)</f>
        <v>234</v>
      </c>
      <c r="J2" s="10">
        <f t="shared" ref="J2:J33" si="3">IF(I2="","",I2*C2)</f>
        <v>10544615633.615541</v>
      </c>
      <c r="K2" s="11">
        <f t="shared" ref="K2:K33" si="4">IFERROR(J2/J3-1,"")</f>
        <v>3.5400000000000098E-2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43521788.654351927</v>
      </c>
      <c r="D3" s="11">
        <v>3.5099999999999999E-2</v>
      </c>
      <c r="E3" s="10">
        <f t="shared" si="2"/>
        <v>1475813.7201891094</v>
      </c>
      <c r="F3" s="3"/>
      <c r="G3" s="28"/>
      <c r="H3" s="10"/>
      <c r="I3" s="10">
        <f t="shared" ref="I3:I34" si="5">IF(H3&lt;&gt;"",H3,I2/(1+IF(G2="",0,G2)/100))</f>
        <v>234</v>
      </c>
      <c r="J3" s="10">
        <f t="shared" si="3"/>
        <v>10184098545.118351</v>
      </c>
      <c r="K3" s="11">
        <f t="shared" si="4"/>
        <v>3.5099999999999909E-2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42045974.934162818</v>
      </c>
      <c r="D4" s="11">
        <v>3.4700000000000002E-2</v>
      </c>
      <c r="E4" s="10">
        <f t="shared" si="2"/>
        <v>1410066.0386734754</v>
      </c>
      <c r="F4" s="3"/>
      <c r="G4" s="28"/>
      <c r="H4" s="10"/>
      <c r="I4" s="10">
        <f t="shared" si="5"/>
        <v>234</v>
      </c>
      <c r="J4" s="10">
        <f t="shared" si="3"/>
        <v>9838758134.594099</v>
      </c>
      <c r="K4" s="11">
        <f t="shared" si="4"/>
        <v>3.4699999999999953E-2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40635908.895489343</v>
      </c>
      <c r="D5" s="11">
        <v>3.4099999999999998E-2</v>
      </c>
      <c r="E5" s="10">
        <f t="shared" si="2"/>
        <v>1339990.806823507</v>
      </c>
      <c r="F5" s="3"/>
      <c r="G5" s="28"/>
      <c r="H5" s="10"/>
      <c r="I5" s="10">
        <f t="shared" si="5"/>
        <v>234</v>
      </c>
      <c r="J5" s="10">
        <f t="shared" si="3"/>
        <v>9508802681.5445061</v>
      </c>
      <c r="K5" s="11">
        <f t="shared" si="4"/>
        <v>3.4100000000000241E-2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39295918.088665836</v>
      </c>
      <c r="D6" s="11">
        <v>3.3399999999999999E-2</v>
      </c>
      <c r="E6" s="10">
        <f t="shared" si="2"/>
        <v>1270063.5418632105</v>
      </c>
      <c r="F6" s="3"/>
      <c r="G6" s="28"/>
      <c r="H6" s="10"/>
      <c r="I6" s="10">
        <f t="shared" si="5"/>
        <v>234</v>
      </c>
      <c r="J6" s="10">
        <f t="shared" si="3"/>
        <v>9195244832.7478046</v>
      </c>
      <c r="K6" s="11">
        <f t="shared" si="4"/>
        <v>3.3399999999999874E-2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38025854.546802625</v>
      </c>
      <c r="D7" s="11">
        <v>3.2599999999999997E-2</v>
      </c>
      <c r="E7" s="10">
        <f t="shared" si="2"/>
        <v>1200506.3511773795</v>
      </c>
      <c r="F7" s="3"/>
      <c r="G7" s="28"/>
      <c r="H7" s="10"/>
      <c r="I7" s="10">
        <f t="shared" si="5"/>
        <v>234</v>
      </c>
      <c r="J7" s="10">
        <f t="shared" si="3"/>
        <v>8898049963.9518147</v>
      </c>
      <c r="K7" s="11">
        <f t="shared" si="4"/>
        <v>3.2599999999999962E-2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36825348.195625246</v>
      </c>
      <c r="D8" s="11">
        <v>3.2099999999999997E-2</v>
      </c>
      <c r="E8" s="10">
        <f t="shared" si="2"/>
        <v>1145328.6281170174</v>
      </c>
      <c r="F8" s="3"/>
      <c r="G8" s="28"/>
      <c r="H8" s="10"/>
      <c r="I8" s="10">
        <f t="shared" si="5"/>
        <v>234</v>
      </c>
      <c r="J8" s="10">
        <f t="shared" si="3"/>
        <v>8617131477.7763081</v>
      </c>
      <c r="K8" s="11">
        <f t="shared" si="4"/>
        <v>3.2100000000000239E-2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35680019.567508228</v>
      </c>
      <c r="D9" s="11">
        <v>3.1699999999999999E-2</v>
      </c>
      <c r="E9" s="10">
        <f t="shared" si="2"/>
        <v>1096303.7901424989</v>
      </c>
      <c r="F9" s="3"/>
      <c r="G9" s="28"/>
      <c r="H9" s="10"/>
      <c r="I9" s="10">
        <f t="shared" si="5"/>
        <v>234</v>
      </c>
      <c r="J9" s="10">
        <f t="shared" si="3"/>
        <v>8349124578.7969255</v>
      </c>
      <c r="K9" s="11">
        <f t="shared" si="4"/>
        <v>3.1700000000000061E-2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34583715.777365729</v>
      </c>
      <c r="D10" s="11">
        <v>3.1600000000000003E-2</v>
      </c>
      <c r="E10" s="10">
        <f t="shared" si="2"/>
        <v>1059369.347193446</v>
      </c>
      <c r="F10" s="3"/>
      <c r="G10" s="28"/>
      <c r="H10" s="10"/>
      <c r="I10" s="10">
        <f t="shared" si="5"/>
        <v>234</v>
      </c>
      <c r="J10" s="10">
        <f t="shared" si="3"/>
        <v>8092589491.9035807</v>
      </c>
      <c r="K10" s="11">
        <f t="shared" si="4"/>
        <v>3.1600000000000072E-2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33524346.430172283</v>
      </c>
      <c r="D11" s="11">
        <v>3.1600000000000003E-2</v>
      </c>
      <c r="E11" s="10">
        <f t="shared" si="2"/>
        <v>1026918.7157749571</v>
      </c>
      <c r="F11" s="3"/>
      <c r="G11" s="28"/>
      <c r="H11" s="10"/>
      <c r="I11" s="10">
        <f t="shared" si="5"/>
        <v>234</v>
      </c>
      <c r="J11" s="10">
        <f t="shared" si="3"/>
        <v>7844697064.6603146</v>
      </c>
      <c r="K11" s="11">
        <f t="shared" si="4"/>
        <v>3.1600000000000072E-2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32497427.714397326</v>
      </c>
      <c r="D12" s="11">
        <v>3.1699999999999999E-2</v>
      </c>
      <c r="E12" s="10">
        <f t="shared" si="2"/>
        <v>998515.51666802168</v>
      </c>
      <c r="F12" s="3"/>
      <c r="G12" s="28"/>
      <c r="H12" s="10"/>
      <c r="I12" s="10">
        <f t="shared" si="5"/>
        <v>234</v>
      </c>
      <c r="J12" s="10">
        <f t="shared" si="3"/>
        <v>7604398085.1689739</v>
      </c>
      <c r="K12" s="11">
        <f t="shared" si="4"/>
        <v>3.1700000000000061E-2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31498912.197729304</v>
      </c>
      <c r="D13" s="11">
        <v>3.1800000000000002E-2</v>
      </c>
      <c r="E13" s="10">
        <f t="shared" si="2"/>
        <v>970794.15379704908</v>
      </c>
      <c r="F13" s="3"/>
      <c r="G13" s="28"/>
      <c r="H13" s="10"/>
      <c r="I13" s="10">
        <f t="shared" si="5"/>
        <v>234</v>
      </c>
      <c r="J13" s="10">
        <f t="shared" si="3"/>
        <v>7370745454.2686577</v>
      </c>
      <c r="K13" s="11">
        <f t="shared" si="4"/>
        <v>3.1800000000000272E-2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30528118.043932255</v>
      </c>
      <c r="D14" s="11">
        <v>3.2099999999999997E-2</v>
      </c>
      <c r="E14" s="10">
        <f t="shared" si="2"/>
        <v>949474.45907395333</v>
      </c>
      <c r="F14" s="3"/>
      <c r="G14" s="28"/>
      <c r="H14" s="10"/>
      <c r="I14" s="10">
        <f t="shared" si="5"/>
        <v>234</v>
      </c>
      <c r="J14" s="10">
        <f t="shared" si="3"/>
        <v>7143579622.2801476</v>
      </c>
      <c r="K14" s="11">
        <f t="shared" si="4"/>
        <v>3.2100000000000017E-2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29578643.584858302</v>
      </c>
      <c r="D15" s="11">
        <v>3.2399999999999998E-2</v>
      </c>
      <c r="E15" s="10">
        <f t="shared" si="2"/>
        <v>928272.0381144993</v>
      </c>
      <c r="F15" s="3"/>
      <c r="G15" s="28"/>
      <c r="H15" s="10"/>
      <c r="I15" s="10">
        <f t="shared" si="5"/>
        <v>234</v>
      </c>
      <c r="J15" s="10">
        <f t="shared" si="3"/>
        <v>6921402598.856843</v>
      </c>
      <c r="K15" s="11">
        <f t="shared" si="4"/>
        <v>3.2399999999999984E-2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28650371.546743803</v>
      </c>
      <c r="D16" s="11">
        <v>3.2599999999999997E-2</v>
      </c>
      <c r="E16" s="10">
        <f t="shared" si="2"/>
        <v>904514.92584141716</v>
      </c>
      <c r="F16" s="3"/>
      <c r="G16" s="28"/>
      <c r="H16" s="10"/>
      <c r="I16" s="10">
        <f t="shared" si="5"/>
        <v>234</v>
      </c>
      <c r="J16" s="10">
        <f t="shared" si="3"/>
        <v>6704186941.9380503</v>
      </c>
      <c r="K16" s="11">
        <f t="shared" si="4"/>
        <v>3.2599999999999962E-2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27745856.620902386</v>
      </c>
      <c r="D17" s="11">
        <v>3.2800000000000003E-2</v>
      </c>
      <c r="E17" s="10">
        <f t="shared" si="2"/>
        <v>881161.9840875268</v>
      </c>
      <c r="F17" s="3"/>
      <c r="G17" s="28"/>
      <c r="H17" s="10"/>
      <c r="I17" s="10">
        <f t="shared" si="5"/>
        <v>234</v>
      </c>
      <c r="J17" s="10">
        <f t="shared" si="3"/>
        <v>6492530449.2911587</v>
      </c>
      <c r="K17" s="11">
        <f t="shared" si="4"/>
        <v>3.279999999999994E-2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26864694.636814859</v>
      </c>
      <c r="D18" s="11">
        <v>3.3000000000000002E-2</v>
      </c>
      <c r="E18" s="10">
        <f t="shared" si="2"/>
        <v>858213.86545487866</v>
      </c>
      <c r="F18" s="3"/>
      <c r="G18" s="28"/>
      <c r="H18" s="10"/>
      <c r="I18" s="10">
        <f t="shared" si="5"/>
        <v>234</v>
      </c>
      <c r="J18" s="10">
        <f t="shared" si="3"/>
        <v>6286338545.014677</v>
      </c>
      <c r="K18" s="11">
        <f t="shared" si="4"/>
        <v>3.2999999999999918E-2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26006480.77135998</v>
      </c>
      <c r="D19" s="11">
        <v>3.32E-2</v>
      </c>
      <c r="E19" s="10">
        <f t="shared" si="2"/>
        <v>835670.88812344894</v>
      </c>
      <c r="F19" s="3"/>
      <c r="G19" s="28"/>
      <c r="H19" s="10"/>
      <c r="I19" s="10">
        <f t="shared" si="5"/>
        <v>234</v>
      </c>
      <c r="J19" s="10">
        <f t="shared" si="3"/>
        <v>6085516500.4982357</v>
      </c>
      <c r="K19" s="11">
        <f t="shared" si="4"/>
        <v>3.3199999999999896E-2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25170809.883236531</v>
      </c>
      <c r="D20" s="11">
        <v>3.3399999999999999E-2</v>
      </c>
      <c r="E20" s="10">
        <f t="shared" si="2"/>
        <v>813533.04635194689</v>
      </c>
      <c r="F20" s="3"/>
      <c r="G20" s="28"/>
      <c r="H20" s="10"/>
      <c r="I20" s="10">
        <f t="shared" si="5"/>
        <v>234</v>
      </c>
      <c r="J20" s="10">
        <f t="shared" si="3"/>
        <v>5889969512.6773481</v>
      </c>
      <c r="K20" s="11">
        <f t="shared" si="4"/>
        <v>3.3400000000000096E-2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24357276.836884584</v>
      </c>
      <c r="D21" s="11">
        <v>3.3500000000000002E-2</v>
      </c>
      <c r="E21" s="10">
        <f t="shared" si="2"/>
        <v>789519.85876694322</v>
      </c>
      <c r="F21" s="3"/>
      <c r="G21" s="28"/>
      <c r="H21" s="10"/>
      <c r="I21" s="10">
        <f t="shared" si="5"/>
        <v>234</v>
      </c>
      <c r="J21" s="10">
        <f t="shared" si="3"/>
        <v>5699602779.8309927</v>
      </c>
      <c r="K21" s="11">
        <f t="shared" si="4"/>
        <v>3.3500000000000085E-2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23567756.978117641</v>
      </c>
      <c r="D22" s="11">
        <v>3.3500000000000002E-2</v>
      </c>
      <c r="E22" s="10">
        <f t="shared" si="2"/>
        <v>763928.26199026778</v>
      </c>
      <c r="F22" s="3"/>
      <c r="G22" s="28"/>
      <c r="H22" s="10"/>
      <c r="I22" s="10">
        <f t="shared" si="5"/>
        <v>234</v>
      </c>
      <c r="J22" s="10">
        <f t="shared" si="3"/>
        <v>5514855132.879528</v>
      </c>
      <c r="K22" s="11">
        <f t="shared" si="4"/>
        <v>3.3499999999999863E-2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22803828.716127373</v>
      </c>
      <c r="D23" s="11">
        <v>3.32E-2</v>
      </c>
      <c r="E23" s="10">
        <f t="shared" si="2"/>
        <v>732759.4980404824</v>
      </c>
      <c r="F23" s="3"/>
      <c r="G23" s="28"/>
      <c r="H23" s="10"/>
      <c r="I23" s="10">
        <f t="shared" si="5"/>
        <v>234</v>
      </c>
      <c r="J23" s="10">
        <f t="shared" si="3"/>
        <v>5336095919.5738058</v>
      </c>
      <c r="K23" s="11">
        <f t="shared" si="4"/>
        <v>3.3199999999999896E-2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22071069.218086891</v>
      </c>
      <c r="D24" s="11">
        <v>3.2599999999999997E-2</v>
      </c>
      <c r="E24" s="10">
        <f t="shared" si="2"/>
        <v>696801.13936629146</v>
      </c>
      <c r="F24" s="3"/>
      <c r="G24" s="28"/>
      <c r="H24" s="10"/>
      <c r="I24" s="10">
        <f t="shared" si="5"/>
        <v>234</v>
      </c>
      <c r="J24" s="10">
        <f t="shared" si="3"/>
        <v>5164630197.0323324</v>
      </c>
      <c r="K24" s="11">
        <f t="shared" si="4"/>
        <v>3.2599999999999962E-2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21374268.078720599</v>
      </c>
      <c r="D25" s="11">
        <v>3.1800000000000002E-2</v>
      </c>
      <c r="E25" s="10">
        <f t="shared" si="2"/>
        <v>658753.36780705303</v>
      </c>
      <c r="F25" s="3"/>
      <c r="G25" s="28"/>
      <c r="H25" s="10"/>
      <c r="I25" s="10">
        <f t="shared" si="5"/>
        <v>234</v>
      </c>
      <c r="J25" s="10">
        <f t="shared" si="3"/>
        <v>5001578730.42062</v>
      </c>
      <c r="K25" s="11">
        <f t="shared" si="4"/>
        <v>3.180000000000005E-2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20715514.710913546</v>
      </c>
      <c r="D26" s="11">
        <v>3.0800000000000001E-2</v>
      </c>
      <c r="E26" s="10">
        <f t="shared" si="2"/>
        <v>618973.47021355852</v>
      </c>
      <c r="F26" s="3"/>
      <c r="G26" s="28"/>
      <c r="H26" s="10"/>
      <c r="I26" s="10">
        <f t="shared" si="5"/>
        <v>234</v>
      </c>
      <c r="J26" s="10">
        <f t="shared" si="3"/>
        <v>4847430442.3537703</v>
      </c>
      <c r="K26" s="11">
        <f t="shared" si="4"/>
        <v>3.0799999999999939E-2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20096541.240699988</v>
      </c>
      <c r="D27" s="11">
        <v>2.9499999999999998E-2</v>
      </c>
      <c r="E27" s="10">
        <f t="shared" si="2"/>
        <v>575860.09383258969</v>
      </c>
      <c r="F27" s="3"/>
      <c r="G27" s="28"/>
      <c r="H27" s="10"/>
      <c r="I27" s="10">
        <f t="shared" si="5"/>
        <v>234</v>
      </c>
      <c r="J27" s="10">
        <f t="shared" si="3"/>
        <v>4702590650.3237972</v>
      </c>
      <c r="K27" s="11">
        <f t="shared" si="4"/>
        <v>2.9500000000000082E-2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19520681.146867398</v>
      </c>
      <c r="D28" s="11">
        <v>2.81E-2</v>
      </c>
      <c r="E28" s="10">
        <f t="shared" si="2"/>
        <v>533538.70268161967</v>
      </c>
      <c r="F28" s="3"/>
      <c r="G28" s="28"/>
      <c r="H28" s="10"/>
      <c r="I28" s="10">
        <f t="shared" si="5"/>
        <v>234</v>
      </c>
      <c r="J28" s="10">
        <f t="shared" si="3"/>
        <v>4567839388.366971</v>
      </c>
      <c r="K28" s="11">
        <f t="shared" si="4"/>
        <v>2.8100000000000014E-2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18987142.444185778</v>
      </c>
      <c r="D29" s="11">
        <v>2.6700000000000002E-2</v>
      </c>
      <c r="E29" s="10">
        <f t="shared" si="2"/>
        <v>493772.96509180963</v>
      </c>
      <c r="F29" s="3"/>
      <c r="G29" s="28"/>
      <c r="H29" s="10"/>
      <c r="I29" s="10">
        <f t="shared" si="5"/>
        <v>234</v>
      </c>
      <c r="J29" s="10">
        <f t="shared" si="3"/>
        <v>4442991331.9394722</v>
      </c>
      <c r="K29" s="11">
        <f t="shared" si="4"/>
        <v>2.6700000000000168E-2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18493369.479093969</v>
      </c>
      <c r="D30" s="11">
        <v>2.52E-2</v>
      </c>
      <c r="E30" s="10">
        <f t="shared" si="2"/>
        <v>454577.55645060912</v>
      </c>
      <c r="F30" s="3"/>
      <c r="G30" s="28"/>
      <c r="H30" s="10"/>
      <c r="I30" s="10">
        <f t="shared" si="5"/>
        <v>234</v>
      </c>
      <c r="J30" s="10">
        <f t="shared" si="3"/>
        <v>4327448458.1079884</v>
      </c>
      <c r="K30" s="11">
        <f t="shared" si="4"/>
        <v>2.5199999999999667E-2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18038791.92264336</v>
      </c>
      <c r="D31" s="11">
        <v>2.4E-2</v>
      </c>
      <c r="E31" s="10">
        <f t="shared" si="2"/>
        <v>422784.18568695337</v>
      </c>
      <c r="F31" s="3"/>
      <c r="G31" s="28"/>
      <c r="H31" s="10"/>
      <c r="I31" s="10">
        <f t="shared" si="5"/>
        <v>234</v>
      </c>
      <c r="J31" s="10">
        <f t="shared" si="3"/>
        <v>4221077309.8985462</v>
      </c>
      <c r="K31" s="11">
        <f t="shared" si="4"/>
        <v>2.4000000000000021E-2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17616007.736956406</v>
      </c>
      <c r="D32" s="11">
        <v>2.3300000000000001E-2</v>
      </c>
      <c r="E32" s="10">
        <f t="shared" si="2"/>
        <v>401107.18290929869</v>
      </c>
      <c r="F32" s="3"/>
      <c r="G32" s="28"/>
      <c r="H32" s="10"/>
      <c r="I32" s="10">
        <f t="shared" si="5"/>
        <v>234</v>
      </c>
      <c r="J32" s="10">
        <f t="shared" si="3"/>
        <v>4122145810.4477992</v>
      </c>
      <c r="K32" s="11">
        <f t="shared" si="4"/>
        <v>2.3300000000000098E-2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17214900.554047108</v>
      </c>
      <c r="D33" s="11">
        <v>2.35E-2</v>
      </c>
      <c r="E33" s="10">
        <f t="shared" si="2"/>
        <v>395261.51736209914</v>
      </c>
      <c r="F33" s="3"/>
      <c r="G33" s="28"/>
      <c r="H33" s="10"/>
      <c r="I33" s="10">
        <f t="shared" si="5"/>
        <v>234</v>
      </c>
      <c r="J33" s="10">
        <f t="shared" si="3"/>
        <v>4028286729.6470232</v>
      </c>
      <c r="K33" s="11">
        <f t="shared" si="4"/>
        <v>2.3500000000000076E-2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16819639.036685009</v>
      </c>
      <c r="D34" s="11">
        <v>2.4799999999999999E-2</v>
      </c>
      <c r="E34" s="10">
        <f t="shared" si="2"/>
        <v>407032.63867075182</v>
      </c>
      <c r="F34" s="3"/>
      <c r="G34" s="28"/>
      <c r="H34" s="10"/>
      <c r="I34" s="10">
        <f t="shared" si="5"/>
        <v>234</v>
      </c>
      <c r="J34" s="10">
        <f t="shared" ref="J34:J65" si="6">IF(I34="","",I34*C34)</f>
        <v>3935795534.5842919</v>
      </c>
      <c r="K34" s="11">
        <f t="shared" ref="K34:K65" si="7">IFERROR(J34/J35-1,"")</f>
        <v>2.4799999999999933E-2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16412606.398014257</v>
      </c>
      <c r="D35" s="11">
        <v>2.69E-2</v>
      </c>
      <c r="E35" s="10">
        <f t="shared" si="2"/>
        <v>429933.89045338705</v>
      </c>
      <c r="F35" s="3"/>
      <c r="G35" s="28"/>
      <c r="H35" s="10"/>
      <c r="I35" s="10">
        <f t="shared" ref="I35:I66" si="8">IF(H35&lt;&gt;"",H35,I34/(1+IF(G34="",0,G34)/100))</f>
        <v>234</v>
      </c>
      <c r="J35" s="10">
        <f t="shared" si="6"/>
        <v>3840549897.1353359</v>
      </c>
      <c r="K35" s="11">
        <f t="shared" si="7"/>
        <v>2.6899999999999924E-2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15982672.50756087</v>
      </c>
      <c r="D36" s="11">
        <v>2.93E-2</v>
      </c>
      <c r="E36" s="10">
        <f t="shared" si="2"/>
        <v>454961.92020940036</v>
      </c>
      <c r="F36" s="3"/>
      <c r="G36" s="28"/>
      <c r="H36" s="10"/>
      <c r="I36" s="10">
        <f t="shared" si="8"/>
        <v>234</v>
      </c>
      <c r="J36" s="10">
        <f t="shared" si="6"/>
        <v>3739945366.7692437</v>
      </c>
      <c r="K36" s="11">
        <f t="shared" si="7"/>
        <v>2.9300000000000326E-2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15527710.587351469</v>
      </c>
      <c r="D37" s="11">
        <v>3.15E-2</v>
      </c>
      <c r="E37" s="10">
        <f t="shared" si="2"/>
        <v>474186.02375334315</v>
      </c>
      <c r="F37" s="3"/>
      <c r="G37" s="28"/>
      <c r="H37" s="10"/>
      <c r="I37" s="10">
        <f t="shared" si="8"/>
        <v>234</v>
      </c>
      <c r="J37" s="10">
        <f t="shared" si="6"/>
        <v>3633484277.4402437</v>
      </c>
      <c r="K37" s="11">
        <f t="shared" si="7"/>
        <v>3.1500000000000083E-2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15053524.563598126</v>
      </c>
      <c r="D38" s="11">
        <v>3.3099999999999997E-2</v>
      </c>
      <c r="E38" s="10">
        <f t="shared" si="2"/>
        <v>482307.29169983231</v>
      </c>
      <c r="F38" s="3"/>
      <c r="G38" s="28"/>
      <c r="H38" s="10"/>
      <c r="I38" s="10">
        <f t="shared" si="8"/>
        <v>234</v>
      </c>
      <c r="J38" s="10">
        <f t="shared" si="6"/>
        <v>3522524747.8819613</v>
      </c>
      <c r="K38" s="11">
        <f t="shared" si="7"/>
        <v>3.3099999999999907E-2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14571217.271898294</v>
      </c>
      <c r="D39" s="11">
        <v>3.4099999999999998E-2</v>
      </c>
      <c r="E39" s="10">
        <f t="shared" si="2"/>
        <v>480493.67466563359</v>
      </c>
      <c r="F39" s="3"/>
      <c r="G39" s="28"/>
      <c r="H39" s="10"/>
      <c r="I39" s="10">
        <f t="shared" si="8"/>
        <v>234</v>
      </c>
      <c r="J39" s="10">
        <f t="shared" si="6"/>
        <v>3409664841.6242008</v>
      </c>
      <c r="K39" s="11">
        <f t="shared" si="7"/>
        <v>3.4100000000000019E-2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14090723.59723266</v>
      </c>
      <c r="D40" s="11">
        <v>3.4299999999999997E-2</v>
      </c>
      <c r="E40" s="10">
        <f t="shared" si="2"/>
        <v>467283.97890851833</v>
      </c>
      <c r="F40" s="3"/>
      <c r="G40" s="28"/>
      <c r="H40" s="10"/>
      <c r="I40" s="10">
        <f t="shared" si="8"/>
        <v>234</v>
      </c>
      <c r="J40" s="10">
        <f t="shared" si="6"/>
        <v>3297229321.7524424</v>
      </c>
      <c r="K40" s="11">
        <f t="shared" si="7"/>
        <v>3.4299999999999997E-2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13623439.618324142</v>
      </c>
      <c r="D41" s="11">
        <v>3.4000000000000002E-2</v>
      </c>
      <c r="E41" s="10">
        <f t="shared" si="2"/>
        <v>447966.09963541664</v>
      </c>
      <c r="F41" s="3"/>
      <c r="G41" s="28"/>
      <c r="H41" s="10"/>
      <c r="I41" s="10">
        <f t="shared" si="8"/>
        <v>234</v>
      </c>
      <c r="J41" s="10">
        <f t="shared" si="6"/>
        <v>3187884870.687849</v>
      </c>
      <c r="K41" s="11">
        <f t="shared" si="7"/>
        <v>3.400000000000003E-2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13175473.518688725</v>
      </c>
      <c r="D42" s="11">
        <v>3.3399999999999999E-2</v>
      </c>
      <c r="E42" s="10">
        <f t="shared" si="2"/>
        <v>425837.83193749189</v>
      </c>
      <c r="F42" s="3"/>
      <c r="G42" s="28"/>
      <c r="H42" s="10"/>
      <c r="I42" s="10">
        <f t="shared" si="8"/>
        <v>234</v>
      </c>
      <c r="J42" s="10">
        <f t="shared" si="6"/>
        <v>3083060803.3731618</v>
      </c>
      <c r="K42" s="11">
        <f t="shared" si="7"/>
        <v>3.3400000000000096E-2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12749635.686751233</v>
      </c>
      <c r="D43" s="11">
        <v>3.27E-2</v>
      </c>
      <c r="E43" s="10">
        <f t="shared" si="2"/>
        <v>403711.71391184814</v>
      </c>
      <c r="F43" s="3"/>
      <c r="G43" s="28"/>
      <c r="H43" s="10"/>
      <c r="I43" s="10">
        <f t="shared" si="8"/>
        <v>234</v>
      </c>
      <c r="J43" s="10">
        <f t="shared" si="6"/>
        <v>2983414750.6997886</v>
      </c>
      <c r="K43" s="11">
        <f t="shared" si="7"/>
        <v>3.2699999999999951E-2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12345923.972839385</v>
      </c>
      <c r="D44" s="11">
        <v>3.2099999999999997E-2</v>
      </c>
      <c r="E44" s="10">
        <f t="shared" si="2"/>
        <v>383978.45124323666</v>
      </c>
      <c r="F44" s="3"/>
      <c r="G44" s="28"/>
      <c r="H44" s="10"/>
      <c r="I44" s="10">
        <f t="shared" si="8"/>
        <v>234</v>
      </c>
      <c r="J44" s="10">
        <f t="shared" si="6"/>
        <v>2888946209.6444163</v>
      </c>
      <c r="K44" s="11">
        <f t="shared" si="7"/>
        <v>3.2100000000000017E-2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11961945.521596149</v>
      </c>
      <c r="D45" s="11">
        <v>3.1600000000000003E-2</v>
      </c>
      <c r="E45" s="10">
        <f t="shared" si="2"/>
        <v>366418.64916870743</v>
      </c>
      <c r="F45" s="3"/>
      <c r="G45" s="28"/>
      <c r="H45" s="10"/>
      <c r="I45" s="10">
        <f t="shared" si="8"/>
        <v>234</v>
      </c>
      <c r="J45" s="10">
        <f t="shared" si="6"/>
        <v>2799095252.0534987</v>
      </c>
      <c r="K45" s="11">
        <f t="shared" si="7"/>
        <v>3.1600000000000072E-2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11595526.872427441</v>
      </c>
      <c r="D46" s="11">
        <v>3.1300000000000001E-2</v>
      </c>
      <c r="E46" s="10">
        <f t="shared" si="2"/>
        <v>351924.74654026888</v>
      </c>
      <c r="F46" s="3"/>
      <c r="G46" s="28"/>
      <c r="H46" s="10"/>
      <c r="I46" s="10">
        <f t="shared" si="8"/>
        <v>234</v>
      </c>
      <c r="J46" s="10">
        <f t="shared" si="6"/>
        <v>2713353288.1480212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11243602.125887172</v>
      </c>
      <c r="D47" s="11">
        <v>3.1099999999999999E-2</v>
      </c>
      <c r="E47" s="10">
        <f t="shared" si="2"/>
        <v>339129.11077013798</v>
      </c>
      <c r="F47" s="3"/>
      <c r="G47" s="28"/>
      <c r="H47" s="10"/>
      <c r="I47" s="10">
        <f t="shared" si="8"/>
        <v>234</v>
      </c>
      <c r="J47" s="10">
        <f t="shared" si="6"/>
        <v>2631002897.4575982</v>
      </c>
      <c r="K47" s="11">
        <f t="shared" si="7"/>
        <v>3.1099999999999905E-2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10904473.015117034</v>
      </c>
      <c r="D48" s="11">
        <v>3.1E-2</v>
      </c>
      <c r="E48" s="10">
        <f t="shared" si="2"/>
        <v>327874.55234590359</v>
      </c>
      <c r="F48" s="3"/>
      <c r="G48" s="28"/>
      <c r="H48" s="10"/>
      <c r="I48" s="10">
        <f t="shared" si="8"/>
        <v>234</v>
      </c>
      <c r="J48" s="10">
        <f t="shared" si="6"/>
        <v>2551646685.5373859</v>
      </c>
      <c r="K48" s="11">
        <f t="shared" si="7"/>
        <v>3.0999999999999917E-2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10576598.462771131</v>
      </c>
      <c r="D49" s="11">
        <v>3.09E-2</v>
      </c>
      <c r="E49" s="10">
        <f t="shared" si="2"/>
        <v>317020.9452901613</v>
      </c>
      <c r="F49" s="3"/>
      <c r="G49" s="28"/>
      <c r="H49" s="10"/>
      <c r="I49" s="10">
        <f t="shared" si="8"/>
        <v>234</v>
      </c>
      <c r="J49" s="10">
        <f t="shared" si="6"/>
        <v>2474924040.2884445</v>
      </c>
      <c r="K49" s="11">
        <f t="shared" si="7"/>
        <v>3.0899999999999928E-2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10259577.517480969</v>
      </c>
      <c r="D50" s="11">
        <v>3.0800000000000001E-2</v>
      </c>
      <c r="E50" s="10">
        <f t="shared" si="2"/>
        <v>306553.15050292388</v>
      </c>
      <c r="F50" s="3"/>
      <c r="G50" s="28"/>
      <c r="H50" s="10"/>
      <c r="I50" s="10">
        <f t="shared" si="8"/>
        <v>234</v>
      </c>
      <c r="J50" s="10">
        <f t="shared" si="6"/>
        <v>2400741139.0905466</v>
      </c>
      <c r="K50" s="11">
        <f t="shared" si="7"/>
        <v>3.0799999999999939E-2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9953024.3669780456</v>
      </c>
      <c r="D51" s="11">
        <v>3.0599999999999999E-2</v>
      </c>
      <c r="E51" s="10">
        <f t="shared" si="2"/>
        <v>295519.64450759627</v>
      </c>
      <c r="F51" s="3"/>
      <c r="G51" s="28"/>
      <c r="H51" s="10"/>
      <c r="I51" s="10">
        <f t="shared" si="8"/>
        <v>234</v>
      </c>
      <c r="J51" s="10">
        <f t="shared" si="6"/>
        <v>2329007701.8728628</v>
      </c>
      <c r="K51" s="11">
        <f t="shared" si="7"/>
        <v>3.0600000000000183E-2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9657504.7224704493</v>
      </c>
      <c r="D52" s="11">
        <v>3.0300000000000001E-2</v>
      </c>
      <c r="E52" s="10">
        <f t="shared" si="2"/>
        <v>284016.68746079318</v>
      </c>
      <c r="F52" s="3"/>
      <c r="G52" s="28"/>
      <c r="H52" s="10"/>
      <c r="I52" s="10">
        <f t="shared" si="8"/>
        <v>234</v>
      </c>
      <c r="J52" s="10">
        <f t="shared" si="6"/>
        <v>2259856105.058085</v>
      </c>
      <c r="K52" s="11">
        <f t="shared" si="7"/>
        <v>3.0299999999999994E-2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9373488.0350096561</v>
      </c>
      <c r="D53" s="11">
        <v>2.9899999999999999E-2</v>
      </c>
      <c r="E53" s="10">
        <f t="shared" si="2"/>
        <v>272130.58767529763</v>
      </c>
      <c r="F53" s="3"/>
      <c r="G53" s="28"/>
      <c r="H53" s="10"/>
      <c r="I53" s="10">
        <f t="shared" si="8"/>
        <v>234</v>
      </c>
      <c r="J53" s="10">
        <f t="shared" si="6"/>
        <v>2193396200.1922593</v>
      </c>
      <c r="K53" s="11">
        <f t="shared" si="7"/>
        <v>2.9899999999999816E-2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9101357.4473343585</v>
      </c>
      <c r="D54" s="11">
        <v>2.9499999999999998E-2</v>
      </c>
      <c r="E54" s="10">
        <f t="shared" si="2"/>
        <v>260796.54657247663</v>
      </c>
      <c r="F54" s="3"/>
      <c r="G54" s="28"/>
      <c r="H54" s="10"/>
      <c r="I54" s="10">
        <f t="shared" si="8"/>
        <v>234</v>
      </c>
      <c r="J54" s="10">
        <f t="shared" si="6"/>
        <v>2129717642.67624</v>
      </c>
      <c r="K54" s="11">
        <f t="shared" si="7"/>
        <v>2.9500000000000304E-2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8840560.9007618818</v>
      </c>
      <c r="D55" s="11">
        <v>2.92E-2</v>
      </c>
      <c r="E55" s="10">
        <f t="shared" si="2"/>
        <v>250820.42198041826</v>
      </c>
      <c r="F55" s="3"/>
      <c r="G55" s="28"/>
      <c r="H55" s="10"/>
      <c r="I55" s="10">
        <f t="shared" si="8"/>
        <v>234</v>
      </c>
      <c r="J55" s="10">
        <f t="shared" si="6"/>
        <v>2068691250.7782803</v>
      </c>
      <c r="K55" s="11">
        <f t="shared" si="7"/>
        <v>2.9199999999999893E-2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8589740.4787814636</v>
      </c>
      <c r="D56" s="11">
        <v>2.9100000000000001E-2</v>
      </c>
      <c r="E56" s="10">
        <f t="shared" si="2"/>
        <v>242893.25423432142</v>
      </c>
      <c r="F56" s="3"/>
      <c r="G56" s="28"/>
      <c r="H56" s="10"/>
      <c r="I56" s="10">
        <f t="shared" si="8"/>
        <v>234</v>
      </c>
      <c r="J56" s="10">
        <f t="shared" si="6"/>
        <v>2009999272.0348625</v>
      </c>
      <c r="K56" s="11">
        <f t="shared" si="7"/>
        <v>2.9099999999999904E-2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8346847.2245471422</v>
      </c>
      <c r="D57" s="11">
        <v>2.92E-2</v>
      </c>
      <c r="E57" s="10">
        <f t="shared" si="2"/>
        <v>236812.99937502481</v>
      </c>
      <c r="F57" s="3"/>
      <c r="G57" s="28"/>
      <c r="H57" s="10"/>
      <c r="I57" s="10">
        <f t="shared" si="8"/>
        <v>234</v>
      </c>
      <c r="J57" s="10">
        <f t="shared" si="6"/>
        <v>1953162250.5440314</v>
      </c>
      <c r="K57" s="11">
        <f t="shared" si="7"/>
        <v>2.9199999999999893E-2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8110034.2251721174</v>
      </c>
      <c r="D58" s="11">
        <v>2.92E-2</v>
      </c>
      <c r="E58" s="10">
        <f t="shared" si="2"/>
        <v>230094.24735233653</v>
      </c>
      <c r="F58" s="3"/>
      <c r="G58" s="28"/>
      <c r="H58" s="10"/>
      <c r="I58" s="10">
        <f t="shared" si="8"/>
        <v>234</v>
      </c>
      <c r="J58" s="10">
        <f t="shared" si="6"/>
        <v>1897748008.6902754</v>
      </c>
      <c r="K58" s="11">
        <f t="shared" si="7"/>
        <v>2.9199999999999893E-2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7879939.9778197808</v>
      </c>
      <c r="D59" s="11">
        <v>2.9100000000000001E-2</v>
      </c>
      <c r="E59" s="10">
        <f t="shared" si="2"/>
        <v>222822.12938932516</v>
      </c>
      <c r="F59" s="3"/>
      <c r="G59" s="28"/>
      <c r="H59" s="10"/>
      <c r="I59" s="10">
        <f t="shared" si="8"/>
        <v>234</v>
      </c>
      <c r="J59" s="10">
        <f t="shared" si="6"/>
        <v>1843905954.8098288</v>
      </c>
      <c r="K59" s="11">
        <f t="shared" si="7"/>
        <v>2.9099999999999904E-2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7657117.8484304557</v>
      </c>
      <c r="D60" s="11">
        <v>2.9000000000000001E-2</v>
      </c>
      <c r="E60" s="10">
        <f t="shared" si="2"/>
        <v>215798.26783720404</v>
      </c>
      <c r="F60" s="3"/>
      <c r="G60" s="28"/>
      <c r="H60" s="10"/>
      <c r="I60" s="10">
        <f t="shared" si="8"/>
        <v>234</v>
      </c>
      <c r="J60" s="10">
        <f t="shared" si="6"/>
        <v>1791765576.5327265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7441319.5805932516</v>
      </c>
      <c r="D61" s="11">
        <v>2.8899999999999999E-2</v>
      </c>
      <c r="E61" s="10">
        <f t="shared" si="2"/>
        <v>209013.64163586777</v>
      </c>
      <c r="F61" s="3"/>
      <c r="G61" s="28"/>
      <c r="H61" s="10"/>
      <c r="I61" s="10">
        <f t="shared" si="8"/>
        <v>234</v>
      </c>
      <c r="J61" s="10">
        <f t="shared" si="6"/>
        <v>1741268781.8588209</v>
      </c>
      <c r="K61" s="11">
        <f t="shared" si="7"/>
        <v>2.8899999999999926E-2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7232305.9389573839</v>
      </c>
      <c r="D62" s="11">
        <v>2.8899999999999999E-2</v>
      </c>
      <c r="E62" s="10">
        <f t="shared" si="2"/>
        <v>203142.81430252455</v>
      </c>
      <c r="F62" s="3"/>
      <c r="G62" s="28"/>
      <c r="H62" s="10"/>
      <c r="I62" s="10">
        <f t="shared" si="8"/>
        <v>234</v>
      </c>
      <c r="J62" s="10">
        <f t="shared" si="6"/>
        <v>1692359589.7160277</v>
      </c>
      <c r="K62" s="11">
        <f t="shared" si="7"/>
        <v>2.8899999999999704E-2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7029163.1246548593</v>
      </c>
      <c r="D63" s="11">
        <v>2.8899999999999999E-2</v>
      </c>
      <c r="E63" s="10">
        <f t="shared" si="2"/>
        <v>197436.88823260274</v>
      </c>
      <c r="F63" s="3"/>
      <c r="G63" s="28"/>
      <c r="H63" s="10"/>
      <c r="I63" s="10">
        <f t="shared" si="8"/>
        <v>234</v>
      </c>
      <c r="J63" s="10">
        <f t="shared" si="6"/>
        <v>1644824171.1692371</v>
      </c>
      <c r="K63" s="11">
        <f t="shared" si="7"/>
        <v>2.8899999999999926E-2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6831726.2364222566</v>
      </c>
      <c r="D64" s="11">
        <v>2.8899999999999999E-2</v>
      </c>
      <c r="E64" s="10">
        <f t="shared" si="2"/>
        <v>191891.23163825739</v>
      </c>
      <c r="F64" s="3"/>
      <c r="G64" s="28"/>
      <c r="H64" s="10"/>
      <c r="I64" s="10">
        <f t="shared" si="8"/>
        <v>234</v>
      </c>
      <c r="J64" s="10">
        <f t="shared" si="6"/>
        <v>1598623939.322808</v>
      </c>
      <c r="K64" s="11">
        <f t="shared" si="7"/>
        <v>2.8899999999999926E-2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6639835.0047839992</v>
      </c>
      <c r="D65" s="11">
        <v>2.8799999999999999E-2</v>
      </c>
      <c r="E65" s="10">
        <f t="shared" si="2"/>
        <v>185874.07478399947</v>
      </c>
      <c r="F65" s="3"/>
      <c r="G65" s="28"/>
      <c r="H65" s="10"/>
      <c r="I65" s="10">
        <f t="shared" si="8"/>
        <v>234</v>
      </c>
      <c r="J65" s="10">
        <f t="shared" si="6"/>
        <v>1553721391.1194558</v>
      </c>
      <c r="K65" s="11">
        <f t="shared" si="7"/>
        <v>2.8799999999999937E-2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6453960.9299999997</v>
      </c>
      <c r="D66" s="11">
        <v>2.87E-2</v>
      </c>
      <c r="E66" s="10">
        <f t="shared" si="2"/>
        <v>180060.9299999997</v>
      </c>
      <c r="F66" s="24">
        <f>SUM(F2)</f>
        <v>45062542</v>
      </c>
      <c r="G66" s="28"/>
      <c r="H66" s="10"/>
      <c r="I66" s="10">
        <f t="shared" si="8"/>
        <v>234</v>
      </c>
      <c r="J66" s="10">
        <f t="shared" ref="J66:J67" si="9">IF(I66="","",I66*C66)</f>
        <v>1510226857.6199999</v>
      </c>
      <c r="K66" s="11">
        <f t="shared" ref="K66" si="10">IFERROR(J66/J67-1,"")</f>
        <v>2.8699999999999948E-2</v>
      </c>
    </row>
    <row r="67" spans="1:11" ht="22.5" customHeight="1">
      <c r="A67" s="3">
        <f t="shared" si="0"/>
        <v>1950</v>
      </c>
      <c r="B67" s="3">
        <v>1700</v>
      </c>
      <c r="C67" s="10">
        <v>6273900</v>
      </c>
      <c r="D67" s="11">
        <v>2.8400000000000002E-2</v>
      </c>
      <c r="E67" s="3" t="s">
        <v>72</v>
      </c>
      <c r="F67" s="10">
        <f>SUM(C2)</f>
        <v>45062459.972715989</v>
      </c>
      <c r="G67" s="28"/>
      <c r="H67" s="10"/>
      <c r="I67" s="10">
        <f t="shared" ref="I67" si="11">IF(H67&lt;&gt;"",H67,I66/(1+IF(G66="",0,G66)/100))</f>
        <v>234</v>
      </c>
      <c r="J67" s="10">
        <f t="shared" si="9"/>
        <v>1468092600</v>
      </c>
      <c r="K67" s="11"/>
    </row>
  </sheetData>
  <dataValidations count="1">
    <dataValidation type="custom" allowBlank="1" showDropDown="1" sqref="D2:D67" xr:uid="{00000000-0002-0000-8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11247548.07240485</v>
      </c>
      <c r="D2" s="11">
        <v>2.7199999999999998E-2</v>
      </c>
      <c r="E2" s="10">
        <f t="shared" ref="E2:E66" si="2">SUM(C2-C3)</f>
        <v>297832.26983003318</v>
      </c>
      <c r="F2" s="15">
        <v>11247660</v>
      </c>
      <c r="G2" s="28"/>
      <c r="H2" s="10"/>
      <c r="I2" s="10">
        <f>IF(H2&lt;&gt;"",H2,1782)</f>
        <v>1782</v>
      </c>
      <c r="J2" s="10">
        <f t="shared" ref="J2:J33" si="3">IF(I2="","",I2*C2)</f>
        <v>20043130665.025444</v>
      </c>
      <c r="K2" s="11">
        <f t="shared" ref="K2:K33" si="4">IFERROR(J2/J3-1,"")</f>
        <v>2.7199999999999891E-2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10949715.802574817</v>
      </c>
      <c r="D3" s="11">
        <v>2.7199999999999998E-2</v>
      </c>
      <c r="E3" s="10">
        <f t="shared" si="2"/>
        <v>289945.74555104598</v>
      </c>
      <c r="F3" s="3"/>
      <c r="G3" s="28"/>
      <c r="H3" s="10"/>
      <c r="I3" s="10">
        <f t="shared" ref="I3:I34" si="5">IF(H3&lt;&gt;"",H3,I2/(1+IF(G2="",0,G2)/100))</f>
        <v>1782</v>
      </c>
      <c r="J3" s="10">
        <f t="shared" si="3"/>
        <v>19512393560.188324</v>
      </c>
      <c r="K3" s="11">
        <f t="shared" si="4"/>
        <v>2.7199999999999891E-2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10659770.057023771</v>
      </c>
      <c r="D4" s="11">
        <v>2.76E-2</v>
      </c>
      <c r="E4" s="10">
        <f t="shared" si="2"/>
        <v>286307.56478576921</v>
      </c>
      <c r="F4" s="3"/>
      <c r="G4" s="28"/>
      <c r="H4" s="10"/>
      <c r="I4" s="10">
        <f t="shared" si="5"/>
        <v>1782</v>
      </c>
      <c r="J4" s="10">
        <f t="shared" si="3"/>
        <v>18995710241.61636</v>
      </c>
      <c r="K4" s="11">
        <f t="shared" si="4"/>
        <v>2.7600000000000069E-2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10373462.492238002</v>
      </c>
      <c r="D5" s="11">
        <v>2.8400000000000002E-2</v>
      </c>
      <c r="E5" s="10">
        <f t="shared" si="2"/>
        <v>286470.57057522237</v>
      </c>
      <c r="F5" s="3"/>
      <c r="G5" s="28"/>
      <c r="H5" s="10"/>
      <c r="I5" s="10">
        <f t="shared" si="5"/>
        <v>1782</v>
      </c>
      <c r="J5" s="10">
        <f t="shared" si="3"/>
        <v>18485510161.168118</v>
      </c>
      <c r="K5" s="11">
        <f t="shared" si="4"/>
        <v>2.8399999999999981E-2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10086991.92166278</v>
      </c>
      <c r="D6" s="11">
        <v>2.8799999999999999E-2</v>
      </c>
      <c r="E6" s="10">
        <f t="shared" si="2"/>
        <v>282373.02424561419</v>
      </c>
      <c r="F6" s="3"/>
      <c r="G6" s="28"/>
      <c r="H6" s="10"/>
      <c r="I6" s="10">
        <f t="shared" si="5"/>
        <v>1782</v>
      </c>
      <c r="J6" s="10">
        <f t="shared" si="3"/>
        <v>17975019604.403072</v>
      </c>
      <c r="K6" s="11">
        <f t="shared" si="4"/>
        <v>2.8799999999999937E-2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9804618.8974171653</v>
      </c>
      <c r="D7" s="11">
        <v>2.8799999999999999E-2</v>
      </c>
      <c r="E7" s="10">
        <f t="shared" si="2"/>
        <v>274468.33616408892</v>
      </c>
      <c r="F7" s="3"/>
      <c r="G7" s="28"/>
      <c r="H7" s="10"/>
      <c r="I7" s="10">
        <f t="shared" si="5"/>
        <v>1782</v>
      </c>
      <c r="J7" s="10">
        <f t="shared" si="3"/>
        <v>17471830875.197388</v>
      </c>
      <c r="K7" s="11">
        <f t="shared" si="4"/>
        <v>2.8799999999999937E-2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9530150.5612530764</v>
      </c>
      <c r="D8" s="11">
        <v>2.8799999999999999E-2</v>
      </c>
      <c r="E8" s="10">
        <f t="shared" si="2"/>
        <v>266784.93017504737</v>
      </c>
      <c r="F8" s="3"/>
      <c r="G8" s="28"/>
      <c r="H8" s="10"/>
      <c r="I8" s="10">
        <f t="shared" si="5"/>
        <v>1782</v>
      </c>
      <c r="J8" s="10">
        <f t="shared" si="3"/>
        <v>16982728300.152983</v>
      </c>
      <c r="K8" s="11">
        <f t="shared" si="4"/>
        <v>2.8800000000000159E-2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9263365.6310780291</v>
      </c>
      <c r="D9" s="11">
        <v>2.9399999999999999E-2</v>
      </c>
      <c r="E9" s="10">
        <f t="shared" si="2"/>
        <v>264564.74602068588</v>
      </c>
      <c r="F9" s="3"/>
      <c r="G9" s="28"/>
      <c r="H9" s="10"/>
      <c r="I9" s="10">
        <f t="shared" si="5"/>
        <v>1782</v>
      </c>
      <c r="J9" s="10">
        <f t="shared" si="3"/>
        <v>16507317554.581047</v>
      </c>
      <c r="K9" s="11">
        <f t="shared" si="4"/>
        <v>2.9399999999999871E-2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8998800.8850573432</v>
      </c>
      <c r="D10" s="11">
        <v>2.9700000000000001E-2</v>
      </c>
      <c r="E10" s="10">
        <f t="shared" si="2"/>
        <v>259555.58539982885</v>
      </c>
      <c r="F10" s="3"/>
      <c r="G10" s="28"/>
      <c r="H10" s="10"/>
      <c r="I10" s="10">
        <f t="shared" si="5"/>
        <v>1782</v>
      </c>
      <c r="J10" s="10">
        <f t="shared" si="3"/>
        <v>16035863177.172186</v>
      </c>
      <c r="K10" s="11">
        <f t="shared" si="4"/>
        <v>2.970000000000006E-2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8739245.2996575143</v>
      </c>
      <c r="D11" s="11">
        <v>2.98E-2</v>
      </c>
      <c r="E11" s="10">
        <f t="shared" si="2"/>
        <v>252893.28989104182</v>
      </c>
      <c r="F11" s="3"/>
      <c r="G11" s="28"/>
      <c r="H11" s="10"/>
      <c r="I11" s="10">
        <f t="shared" si="5"/>
        <v>1782</v>
      </c>
      <c r="J11" s="10">
        <f t="shared" si="3"/>
        <v>15573335123.989691</v>
      </c>
      <c r="K11" s="11">
        <f t="shared" si="4"/>
        <v>2.9800000000000049E-2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8486352.0097664725</v>
      </c>
      <c r="D12" s="11">
        <v>3.0099999999999998E-2</v>
      </c>
      <c r="E12" s="10">
        <f t="shared" si="2"/>
        <v>247975.14366951864</v>
      </c>
      <c r="F12" s="3"/>
      <c r="G12" s="28"/>
      <c r="H12" s="10"/>
      <c r="I12" s="10">
        <f t="shared" si="5"/>
        <v>1782</v>
      </c>
      <c r="J12" s="10">
        <f t="shared" si="3"/>
        <v>15122679281.403854</v>
      </c>
      <c r="K12" s="11">
        <f t="shared" si="4"/>
        <v>3.0100000000000016E-2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8238376.8660969539</v>
      </c>
      <c r="D13" s="11">
        <v>3.04E-2</v>
      </c>
      <c r="E13" s="10">
        <f t="shared" si="2"/>
        <v>243057.70257118344</v>
      </c>
      <c r="F13" s="3"/>
      <c r="G13" s="28"/>
      <c r="H13" s="10"/>
      <c r="I13" s="10">
        <f t="shared" si="5"/>
        <v>1782</v>
      </c>
      <c r="J13" s="10">
        <f t="shared" si="3"/>
        <v>14680787575.384771</v>
      </c>
      <c r="K13" s="11">
        <f t="shared" si="4"/>
        <v>3.0399999999999983E-2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7995319.1635257704</v>
      </c>
      <c r="D14" s="11">
        <v>3.0700000000000002E-2</v>
      </c>
      <c r="E14" s="10">
        <f t="shared" si="2"/>
        <v>238145.2394685559</v>
      </c>
      <c r="F14" s="3"/>
      <c r="G14" s="28"/>
      <c r="H14" s="10"/>
      <c r="I14" s="10">
        <f t="shared" si="5"/>
        <v>1782</v>
      </c>
      <c r="J14" s="10">
        <f t="shared" si="3"/>
        <v>14247658749.402924</v>
      </c>
      <c r="K14" s="11">
        <f t="shared" si="4"/>
        <v>3.069999999999995E-2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7757173.9240572145</v>
      </c>
      <c r="D15" s="11">
        <v>3.09E-2</v>
      </c>
      <c r="E15" s="10">
        <f t="shared" si="2"/>
        <v>232512.05185116641</v>
      </c>
      <c r="F15" s="3"/>
      <c r="G15" s="28"/>
      <c r="H15" s="10"/>
      <c r="I15" s="10">
        <f t="shared" si="5"/>
        <v>1782</v>
      </c>
      <c r="J15" s="10">
        <f t="shared" si="3"/>
        <v>13823283932.669956</v>
      </c>
      <c r="K15" s="11">
        <f t="shared" si="4"/>
        <v>3.0899999999999928E-2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7524661.8722060481</v>
      </c>
      <c r="D16" s="11">
        <v>3.0800000000000001E-2</v>
      </c>
      <c r="E16" s="10">
        <f t="shared" si="2"/>
        <v>224834.6775940489</v>
      </c>
      <c r="F16" s="3"/>
      <c r="G16" s="28"/>
      <c r="H16" s="10"/>
      <c r="I16" s="10">
        <f t="shared" si="5"/>
        <v>1782</v>
      </c>
      <c r="J16" s="10">
        <f t="shared" si="3"/>
        <v>13408947456.271177</v>
      </c>
      <c r="K16" s="11">
        <f t="shared" si="4"/>
        <v>3.0799999999999939E-2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7299827.1946119992</v>
      </c>
      <c r="D17" s="11">
        <v>3.1199999999999999E-2</v>
      </c>
      <c r="E17" s="10">
        <f t="shared" si="2"/>
        <v>220863.66221091338</v>
      </c>
      <c r="F17" s="3"/>
      <c r="G17" s="28"/>
      <c r="H17" s="10"/>
      <c r="I17" s="10">
        <f t="shared" si="5"/>
        <v>1782</v>
      </c>
      <c r="J17" s="10">
        <f t="shared" si="3"/>
        <v>13008292060.798582</v>
      </c>
      <c r="K17" s="11">
        <f t="shared" si="4"/>
        <v>3.1199999999999894E-2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7078963.5324010858</v>
      </c>
      <c r="D18" s="11">
        <v>3.1699999999999999E-2</v>
      </c>
      <c r="E18" s="10">
        <f t="shared" si="2"/>
        <v>217508.1360638896</v>
      </c>
      <c r="F18" s="3"/>
      <c r="G18" s="28"/>
      <c r="H18" s="10"/>
      <c r="I18" s="10">
        <f t="shared" si="5"/>
        <v>1782</v>
      </c>
      <c r="J18" s="10">
        <f t="shared" si="3"/>
        <v>12614713014.738735</v>
      </c>
      <c r="K18" s="11">
        <f t="shared" si="4"/>
        <v>3.1700000000000061E-2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6861455.3963371962</v>
      </c>
      <c r="D19" s="11">
        <v>3.1899999999999998E-2</v>
      </c>
      <c r="E19" s="10">
        <f t="shared" si="2"/>
        <v>212113.99083550461</v>
      </c>
      <c r="F19" s="3"/>
      <c r="G19" s="28"/>
      <c r="H19" s="10"/>
      <c r="I19" s="10">
        <f t="shared" si="5"/>
        <v>1782</v>
      </c>
      <c r="J19" s="10">
        <f t="shared" si="3"/>
        <v>12227113516.272884</v>
      </c>
      <c r="K19" s="11">
        <f t="shared" si="4"/>
        <v>3.1900000000000039E-2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6649341.4055016916</v>
      </c>
      <c r="D20" s="11">
        <v>3.2599999999999997E-2</v>
      </c>
      <c r="E20" s="10">
        <f t="shared" si="2"/>
        <v>209924.97561432794</v>
      </c>
      <c r="F20" s="3"/>
      <c r="G20" s="28"/>
      <c r="H20" s="10"/>
      <c r="I20" s="10">
        <f t="shared" si="5"/>
        <v>1782</v>
      </c>
      <c r="J20" s="10">
        <f t="shared" si="3"/>
        <v>11849126384.604015</v>
      </c>
      <c r="K20" s="11">
        <f t="shared" si="4"/>
        <v>3.2599999999999962E-2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6439416.4298873637</v>
      </c>
      <c r="D21" s="11">
        <v>3.3500000000000002E-2</v>
      </c>
      <c r="E21" s="10">
        <f t="shared" si="2"/>
        <v>208728.0603785459</v>
      </c>
      <c r="F21" s="3"/>
      <c r="G21" s="28"/>
      <c r="H21" s="10"/>
      <c r="I21" s="10">
        <f t="shared" si="5"/>
        <v>1782</v>
      </c>
      <c r="J21" s="10">
        <f t="shared" si="3"/>
        <v>11475040078.059282</v>
      </c>
      <c r="K21" s="11">
        <f t="shared" si="4"/>
        <v>3.3500000000000085E-2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6230688.3695088178</v>
      </c>
      <c r="D22" s="11">
        <v>3.4599999999999999E-2</v>
      </c>
      <c r="E22" s="10">
        <f t="shared" si="2"/>
        <v>208372.14148946945</v>
      </c>
      <c r="F22" s="3"/>
      <c r="G22" s="28"/>
      <c r="H22" s="10"/>
      <c r="I22" s="10">
        <f t="shared" si="5"/>
        <v>1782</v>
      </c>
      <c r="J22" s="10">
        <f t="shared" si="3"/>
        <v>11103086674.464714</v>
      </c>
      <c r="K22" s="11">
        <f t="shared" si="4"/>
        <v>3.4600000000000186E-2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6022316.2280193483</v>
      </c>
      <c r="D23" s="11">
        <v>3.5400000000000001E-2</v>
      </c>
      <c r="E23" s="10">
        <f t="shared" si="2"/>
        <v>205901.09568464849</v>
      </c>
      <c r="F23" s="3"/>
      <c r="G23" s="28"/>
      <c r="H23" s="10"/>
      <c r="I23" s="10">
        <f t="shared" si="5"/>
        <v>1782</v>
      </c>
      <c r="J23" s="10">
        <f t="shared" si="3"/>
        <v>10731767518.330479</v>
      </c>
      <c r="K23" s="11">
        <f t="shared" si="4"/>
        <v>3.5400000000000098E-2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5816415.1323346999</v>
      </c>
      <c r="D24" s="11">
        <v>3.5799999999999998E-2</v>
      </c>
      <c r="E24" s="10">
        <f t="shared" si="2"/>
        <v>201030.76051127911</v>
      </c>
      <c r="F24" s="3"/>
      <c r="G24" s="28"/>
      <c r="H24" s="10"/>
      <c r="I24" s="10">
        <f t="shared" si="5"/>
        <v>1782</v>
      </c>
      <c r="J24" s="10">
        <f t="shared" si="3"/>
        <v>10364851765.820435</v>
      </c>
      <c r="K24" s="11">
        <f t="shared" si="4"/>
        <v>3.5800000000000054E-2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5615384.3718234207</v>
      </c>
      <c r="D25" s="11">
        <v>4.2999999999999997E-2</v>
      </c>
      <c r="E25" s="10">
        <f t="shared" si="2"/>
        <v>231506.73824391793</v>
      </c>
      <c r="F25" s="3"/>
      <c r="G25" s="28"/>
      <c r="H25" s="10"/>
      <c r="I25" s="10">
        <f t="shared" si="5"/>
        <v>1782</v>
      </c>
      <c r="J25" s="10">
        <f t="shared" si="3"/>
        <v>10006614950.589336</v>
      </c>
      <c r="K25" s="11">
        <f t="shared" si="4"/>
        <v>4.2999999999999927E-2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5383877.6335795028</v>
      </c>
      <c r="D26" s="11">
        <v>4.4299999999999999E-2</v>
      </c>
      <c r="E26" s="10">
        <f t="shared" si="2"/>
        <v>228388.1826750664</v>
      </c>
      <c r="F26" s="3"/>
      <c r="G26" s="28"/>
      <c r="H26" s="10"/>
      <c r="I26" s="10">
        <f t="shared" si="5"/>
        <v>1782</v>
      </c>
      <c r="J26" s="10">
        <f t="shared" si="3"/>
        <v>9594069943.0386734</v>
      </c>
      <c r="K26" s="11">
        <f t="shared" si="4"/>
        <v>4.4300000000000006E-2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5155489.4509044364</v>
      </c>
      <c r="D27" s="11">
        <v>3.7699999999999997E-2</v>
      </c>
      <c r="E27" s="10">
        <f t="shared" si="2"/>
        <v>187300.71533111483</v>
      </c>
      <c r="F27" s="3"/>
      <c r="G27" s="28"/>
      <c r="H27" s="10"/>
      <c r="I27" s="10">
        <f t="shared" si="5"/>
        <v>1782</v>
      </c>
      <c r="J27" s="10">
        <f t="shared" si="3"/>
        <v>9187082201.5117054</v>
      </c>
      <c r="K27" s="11">
        <f t="shared" si="4"/>
        <v>3.7700000000000067E-2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4968188.7355733216</v>
      </c>
      <c r="D28" s="11">
        <v>3.9199999999999999E-2</v>
      </c>
      <c r="E28" s="10">
        <f t="shared" si="2"/>
        <v>187406.65746196453</v>
      </c>
      <c r="F28" s="3"/>
      <c r="G28" s="28"/>
      <c r="H28" s="10"/>
      <c r="I28" s="10">
        <f t="shared" si="5"/>
        <v>1782</v>
      </c>
      <c r="J28" s="10">
        <f t="shared" si="3"/>
        <v>8853312326.7916584</v>
      </c>
      <c r="K28" s="11">
        <f t="shared" si="4"/>
        <v>3.9199999999999902E-2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4780782.0781113571</v>
      </c>
      <c r="D29" s="11">
        <v>3.9800000000000002E-2</v>
      </c>
      <c r="E29" s="10">
        <f t="shared" si="2"/>
        <v>182992.04338221997</v>
      </c>
      <c r="F29" s="3"/>
      <c r="G29" s="28"/>
      <c r="H29" s="10"/>
      <c r="I29" s="10">
        <f t="shared" si="5"/>
        <v>1782</v>
      </c>
      <c r="J29" s="10">
        <f t="shared" si="3"/>
        <v>8519353663.194438</v>
      </c>
      <c r="K29" s="11">
        <f t="shared" si="4"/>
        <v>3.9800000000000058E-2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4597790.0347291371</v>
      </c>
      <c r="D30" s="11">
        <v>3.4700000000000002E-2</v>
      </c>
      <c r="E30" s="10">
        <f t="shared" si="2"/>
        <v>154192.82323871739</v>
      </c>
      <c r="F30" s="3"/>
      <c r="G30" s="28"/>
      <c r="H30" s="10"/>
      <c r="I30" s="10">
        <f t="shared" si="5"/>
        <v>1782</v>
      </c>
      <c r="J30" s="10">
        <f t="shared" si="3"/>
        <v>8193261841.8873224</v>
      </c>
      <c r="K30" s="11">
        <f t="shared" si="4"/>
        <v>3.4699999999999953E-2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4443597.2114904197</v>
      </c>
      <c r="D31" s="11">
        <v>0.03</v>
      </c>
      <c r="E31" s="10">
        <f t="shared" si="2"/>
        <v>129425.161499721</v>
      </c>
      <c r="F31" s="3"/>
      <c r="G31" s="28"/>
      <c r="H31" s="10"/>
      <c r="I31" s="10">
        <f t="shared" si="5"/>
        <v>1782</v>
      </c>
      <c r="J31" s="10">
        <f t="shared" si="3"/>
        <v>7918490230.8759279</v>
      </c>
      <c r="K31" s="11">
        <f t="shared" si="4"/>
        <v>3.0000000000000027E-2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4314172.0499906987</v>
      </c>
      <c r="D32" s="11">
        <v>2.86E-2</v>
      </c>
      <c r="E32" s="10">
        <f t="shared" si="2"/>
        <v>119954.61853950378</v>
      </c>
      <c r="F32" s="3"/>
      <c r="G32" s="28"/>
      <c r="H32" s="10"/>
      <c r="I32" s="10">
        <f t="shared" si="5"/>
        <v>1782</v>
      </c>
      <c r="J32" s="10">
        <f t="shared" si="3"/>
        <v>7687854593.0834255</v>
      </c>
      <c r="K32" s="11">
        <f t="shared" si="4"/>
        <v>2.8599999999999959E-2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4194217.4314511949</v>
      </c>
      <c r="D33" s="11">
        <v>2.64E-2</v>
      </c>
      <c r="E33" s="10">
        <f t="shared" si="2"/>
        <v>107879.32598432526</v>
      </c>
      <c r="F33" s="3"/>
      <c r="G33" s="28"/>
      <c r="H33" s="10"/>
      <c r="I33" s="10">
        <f t="shared" si="5"/>
        <v>1782</v>
      </c>
      <c r="J33" s="10">
        <f t="shared" si="3"/>
        <v>7474095462.8460293</v>
      </c>
      <c r="K33" s="11">
        <f t="shared" si="4"/>
        <v>2.6399999999999979E-2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4086338.1054668697</v>
      </c>
      <c r="D34" s="11">
        <v>2.8299999999999999E-2</v>
      </c>
      <c r="E34" s="10">
        <f t="shared" si="2"/>
        <v>112460.72973326128</v>
      </c>
      <c r="F34" s="3"/>
      <c r="G34" s="28"/>
      <c r="H34" s="10"/>
      <c r="I34" s="10">
        <f t="shared" si="5"/>
        <v>1782</v>
      </c>
      <c r="J34" s="10">
        <f t="shared" ref="J34:J65" si="6">IF(I34="","",I34*C34)</f>
        <v>7281854503.9419613</v>
      </c>
      <c r="K34" s="11">
        <f t="shared" ref="K34:K65" si="7">IFERROR(J34/J35-1,"")</f>
        <v>2.8299999999999992E-2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3973877.3757336084</v>
      </c>
      <c r="D35" s="11">
        <v>3.9600000000000003E-2</v>
      </c>
      <c r="E35" s="10">
        <f t="shared" si="2"/>
        <v>151371.24286172679</v>
      </c>
      <c r="F35" s="3"/>
      <c r="G35" s="28"/>
      <c r="H35" s="10"/>
      <c r="I35" s="10">
        <f t="shared" ref="I35:I66" si="8">IF(H35&lt;&gt;"",H35,I34/(1+IF(G34="",0,G34)/100))</f>
        <v>1782</v>
      </c>
      <c r="J35" s="10">
        <f t="shared" si="6"/>
        <v>7081449483.5572901</v>
      </c>
      <c r="K35" s="11">
        <f t="shared" si="7"/>
        <v>3.960000000000008E-2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3822506.1328718816</v>
      </c>
      <c r="D36" s="11">
        <v>2.5399999999999999E-2</v>
      </c>
      <c r="E36" s="10">
        <f t="shared" si="2"/>
        <v>94686.615735270083</v>
      </c>
      <c r="F36" s="3"/>
      <c r="G36" s="28"/>
      <c r="H36" s="10"/>
      <c r="I36" s="10">
        <f t="shared" si="8"/>
        <v>1782</v>
      </c>
      <c r="J36" s="10">
        <f t="shared" si="6"/>
        <v>6811705928.7776928</v>
      </c>
      <c r="K36" s="11">
        <f t="shared" si="7"/>
        <v>2.5400000000000089E-2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3727819.5171366115</v>
      </c>
      <c r="D37" s="11">
        <v>5.4999999999999997E-3</v>
      </c>
      <c r="E37" s="10">
        <f t="shared" si="2"/>
        <v>20390.857627301477</v>
      </c>
      <c r="F37" s="3"/>
      <c r="G37" s="28"/>
      <c r="H37" s="10"/>
      <c r="I37" s="10">
        <f t="shared" si="8"/>
        <v>1782</v>
      </c>
      <c r="J37" s="10">
        <f t="shared" si="6"/>
        <v>6642974379.5374413</v>
      </c>
      <c r="K37" s="11">
        <f t="shared" si="7"/>
        <v>5.5000000000000604E-3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3707428.65950931</v>
      </c>
      <c r="D38" s="11">
        <v>1.49E-2</v>
      </c>
      <c r="E38" s="10">
        <f t="shared" si="2"/>
        <v>54429.684724296443</v>
      </c>
      <c r="F38" s="3"/>
      <c r="G38" s="28"/>
      <c r="H38" s="10"/>
      <c r="I38" s="10">
        <f t="shared" si="8"/>
        <v>1782</v>
      </c>
      <c r="J38" s="10">
        <f t="shared" si="6"/>
        <v>6606637871.2455902</v>
      </c>
      <c r="K38" s="11">
        <f t="shared" si="7"/>
        <v>1.4899999999999913E-2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3652998.9747850136</v>
      </c>
      <c r="D39" s="11">
        <v>1.7100000000000001E-2</v>
      </c>
      <c r="E39" s="10">
        <f t="shared" si="2"/>
        <v>61416.067710965872</v>
      </c>
      <c r="F39" s="3"/>
      <c r="G39" s="28"/>
      <c r="H39" s="10"/>
      <c r="I39" s="10">
        <f t="shared" si="8"/>
        <v>1782</v>
      </c>
      <c r="J39" s="10">
        <f t="shared" si="6"/>
        <v>6509644173.0668945</v>
      </c>
      <c r="K39" s="11">
        <f t="shared" si="7"/>
        <v>1.7099999999999893E-2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3591582.9070740477</v>
      </c>
      <c r="D40" s="11">
        <v>1.95E-2</v>
      </c>
      <c r="E40" s="10">
        <f t="shared" si="2"/>
        <v>68696.28905144101</v>
      </c>
      <c r="F40" s="3"/>
      <c r="G40" s="28"/>
      <c r="H40" s="10"/>
      <c r="I40" s="10">
        <f t="shared" si="8"/>
        <v>1782</v>
      </c>
      <c r="J40" s="10">
        <f t="shared" si="6"/>
        <v>6400200740.4059534</v>
      </c>
      <c r="K40" s="11">
        <f t="shared" si="7"/>
        <v>1.9500000000000073E-2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3522886.6180226067</v>
      </c>
      <c r="D41" s="11">
        <v>2.5600000000000001E-2</v>
      </c>
      <c r="E41" s="10">
        <f t="shared" si="2"/>
        <v>87934.767376539763</v>
      </c>
      <c r="F41" s="3"/>
      <c r="G41" s="28"/>
      <c r="H41" s="10"/>
      <c r="I41" s="10">
        <f t="shared" si="8"/>
        <v>1782</v>
      </c>
      <c r="J41" s="10">
        <f t="shared" si="6"/>
        <v>6277783953.3162851</v>
      </c>
      <c r="K41" s="11">
        <f t="shared" si="7"/>
        <v>2.5600000000000067E-2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3434951.8506460669</v>
      </c>
      <c r="D42" s="11">
        <v>2.47E-2</v>
      </c>
      <c r="E42" s="10">
        <f t="shared" si="2"/>
        <v>82798.195287359878</v>
      </c>
      <c r="F42" s="3"/>
      <c r="G42" s="28"/>
      <c r="H42" s="10"/>
      <c r="I42" s="10">
        <f t="shared" si="8"/>
        <v>1782</v>
      </c>
      <c r="J42" s="10">
        <f t="shared" si="6"/>
        <v>6121084197.8512917</v>
      </c>
      <c r="K42" s="11">
        <f t="shared" si="7"/>
        <v>2.4699999999999944E-2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3352153.6553587071</v>
      </c>
      <c r="D43" s="11">
        <v>2.6200000000000001E-2</v>
      </c>
      <c r="E43" s="10">
        <f t="shared" si="2"/>
        <v>85584.121779768262</v>
      </c>
      <c r="F43" s="3"/>
      <c r="G43" s="28"/>
      <c r="H43" s="10"/>
      <c r="I43" s="10">
        <f t="shared" si="8"/>
        <v>1782</v>
      </c>
      <c r="J43" s="10">
        <f t="shared" si="6"/>
        <v>5973537813.8492165</v>
      </c>
      <c r="K43" s="11">
        <f t="shared" si="7"/>
        <v>2.6200000000000001E-2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3266569.5335789388</v>
      </c>
      <c r="D44" s="11">
        <v>2.7E-2</v>
      </c>
      <c r="E44" s="10">
        <f t="shared" si="2"/>
        <v>85878.653755239677</v>
      </c>
      <c r="F44" s="3"/>
      <c r="G44" s="28"/>
      <c r="H44" s="10"/>
      <c r="I44" s="10">
        <f t="shared" si="8"/>
        <v>1782</v>
      </c>
      <c r="J44" s="10">
        <f t="shared" si="6"/>
        <v>5821026908.8376694</v>
      </c>
      <c r="K44" s="11">
        <f t="shared" si="7"/>
        <v>2.6999999999999913E-2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3180690.8798236991</v>
      </c>
      <c r="D45" s="11">
        <v>2.7099999999999999E-2</v>
      </c>
      <c r="E45" s="10">
        <f t="shared" si="2"/>
        <v>83922.425122404937</v>
      </c>
      <c r="F45" s="3"/>
      <c r="G45" s="28"/>
      <c r="H45" s="10"/>
      <c r="I45" s="10">
        <f t="shared" si="8"/>
        <v>1782</v>
      </c>
      <c r="J45" s="10">
        <f t="shared" si="6"/>
        <v>5667991147.8458319</v>
      </c>
      <c r="K45" s="11">
        <f t="shared" si="7"/>
        <v>2.7099999999999902E-2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3096768.4547012942</v>
      </c>
      <c r="D46" s="11">
        <v>2.7699999999999999E-2</v>
      </c>
      <c r="E46" s="10">
        <f t="shared" si="2"/>
        <v>83468.411204851698</v>
      </c>
      <c r="F46" s="3"/>
      <c r="G46" s="28"/>
      <c r="H46" s="10"/>
      <c r="I46" s="10">
        <f t="shared" si="8"/>
        <v>1782</v>
      </c>
      <c r="J46" s="10">
        <f t="shared" si="6"/>
        <v>5518441386.2777061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3013300.0434964425</v>
      </c>
      <c r="D47" s="11">
        <v>2.7900000000000001E-2</v>
      </c>
      <c r="E47" s="10">
        <f t="shared" si="2"/>
        <v>81789.153821919113</v>
      </c>
      <c r="F47" s="3"/>
      <c r="G47" s="28"/>
      <c r="H47" s="10"/>
      <c r="I47" s="10">
        <f t="shared" si="8"/>
        <v>1782</v>
      </c>
      <c r="J47" s="10">
        <f t="shared" si="6"/>
        <v>5369700677.5106602</v>
      </c>
      <c r="K47" s="11">
        <f t="shared" si="7"/>
        <v>2.7899999999999814E-2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2931510.8896745234</v>
      </c>
      <c r="D48" s="11">
        <v>2.7900000000000001E-2</v>
      </c>
      <c r="E48" s="10">
        <f t="shared" si="2"/>
        <v>79569.173870920669</v>
      </c>
      <c r="F48" s="3"/>
      <c r="G48" s="28"/>
      <c r="H48" s="10"/>
      <c r="I48" s="10">
        <f t="shared" si="8"/>
        <v>1782</v>
      </c>
      <c r="J48" s="10">
        <f t="shared" si="6"/>
        <v>5223952405.4000006</v>
      </c>
      <c r="K48" s="11">
        <f t="shared" si="7"/>
        <v>2.7900000000000036E-2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2851941.7158036027</v>
      </c>
      <c r="D49" s="11">
        <v>2.8000000000000001E-2</v>
      </c>
      <c r="E49" s="10">
        <f t="shared" si="2"/>
        <v>77679.346344845369</v>
      </c>
      <c r="F49" s="3"/>
      <c r="G49" s="28"/>
      <c r="H49" s="10"/>
      <c r="I49" s="10">
        <f t="shared" si="8"/>
        <v>1782</v>
      </c>
      <c r="J49" s="10">
        <f t="shared" si="6"/>
        <v>5082160137.5620203</v>
      </c>
      <c r="K49" s="11">
        <f t="shared" si="7"/>
        <v>2.8000000000000247E-2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2774262.3694587573</v>
      </c>
      <c r="D50" s="11">
        <v>2.6800000000000001E-2</v>
      </c>
      <c r="E50" s="10">
        <f t="shared" si="2"/>
        <v>72409.652806286234</v>
      </c>
      <c r="F50" s="3"/>
      <c r="G50" s="28"/>
      <c r="H50" s="10"/>
      <c r="I50" s="10">
        <f t="shared" si="8"/>
        <v>1782</v>
      </c>
      <c r="J50" s="10">
        <f t="shared" si="6"/>
        <v>4943735542.3755054</v>
      </c>
      <c r="K50" s="11">
        <f t="shared" si="7"/>
        <v>2.6799999999999935E-2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2701852.7166524711</v>
      </c>
      <c r="D51" s="11">
        <v>2.64E-2</v>
      </c>
      <c r="E51" s="10">
        <f t="shared" si="2"/>
        <v>69494.263171887491</v>
      </c>
      <c r="F51" s="3"/>
      <c r="G51" s="28"/>
      <c r="H51" s="10"/>
      <c r="I51" s="10">
        <f t="shared" si="8"/>
        <v>1782</v>
      </c>
      <c r="J51" s="10">
        <f t="shared" si="6"/>
        <v>4814701541.0747032</v>
      </c>
      <c r="K51" s="11">
        <f t="shared" si="7"/>
        <v>2.6399999999999979E-2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2632358.4534805836</v>
      </c>
      <c r="D52" s="11">
        <v>2.7199999999999998E-2</v>
      </c>
      <c r="E52" s="10">
        <f t="shared" si="2"/>
        <v>69704.195808675606</v>
      </c>
      <c r="F52" s="3"/>
      <c r="G52" s="28"/>
      <c r="H52" s="10"/>
      <c r="I52" s="10">
        <f t="shared" si="8"/>
        <v>1782</v>
      </c>
      <c r="J52" s="10">
        <f t="shared" si="6"/>
        <v>4690862764.1023998</v>
      </c>
      <c r="K52" s="11">
        <f t="shared" si="7"/>
        <v>2.7199999999999891E-2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2562654.257671908</v>
      </c>
      <c r="D53" s="11">
        <v>2.6700000000000002E-2</v>
      </c>
      <c r="E53" s="10">
        <f t="shared" si="2"/>
        <v>66643.487561936025</v>
      </c>
      <c r="F53" s="3"/>
      <c r="G53" s="28"/>
      <c r="H53" s="10"/>
      <c r="I53" s="10">
        <f t="shared" si="8"/>
        <v>1782</v>
      </c>
      <c r="J53" s="10">
        <f t="shared" si="6"/>
        <v>4566649887.17134</v>
      </c>
      <c r="K53" s="11">
        <f t="shared" si="7"/>
        <v>2.6699999999999946E-2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2496010.770109972</v>
      </c>
      <c r="D54" s="11">
        <v>2.6100000000000002E-2</v>
      </c>
      <c r="E54" s="10">
        <f t="shared" si="2"/>
        <v>63488.822824159637</v>
      </c>
      <c r="F54" s="3"/>
      <c r="G54" s="28"/>
      <c r="H54" s="10"/>
      <c r="I54" s="10">
        <f t="shared" si="8"/>
        <v>1782</v>
      </c>
      <c r="J54" s="10">
        <f t="shared" si="6"/>
        <v>4447891192.3359699</v>
      </c>
      <c r="K54" s="11">
        <f t="shared" si="7"/>
        <v>2.6100000000000012E-2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2432521.9472858123</v>
      </c>
      <c r="D55" s="11">
        <v>2.5499999999999998E-2</v>
      </c>
      <c r="E55" s="10">
        <f t="shared" si="2"/>
        <v>60486.893862299621</v>
      </c>
      <c r="F55" s="3"/>
      <c r="G55" s="28"/>
      <c r="H55" s="10"/>
      <c r="I55" s="10">
        <f t="shared" si="8"/>
        <v>1782</v>
      </c>
      <c r="J55" s="10">
        <f t="shared" si="6"/>
        <v>4334754110.0633173</v>
      </c>
      <c r="K55" s="11">
        <f t="shared" si="7"/>
        <v>2.5499999999999856E-2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2372035.0534235127</v>
      </c>
      <c r="D56" s="11">
        <v>2.4799999999999999E-2</v>
      </c>
      <c r="E56" s="10">
        <f t="shared" si="2"/>
        <v>57402.877951700706</v>
      </c>
      <c r="F56" s="3"/>
      <c r="G56" s="28"/>
      <c r="H56" s="10"/>
      <c r="I56" s="10">
        <f t="shared" si="8"/>
        <v>1782</v>
      </c>
      <c r="J56" s="10">
        <f t="shared" si="6"/>
        <v>4226966465.2006998</v>
      </c>
      <c r="K56" s="11">
        <f t="shared" si="7"/>
        <v>2.4799999999999933E-2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2314632.175471812</v>
      </c>
      <c r="D57" s="11">
        <v>2.3900000000000001E-2</v>
      </c>
      <c r="E57" s="10">
        <f t="shared" si="2"/>
        <v>54028.429528055713</v>
      </c>
      <c r="F57" s="3"/>
      <c r="G57" s="28"/>
      <c r="H57" s="10"/>
      <c r="I57" s="10">
        <f t="shared" si="8"/>
        <v>1782</v>
      </c>
      <c r="J57" s="10">
        <f t="shared" si="6"/>
        <v>4124674536.6907692</v>
      </c>
      <c r="K57" s="11">
        <f t="shared" si="7"/>
        <v>2.3900000000000032E-2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2260603.7459437563</v>
      </c>
      <c r="D58" s="11">
        <v>1.9400000000000001E-2</v>
      </c>
      <c r="E58" s="10">
        <f t="shared" si="2"/>
        <v>43021.103267911356</v>
      </c>
      <c r="F58" s="3"/>
      <c r="G58" s="28"/>
      <c r="H58" s="10"/>
      <c r="I58" s="10">
        <f t="shared" si="8"/>
        <v>1782</v>
      </c>
      <c r="J58" s="10">
        <f t="shared" si="6"/>
        <v>4028395875.2717738</v>
      </c>
      <c r="K58" s="11">
        <f t="shared" si="7"/>
        <v>1.9399999999999862E-2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2217582.642675845</v>
      </c>
      <c r="D59" s="11">
        <v>1.52E-2</v>
      </c>
      <c r="E59" s="10">
        <f t="shared" si="2"/>
        <v>33202.576998298988</v>
      </c>
      <c r="F59" s="3"/>
      <c r="G59" s="28"/>
      <c r="H59" s="10"/>
      <c r="I59" s="10">
        <f t="shared" si="8"/>
        <v>1782</v>
      </c>
      <c r="J59" s="10">
        <f t="shared" si="6"/>
        <v>3951732269.2483559</v>
      </c>
      <c r="K59" s="11">
        <f t="shared" si="7"/>
        <v>1.5200000000000102E-2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2184380.065677546</v>
      </c>
      <c r="D60" s="11">
        <v>1.7899999999999999E-2</v>
      </c>
      <c r="E60" s="10">
        <f t="shared" si="2"/>
        <v>38412.813808456529</v>
      </c>
      <c r="F60" s="3"/>
      <c r="G60" s="28"/>
      <c r="H60" s="10"/>
      <c r="I60" s="10">
        <f t="shared" si="8"/>
        <v>1782</v>
      </c>
      <c r="J60" s="10">
        <f t="shared" si="6"/>
        <v>3892565277.0373869</v>
      </c>
      <c r="K60" s="11">
        <f t="shared" si="7"/>
        <v>1.7899999999999805E-2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2145967.2518690894</v>
      </c>
      <c r="D61" s="11">
        <v>2.06E-2</v>
      </c>
      <c r="E61" s="10">
        <f t="shared" si="2"/>
        <v>43314.643727712333</v>
      </c>
      <c r="F61" s="3"/>
      <c r="G61" s="28"/>
      <c r="H61" s="10"/>
      <c r="I61" s="10">
        <f t="shared" si="8"/>
        <v>1782</v>
      </c>
      <c r="J61" s="10">
        <f t="shared" si="6"/>
        <v>3824113642.8307176</v>
      </c>
      <c r="K61" s="11">
        <f t="shared" si="7"/>
        <v>2.0599999999999952E-2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2102652.6081413771</v>
      </c>
      <c r="D62" s="11">
        <v>2.01E-2</v>
      </c>
      <c r="E62" s="10">
        <f t="shared" si="2"/>
        <v>41430.563105226494</v>
      </c>
      <c r="F62" s="3"/>
      <c r="G62" s="28"/>
      <c r="H62" s="10"/>
      <c r="I62" s="10">
        <f t="shared" si="8"/>
        <v>1782</v>
      </c>
      <c r="J62" s="10">
        <f t="shared" si="6"/>
        <v>3746926947.7079339</v>
      </c>
      <c r="K62" s="11">
        <f t="shared" si="7"/>
        <v>2.0100000000000007E-2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2061222.0450361506</v>
      </c>
      <c r="D63" s="11">
        <v>1.95E-2</v>
      </c>
      <c r="E63" s="10">
        <f t="shared" si="2"/>
        <v>39425.041567636188</v>
      </c>
      <c r="F63" s="3"/>
      <c r="G63" s="28"/>
      <c r="H63" s="10"/>
      <c r="I63" s="10">
        <f t="shared" si="8"/>
        <v>1782</v>
      </c>
      <c r="J63" s="10">
        <f t="shared" si="6"/>
        <v>3673097684.2544203</v>
      </c>
      <c r="K63" s="11">
        <f t="shared" si="7"/>
        <v>1.9500000000000073E-2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2021797.0034685144</v>
      </c>
      <c r="D64" s="11">
        <v>1.9E-2</v>
      </c>
      <c r="E64" s="10">
        <f t="shared" si="2"/>
        <v>37697.883283514762</v>
      </c>
      <c r="F64" s="3"/>
      <c r="G64" s="28"/>
      <c r="H64" s="10"/>
      <c r="I64" s="10">
        <f t="shared" si="8"/>
        <v>1782</v>
      </c>
      <c r="J64" s="10">
        <f t="shared" si="6"/>
        <v>3602842260.1808925</v>
      </c>
      <c r="K64" s="11">
        <f t="shared" si="7"/>
        <v>1.8999999999999684E-2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1984099.1201849997</v>
      </c>
      <c r="D65" s="11">
        <v>1.8700000000000001E-2</v>
      </c>
      <c r="E65" s="10">
        <f t="shared" si="2"/>
        <v>36421.570184999844</v>
      </c>
      <c r="F65" s="3"/>
      <c r="G65" s="28"/>
      <c r="H65" s="10"/>
      <c r="I65" s="10">
        <f t="shared" si="8"/>
        <v>1782</v>
      </c>
      <c r="J65" s="10">
        <f t="shared" si="6"/>
        <v>3535664632.1696696</v>
      </c>
      <c r="K65" s="11">
        <f t="shared" si="7"/>
        <v>1.8699999999999939E-2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1947677.5499999998</v>
      </c>
      <c r="D66" s="11">
        <v>1.8499999999999999E-2</v>
      </c>
      <c r="E66" s="10">
        <f t="shared" si="2"/>
        <v>35377.549999999814</v>
      </c>
      <c r="F66" s="24">
        <f>SUM(F2)</f>
        <v>11247660</v>
      </c>
      <c r="G66" s="28"/>
      <c r="H66" s="10"/>
      <c r="I66" s="10">
        <f t="shared" si="8"/>
        <v>1782</v>
      </c>
      <c r="J66" s="10">
        <f t="shared" ref="J66:J67" si="9">IF(I66="","",I66*C66)</f>
        <v>3470761394.0999999</v>
      </c>
      <c r="K66" s="11">
        <f t="shared" ref="K66" si="10">IFERROR(J66/J67-1,"")</f>
        <v>1.8499999999999961E-2</v>
      </c>
    </row>
    <row r="67" spans="1:11" ht="22.5" customHeight="1">
      <c r="A67" s="3">
        <f t="shared" si="0"/>
        <v>1950</v>
      </c>
      <c r="B67" s="3">
        <v>1700</v>
      </c>
      <c r="C67" s="10">
        <v>1912300</v>
      </c>
      <c r="D67" s="11">
        <v>1.83E-2</v>
      </c>
      <c r="E67" s="3" t="s">
        <v>72</v>
      </c>
      <c r="F67" s="10">
        <f>SUM(C2)</f>
        <v>11247548.07240485</v>
      </c>
      <c r="G67" s="28"/>
      <c r="H67" s="10"/>
      <c r="I67" s="10">
        <f t="shared" ref="I67" si="11">IF(H67&lt;&gt;"",H67,I66/(1+IF(G66="",0,G66)/100))</f>
        <v>1782</v>
      </c>
      <c r="J67" s="10">
        <f t="shared" si="9"/>
        <v>3407718600</v>
      </c>
      <c r="K67" s="11"/>
    </row>
  </sheetData>
  <dataValidations count="1">
    <dataValidation type="custom" allowBlank="1" showDropDown="1" sqref="D2:D67" xr:uid="{00000000-0002-0000-8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44529500.910028689</v>
      </c>
      <c r="D2" s="11">
        <v>-8.0000000000000004E-4</v>
      </c>
      <c r="E2" s="10">
        <f t="shared" ref="E2:E66" si="2">SUM(C2-C3)</f>
        <v>-35652.122425965965</v>
      </c>
      <c r="F2" s="15">
        <v>44529546</v>
      </c>
      <c r="G2" s="28"/>
      <c r="H2" s="10"/>
      <c r="I2" s="10">
        <f>IF(H2&lt;&gt;"",H2,10635)</f>
        <v>10635</v>
      </c>
      <c r="J2" s="10">
        <f t="shared" ref="J2:J33" si="3">IF(I2="","",I2*C2)</f>
        <v>473571242178.15509</v>
      </c>
      <c r="K2" s="11">
        <f t="shared" ref="K2:K33" si="4">IFERROR(J2/J3-1,"")</f>
        <v>-8.0000000000013394E-4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44565153.032454655</v>
      </c>
      <c r="D3" s="11">
        <v>-1E-3</v>
      </c>
      <c r="E3" s="10">
        <f t="shared" si="2"/>
        <v>-44609.762795247138</v>
      </c>
      <c r="F3" s="3"/>
      <c r="G3" s="28"/>
      <c r="H3" s="10"/>
      <c r="I3" s="10">
        <f t="shared" ref="I3:I34" si="5">IF(H3&lt;&gt;"",H3,I2/(1+IF(G2="",0,G2)/100))</f>
        <v>10635</v>
      </c>
      <c r="J3" s="10">
        <f t="shared" si="3"/>
        <v>473950402500.15527</v>
      </c>
      <c r="K3" s="11">
        <f t="shared" si="4"/>
        <v>-9.9999999999988987E-4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44609762.795249902</v>
      </c>
      <c r="D4" s="11">
        <v>1.1000000000000001E-3</v>
      </c>
      <c r="E4" s="10">
        <f t="shared" si="2"/>
        <v>49016.820572152734</v>
      </c>
      <c r="F4" s="3"/>
      <c r="G4" s="28"/>
      <c r="H4" s="10"/>
      <c r="I4" s="10">
        <f t="shared" si="5"/>
        <v>10635</v>
      </c>
      <c r="J4" s="10">
        <f t="shared" si="3"/>
        <v>474424827327.48273</v>
      </c>
      <c r="K4" s="11">
        <f t="shared" si="4"/>
        <v>1.1000000000001009E-3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44560745.974677749</v>
      </c>
      <c r="D5" s="11">
        <v>3.3999999999999998E-3</v>
      </c>
      <c r="E5" s="10">
        <f t="shared" si="2"/>
        <v>150993.15957136452</v>
      </c>
      <c r="F5" s="3"/>
      <c r="G5" s="28"/>
      <c r="H5" s="10"/>
      <c r="I5" s="10">
        <f t="shared" si="5"/>
        <v>10635</v>
      </c>
      <c r="J5" s="10">
        <f t="shared" si="3"/>
        <v>473903533440.69788</v>
      </c>
      <c r="K5" s="11">
        <f t="shared" si="4"/>
        <v>3.4000000000000696E-3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44409752.815106384</v>
      </c>
      <c r="D6" s="11">
        <v>4.7000000000000002E-3</v>
      </c>
      <c r="E6" s="10">
        <f t="shared" si="2"/>
        <v>207749.41597591341</v>
      </c>
      <c r="F6" s="3"/>
      <c r="G6" s="28"/>
      <c r="H6" s="10"/>
      <c r="I6" s="10">
        <f t="shared" si="5"/>
        <v>10635</v>
      </c>
      <c r="J6" s="10">
        <f t="shared" si="3"/>
        <v>472297721188.65637</v>
      </c>
      <c r="K6" s="11">
        <f t="shared" si="4"/>
        <v>4.6999999999999265E-3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44202003.399130471</v>
      </c>
      <c r="D7" s="11">
        <v>6.1000000000000004E-3</v>
      </c>
      <c r="E7" s="10">
        <f t="shared" si="2"/>
        <v>267997.43637282401</v>
      </c>
      <c r="F7" s="3"/>
      <c r="G7" s="28"/>
      <c r="H7" s="10"/>
      <c r="I7" s="10">
        <f t="shared" si="5"/>
        <v>10635</v>
      </c>
      <c r="J7" s="10">
        <f t="shared" si="3"/>
        <v>470088306149.75256</v>
      </c>
      <c r="K7" s="11">
        <f t="shared" si="4"/>
        <v>6.1000000000002164E-3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43934005.962757647</v>
      </c>
      <c r="D8" s="11">
        <v>8.2000000000000007E-3</v>
      </c>
      <c r="E8" s="10">
        <f t="shared" si="2"/>
        <v>357328.75311903656</v>
      </c>
      <c r="F8" s="3"/>
      <c r="G8" s="28"/>
      <c r="H8" s="10"/>
      <c r="I8" s="10">
        <f t="shared" si="5"/>
        <v>10635</v>
      </c>
      <c r="J8" s="10">
        <f t="shared" si="3"/>
        <v>467238153413.92755</v>
      </c>
      <c r="K8" s="11">
        <f t="shared" si="4"/>
        <v>8.1999999999999851E-3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43576677.20963861</v>
      </c>
      <c r="D9" s="11">
        <v>1.09E-2</v>
      </c>
      <c r="E9" s="10">
        <f t="shared" si="2"/>
        <v>469864.26113864779</v>
      </c>
      <c r="F9" s="3"/>
      <c r="G9" s="28"/>
      <c r="H9" s="10"/>
      <c r="I9" s="10">
        <f t="shared" si="5"/>
        <v>10635</v>
      </c>
      <c r="J9" s="10">
        <f t="shared" si="3"/>
        <v>463437962124.50665</v>
      </c>
      <c r="K9" s="11">
        <f t="shared" si="4"/>
        <v>1.089999999999991E-2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43106812.948499963</v>
      </c>
      <c r="D10" s="11">
        <v>1.34E-2</v>
      </c>
      <c r="E10" s="10">
        <f t="shared" si="2"/>
        <v>569993.38218857348</v>
      </c>
      <c r="F10" s="3"/>
      <c r="G10" s="28"/>
      <c r="H10" s="10"/>
      <c r="I10" s="10">
        <f t="shared" si="5"/>
        <v>10635</v>
      </c>
      <c r="J10" s="10">
        <f t="shared" si="3"/>
        <v>458440955707.29712</v>
      </c>
      <c r="K10" s="11">
        <f t="shared" si="4"/>
        <v>1.3400000000000079E-2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42536819.566311389</v>
      </c>
      <c r="D11" s="11">
        <v>1.55E-2</v>
      </c>
      <c r="E11" s="10">
        <f t="shared" si="2"/>
        <v>649257.21642326564</v>
      </c>
      <c r="F11" s="3"/>
      <c r="G11" s="28"/>
      <c r="H11" s="10"/>
      <c r="I11" s="10">
        <f t="shared" si="5"/>
        <v>10635</v>
      </c>
      <c r="J11" s="10">
        <f t="shared" si="3"/>
        <v>452379076087.72162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41887562.349888124</v>
      </c>
      <c r="D12" s="11">
        <v>1.6799999999999999E-2</v>
      </c>
      <c r="E12" s="10">
        <f t="shared" si="2"/>
        <v>692084.03567871451</v>
      </c>
      <c r="F12" s="3"/>
      <c r="G12" s="28"/>
      <c r="H12" s="10"/>
      <c r="I12" s="10">
        <f t="shared" si="5"/>
        <v>10635</v>
      </c>
      <c r="J12" s="10">
        <f t="shared" si="3"/>
        <v>445474225591.06018</v>
      </c>
      <c r="K12" s="11">
        <f t="shared" si="4"/>
        <v>1.6799999999999926E-2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41195478.314209409</v>
      </c>
      <c r="D13" s="11">
        <v>1.72E-2</v>
      </c>
      <c r="E13" s="10">
        <f t="shared" si="2"/>
        <v>696581.03323280066</v>
      </c>
      <c r="F13" s="3"/>
      <c r="G13" s="28"/>
      <c r="H13" s="10"/>
      <c r="I13" s="10">
        <f t="shared" si="5"/>
        <v>10635</v>
      </c>
      <c r="J13" s="10">
        <f t="shared" si="3"/>
        <v>438113911871.61707</v>
      </c>
      <c r="K13" s="11">
        <f t="shared" si="4"/>
        <v>1.7200000000000104E-2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40498897.280976608</v>
      </c>
      <c r="D14" s="11">
        <v>1.6400000000000001E-2</v>
      </c>
      <c r="E14" s="10">
        <f t="shared" si="2"/>
        <v>653465.08796538413</v>
      </c>
      <c r="F14" s="3"/>
      <c r="G14" s="28"/>
      <c r="H14" s="10"/>
      <c r="I14" s="10">
        <f t="shared" si="5"/>
        <v>10635</v>
      </c>
      <c r="J14" s="10">
        <f t="shared" si="3"/>
        <v>430705772583.18622</v>
      </c>
      <c r="K14" s="11">
        <f t="shared" si="4"/>
        <v>1.639999999999997E-2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39845432.193011224</v>
      </c>
      <c r="D15" s="11">
        <v>1.49E-2</v>
      </c>
      <c r="E15" s="10">
        <f t="shared" si="2"/>
        <v>584980.72684586048</v>
      </c>
      <c r="F15" s="3"/>
      <c r="G15" s="28"/>
      <c r="H15" s="10"/>
      <c r="I15" s="10">
        <f t="shared" si="5"/>
        <v>10635</v>
      </c>
      <c r="J15" s="10">
        <f t="shared" si="3"/>
        <v>423756171372.67438</v>
      </c>
      <c r="K15" s="11">
        <f t="shared" si="4"/>
        <v>1.4899999999999913E-2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39260451.466165364</v>
      </c>
      <c r="D16" s="11">
        <v>1.2699999999999999E-2</v>
      </c>
      <c r="E16" s="10">
        <f t="shared" si="2"/>
        <v>492354.82731341571</v>
      </c>
      <c r="F16" s="3"/>
      <c r="G16" s="28"/>
      <c r="H16" s="10"/>
      <c r="I16" s="10">
        <f t="shared" si="5"/>
        <v>10635</v>
      </c>
      <c r="J16" s="10">
        <f t="shared" si="3"/>
        <v>417534901342.66864</v>
      </c>
      <c r="K16" s="11">
        <f t="shared" si="4"/>
        <v>1.2699999999999934E-2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38768096.638851948</v>
      </c>
      <c r="D17" s="11">
        <v>1.0200000000000001E-2</v>
      </c>
      <c r="E17" s="10">
        <f t="shared" si="2"/>
        <v>391441.87855502963</v>
      </c>
      <c r="F17" s="3"/>
      <c r="G17" s="28"/>
      <c r="H17" s="10"/>
      <c r="I17" s="10">
        <f t="shared" si="5"/>
        <v>10635</v>
      </c>
      <c r="J17" s="10">
        <f t="shared" si="3"/>
        <v>412298707754.19049</v>
      </c>
      <c r="K17" s="11">
        <f t="shared" si="4"/>
        <v>1.0199999999999987E-2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38376654.760296918</v>
      </c>
      <c r="D18" s="11">
        <v>7.7999999999999996E-3</v>
      </c>
      <c r="E18" s="10">
        <f t="shared" si="2"/>
        <v>297021.14222099632</v>
      </c>
      <c r="F18" s="3"/>
      <c r="G18" s="28"/>
      <c r="H18" s="10"/>
      <c r="I18" s="10">
        <f t="shared" si="5"/>
        <v>10635</v>
      </c>
      <c r="J18" s="10">
        <f t="shared" si="3"/>
        <v>408135723375.75775</v>
      </c>
      <c r="K18" s="11">
        <f t="shared" si="4"/>
        <v>7.8000000000002512E-3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38079633.618075922</v>
      </c>
      <c r="D19" s="11">
        <v>6.1000000000000004E-3</v>
      </c>
      <c r="E19" s="10">
        <f t="shared" si="2"/>
        <v>230877.41285187006</v>
      </c>
      <c r="F19" s="3"/>
      <c r="G19" s="28"/>
      <c r="H19" s="10"/>
      <c r="I19" s="10">
        <f t="shared" si="5"/>
        <v>10635</v>
      </c>
      <c r="J19" s="10">
        <f t="shared" si="3"/>
        <v>404976903528.23743</v>
      </c>
      <c r="K19" s="11">
        <f t="shared" si="4"/>
        <v>6.0999999999999943E-3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37848756.205224052</v>
      </c>
      <c r="D20" s="11">
        <v>5.1999999999999998E-3</v>
      </c>
      <c r="E20" s="10">
        <f t="shared" si="2"/>
        <v>195795.39620689303</v>
      </c>
      <c r="F20" s="3"/>
      <c r="G20" s="28"/>
      <c r="H20" s="10"/>
      <c r="I20" s="10">
        <f t="shared" si="5"/>
        <v>10635</v>
      </c>
      <c r="J20" s="10">
        <f t="shared" si="3"/>
        <v>402521522242.5578</v>
      </c>
      <c r="K20" s="11">
        <f t="shared" si="4"/>
        <v>5.2000000000000934E-3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37652960.809017159</v>
      </c>
      <c r="D21" s="11">
        <v>4.7999999999999996E-3</v>
      </c>
      <c r="E21" s="10">
        <f t="shared" si="2"/>
        <v>179870.83189020306</v>
      </c>
      <c r="F21" s="3"/>
      <c r="G21" s="28"/>
      <c r="H21" s="10"/>
      <c r="I21" s="10">
        <f t="shared" si="5"/>
        <v>10635</v>
      </c>
      <c r="J21" s="10">
        <f t="shared" si="3"/>
        <v>400439238203.89746</v>
      </c>
      <c r="K21" s="11">
        <f t="shared" si="4"/>
        <v>4.7999999999996934E-3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37473089.977126956</v>
      </c>
      <c r="D22" s="11">
        <v>4.3E-3</v>
      </c>
      <c r="E22" s="10">
        <f t="shared" si="2"/>
        <v>160444.37608448416</v>
      </c>
      <c r="F22" s="3"/>
      <c r="G22" s="28"/>
      <c r="H22" s="10"/>
      <c r="I22" s="10">
        <f t="shared" si="5"/>
        <v>10635</v>
      </c>
      <c r="J22" s="10">
        <f t="shared" si="3"/>
        <v>398526311906.74518</v>
      </c>
      <c r="K22" s="11">
        <f t="shared" si="4"/>
        <v>4.3000000000001926E-3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37312645.601042472</v>
      </c>
      <c r="D23" s="11">
        <v>3.8E-3</v>
      </c>
      <c r="E23" s="10">
        <f t="shared" si="2"/>
        <v>141251.29835022986</v>
      </c>
      <c r="F23" s="3"/>
      <c r="G23" s="28"/>
      <c r="H23" s="10"/>
      <c r="I23" s="10">
        <f t="shared" si="5"/>
        <v>10635</v>
      </c>
      <c r="J23" s="10">
        <f t="shared" si="3"/>
        <v>396819985967.08667</v>
      </c>
      <c r="K23" s="11">
        <f t="shared" si="4"/>
        <v>3.7999999999998035E-3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37171394.302692242</v>
      </c>
      <c r="D24" s="11">
        <v>3.0999999999999999E-3</v>
      </c>
      <c r="E24" s="10">
        <f t="shared" si="2"/>
        <v>114875.20918986201</v>
      </c>
      <c r="F24" s="3"/>
      <c r="G24" s="28"/>
      <c r="H24" s="10"/>
      <c r="I24" s="10">
        <f t="shared" si="5"/>
        <v>10635</v>
      </c>
      <c r="J24" s="10">
        <f t="shared" si="3"/>
        <v>395317778409.13202</v>
      </c>
      <c r="K24" s="11">
        <f t="shared" si="4"/>
        <v>3.1000000000001027E-3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37056519.09350238</v>
      </c>
      <c r="D25" s="11">
        <v>2.3999999999999998E-3</v>
      </c>
      <c r="E25" s="10">
        <f t="shared" si="2"/>
        <v>88722.711317241192</v>
      </c>
      <c r="F25" s="3"/>
      <c r="G25" s="28"/>
      <c r="H25" s="10"/>
      <c r="I25" s="10">
        <f t="shared" si="5"/>
        <v>10635</v>
      </c>
      <c r="J25" s="10">
        <f t="shared" si="3"/>
        <v>394096080559.39783</v>
      </c>
      <c r="K25" s="11">
        <f t="shared" si="4"/>
        <v>2.3999999999999577E-3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36967796.382185139</v>
      </c>
      <c r="D26" s="11">
        <v>1.6000000000000001E-3</v>
      </c>
      <c r="E26" s="10">
        <f t="shared" si="2"/>
        <v>59053.987830966711</v>
      </c>
      <c r="F26" s="3"/>
      <c r="G26" s="28"/>
      <c r="H26" s="10"/>
      <c r="I26" s="10">
        <f t="shared" si="5"/>
        <v>10635</v>
      </c>
      <c r="J26" s="10">
        <f t="shared" si="3"/>
        <v>393152514524.53894</v>
      </c>
      <c r="K26" s="11">
        <f t="shared" si="4"/>
        <v>1.6000000000000458E-3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36908742.394354172</v>
      </c>
      <c r="D27" s="11">
        <v>1.1000000000000001E-3</v>
      </c>
      <c r="E27" s="10">
        <f t="shared" si="2"/>
        <v>40555.006127052009</v>
      </c>
      <c r="F27" s="3"/>
      <c r="G27" s="28"/>
      <c r="H27" s="10"/>
      <c r="I27" s="10">
        <f t="shared" si="5"/>
        <v>10635</v>
      </c>
      <c r="J27" s="10">
        <f t="shared" si="3"/>
        <v>392524475363.9566</v>
      </c>
      <c r="K27" s="11">
        <f t="shared" si="4"/>
        <v>1.1000000000001009E-3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36868187.38822712</v>
      </c>
      <c r="D28" s="11">
        <v>1.5E-3</v>
      </c>
      <c r="E28" s="10">
        <f t="shared" si="2"/>
        <v>55219.45190448314</v>
      </c>
      <c r="F28" s="3"/>
      <c r="G28" s="28"/>
      <c r="H28" s="10"/>
      <c r="I28" s="10">
        <f t="shared" si="5"/>
        <v>10635</v>
      </c>
      <c r="J28" s="10">
        <f t="shared" si="3"/>
        <v>392093172873.79541</v>
      </c>
      <c r="K28" s="11">
        <f t="shared" si="4"/>
        <v>1.4999999999998348E-3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36812967.936322637</v>
      </c>
      <c r="D29" s="11">
        <v>2.3999999999999998E-3</v>
      </c>
      <c r="E29" s="10">
        <f t="shared" si="2"/>
        <v>88139.58803588897</v>
      </c>
      <c r="F29" s="3"/>
      <c r="G29" s="28"/>
      <c r="H29" s="10"/>
      <c r="I29" s="10">
        <f t="shared" si="5"/>
        <v>10635</v>
      </c>
      <c r="J29" s="10">
        <f t="shared" si="3"/>
        <v>391505914002.79126</v>
      </c>
      <c r="K29" s="11">
        <f t="shared" si="4"/>
        <v>2.4000000000001798E-3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36724828.348286748</v>
      </c>
      <c r="D30" s="11">
        <v>3.2000000000000002E-3</v>
      </c>
      <c r="E30" s="10">
        <f t="shared" si="2"/>
        <v>117144.58803281933</v>
      </c>
      <c r="F30" s="3"/>
      <c r="G30" s="28"/>
      <c r="H30" s="10"/>
      <c r="I30" s="10">
        <f t="shared" si="5"/>
        <v>10635</v>
      </c>
      <c r="J30" s="10">
        <f t="shared" si="3"/>
        <v>390568549484.02954</v>
      </c>
      <c r="K30" s="11">
        <f t="shared" si="4"/>
        <v>3.2000000000000917E-3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36607683.760253929</v>
      </c>
      <c r="D31" s="11">
        <v>3.8E-3</v>
      </c>
      <c r="E31" s="10">
        <f t="shared" si="2"/>
        <v>138582.58446798474</v>
      </c>
      <c r="F31" s="3"/>
      <c r="G31" s="28"/>
      <c r="H31" s="10"/>
      <c r="I31" s="10">
        <f t="shared" si="5"/>
        <v>10635</v>
      </c>
      <c r="J31" s="10">
        <f t="shared" si="3"/>
        <v>389322716790.30054</v>
      </c>
      <c r="K31" s="11">
        <f t="shared" si="4"/>
        <v>3.8000000000000256E-3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36469101.175785944</v>
      </c>
      <c r="D32" s="11">
        <v>4.4000000000000003E-3</v>
      </c>
      <c r="E32" s="10">
        <f t="shared" si="2"/>
        <v>159761.09634952247</v>
      </c>
      <c r="F32" s="3"/>
      <c r="G32" s="28"/>
      <c r="H32" s="10"/>
      <c r="I32" s="10">
        <f t="shared" si="5"/>
        <v>10635</v>
      </c>
      <c r="J32" s="10">
        <f t="shared" si="3"/>
        <v>387848891004.48352</v>
      </c>
      <c r="K32" s="11">
        <f t="shared" si="4"/>
        <v>4.4000000000001815E-3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36309340.079436421</v>
      </c>
      <c r="D33" s="11">
        <v>5.0000000000000001E-3</v>
      </c>
      <c r="E33" s="10">
        <f t="shared" si="2"/>
        <v>180643.48298227042</v>
      </c>
      <c r="F33" s="3"/>
      <c r="G33" s="28"/>
      <c r="H33" s="10"/>
      <c r="I33" s="10">
        <f t="shared" si="5"/>
        <v>10635</v>
      </c>
      <c r="J33" s="10">
        <f t="shared" si="3"/>
        <v>386149831744.80634</v>
      </c>
      <c r="K33" s="11">
        <f t="shared" si="4"/>
        <v>4.9999999999998934E-3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36128696.596454151</v>
      </c>
      <c r="D34" s="11">
        <v>5.7000000000000002E-3</v>
      </c>
      <c r="E34" s="10">
        <f t="shared" si="2"/>
        <v>204766.40210777521</v>
      </c>
      <c r="F34" s="3"/>
      <c r="G34" s="28"/>
      <c r="H34" s="10"/>
      <c r="I34" s="10">
        <f t="shared" si="5"/>
        <v>10635</v>
      </c>
      <c r="J34" s="10">
        <f t="shared" ref="J34:J65" si="6">IF(I34="","",I34*C34)</f>
        <v>384228688303.28992</v>
      </c>
      <c r="K34" s="11">
        <f t="shared" ref="K34:K65" si="7">IFERROR(J34/J35-1,"")</f>
        <v>5.7000000000000384E-3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35923930.194346376</v>
      </c>
      <c r="D35" s="11">
        <v>6.4999999999999997E-3</v>
      </c>
      <c r="E35" s="10">
        <f t="shared" si="2"/>
        <v>231997.56210953742</v>
      </c>
      <c r="F35" s="3"/>
      <c r="G35" s="28"/>
      <c r="H35" s="10"/>
      <c r="I35" s="10">
        <f t="shared" ref="I35:I66" si="8">IF(H35&lt;&gt;"",H35,I34/(1+IF(G34="",0,G34)/100))</f>
        <v>10635</v>
      </c>
      <c r="J35" s="10">
        <f t="shared" si="6"/>
        <v>382050997616.87372</v>
      </c>
      <c r="K35" s="11">
        <f t="shared" si="7"/>
        <v>6.4999999999999503E-3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35691932.632236838</v>
      </c>
      <c r="D36" s="11">
        <v>7.4000000000000003E-3</v>
      </c>
      <c r="E36" s="10">
        <f t="shared" si="2"/>
        <v>262180.16823362559</v>
      </c>
      <c r="F36" s="3"/>
      <c r="G36" s="28"/>
      <c r="H36" s="10"/>
      <c r="I36" s="10">
        <f t="shared" si="8"/>
        <v>10635</v>
      </c>
      <c r="J36" s="10">
        <f t="shared" si="6"/>
        <v>379583703543.83881</v>
      </c>
      <c r="K36" s="11">
        <f t="shared" si="7"/>
        <v>7.4000000000000732E-3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35429752.464003213</v>
      </c>
      <c r="D37" s="11">
        <v>8.5000000000000006E-3</v>
      </c>
      <c r="E37" s="10">
        <f t="shared" si="2"/>
        <v>298614.6712384969</v>
      </c>
      <c r="F37" s="3"/>
      <c r="G37" s="28"/>
      <c r="H37" s="10"/>
      <c r="I37" s="10">
        <f t="shared" si="8"/>
        <v>10635</v>
      </c>
      <c r="J37" s="10">
        <f t="shared" si="6"/>
        <v>376795417454.67419</v>
      </c>
      <c r="K37" s="11">
        <f t="shared" si="7"/>
        <v>8.499999999999952E-3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35131137.792764716</v>
      </c>
      <c r="D38" s="11">
        <v>9.5999999999999992E-3</v>
      </c>
      <c r="E38" s="10">
        <f t="shared" si="2"/>
        <v>334052.02338603884</v>
      </c>
      <c r="F38" s="3"/>
      <c r="G38" s="28"/>
      <c r="H38" s="10"/>
      <c r="I38" s="10">
        <f t="shared" si="8"/>
        <v>10635</v>
      </c>
      <c r="J38" s="10">
        <f t="shared" si="6"/>
        <v>373619650426.05273</v>
      </c>
      <c r="K38" s="11">
        <f t="shared" si="7"/>
        <v>9.6000000000000529E-3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34797085.769378677</v>
      </c>
      <c r="D39" s="11">
        <v>1.0500000000000001E-2</v>
      </c>
      <c r="E39" s="10">
        <f t="shared" si="2"/>
        <v>361572.88528300077</v>
      </c>
      <c r="F39" s="3"/>
      <c r="G39" s="28"/>
      <c r="H39" s="10"/>
      <c r="I39" s="10">
        <f t="shared" si="8"/>
        <v>10635</v>
      </c>
      <c r="J39" s="10">
        <f t="shared" si="6"/>
        <v>370067007157.34222</v>
      </c>
      <c r="K39" s="11">
        <f t="shared" si="7"/>
        <v>1.0499999999999732E-2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34435512.884095676</v>
      </c>
      <c r="D40" s="11">
        <v>1.11E-2</v>
      </c>
      <c r="E40" s="10">
        <f t="shared" si="2"/>
        <v>378037.97152949125</v>
      </c>
      <c r="F40" s="3"/>
      <c r="G40" s="28"/>
      <c r="H40" s="10"/>
      <c r="I40" s="10">
        <f t="shared" si="8"/>
        <v>10635</v>
      </c>
      <c r="J40" s="10">
        <f t="shared" si="6"/>
        <v>366221679522.35754</v>
      </c>
      <c r="K40" s="11">
        <f t="shared" si="7"/>
        <v>1.1100000000000332E-2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34057474.912566185</v>
      </c>
      <c r="D41" s="11">
        <v>1.1299999999999999E-2</v>
      </c>
      <c r="E41" s="10">
        <f t="shared" si="2"/>
        <v>380549.25987540931</v>
      </c>
      <c r="F41" s="3"/>
      <c r="G41" s="28"/>
      <c r="H41" s="10"/>
      <c r="I41" s="10">
        <f t="shared" si="8"/>
        <v>10635</v>
      </c>
      <c r="J41" s="10">
        <f t="shared" si="6"/>
        <v>362201245695.14136</v>
      </c>
      <c r="K41" s="11">
        <f t="shared" si="7"/>
        <v>1.1300000000000088E-2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33676925.652690776</v>
      </c>
      <c r="D42" s="11">
        <v>1.11E-2</v>
      </c>
      <c r="E42" s="10">
        <f t="shared" si="2"/>
        <v>369710.0927157253</v>
      </c>
      <c r="F42" s="3"/>
      <c r="G42" s="28"/>
      <c r="H42" s="10"/>
      <c r="I42" s="10">
        <f t="shared" si="8"/>
        <v>10635</v>
      </c>
      <c r="J42" s="10">
        <f t="shared" si="6"/>
        <v>358154104316.36639</v>
      </c>
      <c r="K42" s="11">
        <f t="shared" si="7"/>
        <v>1.110000000000011E-2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33307215.55997505</v>
      </c>
      <c r="D43" s="11">
        <v>1.06E-2</v>
      </c>
      <c r="E43" s="10">
        <f t="shared" si="2"/>
        <v>349353.33953664452</v>
      </c>
      <c r="F43" s="3"/>
      <c r="G43" s="28"/>
      <c r="H43" s="10"/>
      <c r="I43" s="10">
        <f t="shared" si="8"/>
        <v>10635</v>
      </c>
      <c r="J43" s="10">
        <f t="shared" si="6"/>
        <v>354222237480.33466</v>
      </c>
      <c r="K43" s="11">
        <f t="shared" si="7"/>
        <v>1.0599999999999943E-2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32957862.220438406</v>
      </c>
      <c r="D44" s="11">
        <v>1.0200000000000001E-2</v>
      </c>
      <c r="E44" s="10">
        <f t="shared" si="2"/>
        <v>332775.88066568226</v>
      </c>
      <c r="F44" s="3"/>
      <c r="G44" s="28"/>
      <c r="H44" s="10"/>
      <c r="I44" s="10">
        <f t="shared" si="8"/>
        <v>10635</v>
      </c>
      <c r="J44" s="10">
        <f t="shared" si="6"/>
        <v>350506864714.36243</v>
      </c>
      <c r="K44" s="11">
        <f t="shared" si="7"/>
        <v>1.0199999999999987E-2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32625086.339772724</v>
      </c>
      <c r="D45" s="11">
        <v>9.9000000000000008E-3</v>
      </c>
      <c r="E45" s="10">
        <f t="shared" si="2"/>
        <v>319822.11581715941</v>
      </c>
      <c r="F45" s="3"/>
      <c r="G45" s="28"/>
      <c r="H45" s="10"/>
      <c r="I45" s="10">
        <f t="shared" si="8"/>
        <v>10635</v>
      </c>
      <c r="J45" s="10">
        <f t="shared" si="6"/>
        <v>346967793223.48291</v>
      </c>
      <c r="K45" s="11">
        <f t="shared" si="7"/>
        <v>9.9000000000000199E-3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32305264.223955564</v>
      </c>
      <c r="D46" s="11">
        <v>9.5999999999999992E-3</v>
      </c>
      <c r="E46" s="10">
        <f t="shared" si="2"/>
        <v>307181.59325473011</v>
      </c>
      <c r="F46" s="3"/>
      <c r="G46" s="28"/>
      <c r="H46" s="10"/>
      <c r="I46" s="10">
        <f t="shared" si="8"/>
        <v>10635</v>
      </c>
      <c r="J46" s="10">
        <f t="shared" si="6"/>
        <v>343566485021.7674</v>
      </c>
      <c r="K46" s="11">
        <f t="shared" si="7"/>
        <v>9.6000000000000529E-3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31998082.630700834</v>
      </c>
      <c r="D47" s="11">
        <v>9.4999999999999998E-3</v>
      </c>
      <c r="E47" s="10">
        <f t="shared" si="2"/>
        <v>301121.13421660289</v>
      </c>
      <c r="F47" s="3"/>
      <c r="G47" s="28"/>
      <c r="H47" s="10"/>
      <c r="I47" s="10">
        <f t="shared" si="8"/>
        <v>10635</v>
      </c>
      <c r="J47" s="10">
        <f t="shared" si="6"/>
        <v>340299608777.50336</v>
      </c>
      <c r="K47" s="11">
        <f t="shared" si="7"/>
        <v>9.5000000000000639E-3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31696961.496484231</v>
      </c>
      <c r="D48" s="11">
        <v>9.4999999999999998E-3</v>
      </c>
      <c r="E48" s="10">
        <f t="shared" si="2"/>
        <v>298287.40387974307</v>
      </c>
      <c r="F48" s="3"/>
      <c r="G48" s="28"/>
      <c r="H48" s="10"/>
      <c r="I48" s="10">
        <f t="shared" si="8"/>
        <v>10635</v>
      </c>
      <c r="J48" s="10">
        <f t="shared" si="6"/>
        <v>337097185515.1098</v>
      </c>
      <c r="K48" s="11">
        <f t="shared" si="7"/>
        <v>9.4999999999998419E-3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31398674.092604488</v>
      </c>
      <c r="D49" s="11">
        <v>9.5999999999999992E-3</v>
      </c>
      <c r="E49" s="10">
        <f t="shared" si="2"/>
        <v>298561.08487421274</v>
      </c>
      <c r="F49" s="3"/>
      <c r="G49" s="28"/>
      <c r="H49" s="10"/>
      <c r="I49" s="10">
        <f t="shared" si="8"/>
        <v>10635</v>
      </c>
      <c r="J49" s="10">
        <f t="shared" si="6"/>
        <v>333924898974.84875</v>
      </c>
      <c r="K49" s="11">
        <f t="shared" si="7"/>
        <v>9.6000000000000529E-3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31100113.007730275</v>
      </c>
      <c r="D50" s="11">
        <v>9.7999999999999997E-3</v>
      </c>
      <c r="E50" s="10">
        <f t="shared" si="2"/>
        <v>301823.23972643912</v>
      </c>
      <c r="F50" s="3"/>
      <c r="G50" s="28"/>
      <c r="H50" s="10"/>
      <c r="I50" s="10">
        <f t="shared" si="8"/>
        <v>10635</v>
      </c>
      <c r="J50" s="10">
        <f t="shared" si="6"/>
        <v>330749701837.21149</v>
      </c>
      <c r="K50" s="11">
        <f t="shared" si="7"/>
        <v>9.8000000000000309E-3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30798289.768003836</v>
      </c>
      <c r="D51" s="11">
        <v>1.0200000000000001E-2</v>
      </c>
      <c r="E51" s="10">
        <f t="shared" si="2"/>
        <v>310970.65495311841</v>
      </c>
      <c r="F51" s="3"/>
      <c r="G51" s="28"/>
      <c r="H51" s="10"/>
      <c r="I51" s="10">
        <f t="shared" si="8"/>
        <v>10635</v>
      </c>
      <c r="J51" s="10">
        <f t="shared" si="6"/>
        <v>327539811682.72083</v>
      </c>
      <c r="K51" s="11">
        <f t="shared" si="7"/>
        <v>1.0200000000000209E-2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30487319.113050718</v>
      </c>
      <c r="D52" s="11">
        <v>1.06E-2</v>
      </c>
      <c r="E52" s="10">
        <f t="shared" si="2"/>
        <v>319775.95744937286</v>
      </c>
      <c r="F52" s="3"/>
      <c r="G52" s="28"/>
      <c r="H52" s="10"/>
      <c r="I52" s="10">
        <f t="shared" si="8"/>
        <v>10635</v>
      </c>
      <c r="J52" s="10">
        <f t="shared" si="6"/>
        <v>324232638767.29437</v>
      </c>
      <c r="K52" s="11">
        <f t="shared" si="7"/>
        <v>1.0599999999999943E-2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30167543.155601345</v>
      </c>
      <c r="D53" s="11">
        <v>1.0999999999999999E-2</v>
      </c>
      <c r="E53" s="10">
        <f t="shared" si="2"/>
        <v>328232.41811237484</v>
      </c>
      <c r="F53" s="3"/>
      <c r="G53" s="28"/>
      <c r="H53" s="10"/>
      <c r="I53" s="10">
        <f t="shared" si="8"/>
        <v>10635</v>
      </c>
      <c r="J53" s="10">
        <f t="shared" si="6"/>
        <v>320831821459.82031</v>
      </c>
      <c r="K53" s="11">
        <f t="shared" si="7"/>
        <v>1.0999999999999899E-2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29839310.73748897</v>
      </c>
      <c r="D54" s="11">
        <v>1.12E-2</v>
      </c>
      <c r="E54" s="10">
        <f t="shared" si="2"/>
        <v>330498.69487725571</v>
      </c>
      <c r="F54" s="3"/>
      <c r="G54" s="28"/>
      <c r="H54" s="10"/>
      <c r="I54" s="10">
        <f t="shared" si="8"/>
        <v>10635</v>
      </c>
      <c r="J54" s="10">
        <f t="shared" si="6"/>
        <v>317341069693.19519</v>
      </c>
      <c r="K54" s="11">
        <f t="shared" si="7"/>
        <v>1.1200000000000099E-2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29508812.042611714</v>
      </c>
      <c r="D55" s="11">
        <v>1.12E-2</v>
      </c>
      <c r="E55" s="10">
        <f t="shared" si="2"/>
        <v>326838.10806690529</v>
      </c>
      <c r="F55" s="3"/>
      <c r="G55" s="28"/>
      <c r="H55" s="10"/>
      <c r="I55" s="10">
        <f t="shared" si="8"/>
        <v>10635</v>
      </c>
      <c r="J55" s="10">
        <f t="shared" si="6"/>
        <v>313826216073.1756</v>
      </c>
      <c r="K55" s="11">
        <f t="shared" si="7"/>
        <v>1.1200000000000099E-2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29181973.934544809</v>
      </c>
      <c r="D56" s="11">
        <v>1.0999999999999999E-2</v>
      </c>
      <c r="E56" s="10">
        <f t="shared" si="2"/>
        <v>317509.11303658783</v>
      </c>
      <c r="F56" s="3"/>
      <c r="G56" s="28"/>
      <c r="H56" s="10"/>
      <c r="I56" s="10">
        <f t="shared" si="8"/>
        <v>10635</v>
      </c>
      <c r="J56" s="10">
        <f t="shared" si="6"/>
        <v>310350292793.88403</v>
      </c>
      <c r="K56" s="11">
        <f t="shared" si="7"/>
        <v>1.0999999999999899E-2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28864464.821508221</v>
      </c>
      <c r="D57" s="11">
        <v>1.06E-2</v>
      </c>
      <c r="E57" s="10">
        <f t="shared" si="2"/>
        <v>302754.1332950592</v>
      </c>
      <c r="F57" s="3"/>
      <c r="G57" s="28"/>
      <c r="H57" s="10"/>
      <c r="I57" s="10">
        <f t="shared" si="8"/>
        <v>10635</v>
      </c>
      <c r="J57" s="10">
        <f t="shared" si="6"/>
        <v>306973583376.73993</v>
      </c>
      <c r="K57" s="11">
        <f t="shared" si="7"/>
        <v>1.0599999999999943E-2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28561710.688213162</v>
      </c>
      <c r="D58" s="11">
        <v>1.01E-2</v>
      </c>
      <c r="E58" s="10">
        <f t="shared" si="2"/>
        <v>285588.83076027408</v>
      </c>
      <c r="F58" s="3"/>
      <c r="G58" s="28"/>
      <c r="H58" s="10"/>
      <c r="I58" s="10">
        <f t="shared" si="8"/>
        <v>10635</v>
      </c>
      <c r="J58" s="10">
        <f t="shared" si="6"/>
        <v>303753793169.14697</v>
      </c>
      <c r="K58" s="11">
        <f t="shared" si="7"/>
        <v>1.0099999999999998E-2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28276121.857452888</v>
      </c>
      <c r="D59" s="11">
        <v>9.4999999999999998E-3</v>
      </c>
      <c r="E59" s="10">
        <f t="shared" si="2"/>
        <v>266095.25274473056</v>
      </c>
      <c r="F59" s="3"/>
      <c r="G59" s="28"/>
      <c r="H59" s="10"/>
      <c r="I59" s="10">
        <f t="shared" si="8"/>
        <v>10635</v>
      </c>
      <c r="J59" s="10">
        <f t="shared" si="6"/>
        <v>300716555954.01147</v>
      </c>
      <c r="K59" s="11">
        <f t="shared" si="7"/>
        <v>9.500000000000286E-3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28010026.604708157</v>
      </c>
      <c r="D60" s="11">
        <v>8.8999999999999999E-3</v>
      </c>
      <c r="E60" s="10">
        <f t="shared" si="2"/>
        <v>247090.13458410278</v>
      </c>
      <c r="F60" s="3"/>
      <c r="G60" s="28"/>
      <c r="H60" s="10"/>
      <c r="I60" s="10">
        <f t="shared" si="8"/>
        <v>10635</v>
      </c>
      <c r="J60" s="10">
        <f t="shared" si="6"/>
        <v>297886632941.07123</v>
      </c>
      <c r="K60" s="11">
        <f t="shared" si="7"/>
        <v>8.8999999999996859E-3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27762936.470124055</v>
      </c>
      <c r="D61" s="11">
        <v>8.3999999999999995E-3</v>
      </c>
      <c r="E61" s="10">
        <f t="shared" si="2"/>
        <v>231266.03168290481</v>
      </c>
      <c r="F61" s="3"/>
      <c r="G61" s="28"/>
      <c r="H61" s="10"/>
      <c r="I61" s="10">
        <f t="shared" si="8"/>
        <v>10635</v>
      </c>
      <c r="J61" s="10">
        <f t="shared" si="6"/>
        <v>295258829359.76935</v>
      </c>
      <c r="K61" s="11">
        <f t="shared" si="7"/>
        <v>8.3999999999999631E-3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27531670.43844115</v>
      </c>
      <c r="D62" s="11">
        <v>8.0999999999999996E-3</v>
      </c>
      <c r="E62" s="10">
        <f t="shared" si="2"/>
        <v>221214.69154981896</v>
      </c>
      <c r="F62" s="3"/>
      <c r="G62" s="28"/>
      <c r="H62" s="10"/>
      <c r="I62" s="10">
        <f t="shared" si="8"/>
        <v>10635</v>
      </c>
      <c r="J62" s="10">
        <f t="shared" si="6"/>
        <v>292799315112.82166</v>
      </c>
      <c r="K62" s="11">
        <f t="shared" si="7"/>
        <v>8.0999999999999961E-3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27310455.746891331</v>
      </c>
      <c r="D63" s="11">
        <v>7.9000000000000008E-3</v>
      </c>
      <c r="E63" s="10">
        <f t="shared" si="2"/>
        <v>214061.51443639398</v>
      </c>
      <c r="F63" s="3"/>
      <c r="G63" s="28"/>
      <c r="H63" s="10"/>
      <c r="I63" s="10">
        <f t="shared" si="8"/>
        <v>10635</v>
      </c>
      <c r="J63" s="10">
        <f t="shared" si="6"/>
        <v>290446696868.18933</v>
      </c>
      <c r="K63" s="11">
        <f t="shared" si="7"/>
        <v>7.9000000000000181E-3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27096394.232454937</v>
      </c>
      <c r="D64" s="11">
        <v>7.7999999999999996E-3</v>
      </c>
      <c r="E64" s="10">
        <f t="shared" si="2"/>
        <v>209716.08951493353</v>
      </c>
      <c r="F64" s="3"/>
      <c r="G64" s="28"/>
      <c r="H64" s="10"/>
      <c r="I64" s="10">
        <f t="shared" si="8"/>
        <v>10635</v>
      </c>
      <c r="J64" s="10">
        <f t="shared" si="6"/>
        <v>288170152662.15826</v>
      </c>
      <c r="K64" s="11">
        <f t="shared" si="7"/>
        <v>7.8000000000000291E-3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26886678.142940003</v>
      </c>
      <c r="D65" s="11">
        <v>7.6E-3</v>
      </c>
      <c r="E65" s="10">
        <f t="shared" si="2"/>
        <v>202797.49294000119</v>
      </c>
      <c r="F65" s="3"/>
      <c r="G65" s="28"/>
      <c r="H65" s="10"/>
      <c r="I65" s="10">
        <f t="shared" si="8"/>
        <v>10635</v>
      </c>
      <c r="J65" s="10">
        <f t="shared" si="6"/>
        <v>285939822050.16693</v>
      </c>
      <c r="K65" s="11">
        <f t="shared" si="7"/>
        <v>7.6000000000000512E-3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26683880.650000002</v>
      </c>
      <c r="D66" s="11">
        <v>7.3000000000000001E-3</v>
      </c>
      <c r="E66" s="10">
        <f t="shared" si="2"/>
        <v>193380.65000000224</v>
      </c>
      <c r="F66" s="24">
        <f>SUM(F2)</f>
        <v>44529546</v>
      </c>
      <c r="G66" s="28"/>
      <c r="H66" s="10"/>
      <c r="I66" s="10">
        <f t="shared" si="8"/>
        <v>10635</v>
      </c>
      <c r="J66" s="10">
        <f t="shared" ref="J66:J67" si="9">IF(I66="","",I66*C66)</f>
        <v>283783070712.75</v>
      </c>
      <c r="K66" s="11">
        <f t="shared" ref="K66" si="10">IFERROR(J66/J67-1,"")</f>
        <v>7.3000000000000842E-3</v>
      </c>
    </row>
    <row r="67" spans="1:11" ht="22.5" customHeight="1">
      <c r="A67" s="3">
        <f t="shared" si="0"/>
        <v>1950</v>
      </c>
      <c r="B67" s="3">
        <v>1700</v>
      </c>
      <c r="C67" s="10">
        <v>26490500</v>
      </c>
      <c r="D67" s="11">
        <v>6.7999999999999996E-3</v>
      </c>
      <c r="E67" s="3" t="s">
        <v>72</v>
      </c>
      <c r="F67" s="10">
        <f>SUM(C2)</f>
        <v>44529500.910028689</v>
      </c>
      <c r="G67" s="28"/>
      <c r="H67" s="10"/>
      <c r="I67" s="10">
        <f t="shared" ref="I67" si="11">IF(H67&lt;&gt;"",H67,I66/(1+IF(G66="",0,G66)/100))</f>
        <v>10635</v>
      </c>
      <c r="J67" s="10">
        <f t="shared" si="9"/>
        <v>281726467500</v>
      </c>
      <c r="K67" s="11"/>
    </row>
  </sheetData>
  <dataValidations count="1">
    <dataValidation type="custom" allowBlank="1" showDropDown="1" sqref="D2:D67" xr:uid="{00000000-0002-0000-8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74091162.229207247</v>
      </c>
      <c r="D2" s="11">
        <v>1.1299999999999999E-2</v>
      </c>
      <c r="E2" s="10">
        <f t="shared" ref="E2:E66" si="2">SUM(C2-C3)</f>
        <v>827875.14406214654</v>
      </c>
      <c r="F2" s="15">
        <v>74091042</v>
      </c>
      <c r="G2" s="28"/>
      <c r="H2" s="10"/>
      <c r="I2" s="10">
        <f>IF(H2&lt;&gt;"",H2,4881)</f>
        <v>4881</v>
      </c>
      <c r="J2" s="10">
        <f t="shared" ref="J2:J33" si="3">IF(I2="","",I2*C2)</f>
        <v>361638962840.76056</v>
      </c>
      <c r="K2" s="11">
        <f t="shared" ref="K2:K33" si="4">IFERROR(J2/J3-1,"")</f>
        <v>1.1300000000000088E-2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73263287.085145101</v>
      </c>
      <c r="D3" s="11">
        <v>1.14E-2</v>
      </c>
      <c r="E3" s="10">
        <f t="shared" si="2"/>
        <v>825787.49532397091</v>
      </c>
      <c r="F3" s="3"/>
      <c r="G3" s="28"/>
      <c r="H3" s="10"/>
      <c r="I3" s="10">
        <f t="shared" ref="I3:I34" si="5">IF(H3&lt;&gt;"",H3,I2/(1+IF(G2="",0,G2)/100))</f>
        <v>4881</v>
      </c>
      <c r="J3" s="10">
        <f t="shared" si="3"/>
        <v>357598104262.59326</v>
      </c>
      <c r="K3" s="11">
        <f t="shared" si="4"/>
        <v>1.1400000000000299E-2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72437499.58982113</v>
      </c>
      <c r="D4" s="11">
        <v>1.15E-2</v>
      </c>
      <c r="E4" s="10">
        <f t="shared" si="2"/>
        <v>823560.30181211233</v>
      </c>
      <c r="F4" s="3"/>
      <c r="G4" s="28"/>
      <c r="H4" s="10"/>
      <c r="I4" s="10">
        <f t="shared" si="5"/>
        <v>4881</v>
      </c>
      <c r="J4" s="10">
        <f t="shared" si="3"/>
        <v>353567435497.91693</v>
      </c>
      <c r="K4" s="11">
        <f t="shared" si="4"/>
        <v>1.1500000000000066E-2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71613939.288009018</v>
      </c>
      <c r="D5" s="11">
        <v>1.18E-2</v>
      </c>
      <c r="E5" s="10">
        <f t="shared" si="2"/>
        <v>835189.25044327974</v>
      </c>
      <c r="F5" s="3"/>
      <c r="G5" s="28"/>
      <c r="H5" s="10"/>
      <c r="I5" s="10">
        <f t="shared" si="5"/>
        <v>4881</v>
      </c>
      <c r="J5" s="10">
        <f t="shared" si="3"/>
        <v>349547637664.77203</v>
      </c>
      <c r="K5" s="11">
        <f t="shared" si="4"/>
        <v>1.1800000000000255E-2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70778750.037565738</v>
      </c>
      <c r="D6" s="11">
        <v>1.23E-2</v>
      </c>
      <c r="E6" s="10">
        <f t="shared" si="2"/>
        <v>860000.61786234379</v>
      </c>
      <c r="F6" s="3"/>
      <c r="G6" s="28"/>
      <c r="H6" s="10"/>
      <c r="I6" s="10">
        <f t="shared" si="5"/>
        <v>4881</v>
      </c>
      <c r="J6" s="10">
        <f t="shared" si="3"/>
        <v>345471078933.35834</v>
      </c>
      <c r="K6" s="11">
        <f t="shared" si="4"/>
        <v>1.2299999999999756E-2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69918749.419703394</v>
      </c>
      <c r="D7" s="11">
        <v>1.29E-2</v>
      </c>
      <c r="E7" s="10">
        <f t="shared" si="2"/>
        <v>890464.87068235874</v>
      </c>
      <c r="F7" s="3"/>
      <c r="G7" s="28"/>
      <c r="H7" s="10"/>
      <c r="I7" s="10">
        <f t="shared" si="5"/>
        <v>4881</v>
      </c>
      <c r="J7" s="10">
        <f t="shared" si="3"/>
        <v>341273415917.57227</v>
      </c>
      <c r="K7" s="11">
        <f t="shared" si="4"/>
        <v>1.2899999999999912E-2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69028284.549021035</v>
      </c>
      <c r="D8" s="11">
        <v>1.34E-2</v>
      </c>
      <c r="E8" s="10">
        <f t="shared" si="2"/>
        <v>912748.18724776804</v>
      </c>
      <c r="F8" s="3"/>
      <c r="G8" s="28"/>
      <c r="H8" s="10"/>
      <c r="I8" s="10">
        <f t="shared" si="5"/>
        <v>4881</v>
      </c>
      <c r="J8" s="10">
        <f t="shared" si="3"/>
        <v>336927056883.77167</v>
      </c>
      <c r="K8" s="11">
        <f t="shared" si="4"/>
        <v>1.3400000000000079E-2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68115536.361773267</v>
      </c>
      <c r="D9" s="11">
        <v>1.38E-2</v>
      </c>
      <c r="E9" s="10">
        <f t="shared" si="2"/>
        <v>927199.05483573675</v>
      </c>
      <c r="F9" s="3"/>
      <c r="G9" s="28"/>
      <c r="H9" s="10"/>
      <c r="I9" s="10">
        <f t="shared" si="5"/>
        <v>4881</v>
      </c>
      <c r="J9" s="10">
        <f t="shared" si="3"/>
        <v>332471932981.81531</v>
      </c>
      <c r="K9" s="11">
        <f t="shared" si="4"/>
        <v>1.3799999999999812E-2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67188337.306937531</v>
      </c>
      <c r="D10" s="11">
        <v>1.4200000000000001E-2</v>
      </c>
      <c r="E10" s="10">
        <f t="shared" si="2"/>
        <v>940716.21944242716</v>
      </c>
      <c r="F10" s="3"/>
      <c r="G10" s="28"/>
      <c r="H10" s="10"/>
      <c r="I10" s="10">
        <f t="shared" si="5"/>
        <v>4881</v>
      </c>
      <c r="J10" s="10">
        <f t="shared" si="3"/>
        <v>327946274395.16211</v>
      </c>
      <c r="K10" s="11">
        <f t="shared" si="4"/>
        <v>1.419999999999999E-2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66247621.087495103</v>
      </c>
      <c r="D11" s="11">
        <v>1.46E-2</v>
      </c>
      <c r="E11" s="10">
        <f t="shared" si="2"/>
        <v>953297.12978260219</v>
      </c>
      <c r="F11" s="3"/>
      <c r="G11" s="28"/>
      <c r="H11" s="10"/>
      <c r="I11" s="10">
        <f t="shared" si="5"/>
        <v>4881</v>
      </c>
      <c r="J11" s="10">
        <f t="shared" si="3"/>
        <v>323354638528.0636</v>
      </c>
      <c r="K11" s="11">
        <f t="shared" si="4"/>
        <v>1.4599999999999946E-2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65294323.957712501</v>
      </c>
      <c r="D12" s="11">
        <v>1.49E-2</v>
      </c>
      <c r="E12" s="10">
        <f t="shared" si="2"/>
        <v>958602.25339433551</v>
      </c>
      <c r="F12" s="3"/>
      <c r="G12" s="28"/>
      <c r="H12" s="10"/>
      <c r="I12" s="10">
        <f t="shared" si="5"/>
        <v>4881</v>
      </c>
      <c r="J12" s="10">
        <f t="shared" si="3"/>
        <v>318701595237.59473</v>
      </c>
      <c r="K12" s="11">
        <f t="shared" si="4"/>
        <v>1.4899999999999913E-2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64335721.704318166</v>
      </c>
      <c r="D13" s="11">
        <v>1.52E-2</v>
      </c>
      <c r="E13" s="10">
        <f t="shared" si="2"/>
        <v>963261.39667616785</v>
      </c>
      <c r="F13" s="3"/>
      <c r="G13" s="28"/>
      <c r="H13" s="10"/>
      <c r="I13" s="10">
        <f t="shared" si="5"/>
        <v>4881</v>
      </c>
      <c r="J13" s="10">
        <f t="shared" si="3"/>
        <v>314022657638.77698</v>
      </c>
      <c r="K13" s="11">
        <f t="shared" si="4"/>
        <v>1.5200000000000102E-2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63372460.307641998</v>
      </c>
      <c r="D14" s="11">
        <v>1.5599999999999999E-2</v>
      </c>
      <c r="E14" s="10">
        <f t="shared" si="2"/>
        <v>973424.9515549615</v>
      </c>
      <c r="F14" s="3"/>
      <c r="G14" s="28"/>
      <c r="H14" s="10"/>
      <c r="I14" s="10">
        <f t="shared" si="5"/>
        <v>4881</v>
      </c>
      <c r="J14" s="10">
        <f t="shared" si="3"/>
        <v>309320978761.60059</v>
      </c>
      <c r="K14" s="11">
        <f t="shared" si="4"/>
        <v>1.5600000000000058E-2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62399035.356087036</v>
      </c>
      <c r="D15" s="11">
        <v>1.6199999999999999E-2</v>
      </c>
      <c r="E15" s="10">
        <f t="shared" si="2"/>
        <v>994749.43197068572</v>
      </c>
      <c r="F15" s="3"/>
      <c r="G15" s="28"/>
      <c r="H15" s="10"/>
      <c r="I15" s="10">
        <f t="shared" si="5"/>
        <v>4881</v>
      </c>
      <c r="J15" s="10">
        <f t="shared" si="3"/>
        <v>304569691573.06085</v>
      </c>
      <c r="K15" s="11">
        <f t="shared" si="4"/>
        <v>1.6200000000000214E-2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61404285.924116351</v>
      </c>
      <c r="D16" s="11">
        <v>1.7000000000000001E-2</v>
      </c>
      <c r="E16" s="10">
        <f t="shared" si="2"/>
        <v>1026423.6585152149</v>
      </c>
      <c r="F16" s="3"/>
      <c r="G16" s="28"/>
      <c r="H16" s="10"/>
      <c r="I16" s="10">
        <f t="shared" si="5"/>
        <v>4881</v>
      </c>
      <c r="J16" s="10">
        <f t="shared" si="3"/>
        <v>299714319595.61188</v>
      </c>
      <c r="K16" s="11">
        <f t="shared" si="4"/>
        <v>1.6999999999999682E-2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60377862.265601136</v>
      </c>
      <c r="D17" s="11">
        <v>1.8100000000000002E-2</v>
      </c>
      <c r="E17" s="10">
        <f t="shared" si="2"/>
        <v>1073410.5755892172</v>
      </c>
      <c r="F17" s="3"/>
      <c r="G17" s="28"/>
      <c r="H17" s="10"/>
      <c r="I17" s="10">
        <f t="shared" si="5"/>
        <v>4881</v>
      </c>
      <c r="J17" s="10">
        <f t="shared" si="3"/>
        <v>294704345718.39917</v>
      </c>
      <c r="K17" s="11">
        <f t="shared" si="4"/>
        <v>1.8100000000000005E-2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59304451.690011919</v>
      </c>
      <c r="D18" s="11">
        <v>1.9300000000000001E-2</v>
      </c>
      <c r="E18" s="10">
        <f t="shared" si="2"/>
        <v>1122903.8728708252</v>
      </c>
      <c r="F18" s="3"/>
      <c r="G18" s="28"/>
      <c r="H18" s="10"/>
      <c r="I18" s="10">
        <f t="shared" si="5"/>
        <v>4881</v>
      </c>
      <c r="J18" s="10">
        <f t="shared" si="3"/>
        <v>289465028698.94818</v>
      </c>
      <c r="K18" s="11">
        <f t="shared" si="4"/>
        <v>1.9299999999999873E-2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58181547.817141093</v>
      </c>
      <c r="D19" s="11">
        <v>2.0500000000000001E-2</v>
      </c>
      <c r="E19" s="10">
        <f t="shared" si="2"/>
        <v>1168762.1070567295</v>
      </c>
      <c r="F19" s="3"/>
      <c r="G19" s="28"/>
      <c r="H19" s="10"/>
      <c r="I19" s="10">
        <f t="shared" si="5"/>
        <v>4881</v>
      </c>
      <c r="J19" s="10">
        <f t="shared" si="3"/>
        <v>283984134895.4657</v>
      </c>
      <c r="K19" s="11">
        <f t="shared" si="4"/>
        <v>2.0500000000000185E-2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57012785.710084364</v>
      </c>
      <c r="D20" s="11">
        <v>2.1499999999999998E-2</v>
      </c>
      <c r="E20" s="10">
        <f t="shared" si="2"/>
        <v>1199975.4212107882</v>
      </c>
      <c r="F20" s="3"/>
      <c r="G20" s="28"/>
      <c r="H20" s="10"/>
      <c r="I20" s="10">
        <f t="shared" si="5"/>
        <v>4881</v>
      </c>
      <c r="J20" s="10">
        <f t="shared" si="3"/>
        <v>278279407050.92175</v>
      </c>
      <c r="K20" s="11">
        <f t="shared" si="4"/>
        <v>2.1500000000000075E-2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55812810.288873576</v>
      </c>
      <c r="D21" s="11">
        <v>2.2200000000000001E-2</v>
      </c>
      <c r="E21" s="10">
        <f t="shared" si="2"/>
        <v>1212134.9915994853</v>
      </c>
      <c r="F21" s="3"/>
      <c r="G21" s="28"/>
      <c r="H21" s="10"/>
      <c r="I21" s="10">
        <f t="shared" si="5"/>
        <v>4881</v>
      </c>
      <c r="J21" s="10">
        <f t="shared" si="3"/>
        <v>272422327019.99191</v>
      </c>
      <c r="K21" s="11">
        <f t="shared" si="4"/>
        <v>2.2199999999999998E-2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54600675.29727409</v>
      </c>
      <c r="D22" s="11">
        <v>2.2700000000000001E-2</v>
      </c>
      <c r="E22" s="10">
        <f t="shared" si="2"/>
        <v>1211924.6399218887</v>
      </c>
      <c r="F22" s="3"/>
      <c r="G22" s="28"/>
      <c r="H22" s="10"/>
      <c r="I22" s="10">
        <f t="shared" si="5"/>
        <v>4881</v>
      </c>
      <c r="J22" s="10">
        <f t="shared" si="3"/>
        <v>266505896125.99484</v>
      </c>
      <c r="K22" s="11">
        <f t="shared" si="4"/>
        <v>2.2699999999999942E-2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53388750.657352202</v>
      </c>
      <c r="D23" s="11">
        <v>2.3E-2</v>
      </c>
      <c r="E23" s="10">
        <f t="shared" si="2"/>
        <v>1200333.5924917832</v>
      </c>
      <c r="F23" s="3"/>
      <c r="G23" s="28"/>
      <c r="H23" s="10"/>
      <c r="I23" s="10">
        <f t="shared" si="5"/>
        <v>4881</v>
      </c>
      <c r="J23" s="10">
        <f t="shared" si="3"/>
        <v>260590491958.5361</v>
      </c>
      <c r="K23" s="11">
        <f t="shared" si="4"/>
        <v>2.2999999999999909E-2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52188417.064860418</v>
      </c>
      <c r="D24" s="11">
        <v>2.35E-2</v>
      </c>
      <c r="E24" s="10">
        <f t="shared" si="2"/>
        <v>1198268.4914745688</v>
      </c>
      <c r="F24" s="3"/>
      <c r="G24" s="28"/>
      <c r="H24" s="10"/>
      <c r="I24" s="10">
        <f t="shared" si="5"/>
        <v>4881</v>
      </c>
      <c r="J24" s="10">
        <f t="shared" si="3"/>
        <v>254731663693.58371</v>
      </c>
      <c r="K24" s="11">
        <f t="shared" si="4"/>
        <v>2.3500000000000076E-2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50990148.57338585</v>
      </c>
      <c r="D25" s="11">
        <v>2.41E-2</v>
      </c>
      <c r="E25" s="10">
        <f t="shared" si="2"/>
        <v>1199943.9318607524</v>
      </c>
      <c r="F25" s="3"/>
      <c r="G25" s="28"/>
      <c r="H25" s="10"/>
      <c r="I25" s="10">
        <f t="shared" si="5"/>
        <v>4881</v>
      </c>
      <c r="J25" s="10">
        <f t="shared" si="3"/>
        <v>248882915186.69632</v>
      </c>
      <c r="K25" s="11">
        <f t="shared" si="4"/>
        <v>2.410000000000001E-2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49790204.641525097</v>
      </c>
      <c r="D26" s="11">
        <v>2.4899999999999999E-2</v>
      </c>
      <c r="E26" s="10">
        <f t="shared" si="2"/>
        <v>1209655.6694057658</v>
      </c>
      <c r="F26" s="3"/>
      <c r="G26" s="28"/>
      <c r="H26" s="10"/>
      <c r="I26" s="10">
        <f t="shared" si="5"/>
        <v>4881</v>
      </c>
      <c r="J26" s="10">
        <f t="shared" si="3"/>
        <v>243025988855.284</v>
      </c>
      <c r="K26" s="11">
        <f t="shared" si="4"/>
        <v>2.4899999999999922E-2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48580548.972119331</v>
      </c>
      <c r="D27" s="11">
        <v>2.5600000000000001E-2</v>
      </c>
      <c r="E27" s="10">
        <f t="shared" si="2"/>
        <v>1212619.0071043894</v>
      </c>
      <c r="F27" s="3"/>
      <c r="G27" s="28"/>
      <c r="H27" s="10"/>
      <c r="I27" s="10">
        <f t="shared" si="5"/>
        <v>4881</v>
      </c>
      <c r="J27" s="10">
        <f t="shared" si="3"/>
        <v>237121659532.91446</v>
      </c>
      <c r="K27" s="11">
        <f t="shared" si="4"/>
        <v>2.5600000000000067E-2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47367929.965014942</v>
      </c>
      <c r="D28" s="11">
        <v>2.63E-2</v>
      </c>
      <c r="E28" s="10">
        <f t="shared" si="2"/>
        <v>1213852.2440610826</v>
      </c>
      <c r="F28" s="3"/>
      <c r="G28" s="28"/>
      <c r="H28" s="10"/>
      <c r="I28" s="10">
        <f t="shared" si="5"/>
        <v>4881</v>
      </c>
      <c r="J28" s="10">
        <f t="shared" si="3"/>
        <v>231202866159.23795</v>
      </c>
      <c r="K28" s="11">
        <f t="shared" si="4"/>
        <v>2.629999999999999E-2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46154077.720953859</v>
      </c>
      <c r="D29" s="11">
        <v>2.7E-2</v>
      </c>
      <c r="E29" s="10">
        <f t="shared" si="2"/>
        <v>1213398.3431993648</v>
      </c>
      <c r="F29" s="3"/>
      <c r="G29" s="28"/>
      <c r="H29" s="10"/>
      <c r="I29" s="10">
        <f t="shared" si="5"/>
        <v>4881</v>
      </c>
      <c r="J29" s="10">
        <f t="shared" si="3"/>
        <v>225278053355.9758</v>
      </c>
      <c r="K29" s="11">
        <f t="shared" si="4"/>
        <v>2.6999999999999913E-2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44940679.377754495</v>
      </c>
      <c r="D30" s="11">
        <v>2.7699999999999999E-2</v>
      </c>
      <c r="E30" s="10">
        <f t="shared" si="2"/>
        <v>1211303.7061047032</v>
      </c>
      <c r="F30" s="3"/>
      <c r="G30" s="28"/>
      <c r="H30" s="10"/>
      <c r="I30" s="10">
        <f t="shared" si="5"/>
        <v>4881</v>
      </c>
      <c r="J30" s="10">
        <f t="shared" si="3"/>
        <v>219355456042.8197</v>
      </c>
      <c r="K30" s="11">
        <f t="shared" si="4"/>
        <v>2.7700000000000058E-2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43729375.671649791</v>
      </c>
      <c r="D31" s="11">
        <v>2.8400000000000002E-2</v>
      </c>
      <c r="E31" s="10">
        <f t="shared" si="2"/>
        <v>1207617.9201427996</v>
      </c>
      <c r="F31" s="3"/>
      <c r="G31" s="28"/>
      <c r="H31" s="10"/>
      <c r="I31" s="10">
        <f t="shared" si="5"/>
        <v>4881</v>
      </c>
      <c r="J31" s="10">
        <f t="shared" si="3"/>
        <v>213443082653.32263</v>
      </c>
      <c r="K31" s="11">
        <f t="shared" si="4"/>
        <v>2.8399999999999981E-2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42521757.751506992</v>
      </c>
      <c r="D32" s="11">
        <v>2.92E-2</v>
      </c>
      <c r="E32" s="10">
        <f t="shared" si="2"/>
        <v>1206408.2067081258</v>
      </c>
      <c r="F32" s="3"/>
      <c r="G32" s="28"/>
      <c r="H32" s="10"/>
      <c r="I32" s="10">
        <f t="shared" si="5"/>
        <v>4881</v>
      </c>
      <c r="J32" s="10">
        <f t="shared" si="3"/>
        <v>207548699585.10562</v>
      </c>
      <c r="K32" s="11">
        <f t="shared" si="4"/>
        <v>2.9199999999999893E-2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41315349.544798866</v>
      </c>
      <c r="D33" s="11">
        <v>3.0099999999999998E-2</v>
      </c>
      <c r="E33" s="10">
        <f t="shared" si="2"/>
        <v>1207253.6853688434</v>
      </c>
      <c r="F33" s="3"/>
      <c r="G33" s="28"/>
      <c r="H33" s="10"/>
      <c r="I33" s="10">
        <f t="shared" si="5"/>
        <v>4881</v>
      </c>
      <c r="J33" s="10">
        <f t="shared" si="3"/>
        <v>201660221128.16327</v>
      </c>
      <c r="K33" s="11">
        <f t="shared" si="4"/>
        <v>3.0100000000000016E-2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40108095.859430023</v>
      </c>
      <c r="D34" s="11">
        <v>3.1199999999999999E-2</v>
      </c>
      <c r="E34" s="10">
        <f t="shared" si="2"/>
        <v>1213511.0461735949</v>
      </c>
      <c r="F34" s="3"/>
      <c r="G34" s="28"/>
      <c r="H34" s="10"/>
      <c r="I34" s="10">
        <f t="shared" si="5"/>
        <v>4881</v>
      </c>
      <c r="J34" s="10">
        <f t="shared" ref="J34:J65" si="6">IF(I34="","",I34*C34)</f>
        <v>195767615889.87793</v>
      </c>
      <c r="K34" s="11">
        <f t="shared" ref="K34:K65" si="7">IFERROR(J34/J35-1,"")</f>
        <v>3.1199999999999894E-2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38894584.813256428</v>
      </c>
      <c r="D35" s="11">
        <v>3.2599999999999997E-2</v>
      </c>
      <c r="E35" s="10">
        <f t="shared" si="2"/>
        <v>1227932.8538758084</v>
      </c>
      <c r="F35" s="3"/>
      <c r="G35" s="28"/>
      <c r="H35" s="10"/>
      <c r="I35" s="10">
        <f t="shared" ref="I35:I66" si="8">IF(H35&lt;&gt;"",H35,I34/(1+IF(G34="",0,G34)/100))</f>
        <v>4881</v>
      </c>
      <c r="J35" s="10">
        <f t="shared" si="6"/>
        <v>189844468473.50461</v>
      </c>
      <c r="K35" s="11">
        <f t="shared" si="7"/>
        <v>3.259999999999974E-2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37666651.959380619</v>
      </c>
      <c r="D36" s="11">
        <v>3.4099999999999998E-2</v>
      </c>
      <c r="E36" s="10">
        <f t="shared" si="2"/>
        <v>1242077.9729377031</v>
      </c>
      <c r="F36" s="3"/>
      <c r="G36" s="28"/>
      <c r="H36" s="10"/>
      <c r="I36" s="10">
        <f t="shared" si="8"/>
        <v>4881</v>
      </c>
      <c r="J36" s="10">
        <f t="shared" si="6"/>
        <v>183850928213.73682</v>
      </c>
      <c r="K36" s="11">
        <f t="shared" si="7"/>
        <v>3.4100000000000019E-2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36424573.986442916</v>
      </c>
      <c r="D37" s="11">
        <v>3.4200000000000001E-2</v>
      </c>
      <c r="E37" s="10">
        <f t="shared" si="2"/>
        <v>1204525.6530036256</v>
      </c>
      <c r="F37" s="3"/>
      <c r="G37" s="28"/>
      <c r="H37" s="10"/>
      <c r="I37" s="10">
        <f t="shared" si="8"/>
        <v>4881</v>
      </c>
      <c r="J37" s="10">
        <f t="shared" si="6"/>
        <v>177788345627.82788</v>
      </c>
      <c r="K37" s="11">
        <f t="shared" si="7"/>
        <v>3.4200000000000008E-2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35220048.333439291</v>
      </c>
      <c r="D38" s="11">
        <v>3.1699999999999999E-2</v>
      </c>
      <c r="E38" s="10">
        <f t="shared" si="2"/>
        <v>1082170.7203353941</v>
      </c>
      <c r="F38" s="3"/>
      <c r="G38" s="28"/>
      <c r="H38" s="10"/>
      <c r="I38" s="10">
        <f t="shared" si="8"/>
        <v>4881</v>
      </c>
      <c r="J38" s="10">
        <f t="shared" si="6"/>
        <v>171909055915.51718</v>
      </c>
      <c r="K38" s="11">
        <f t="shared" si="7"/>
        <v>3.1700000000000061E-2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34137877.613103896</v>
      </c>
      <c r="D39" s="11">
        <v>2.7300000000000001E-2</v>
      </c>
      <c r="E39" s="10">
        <f t="shared" si="2"/>
        <v>907197.56530491263</v>
      </c>
      <c r="F39" s="3"/>
      <c r="G39" s="28"/>
      <c r="H39" s="10"/>
      <c r="I39" s="10">
        <f t="shared" si="8"/>
        <v>4881</v>
      </c>
      <c r="J39" s="10">
        <f t="shared" si="6"/>
        <v>166626980629.56012</v>
      </c>
      <c r="K39" s="11">
        <f t="shared" si="7"/>
        <v>2.729999999999988E-2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33230680.047798984</v>
      </c>
      <c r="D40" s="11">
        <v>2.41E-2</v>
      </c>
      <c r="E40" s="10">
        <f t="shared" si="2"/>
        <v>782012.87877351418</v>
      </c>
      <c r="F40" s="3"/>
      <c r="G40" s="28"/>
      <c r="H40" s="10"/>
      <c r="I40" s="10">
        <f t="shared" si="8"/>
        <v>4881</v>
      </c>
      <c r="J40" s="10">
        <f t="shared" si="6"/>
        <v>162198949313.30685</v>
      </c>
      <c r="K40" s="11">
        <f t="shared" si="7"/>
        <v>2.4100000000000232E-2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32448667.16902547</v>
      </c>
      <c r="D41" s="11">
        <v>2.4E-2</v>
      </c>
      <c r="E41" s="10">
        <f t="shared" si="2"/>
        <v>760515.63677403331</v>
      </c>
      <c r="F41" s="3"/>
      <c r="G41" s="28"/>
      <c r="H41" s="10"/>
      <c r="I41" s="10">
        <f t="shared" si="8"/>
        <v>4881</v>
      </c>
      <c r="J41" s="10">
        <f t="shared" si="6"/>
        <v>158381944452.01331</v>
      </c>
      <c r="K41" s="11">
        <f t="shared" si="7"/>
        <v>2.4000000000000021E-2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31688151.532251436</v>
      </c>
      <c r="D42" s="11">
        <v>2.7400000000000001E-2</v>
      </c>
      <c r="E42" s="10">
        <f t="shared" si="2"/>
        <v>845099.6223318018</v>
      </c>
      <c r="F42" s="3"/>
      <c r="G42" s="28"/>
      <c r="H42" s="10"/>
      <c r="I42" s="10">
        <f t="shared" si="8"/>
        <v>4881</v>
      </c>
      <c r="J42" s="10">
        <f t="shared" si="6"/>
        <v>154669867628.91925</v>
      </c>
      <c r="K42" s="11">
        <f t="shared" si="7"/>
        <v>2.7399999999999869E-2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30843051.909919634</v>
      </c>
      <c r="D43" s="11">
        <v>3.1099999999999999E-2</v>
      </c>
      <c r="E43" s="10">
        <f t="shared" si="2"/>
        <v>930286.98903937265</v>
      </c>
      <c r="F43" s="3"/>
      <c r="G43" s="28"/>
      <c r="H43" s="10"/>
      <c r="I43" s="10">
        <f t="shared" si="8"/>
        <v>4881</v>
      </c>
      <c r="J43" s="10">
        <f t="shared" si="6"/>
        <v>150544936372.31775</v>
      </c>
      <c r="K43" s="11">
        <f t="shared" si="7"/>
        <v>3.1099999999999905E-2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29912764.920880262</v>
      </c>
      <c r="D44" s="11">
        <v>3.3000000000000002E-2</v>
      </c>
      <c r="E44" s="10">
        <f t="shared" si="2"/>
        <v>955586.87549762428</v>
      </c>
      <c r="F44" s="3"/>
      <c r="G44" s="28"/>
      <c r="H44" s="10"/>
      <c r="I44" s="10">
        <f t="shared" si="8"/>
        <v>4881</v>
      </c>
      <c r="J44" s="10">
        <f t="shared" si="6"/>
        <v>146004205578.81656</v>
      </c>
      <c r="K44" s="11">
        <f t="shared" si="7"/>
        <v>3.2999999999999918E-2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28957178.045382638</v>
      </c>
      <c r="D45" s="11">
        <v>3.2300000000000002E-2</v>
      </c>
      <c r="E45" s="10">
        <f t="shared" si="2"/>
        <v>906051.39093854278</v>
      </c>
      <c r="F45" s="3"/>
      <c r="G45" s="28"/>
      <c r="H45" s="10"/>
      <c r="I45" s="10">
        <f t="shared" si="8"/>
        <v>4881</v>
      </c>
      <c r="J45" s="10">
        <f t="shared" si="6"/>
        <v>141339986039.51266</v>
      </c>
      <c r="K45" s="11">
        <f t="shared" si="7"/>
        <v>3.2299999999999995E-2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28051126.654444095</v>
      </c>
      <c r="D46" s="11">
        <v>3.1300000000000001E-2</v>
      </c>
      <c r="E46" s="10">
        <f t="shared" si="2"/>
        <v>851352.91795219854</v>
      </c>
      <c r="F46" s="3"/>
      <c r="G46" s="28"/>
      <c r="H46" s="10"/>
      <c r="I46" s="10">
        <f t="shared" si="8"/>
        <v>4881</v>
      </c>
      <c r="J46" s="10">
        <f t="shared" si="6"/>
        <v>136917549200.34163</v>
      </c>
      <c r="K46" s="11">
        <f t="shared" si="7"/>
        <v>3.1300000000000106E-2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27199773.736491896</v>
      </c>
      <c r="D47" s="11">
        <v>3.1E-2</v>
      </c>
      <c r="E47" s="10">
        <f t="shared" si="2"/>
        <v>817839.9474599883</v>
      </c>
      <c r="F47" s="3"/>
      <c r="G47" s="28"/>
      <c r="H47" s="10"/>
      <c r="I47" s="10">
        <f t="shared" si="8"/>
        <v>4881</v>
      </c>
      <c r="J47" s="10">
        <f t="shared" si="6"/>
        <v>132762095607.81694</v>
      </c>
      <c r="K47" s="11">
        <f t="shared" si="7"/>
        <v>3.0999999999999917E-2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26381933.789031908</v>
      </c>
      <c r="D48" s="11">
        <v>3.1099999999999999E-2</v>
      </c>
      <c r="E48" s="10">
        <f t="shared" si="2"/>
        <v>795730.9095518291</v>
      </c>
      <c r="F48" s="3"/>
      <c r="G48" s="28"/>
      <c r="H48" s="10"/>
      <c r="I48" s="10">
        <f t="shared" si="8"/>
        <v>4881</v>
      </c>
      <c r="J48" s="10">
        <f t="shared" si="6"/>
        <v>128770218824.26474</v>
      </c>
      <c r="K48" s="11">
        <f t="shared" si="7"/>
        <v>3.1099999999999905E-2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25586202.879480079</v>
      </c>
      <c r="D49" s="11">
        <v>3.1199999999999999E-2</v>
      </c>
      <c r="E49" s="10">
        <f t="shared" si="2"/>
        <v>774136.47191599756</v>
      </c>
      <c r="F49" s="3"/>
      <c r="G49" s="28"/>
      <c r="H49" s="10"/>
      <c r="I49" s="10">
        <f t="shared" si="8"/>
        <v>4881</v>
      </c>
      <c r="J49" s="10">
        <f t="shared" si="6"/>
        <v>124886256254.74226</v>
      </c>
      <c r="K49" s="11">
        <f t="shared" si="7"/>
        <v>3.1199999999999894E-2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24812066.407564081</v>
      </c>
      <c r="D50" s="11">
        <v>3.1199999999999999E-2</v>
      </c>
      <c r="E50" s="10">
        <f t="shared" si="2"/>
        <v>750714.18921256438</v>
      </c>
      <c r="F50" s="3"/>
      <c r="G50" s="28"/>
      <c r="H50" s="10"/>
      <c r="I50" s="10">
        <f t="shared" si="8"/>
        <v>4881</v>
      </c>
      <c r="J50" s="10">
        <f t="shared" si="6"/>
        <v>121107696135.32028</v>
      </c>
      <c r="K50" s="11">
        <f t="shared" si="7"/>
        <v>3.1199999999999894E-2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24061352.218351517</v>
      </c>
      <c r="D51" s="11">
        <v>3.1199999999999999E-2</v>
      </c>
      <c r="E51" s="10">
        <f t="shared" si="2"/>
        <v>728000.57138534263</v>
      </c>
      <c r="F51" s="3"/>
      <c r="G51" s="28"/>
      <c r="H51" s="10"/>
      <c r="I51" s="10">
        <f t="shared" si="8"/>
        <v>4881</v>
      </c>
      <c r="J51" s="10">
        <f t="shared" si="6"/>
        <v>117443460177.77376</v>
      </c>
      <c r="K51" s="11">
        <f t="shared" si="7"/>
        <v>3.1199999999999894E-2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23333351.646966174</v>
      </c>
      <c r="D52" s="11">
        <v>3.1099999999999999E-2</v>
      </c>
      <c r="E52" s="10">
        <f t="shared" si="2"/>
        <v>703779.68792614341</v>
      </c>
      <c r="F52" s="3"/>
      <c r="G52" s="28"/>
      <c r="H52" s="10"/>
      <c r="I52" s="10">
        <f t="shared" si="8"/>
        <v>4881</v>
      </c>
      <c r="J52" s="10">
        <f t="shared" si="6"/>
        <v>113890089388.8419</v>
      </c>
      <c r="K52" s="11">
        <f t="shared" si="7"/>
        <v>3.1100000000000128E-2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22629571.959040031</v>
      </c>
      <c r="D53" s="11">
        <v>3.1E-2</v>
      </c>
      <c r="E53" s="10">
        <f t="shared" si="2"/>
        <v>680423.59915639088</v>
      </c>
      <c r="F53" s="3"/>
      <c r="G53" s="28"/>
      <c r="H53" s="10"/>
      <c r="I53" s="10">
        <f t="shared" si="8"/>
        <v>4881</v>
      </c>
      <c r="J53" s="10">
        <f t="shared" si="6"/>
        <v>110454940732.07439</v>
      </c>
      <c r="K53" s="11">
        <f t="shared" si="7"/>
        <v>3.0999999999999917E-2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21949148.35988364</v>
      </c>
      <c r="D54" s="11">
        <v>3.0800000000000001E-2</v>
      </c>
      <c r="E54" s="10">
        <f t="shared" si="2"/>
        <v>655834.07982578129</v>
      </c>
      <c r="F54" s="3"/>
      <c r="G54" s="28"/>
      <c r="H54" s="10"/>
      <c r="I54" s="10">
        <f t="shared" si="8"/>
        <v>4881</v>
      </c>
      <c r="J54" s="10">
        <f t="shared" si="6"/>
        <v>107133793144.59204</v>
      </c>
      <c r="K54" s="11">
        <f t="shared" si="7"/>
        <v>3.0799999999999939E-2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21293314.280057859</v>
      </c>
      <c r="D55" s="11">
        <v>3.0599999999999999E-2</v>
      </c>
      <c r="E55" s="10">
        <f t="shared" si="2"/>
        <v>632229.20334734023</v>
      </c>
      <c r="F55" s="3"/>
      <c r="G55" s="28"/>
      <c r="H55" s="10"/>
      <c r="I55" s="10">
        <f t="shared" si="8"/>
        <v>4881</v>
      </c>
      <c r="J55" s="10">
        <f t="shared" si="6"/>
        <v>103932667000.9624</v>
      </c>
      <c r="K55" s="11">
        <f t="shared" si="7"/>
        <v>3.0599999999999961E-2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20661085.076710518</v>
      </c>
      <c r="D56" s="11">
        <v>3.04E-2</v>
      </c>
      <c r="E56" s="10">
        <f t="shared" si="2"/>
        <v>609566.1746234484</v>
      </c>
      <c r="F56" s="3"/>
      <c r="G56" s="28"/>
      <c r="H56" s="10"/>
      <c r="I56" s="10">
        <f t="shared" si="8"/>
        <v>4881</v>
      </c>
      <c r="J56" s="10">
        <f t="shared" si="6"/>
        <v>100846756259.42404</v>
      </c>
      <c r="K56" s="11">
        <f t="shared" si="7"/>
        <v>3.0399999999999983E-2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20051518.90208707</v>
      </c>
      <c r="D57" s="11">
        <v>3.0300000000000001E-2</v>
      </c>
      <c r="E57" s="10">
        <f t="shared" si="2"/>
        <v>589693.31528024748</v>
      </c>
      <c r="F57" s="3"/>
      <c r="G57" s="28"/>
      <c r="H57" s="10"/>
      <c r="I57" s="10">
        <f t="shared" si="8"/>
        <v>4881</v>
      </c>
      <c r="J57" s="10">
        <f t="shared" si="6"/>
        <v>97871463761.08699</v>
      </c>
      <c r="K57" s="11">
        <f t="shared" si="7"/>
        <v>3.0299999999999994E-2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19461825.586806823</v>
      </c>
      <c r="D58" s="11">
        <v>3.04E-2</v>
      </c>
      <c r="E58" s="10">
        <f t="shared" si="2"/>
        <v>574184.29526293278</v>
      </c>
      <c r="F58" s="3"/>
      <c r="G58" s="28"/>
      <c r="H58" s="10"/>
      <c r="I58" s="10">
        <f t="shared" si="8"/>
        <v>4881</v>
      </c>
      <c r="J58" s="10">
        <f t="shared" si="6"/>
        <v>94993170689.204102</v>
      </c>
      <c r="K58" s="11">
        <f t="shared" si="7"/>
        <v>3.0399999999999983E-2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18887641.29154389</v>
      </c>
      <c r="D59" s="11">
        <v>3.04E-2</v>
      </c>
      <c r="E59" s="10">
        <f t="shared" si="2"/>
        <v>557244.07537163794</v>
      </c>
      <c r="F59" s="3"/>
      <c r="G59" s="28"/>
      <c r="H59" s="10"/>
      <c r="I59" s="10">
        <f t="shared" si="8"/>
        <v>4881</v>
      </c>
      <c r="J59" s="10">
        <f t="shared" si="6"/>
        <v>92190577144.025726</v>
      </c>
      <c r="K59" s="11">
        <f t="shared" si="7"/>
        <v>3.0399999999999983E-2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18330397.216172252</v>
      </c>
      <c r="D60" s="11">
        <v>3.0200000000000001E-2</v>
      </c>
      <c r="E60" s="10">
        <f t="shared" si="2"/>
        <v>537350.0251683183</v>
      </c>
      <c r="F60" s="3"/>
      <c r="G60" s="28"/>
      <c r="H60" s="10"/>
      <c r="I60" s="10">
        <f t="shared" si="8"/>
        <v>4881</v>
      </c>
      <c r="J60" s="10">
        <f t="shared" si="6"/>
        <v>89470668812.136765</v>
      </c>
      <c r="K60" s="11">
        <f t="shared" si="7"/>
        <v>3.0200000000000005E-2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17793047.191003934</v>
      </c>
      <c r="D61" s="11">
        <v>0.03</v>
      </c>
      <c r="E61" s="10">
        <f t="shared" si="2"/>
        <v>518244.0929418616</v>
      </c>
      <c r="F61" s="3"/>
      <c r="G61" s="28"/>
      <c r="H61" s="10"/>
      <c r="I61" s="10">
        <f t="shared" si="8"/>
        <v>4881</v>
      </c>
      <c r="J61" s="10">
        <f t="shared" si="6"/>
        <v>86847863339.290207</v>
      </c>
      <c r="K61" s="11">
        <f t="shared" si="7"/>
        <v>3.0000000000000027E-2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17274803.098062072</v>
      </c>
      <c r="D62" s="11">
        <v>2.98E-2</v>
      </c>
      <c r="E62" s="10">
        <f t="shared" si="2"/>
        <v>499892.34057316929</v>
      </c>
      <c r="F62" s="3"/>
      <c r="G62" s="28"/>
      <c r="H62" s="10"/>
      <c r="I62" s="10">
        <f t="shared" si="8"/>
        <v>4881</v>
      </c>
      <c r="J62" s="10">
        <f t="shared" si="6"/>
        <v>84318313921.640976</v>
      </c>
      <c r="K62" s="11">
        <f t="shared" si="7"/>
        <v>2.9800000000000049E-2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16774910.757488903</v>
      </c>
      <c r="D63" s="11">
        <v>2.9499999999999998E-2</v>
      </c>
      <c r="E63" s="10">
        <f t="shared" si="2"/>
        <v>480679.81286636554</v>
      </c>
      <c r="F63" s="3"/>
      <c r="G63" s="28"/>
      <c r="H63" s="10"/>
      <c r="I63" s="10">
        <f t="shared" si="8"/>
        <v>4881</v>
      </c>
      <c r="J63" s="10">
        <f t="shared" si="6"/>
        <v>81878339407.303329</v>
      </c>
      <c r="K63" s="11">
        <f t="shared" si="7"/>
        <v>2.949999999999986E-2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16294230.944622537</v>
      </c>
      <c r="D64" s="11">
        <v>2.92E-2</v>
      </c>
      <c r="E64" s="10">
        <f t="shared" si="2"/>
        <v>462292.59967253916</v>
      </c>
      <c r="F64" s="3"/>
      <c r="G64" s="28"/>
      <c r="H64" s="10"/>
      <c r="I64" s="10">
        <f t="shared" si="8"/>
        <v>4881</v>
      </c>
      <c r="J64" s="10">
        <f t="shared" si="6"/>
        <v>79532141240.702606</v>
      </c>
      <c r="K64" s="11">
        <f t="shared" si="7"/>
        <v>2.9199999999999893E-2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15831938.344949998</v>
      </c>
      <c r="D65" s="11">
        <v>2.9000000000000001E-2</v>
      </c>
      <c r="E65" s="10">
        <f t="shared" si="2"/>
        <v>446186.79494999908</v>
      </c>
      <c r="F65" s="3"/>
      <c r="G65" s="28"/>
      <c r="H65" s="10"/>
      <c r="I65" s="10">
        <f t="shared" si="8"/>
        <v>4881</v>
      </c>
      <c r="J65" s="10">
        <f t="shared" si="6"/>
        <v>77275691061.700943</v>
      </c>
      <c r="K65" s="11">
        <f t="shared" si="7"/>
        <v>2.9000000000000137E-2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15385751.549999999</v>
      </c>
      <c r="D66" s="11">
        <v>2.87E-2</v>
      </c>
      <c r="E66" s="10">
        <f t="shared" si="2"/>
        <v>429251.54999999888</v>
      </c>
      <c r="F66" s="24">
        <f>SUM(F2)</f>
        <v>74091042</v>
      </c>
      <c r="G66" s="28"/>
      <c r="H66" s="10"/>
      <c r="I66" s="10">
        <f t="shared" si="8"/>
        <v>4881</v>
      </c>
      <c r="J66" s="10">
        <f t="shared" ref="J66:J67" si="9">IF(I66="","",I66*C66)</f>
        <v>75097853315.549988</v>
      </c>
      <c r="K66" s="11">
        <f t="shared" ref="K66" si="10">IFERROR(J66/J67-1,"")</f>
        <v>2.8699999999999726E-2</v>
      </c>
    </row>
    <row r="67" spans="1:11" ht="22.5" customHeight="1">
      <c r="A67" s="3">
        <f t="shared" si="0"/>
        <v>1950</v>
      </c>
      <c r="B67" s="3">
        <v>1700</v>
      </c>
      <c r="C67" s="10">
        <v>14956500</v>
      </c>
      <c r="D67" s="11">
        <v>2.8400000000000002E-2</v>
      </c>
      <c r="E67" s="3" t="s">
        <v>72</v>
      </c>
      <c r="F67" s="10">
        <f>SUM(C2)</f>
        <v>74091162.229207247</v>
      </c>
      <c r="G67" s="28"/>
      <c r="H67" s="10"/>
      <c r="I67" s="10">
        <f t="shared" ref="I67" si="11">IF(H67&lt;&gt;"",H67,I66/(1+IF(G66="",0,G66)/100))</f>
        <v>4881</v>
      </c>
      <c r="J67" s="10">
        <f t="shared" si="9"/>
        <v>73002676500</v>
      </c>
      <c r="K67" s="11"/>
    </row>
  </sheetData>
  <dataValidations count="1">
    <dataValidation type="custom" allowBlank="1" showDropDown="1" sqref="D2:D67" xr:uid="{00000000-0002-0000-8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1158652.1487606454</v>
      </c>
      <c r="D2" s="11">
        <v>1.18E-2</v>
      </c>
      <c r="E2" s="10">
        <f t="shared" ref="E2:E66" si="2">SUM(C2-C3)</f>
        <v>13512.646131029585</v>
      </c>
      <c r="F2" s="15">
        <v>1158763</v>
      </c>
      <c r="G2" s="28"/>
      <c r="H2" s="10"/>
      <c r="I2" s="10">
        <f>IF(H2&lt;&gt;"",H2,16786)</f>
        <v>16786</v>
      </c>
      <c r="J2" s="10">
        <f t="shared" ref="J2:J33" si="3">IF(I2="","",I2*C2)</f>
        <v>19449134969.096195</v>
      </c>
      <c r="K2" s="11">
        <f t="shared" ref="K2:K33" si="4">IFERROR(J2/J3-1,"")</f>
        <v>1.1800000000000255E-2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1145139.5026296158</v>
      </c>
      <c r="D3" s="11">
        <v>1.15E-2</v>
      </c>
      <c r="E3" s="10">
        <f t="shared" si="2"/>
        <v>13019.381394207245</v>
      </c>
      <c r="F3" s="3"/>
      <c r="G3" s="28"/>
      <c r="H3" s="10"/>
      <c r="I3" s="10">
        <f t="shared" ref="I3:I34" si="5">IF(H3&lt;&gt;"",H3,I2/(1+IF(G2="",0,G2)/100))</f>
        <v>16786</v>
      </c>
      <c r="J3" s="10">
        <f t="shared" si="3"/>
        <v>19222311691.140732</v>
      </c>
      <c r="K3" s="11">
        <f t="shared" si="4"/>
        <v>1.1500000000000066E-2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1132120.1212354086</v>
      </c>
      <c r="D4" s="11">
        <v>1.09E-2</v>
      </c>
      <c r="E4" s="10">
        <f t="shared" si="2"/>
        <v>12207.05244976352</v>
      </c>
      <c r="F4" s="3"/>
      <c r="G4" s="28"/>
      <c r="H4" s="10"/>
      <c r="I4" s="10">
        <f t="shared" si="5"/>
        <v>16786</v>
      </c>
      <c r="J4" s="10">
        <f t="shared" si="3"/>
        <v>19003768355.057568</v>
      </c>
      <c r="K4" s="11">
        <f t="shared" si="4"/>
        <v>1.089999999999991E-2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1119913.0687856451</v>
      </c>
      <c r="D5" s="11">
        <v>1.01E-2</v>
      </c>
      <c r="E5" s="10">
        <f t="shared" si="2"/>
        <v>11198.021972809685</v>
      </c>
      <c r="F5" s="3"/>
      <c r="G5" s="28"/>
      <c r="H5" s="10"/>
      <c r="I5" s="10">
        <f t="shared" si="5"/>
        <v>16786</v>
      </c>
      <c r="J5" s="10">
        <f t="shared" si="3"/>
        <v>18798860772.635838</v>
      </c>
      <c r="K5" s="11">
        <f t="shared" si="4"/>
        <v>1.0099999999999998E-2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1108715.0468128354</v>
      </c>
      <c r="D6" s="11">
        <v>8.8999999999999999E-3</v>
      </c>
      <c r="E6" s="10">
        <f t="shared" si="2"/>
        <v>9780.5173125523143</v>
      </c>
      <c r="F6" s="3"/>
      <c r="G6" s="28"/>
      <c r="H6" s="10"/>
      <c r="I6" s="10">
        <f t="shared" si="5"/>
        <v>16786</v>
      </c>
      <c r="J6" s="10">
        <f t="shared" si="3"/>
        <v>18610890775.800255</v>
      </c>
      <c r="K6" s="11">
        <f t="shared" si="4"/>
        <v>8.8999999999996859E-3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1098934.5295002831</v>
      </c>
      <c r="D7" s="11">
        <v>7.7999999999999996E-3</v>
      </c>
      <c r="E7" s="10">
        <f t="shared" si="2"/>
        <v>8505.3476186764892</v>
      </c>
      <c r="F7" s="3"/>
      <c r="G7" s="28"/>
      <c r="H7" s="10"/>
      <c r="I7" s="10">
        <f t="shared" si="5"/>
        <v>16786</v>
      </c>
      <c r="J7" s="10">
        <f t="shared" si="3"/>
        <v>18446715012.191753</v>
      </c>
      <c r="K7" s="11">
        <f t="shared" si="4"/>
        <v>7.8000000000000291E-3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1090429.1818816066</v>
      </c>
      <c r="D8" s="11">
        <v>7.3000000000000001E-3</v>
      </c>
      <c r="E8" s="10">
        <f t="shared" si="2"/>
        <v>7902.4451779369265</v>
      </c>
      <c r="F8" s="3"/>
      <c r="G8" s="28"/>
      <c r="H8" s="10"/>
      <c r="I8" s="10">
        <f t="shared" si="5"/>
        <v>16786</v>
      </c>
      <c r="J8" s="10">
        <f t="shared" si="3"/>
        <v>18303944247.064648</v>
      </c>
      <c r="K8" s="11">
        <f t="shared" si="4"/>
        <v>7.3000000000000842E-3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1082526.7367036697</v>
      </c>
      <c r="D9" s="11">
        <v>6.7999999999999996E-3</v>
      </c>
      <c r="E9" s="10">
        <f t="shared" si="2"/>
        <v>7311.463855368318</v>
      </c>
      <c r="F9" s="3"/>
      <c r="G9" s="28"/>
      <c r="H9" s="10"/>
      <c r="I9" s="10">
        <f t="shared" si="5"/>
        <v>16786</v>
      </c>
      <c r="J9" s="10">
        <f t="shared" si="3"/>
        <v>18171293802.3078</v>
      </c>
      <c r="K9" s="11">
        <f t="shared" si="4"/>
        <v>6.7999999999999172E-3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1075215.2728483013</v>
      </c>
      <c r="D10" s="11">
        <v>4.1999999999999997E-3</v>
      </c>
      <c r="E10" s="10">
        <f t="shared" si="2"/>
        <v>4497.016675923951</v>
      </c>
      <c r="F10" s="3"/>
      <c r="G10" s="28"/>
      <c r="H10" s="10"/>
      <c r="I10" s="10">
        <f t="shared" si="5"/>
        <v>16786</v>
      </c>
      <c r="J10" s="10">
        <f t="shared" si="3"/>
        <v>18048563570.031586</v>
      </c>
      <c r="K10" s="11">
        <f t="shared" si="4"/>
        <v>4.1999999999999815E-3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1070718.2561723774</v>
      </c>
      <c r="D11" s="11">
        <v>-4.1000000000000003E-3</v>
      </c>
      <c r="E11" s="10">
        <f t="shared" si="2"/>
        <v>-4408.0177229708061</v>
      </c>
      <c r="F11" s="3"/>
      <c r="G11" s="28"/>
      <c r="H11" s="10"/>
      <c r="I11" s="10">
        <f t="shared" si="5"/>
        <v>16786</v>
      </c>
      <c r="J11" s="10">
        <f t="shared" si="3"/>
        <v>17973076648.109528</v>
      </c>
      <c r="K11" s="11">
        <f t="shared" si="4"/>
        <v>-4.0999999999998815E-3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1075126.2738953482</v>
      </c>
      <c r="D12" s="11">
        <v>-9.1999999999999998E-3</v>
      </c>
      <c r="E12" s="10">
        <f t="shared" si="2"/>
        <v>-9983.0053692341316</v>
      </c>
      <c r="F12" s="3"/>
      <c r="G12" s="28"/>
      <c r="H12" s="10"/>
      <c r="I12" s="10">
        <f t="shared" si="5"/>
        <v>16786</v>
      </c>
      <c r="J12" s="10">
        <f t="shared" si="3"/>
        <v>18047069633.607315</v>
      </c>
      <c r="K12" s="11">
        <f t="shared" si="4"/>
        <v>-9.199999999999986E-3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1085109.2792645823</v>
      </c>
      <c r="D13" s="11">
        <v>-7.0000000000000001E-3</v>
      </c>
      <c r="E13" s="10">
        <f t="shared" si="2"/>
        <v>-7649.3101257320959</v>
      </c>
      <c r="F13" s="3"/>
      <c r="G13" s="28"/>
      <c r="H13" s="10"/>
      <c r="I13" s="10">
        <f t="shared" si="5"/>
        <v>16786</v>
      </c>
      <c r="J13" s="10">
        <f t="shared" si="3"/>
        <v>18214644361.735279</v>
      </c>
      <c r="K13" s="11">
        <f t="shared" si="4"/>
        <v>-6.9999999999998952E-3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1092758.5893903144</v>
      </c>
      <c r="D14" s="11">
        <v>-4.7999999999999996E-3</v>
      </c>
      <c r="E14" s="10">
        <f t="shared" si="2"/>
        <v>-5270.5398202105425</v>
      </c>
      <c r="F14" s="3"/>
      <c r="G14" s="28"/>
      <c r="H14" s="10"/>
      <c r="I14" s="10">
        <f t="shared" si="5"/>
        <v>16786</v>
      </c>
      <c r="J14" s="10">
        <f t="shared" si="3"/>
        <v>18343045681.505817</v>
      </c>
      <c r="K14" s="11">
        <f t="shared" si="4"/>
        <v>-4.8000000000000265E-3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1098029.129210525</v>
      </c>
      <c r="D15" s="11">
        <v>-3.0999999999999999E-3</v>
      </c>
      <c r="E15" s="10">
        <f t="shared" si="2"/>
        <v>-3414.4751735907048</v>
      </c>
      <c r="F15" s="3"/>
      <c r="G15" s="28"/>
      <c r="H15" s="10"/>
      <c r="I15" s="10">
        <f t="shared" si="5"/>
        <v>16786</v>
      </c>
      <c r="J15" s="10">
        <f t="shared" si="3"/>
        <v>18431516962.927872</v>
      </c>
      <c r="K15" s="11">
        <f t="shared" si="4"/>
        <v>-3.0999999999998806E-3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1101443.6043841157</v>
      </c>
      <c r="D16" s="11">
        <v>-1.5E-3</v>
      </c>
      <c r="E16" s="10">
        <f t="shared" si="2"/>
        <v>-1654.6473776425701</v>
      </c>
      <c r="F16" s="3"/>
      <c r="G16" s="28"/>
      <c r="H16" s="10"/>
      <c r="I16" s="10">
        <f t="shared" si="5"/>
        <v>16786</v>
      </c>
      <c r="J16" s="10">
        <f t="shared" si="3"/>
        <v>18488832343.191765</v>
      </c>
      <c r="K16" s="11">
        <f t="shared" si="4"/>
        <v>-1.4999999999999458E-3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1103098.2517617582</v>
      </c>
      <c r="D17" s="11">
        <v>2.9999999999999997E-4</v>
      </c>
      <c r="E17" s="10">
        <f t="shared" si="2"/>
        <v>330.83022646047175</v>
      </c>
      <c r="F17" s="3"/>
      <c r="G17" s="28"/>
      <c r="H17" s="10"/>
      <c r="I17" s="10">
        <f t="shared" si="5"/>
        <v>16786</v>
      </c>
      <c r="J17" s="10">
        <f t="shared" si="3"/>
        <v>18516607254.072872</v>
      </c>
      <c r="K17" s="11">
        <f t="shared" si="4"/>
        <v>2.9999999999974492E-4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1102767.4215352978</v>
      </c>
      <c r="D18" s="11">
        <v>2.5999999999999999E-3</v>
      </c>
      <c r="E18" s="10">
        <f t="shared" si="2"/>
        <v>2859.7599201991688</v>
      </c>
      <c r="F18" s="3"/>
      <c r="G18" s="28"/>
      <c r="H18" s="10"/>
      <c r="I18" s="10">
        <f t="shared" si="5"/>
        <v>16786</v>
      </c>
      <c r="J18" s="10">
        <f t="shared" si="3"/>
        <v>18511053937.89151</v>
      </c>
      <c r="K18" s="11">
        <f t="shared" si="4"/>
        <v>2.6000000000001577E-3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1099907.6616150986</v>
      </c>
      <c r="D19" s="11">
        <v>5.0000000000000001E-3</v>
      </c>
      <c r="E19" s="10">
        <f t="shared" si="2"/>
        <v>5472.1774209705181</v>
      </c>
      <c r="F19" s="3"/>
      <c r="G19" s="28"/>
      <c r="H19" s="10"/>
      <c r="I19" s="10">
        <f t="shared" si="5"/>
        <v>16786</v>
      </c>
      <c r="J19" s="10">
        <f t="shared" si="3"/>
        <v>18463050007.871044</v>
      </c>
      <c r="K19" s="11">
        <f t="shared" si="4"/>
        <v>4.9999999999998934E-3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1094435.4841941281</v>
      </c>
      <c r="D20" s="11">
        <v>8.0000000000000002E-3</v>
      </c>
      <c r="E20" s="10">
        <f t="shared" si="2"/>
        <v>8685.9959063027054</v>
      </c>
      <c r="F20" s="3"/>
      <c r="G20" s="28"/>
      <c r="H20" s="10"/>
      <c r="I20" s="10">
        <f t="shared" si="5"/>
        <v>16786</v>
      </c>
      <c r="J20" s="10">
        <f t="shared" si="3"/>
        <v>18371194037.682632</v>
      </c>
      <c r="K20" s="11">
        <f t="shared" si="4"/>
        <v>8.0000000000000071E-3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1085749.4882878254</v>
      </c>
      <c r="D21" s="11">
        <v>1.0800000000000001E-2</v>
      </c>
      <c r="E21" s="10">
        <f t="shared" si="2"/>
        <v>11600.80577117973</v>
      </c>
      <c r="F21" s="3"/>
      <c r="G21" s="28"/>
      <c r="H21" s="10"/>
      <c r="I21" s="10">
        <f t="shared" si="5"/>
        <v>16786</v>
      </c>
      <c r="J21" s="10">
        <f t="shared" si="3"/>
        <v>18225390910.399437</v>
      </c>
      <c r="K21" s="11">
        <f t="shared" si="4"/>
        <v>1.0799999999999921E-2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1074148.6825166456</v>
      </c>
      <c r="D22" s="11">
        <v>1.23E-2</v>
      </c>
      <c r="E22" s="10">
        <f t="shared" si="2"/>
        <v>13051.495401516091</v>
      </c>
      <c r="F22" s="3"/>
      <c r="G22" s="28"/>
      <c r="H22" s="10"/>
      <c r="I22" s="10">
        <f t="shared" si="5"/>
        <v>16786</v>
      </c>
      <c r="J22" s="10">
        <f t="shared" si="3"/>
        <v>18030659784.724415</v>
      </c>
      <c r="K22" s="11">
        <f t="shared" si="4"/>
        <v>1.2299999999999978E-2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1061097.1871151295</v>
      </c>
      <c r="D23" s="11">
        <v>1.3599999999999999E-2</v>
      </c>
      <c r="E23" s="10">
        <f t="shared" si="2"/>
        <v>14237.294539034949</v>
      </c>
      <c r="F23" s="3"/>
      <c r="G23" s="28"/>
      <c r="H23" s="10"/>
      <c r="I23" s="10">
        <f t="shared" si="5"/>
        <v>16786</v>
      </c>
      <c r="J23" s="10">
        <f t="shared" si="3"/>
        <v>17811577382.914566</v>
      </c>
      <c r="K23" s="11">
        <f t="shared" si="4"/>
        <v>1.3600000000000056E-2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1046859.8925760946</v>
      </c>
      <c r="D24" s="11">
        <v>1.52E-2</v>
      </c>
      <c r="E24" s="10">
        <f t="shared" si="2"/>
        <v>15674.025184354512</v>
      </c>
      <c r="F24" s="3"/>
      <c r="G24" s="28"/>
      <c r="H24" s="10"/>
      <c r="I24" s="10">
        <f t="shared" si="5"/>
        <v>16786</v>
      </c>
      <c r="J24" s="10">
        <f t="shared" si="3"/>
        <v>17572590156.782326</v>
      </c>
      <c r="K24" s="11">
        <f t="shared" si="4"/>
        <v>1.5200000000000102E-2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1031185.8673917401</v>
      </c>
      <c r="D25" s="11">
        <v>1.6799999999999999E-2</v>
      </c>
      <c r="E25" s="10">
        <f t="shared" si="2"/>
        <v>17037.689390422078</v>
      </c>
      <c r="F25" s="3"/>
      <c r="G25" s="28"/>
      <c r="H25" s="10"/>
      <c r="I25" s="10">
        <f t="shared" si="5"/>
        <v>16786</v>
      </c>
      <c r="J25" s="10">
        <f t="shared" si="3"/>
        <v>17309485970.03775</v>
      </c>
      <c r="K25" s="11">
        <f t="shared" si="4"/>
        <v>1.6799999999999926E-2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1014148.178001318</v>
      </c>
      <c r="D26" s="11">
        <v>1.8100000000000002E-2</v>
      </c>
      <c r="E26" s="10">
        <f t="shared" si="2"/>
        <v>18029.743661549757</v>
      </c>
      <c r="F26" s="3"/>
      <c r="G26" s="28"/>
      <c r="H26" s="10"/>
      <c r="I26" s="10">
        <f t="shared" si="5"/>
        <v>16786</v>
      </c>
      <c r="J26" s="10">
        <f t="shared" si="3"/>
        <v>17023491315.930124</v>
      </c>
      <c r="K26" s="11">
        <f t="shared" si="4"/>
        <v>1.8100000000000005E-2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996118.43433976825</v>
      </c>
      <c r="D27" s="11">
        <v>1.9300000000000001E-2</v>
      </c>
      <c r="E27" s="10">
        <f t="shared" si="2"/>
        <v>18861.067186066532</v>
      </c>
      <c r="F27" s="3"/>
      <c r="G27" s="28"/>
      <c r="H27" s="10"/>
      <c r="I27" s="10">
        <f t="shared" si="5"/>
        <v>16786</v>
      </c>
      <c r="J27" s="10">
        <f t="shared" si="3"/>
        <v>16720844038.827351</v>
      </c>
      <c r="K27" s="11">
        <f t="shared" si="4"/>
        <v>1.9300000000000095E-2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977257.36715370172</v>
      </c>
      <c r="D28" s="11">
        <v>2.0500000000000001E-2</v>
      </c>
      <c r="E28" s="10">
        <f t="shared" si="2"/>
        <v>19631.333686086116</v>
      </c>
      <c r="F28" s="3"/>
      <c r="G28" s="28"/>
      <c r="H28" s="10"/>
      <c r="I28" s="10">
        <f t="shared" si="5"/>
        <v>16786</v>
      </c>
      <c r="J28" s="10">
        <f t="shared" si="3"/>
        <v>16404242165.042038</v>
      </c>
      <c r="K28" s="11">
        <f t="shared" si="4"/>
        <v>2.0499999999999963E-2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957626.03346761561</v>
      </c>
      <c r="D29" s="11">
        <v>2.1399999999999999E-2</v>
      </c>
      <c r="E29" s="10">
        <f t="shared" si="2"/>
        <v>20063.831130024511</v>
      </c>
      <c r="F29" s="3"/>
      <c r="G29" s="28"/>
      <c r="H29" s="10"/>
      <c r="I29" s="10">
        <f t="shared" si="5"/>
        <v>16786</v>
      </c>
      <c r="J29" s="10">
        <f t="shared" si="3"/>
        <v>16074710597.787395</v>
      </c>
      <c r="K29" s="11">
        <f t="shared" si="4"/>
        <v>2.1400000000000086E-2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937562.20233759109</v>
      </c>
      <c r="D30" s="11">
        <v>2.24E-2</v>
      </c>
      <c r="E30" s="10">
        <f t="shared" si="2"/>
        <v>20541.268908804748</v>
      </c>
      <c r="F30" s="3"/>
      <c r="G30" s="28"/>
      <c r="H30" s="10"/>
      <c r="I30" s="10">
        <f t="shared" si="5"/>
        <v>16786</v>
      </c>
      <c r="J30" s="10">
        <f t="shared" si="3"/>
        <v>15737919128.438805</v>
      </c>
      <c r="K30" s="11">
        <f t="shared" si="4"/>
        <v>2.2399999999999975E-2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917020.93342878635</v>
      </c>
      <c r="D31" s="11">
        <v>2.5700000000000001E-2</v>
      </c>
      <c r="E31" s="10">
        <f t="shared" si="2"/>
        <v>22976.930865867063</v>
      </c>
      <c r="F31" s="3"/>
      <c r="G31" s="28"/>
      <c r="H31" s="10"/>
      <c r="I31" s="10">
        <f t="shared" si="5"/>
        <v>16786</v>
      </c>
      <c r="J31" s="10">
        <f t="shared" si="3"/>
        <v>15393113388.535608</v>
      </c>
      <c r="K31" s="11">
        <f t="shared" si="4"/>
        <v>2.5700000000000056E-2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894044.00256291928</v>
      </c>
      <c r="D32" s="11">
        <v>2.87E-2</v>
      </c>
      <c r="E32" s="10">
        <f t="shared" si="2"/>
        <v>24943.193227914628</v>
      </c>
      <c r="F32" s="3"/>
      <c r="G32" s="28"/>
      <c r="H32" s="10"/>
      <c r="I32" s="10">
        <f t="shared" si="5"/>
        <v>16786</v>
      </c>
      <c r="J32" s="10">
        <f t="shared" si="3"/>
        <v>15007422627.021164</v>
      </c>
      <c r="K32" s="11">
        <f t="shared" si="4"/>
        <v>2.8699999999999948E-2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869100.80933500465</v>
      </c>
      <c r="D33" s="11">
        <v>2.9000000000000001E-2</v>
      </c>
      <c r="E33" s="10">
        <f t="shared" si="2"/>
        <v>24493.608815077809</v>
      </c>
      <c r="F33" s="3"/>
      <c r="G33" s="28"/>
      <c r="H33" s="10"/>
      <c r="I33" s="10">
        <f t="shared" si="5"/>
        <v>16786</v>
      </c>
      <c r="J33" s="10">
        <f t="shared" si="3"/>
        <v>14588726185.497389</v>
      </c>
      <c r="K33" s="11">
        <f t="shared" si="4"/>
        <v>2.8999999999999915E-2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844607.20051992685</v>
      </c>
      <c r="D34" s="11">
        <v>2.93E-2</v>
      </c>
      <c r="E34" s="10">
        <f t="shared" si="2"/>
        <v>24042.544423621846</v>
      </c>
      <c r="F34" s="3"/>
      <c r="G34" s="28"/>
      <c r="H34" s="10"/>
      <c r="I34" s="10">
        <f t="shared" si="5"/>
        <v>16786</v>
      </c>
      <c r="J34" s="10">
        <f t="shared" ref="J34:J65" si="6">IF(I34="","",I34*C34)</f>
        <v>14177576467.927492</v>
      </c>
      <c r="K34" s="11">
        <f t="shared" ref="K34:K65" si="7">IFERROR(J34/J35-1,"")</f>
        <v>2.9300000000000104E-2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820564.656096305</v>
      </c>
      <c r="D35" s="11">
        <v>2.9499999999999998E-2</v>
      </c>
      <c r="E35" s="10">
        <f t="shared" si="2"/>
        <v>23513.023171288078</v>
      </c>
      <c r="F35" s="3"/>
      <c r="G35" s="28"/>
      <c r="H35" s="10"/>
      <c r="I35" s="10">
        <f t="shared" ref="I35:I66" si="8">IF(H35&lt;&gt;"",H35,I34/(1+IF(G34="",0,G34)/100))</f>
        <v>16786</v>
      </c>
      <c r="J35" s="10">
        <f t="shared" si="6"/>
        <v>13773998317.232576</v>
      </c>
      <c r="K35" s="11">
        <f t="shared" si="7"/>
        <v>2.9500000000000304E-2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797051.63292501692</v>
      </c>
      <c r="D36" s="11">
        <v>2.9499999999999998E-2</v>
      </c>
      <c r="E36" s="10">
        <f t="shared" si="2"/>
        <v>22839.264857977745</v>
      </c>
      <c r="F36" s="3"/>
      <c r="G36" s="28"/>
      <c r="H36" s="10"/>
      <c r="I36" s="10">
        <f t="shared" si="8"/>
        <v>16786</v>
      </c>
      <c r="J36" s="10">
        <f t="shared" si="6"/>
        <v>13379308710.279333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774212.36806703918</v>
      </c>
      <c r="D37" s="11">
        <v>2.9499999999999998E-2</v>
      </c>
      <c r="E37" s="10">
        <f t="shared" si="2"/>
        <v>22184.812878074474</v>
      </c>
      <c r="F37" s="3"/>
      <c r="G37" s="28"/>
      <c r="H37" s="10"/>
      <c r="I37" s="10">
        <f t="shared" si="8"/>
        <v>16786</v>
      </c>
      <c r="J37" s="10">
        <f t="shared" si="6"/>
        <v>12995928810.37332</v>
      </c>
      <c r="K37" s="11">
        <f t="shared" si="7"/>
        <v>2.949999999999986E-2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752027.5551889647</v>
      </c>
      <c r="D38" s="11">
        <v>2.93E-2</v>
      </c>
      <c r="E38" s="10">
        <f t="shared" si="2"/>
        <v>21407.177078632754</v>
      </c>
      <c r="F38" s="3"/>
      <c r="G38" s="28"/>
      <c r="H38" s="10"/>
      <c r="I38" s="10">
        <f t="shared" si="8"/>
        <v>16786</v>
      </c>
      <c r="J38" s="10">
        <f t="shared" si="6"/>
        <v>12623534541.401962</v>
      </c>
      <c r="K38" s="11">
        <f t="shared" si="7"/>
        <v>2.9300000000000104E-2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730620.37811033195</v>
      </c>
      <c r="D39" s="11">
        <v>2.8899999999999999E-2</v>
      </c>
      <c r="E39" s="10">
        <f t="shared" si="2"/>
        <v>20521.847533665597</v>
      </c>
      <c r="F39" s="3"/>
      <c r="G39" s="28"/>
      <c r="H39" s="10"/>
      <c r="I39" s="10">
        <f t="shared" si="8"/>
        <v>16786</v>
      </c>
      <c r="J39" s="10">
        <f t="shared" si="6"/>
        <v>12264193666.960032</v>
      </c>
      <c r="K39" s="11">
        <f t="shared" si="7"/>
        <v>2.8899999999999704E-2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710098.53057666635</v>
      </c>
      <c r="D40" s="11">
        <v>2.93E-2</v>
      </c>
      <c r="E40" s="10">
        <f t="shared" si="2"/>
        <v>20213.627655587625</v>
      </c>
      <c r="F40" s="3"/>
      <c r="G40" s="28"/>
      <c r="H40" s="10"/>
      <c r="I40" s="10">
        <f t="shared" si="8"/>
        <v>16786</v>
      </c>
      <c r="J40" s="10">
        <f t="shared" si="6"/>
        <v>11919713934.259922</v>
      </c>
      <c r="K40" s="11">
        <f t="shared" si="7"/>
        <v>2.9300000000000104E-2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689884.90292107873</v>
      </c>
      <c r="D41" s="11">
        <v>3.2599999999999997E-2</v>
      </c>
      <c r="E41" s="10">
        <f t="shared" si="2"/>
        <v>21780.212894854834</v>
      </c>
      <c r="F41" s="3"/>
      <c r="G41" s="28"/>
      <c r="H41" s="10"/>
      <c r="I41" s="10">
        <f t="shared" si="8"/>
        <v>16786</v>
      </c>
      <c r="J41" s="10">
        <f t="shared" si="6"/>
        <v>11580407980.433228</v>
      </c>
      <c r="K41" s="11">
        <f t="shared" si="7"/>
        <v>3.2599999999999962E-2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668104.69002622389</v>
      </c>
      <c r="D42" s="11">
        <v>3.5200000000000002E-2</v>
      </c>
      <c r="E42" s="10">
        <f t="shared" si="2"/>
        <v>22717.624699500622</v>
      </c>
      <c r="F42" s="3"/>
      <c r="G42" s="28"/>
      <c r="H42" s="10"/>
      <c r="I42" s="10">
        <f t="shared" si="8"/>
        <v>16786</v>
      </c>
      <c r="J42" s="10">
        <f t="shared" si="6"/>
        <v>11214805326.780193</v>
      </c>
      <c r="K42" s="11">
        <f t="shared" si="7"/>
        <v>3.5199999999999898E-2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645387.06532672327</v>
      </c>
      <c r="D43" s="11">
        <v>3.5099999999999999E-2</v>
      </c>
      <c r="E43" s="10">
        <f t="shared" si="2"/>
        <v>21884.925121213309</v>
      </c>
      <c r="F43" s="3"/>
      <c r="G43" s="28"/>
      <c r="H43" s="10"/>
      <c r="I43" s="10">
        <f t="shared" si="8"/>
        <v>16786</v>
      </c>
      <c r="J43" s="10">
        <f t="shared" si="6"/>
        <v>10833467278.574377</v>
      </c>
      <c r="K43" s="11">
        <f t="shared" si="7"/>
        <v>3.5099999999999909E-2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623502.14020550996</v>
      </c>
      <c r="D44" s="11">
        <v>3.5299999999999998E-2</v>
      </c>
      <c r="E44" s="10">
        <f t="shared" si="2"/>
        <v>21259.176614753669</v>
      </c>
      <c r="F44" s="3"/>
      <c r="G44" s="28"/>
      <c r="H44" s="10"/>
      <c r="I44" s="10">
        <f t="shared" si="8"/>
        <v>16786</v>
      </c>
      <c r="J44" s="10">
        <f t="shared" si="6"/>
        <v>10466106925.489691</v>
      </c>
      <c r="K44" s="11">
        <f t="shared" si="7"/>
        <v>3.5300000000000109E-2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602242.96359075629</v>
      </c>
      <c r="D45" s="11">
        <v>3.5799999999999998E-2</v>
      </c>
      <c r="E45" s="10">
        <f t="shared" si="2"/>
        <v>20815.116911130608</v>
      </c>
      <c r="F45" s="3"/>
      <c r="G45" s="28"/>
      <c r="H45" s="10"/>
      <c r="I45" s="10">
        <f t="shared" si="8"/>
        <v>16786</v>
      </c>
      <c r="J45" s="10">
        <f t="shared" si="6"/>
        <v>10109250386.834435</v>
      </c>
      <c r="K45" s="11">
        <f t="shared" si="7"/>
        <v>3.5800000000000054E-2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581427.84667962568</v>
      </c>
      <c r="D46" s="11">
        <v>3.6299999999999999E-2</v>
      </c>
      <c r="E46" s="10">
        <f t="shared" si="2"/>
        <v>20366.525942748645</v>
      </c>
      <c r="F46" s="3"/>
      <c r="G46" s="28"/>
      <c r="H46" s="10"/>
      <c r="I46" s="10">
        <f t="shared" si="8"/>
        <v>16786</v>
      </c>
      <c r="J46" s="10">
        <f t="shared" si="6"/>
        <v>9759847834.3641968</v>
      </c>
      <c r="K46" s="11">
        <f t="shared" si="7"/>
        <v>3.6299999999999999E-2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561061.32073687704</v>
      </c>
      <c r="D47" s="11">
        <v>3.6700000000000003E-2</v>
      </c>
      <c r="E47" s="10">
        <f t="shared" si="2"/>
        <v>19862.014537516516</v>
      </c>
      <c r="F47" s="3"/>
      <c r="G47" s="28"/>
      <c r="H47" s="10"/>
      <c r="I47" s="10">
        <f t="shared" si="8"/>
        <v>16786</v>
      </c>
      <c r="J47" s="10">
        <f t="shared" si="6"/>
        <v>9417975329.8892174</v>
      </c>
      <c r="K47" s="11">
        <f t="shared" si="7"/>
        <v>3.6699999999999955E-2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541199.30619936052</v>
      </c>
      <c r="D48" s="11">
        <v>3.6999999999999998E-2</v>
      </c>
      <c r="E48" s="10">
        <f t="shared" si="2"/>
        <v>19309.907742889365</v>
      </c>
      <c r="F48" s="3"/>
      <c r="G48" s="28"/>
      <c r="H48" s="10"/>
      <c r="I48" s="10">
        <f t="shared" si="8"/>
        <v>16786</v>
      </c>
      <c r="J48" s="10">
        <f t="shared" si="6"/>
        <v>9084571553.8624649</v>
      </c>
      <c r="K48" s="11">
        <f t="shared" si="7"/>
        <v>3.6999999999999922E-2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521889.39845647116</v>
      </c>
      <c r="D49" s="11">
        <v>3.73E-2</v>
      </c>
      <c r="E49" s="10">
        <f t="shared" si="2"/>
        <v>18766.484683723538</v>
      </c>
      <c r="F49" s="3"/>
      <c r="G49" s="28"/>
      <c r="H49" s="10"/>
      <c r="I49" s="10">
        <f t="shared" si="8"/>
        <v>16786</v>
      </c>
      <c r="J49" s="10">
        <f t="shared" si="6"/>
        <v>8760435442.490324</v>
      </c>
      <c r="K49" s="11">
        <f t="shared" si="7"/>
        <v>3.7300000000000111E-2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503122.91377274762</v>
      </c>
      <c r="D50" s="11">
        <v>3.6400000000000002E-2</v>
      </c>
      <c r="E50" s="10">
        <f t="shared" si="2"/>
        <v>17670.46899008879</v>
      </c>
      <c r="F50" s="3"/>
      <c r="G50" s="28"/>
      <c r="H50" s="10"/>
      <c r="I50" s="10">
        <f t="shared" si="8"/>
        <v>16786</v>
      </c>
      <c r="J50" s="10">
        <f t="shared" si="6"/>
        <v>8445421230.5893412</v>
      </c>
      <c r="K50" s="11">
        <f t="shared" si="7"/>
        <v>3.6399999999999988E-2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485452.44478265883</v>
      </c>
      <c r="D51" s="11">
        <v>3.2500000000000001E-2</v>
      </c>
      <c r="E51" s="10">
        <f t="shared" si="2"/>
        <v>15280.585428994091</v>
      </c>
      <c r="F51" s="3"/>
      <c r="G51" s="28"/>
      <c r="H51" s="10"/>
      <c r="I51" s="10">
        <f t="shared" si="8"/>
        <v>16786</v>
      </c>
      <c r="J51" s="10">
        <f t="shared" si="6"/>
        <v>8148804738.1217108</v>
      </c>
      <c r="K51" s="11">
        <f t="shared" si="7"/>
        <v>3.2499999999999973E-2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470171.85935366474</v>
      </c>
      <c r="D52" s="11">
        <v>2.9700000000000001E-2</v>
      </c>
      <c r="E52" s="10">
        <f t="shared" si="2"/>
        <v>13561.332643297908</v>
      </c>
      <c r="F52" s="3"/>
      <c r="G52" s="28"/>
      <c r="H52" s="10"/>
      <c r="I52" s="10">
        <f t="shared" si="8"/>
        <v>16786</v>
      </c>
      <c r="J52" s="10">
        <f t="shared" si="6"/>
        <v>7892304831.1106167</v>
      </c>
      <c r="K52" s="11">
        <f t="shared" si="7"/>
        <v>2.970000000000006E-2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456610.52671036683</v>
      </c>
      <c r="D53" s="11">
        <v>2.9899999999999999E-2</v>
      </c>
      <c r="E53" s="10">
        <f t="shared" si="2"/>
        <v>13256.29162893485</v>
      </c>
      <c r="F53" s="3"/>
      <c r="G53" s="28"/>
      <c r="H53" s="10"/>
      <c r="I53" s="10">
        <f t="shared" si="8"/>
        <v>16786</v>
      </c>
      <c r="J53" s="10">
        <f t="shared" si="6"/>
        <v>7664664301.360218</v>
      </c>
      <c r="K53" s="11">
        <f t="shared" si="7"/>
        <v>2.9900000000000038E-2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443354.23508143198</v>
      </c>
      <c r="D54" s="11">
        <v>3.0099999999999998E-2</v>
      </c>
      <c r="E54" s="10">
        <f t="shared" si="2"/>
        <v>12955.016479905928</v>
      </c>
      <c r="F54" s="3"/>
      <c r="G54" s="28"/>
      <c r="H54" s="10"/>
      <c r="I54" s="10">
        <f t="shared" si="8"/>
        <v>16786</v>
      </c>
      <c r="J54" s="10">
        <f t="shared" si="6"/>
        <v>7442144190.0769176</v>
      </c>
      <c r="K54" s="11">
        <f t="shared" si="7"/>
        <v>3.0100000000000016E-2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430399.21860152605</v>
      </c>
      <c r="D55" s="11">
        <v>3.0300000000000001E-2</v>
      </c>
      <c r="E55" s="10">
        <f t="shared" si="2"/>
        <v>12657.571895201632</v>
      </c>
      <c r="F55" s="3"/>
      <c r="G55" s="28"/>
      <c r="H55" s="10"/>
      <c r="I55" s="10">
        <f t="shared" si="8"/>
        <v>16786</v>
      </c>
      <c r="J55" s="10">
        <f t="shared" si="6"/>
        <v>7224681283.4452162</v>
      </c>
      <c r="K55" s="11">
        <f t="shared" si="7"/>
        <v>3.0299999999999994E-2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417741.64670632442</v>
      </c>
      <c r="D56" s="11">
        <v>3.0300000000000001E-2</v>
      </c>
      <c r="E56" s="10">
        <f t="shared" si="2"/>
        <v>12285.326502185431</v>
      </c>
      <c r="F56" s="3"/>
      <c r="G56" s="28"/>
      <c r="H56" s="10"/>
      <c r="I56" s="10">
        <f t="shared" si="8"/>
        <v>16786</v>
      </c>
      <c r="J56" s="10">
        <f t="shared" si="6"/>
        <v>7012211281.6123619</v>
      </c>
      <c r="K56" s="11">
        <f t="shared" si="7"/>
        <v>3.0299999999999994E-2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405456.32020413899</v>
      </c>
      <c r="D57" s="11">
        <v>3.0099999999999998E-2</v>
      </c>
      <c r="E57" s="10">
        <f t="shared" si="2"/>
        <v>11847.621821322769</v>
      </c>
      <c r="F57" s="3"/>
      <c r="G57" s="28"/>
      <c r="H57" s="10"/>
      <c r="I57" s="10">
        <f t="shared" si="8"/>
        <v>16786</v>
      </c>
      <c r="J57" s="10">
        <f t="shared" si="6"/>
        <v>6805989790.9466772</v>
      </c>
      <c r="K57" s="11">
        <f t="shared" si="7"/>
        <v>3.0100000000000016E-2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393608.69838281622</v>
      </c>
      <c r="D58" s="11">
        <v>2.9700000000000001E-2</v>
      </c>
      <c r="E58" s="10">
        <f t="shared" si="2"/>
        <v>11352.994408050552</v>
      </c>
      <c r="F58" s="3"/>
      <c r="G58" s="28"/>
      <c r="H58" s="10"/>
      <c r="I58" s="10">
        <f t="shared" si="8"/>
        <v>16786</v>
      </c>
      <c r="J58" s="10">
        <f t="shared" si="6"/>
        <v>6607115611.0539532</v>
      </c>
      <c r="K58" s="11">
        <f t="shared" si="7"/>
        <v>2.970000000000006E-2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382255.70397476567</v>
      </c>
      <c r="D59" s="11">
        <v>2.9100000000000001E-2</v>
      </c>
      <c r="E59" s="10">
        <f t="shared" si="2"/>
        <v>10809.096283806837</v>
      </c>
      <c r="F59" s="3"/>
      <c r="G59" s="28"/>
      <c r="H59" s="10"/>
      <c r="I59" s="10">
        <f t="shared" si="8"/>
        <v>16786</v>
      </c>
      <c r="J59" s="10">
        <f t="shared" si="6"/>
        <v>6416544246.9204168</v>
      </c>
      <c r="K59" s="11">
        <f t="shared" si="7"/>
        <v>2.9099999999999904E-2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371446.60769095883</v>
      </c>
      <c r="D60" s="11">
        <v>2.64E-2</v>
      </c>
      <c r="E60" s="10">
        <f t="shared" si="2"/>
        <v>9553.9657473122352</v>
      </c>
      <c r="F60" s="3"/>
      <c r="G60" s="28"/>
      <c r="H60" s="10"/>
      <c r="I60" s="10">
        <f t="shared" si="8"/>
        <v>16786</v>
      </c>
      <c r="J60" s="10">
        <f t="shared" si="6"/>
        <v>6235102756.7004347</v>
      </c>
      <c r="K60" s="11">
        <f t="shared" si="7"/>
        <v>2.6399999999999757E-2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361892.64194364659</v>
      </c>
      <c r="D61" s="11">
        <v>2.35E-2</v>
      </c>
      <c r="E61" s="10">
        <f t="shared" si="2"/>
        <v>8309.2106357359444</v>
      </c>
      <c r="F61" s="3"/>
      <c r="G61" s="28"/>
      <c r="H61" s="10"/>
      <c r="I61" s="10">
        <f t="shared" si="8"/>
        <v>16786</v>
      </c>
      <c r="J61" s="10">
        <f t="shared" si="6"/>
        <v>6074729887.6660519</v>
      </c>
      <c r="K61" s="11">
        <f t="shared" si="7"/>
        <v>2.3500000000000076E-2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353583.43130791065</v>
      </c>
      <c r="D62" s="11">
        <v>2.2800000000000001E-2</v>
      </c>
      <c r="E62" s="10">
        <f t="shared" si="2"/>
        <v>7881.9927980253706</v>
      </c>
      <c r="F62" s="3"/>
      <c r="G62" s="28"/>
      <c r="H62" s="10"/>
      <c r="I62" s="10">
        <f t="shared" si="8"/>
        <v>16786</v>
      </c>
      <c r="J62" s="10">
        <f t="shared" si="6"/>
        <v>5935251477.9345884</v>
      </c>
      <c r="K62" s="11">
        <f t="shared" si="7"/>
        <v>2.2800000000000153E-2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345701.43850988528</v>
      </c>
      <c r="D63" s="11">
        <v>2.18E-2</v>
      </c>
      <c r="E63" s="10">
        <f t="shared" si="2"/>
        <v>7375.5053430373082</v>
      </c>
      <c r="F63" s="3"/>
      <c r="G63" s="28"/>
      <c r="H63" s="10"/>
      <c r="I63" s="10">
        <f t="shared" si="8"/>
        <v>16786</v>
      </c>
      <c r="J63" s="10">
        <f t="shared" si="6"/>
        <v>5802944346.8269339</v>
      </c>
      <c r="K63" s="11">
        <f t="shared" si="7"/>
        <v>2.1800000000000042E-2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338325.93316684797</v>
      </c>
      <c r="D64" s="11">
        <v>2.0799999999999999E-2</v>
      </c>
      <c r="E64" s="10">
        <f t="shared" si="2"/>
        <v>6893.7886068479856</v>
      </c>
      <c r="F64" s="3"/>
      <c r="G64" s="28"/>
      <c r="H64" s="10"/>
      <c r="I64" s="10">
        <f t="shared" si="8"/>
        <v>16786</v>
      </c>
      <c r="J64" s="10">
        <f t="shared" si="6"/>
        <v>5679139114.13871</v>
      </c>
      <c r="K64" s="11">
        <f t="shared" si="7"/>
        <v>2.079999999999993E-2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331432.14455999999</v>
      </c>
      <c r="D65" s="11">
        <v>1.9800000000000002E-2</v>
      </c>
      <c r="E65" s="10">
        <f t="shared" si="2"/>
        <v>6434.9445600000327</v>
      </c>
      <c r="F65" s="3"/>
      <c r="G65" s="28"/>
      <c r="H65" s="10"/>
      <c r="I65" s="10">
        <f t="shared" si="8"/>
        <v>16786</v>
      </c>
      <c r="J65" s="10">
        <f t="shared" si="6"/>
        <v>5563419978.5841599</v>
      </c>
      <c r="K65" s="11">
        <f t="shared" si="7"/>
        <v>1.9800000000000262E-2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324997.19999999995</v>
      </c>
      <c r="D66" s="11">
        <v>1.8800000000000001E-2</v>
      </c>
      <c r="E66" s="10">
        <f t="shared" si="2"/>
        <v>5997.1999999999534</v>
      </c>
      <c r="F66" s="24">
        <f>SUM(F2)</f>
        <v>1158763</v>
      </c>
      <c r="G66" s="28"/>
      <c r="H66" s="10"/>
      <c r="I66" s="10">
        <f t="shared" si="8"/>
        <v>16786</v>
      </c>
      <c r="J66" s="10">
        <f t="shared" ref="J66:J67" si="9">IF(I66="","",I66*C66)</f>
        <v>5455402999.1999989</v>
      </c>
      <c r="K66" s="11">
        <f t="shared" ref="K66" si="10">IFERROR(J66/J67-1,"")</f>
        <v>1.8799999999999706E-2</v>
      </c>
    </row>
    <row r="67" spans="1:11" ht="22.5" customHeight="1">
      <c r="A67" s="3">
        <f t="shared" si="0"/>
        <v>1950</v>
      </c>
      <c r="B67" s="3">
        <v>1700</v>
      </c>
      <c r="C67" s="10">
        <v>319000</v>
      </c>
      <c r="D67" s="11">
        <v>1.8100000000000002E-2</v>
      </c>
      <c r="E67" s="3" t="s">
        <v>72</v>
      </c>
      <c r="F67" s="10">
        <f>SUM(C2)</f>
        <v>1158652.1487606454</v>
      </c>
      <c r="G67" s="28"/>
      <c r="H67" s="10"/>
      <c r="I67" s="10">
        <f t="shared" ref="I67" si="11">IF(H67&lt;&gt;"",H67,I66/(1+IF(G66="",0,G66)/100))</f>
        <v>16786</v>
      </c>
      <c r="J67" s="10">
        <f t="shared" si="9"/>
        <v>5354734000</v>
      </c>
      <c r="K67" s="11"/>
    </row>
  </sheetData>
  <dataValidations count="1">
    <dataValidation type="custom" allowBlank="1" showDropDown="1" sqref="D2:D67" xr:uid="{00000000-0002-0000-8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143923.67315868818</v>
      </c>
      <c r="D2" s="11">
        <v>6.7999999999999996E-3</v>
      </c>
      <c r="E2" s="10">
        <f t="shared" ref="E2:E66" si="2">SUM(C2-C3)</f>
        <v>972.07089539041044</v>
      </c>
      <c r="F2" s="15">
        <v>143925</v>
      </c>
      <c r="G2" s="28"/>
      <c r="H2" s="10"/>
      <c r="I2" s="10">
        <f>IF(H2&lt;&gt;"",H2,1071)</f>
        <v>1071</v>
      </c>
      <c r="J2" s="10">
        <f t="shared" ref="J2:J33" si="3">IF(I2="","",I2*C2)</f>
        <v>154142253.95295504</v>
      </c>
      <c r="K2" s="11">
        <f t="shared" ref="K2:K33" si="4">IFERROR(J2/J3-1,"")</f>
        <v>6.7999999999999172E-3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142951.60226329777</v>
      </c>
      <c r="D3" s="11">
        <v>5.8999999999999999E-3</v>
      </c>
      <c r="E3" s="10">
        <f t="shared" si="2"/>
        <v>838.46749513217947</v>
      </c>
      <c r="F3" s="3"/>
      <c r="G3" s="28"/>
      <c r="H3" s="10"/>
      <c r="I3" s="10">
        <f t="shared" ref="I3:I34" si="5">IF(H3&lt;&gt;"",H3,I2/(1+IF(G2="",0,G2)/100))</f>
        <v>1071</v>
      </c>
      <c r="J3" s="10">
        <f t="shared" si="3"/>
        <v>153101166.02399191</v>
      </c>
      <c r="K3" s="11">
        <f t="shared" si="4"/>
        <v>5.9000000000000163E-3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142113.13476816559</v>
      </c>
      <c r="D4" s="11">
        <v>4.7000000000000002E-3</v>
      </c>
      <c r="E4" s="10">
        <f t="shared" si="2"/>
        <v>664.80713985304465</v>
      </c>
      <c r="F4" s="3"/>
      <c r="G4" s="28"/>
      <c r="H4" s="10"/>
      <c r="I4" s="10">
        <f t="shared" si="5"/>
        <v>1071</v>
      </c>
      <c r="J4" s="10">
        <f t="shared" si="3"/>
        <v>152203167.33670536</v>
      </c>
      <c r="K4" s="11">
        <f t="shared" si="4"/>
        <v>4.6999999999999265E-3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141448.32762831255</v>
      </c>
      <c r="D5" s="11">
        <v>4.5999999999999999E-3</v>
      </c>
      <c r="E5" s="10">
        <f t="shared" si="2"/>
        <v>647.68296544917393</v>
      </c>
      <c r="F5" s="3"/>
      <c r="G5" s="28"/>
      <c r="H5" s="10"/>
      <c r="I5" s="10">
        <f t="shared" si="5"/>
        <v>1071</v>
      </c>
      <c r="J5" s="10">
        <f t="shared" si="3"/>
        <v>151491158.88992274</v>
      </c>
      <c r="K5" s="11">
        <f t="shared" si="4"/>
        <v>4.5999999999999375E-3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140800.64466286337</v>
      </c>
      <c r="D6" s="11">
        <v>2.3999999999999998E-3</v>
      </c>
      <c r="E6" s="10">
        <f t="shared" si="2"/>
        <v>337.11247724547866</v>
      </c>
      <c r="F6" s="3"/>
      <c r="G6" s="28"/>
      <c r="H6" s="10"/>
      <c r="I6" s="10">
        <f t="shared" si="5"/>
        <v>1071</v>
      </c>
      <c r="J6" s="10">
        <f t="shared" si="3"/>
        <v>150797490.43392667</v>
      </c>
      <c r="K6" s="11">
        <f t="shared" si="4"/>
        <v>2.3999999999999577E-3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140463.53218561789</v>
      </c>
      <c r="D7" s="11">
        <v>-4.7999999999999996E-3</v>
      </c>
      <c r="E7" s="10">
        <f t="shared" si="2"/>
        <v>-677.4768433389836</v>
      </c>
      <c r="F7" s="3"/>
      <c r="G7" s="28"/>
      <c r="H7" s="10"/>
      <c r="I7" s="10">
        <f t="shared" si="5"/>
        <v>1071</v>
      </c>
      <c r="J7" s="10">
        <f t="shared" si="3"/>
        <v>150436442.97079676</v>
      </c>
      <c r="K7" s="11">
        <f t="shared" si="4"/>
        <v>-4.7999999999998044E-3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141141.00902895688</v>
      </c>
      <c r="D8" s="11">
        <v>-4.4000000000000003E-3</v>
      </c>
      <c r="E8" s="10">
        <f t="shared" si="2"/>
        <v>-623.7650057527062</v>
      </c>
      <c r="F8" s="3"/>
      <c r="G8" s="28"/>
      <c r="H8" s="10"/>
      <c r="I8" s="10">
        <f t="shared" si="5"/>
        <v>1071</v>
      </c>
      <c r="J8" s="10">
        <f t="shared" si="3"/>
        <v>151162020.6700128</v>
      </c>
      <c r="K8" s="11">
        <f t="shared" si="4"/>
        <v>-4.3999999999999595E-3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141764.77403470958</v>
      </c>
      <c r="D9" s="11">
        <v>-4.4999999999999997E-3</v>
      </c>
      <c r="E9" s="10">
        <f t="shared" si="2"/>
        <v>-640.82519654062344</v>
      </c>
      <c r="F9" s="3"/>
      <c r="G9" s="28"/>
      <c r="H9" s="10"/>
      <c r="I9" s="10">
        <f t="shared" si="5"/>
        <v>1071</v>
      </c>
      <c r="J9" s="10">
        <f t="shared" si="3"/>
        <v>151830072.99117395</v>
      </c>
      <c r="K9" s="11">
        <f t="shared" si="4"/>
        <v>-4.5000000000000595E-3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142405.59923125021</v>
      </c>
      <c r="D10" s="11">
        <v>-4.7999999999999996E-3</v>
      </c>
      <c r="E10" s="10">
        <f t="shared" si="2"/>
        <v>-686.84372619574424</v>
      </c>
      <c r="F10" s="3"/>
      <c r="G10" s="28"/>
      <c r="H10" s="10"/>
      <c r="I10" s="10">
        <f t="shared" si="5"/>
        <v>1071</v>
      </c>
      <c r="J10" s="10">
        <f t="shared" si="3"/>
        <v>152516396.77666897</v>
      </c>
      <c r="K10" s="11">
        <f t="shared" si="4"/>
        <v>-4.7999999999999154E-3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143092.44295744595</v>
      </c>
      <c r="D11" s="11">
        <v>-5.4000000000000003E-3</v>
      </c>
      <c r="E11" s="10">
        <f t="shared" si="2"/>
        <v>-776.89442184817744</v>
      </c>
      <c r="F11" s="3"/>
      <c r="G11" s="28"/>
      <c r="H11" s="10"/>
      <c r="I11" s="10">
        <f t="shared" si="5"/>
        <v>1071</v>
      </c>
      <c r="J11" s="10">
        <f t="shared" si="3"/>
        <v>153252006.4074246</v>
      </c>
      <c r="K11" s="11">
        <f t="shared" si="4"/>
        <v>-5.3999999999999604E-3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143869.33737929413</v>
      </c>
      <c r="D12" s="11">
        <v>-4.7999999999999996E-3</v>
      </c>
      <c r="E12" s="10">
        <f t="shared" si="2"/>
        <v>-693.90355649177218</v>
      </c>
      <c r="F12" s="3"/>
      <c r="G12" s="28"/>
      <c r="H12" s="10"/>
      <c r="I12" s="10">
        <f t="shared" si="5"/>
        <v>1071</v>
      </c>
      <c r="J12" s="10">
        <f t="shared" si="3"/>
        <v>154084060.333224</v>
      </c>
      <c r="K12" s="11">
        <f t="shared" si="4"/>
        <v>-4.8000000000001375E-3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144563.2409357859</v>
      </c>
      <c r="D13" s="11">
        <v>-3.3999999999999998E-3</v>
      </c>
      <c r="E13" s="10">
        <f t="shared" si="2"/>
        <v>-493.19187154492829</v>
      </c>
      <c r="F13" s="3"/>
      <c r="G13" s="28"/>
      <c r="H13" s="10"/>
      <c r="I13" s="10">
        <f t="shared" si="5"/>
        <v>1071</v>
      </c>
      <c r="J13" s="10">
        <f t="shared" si="3"/>
        <v>154827231.0422267</v>
      </c>
      <c r="K13" s="11">
        <f t="shared" si="4"/>
        <v>-3.3999999999999586E-3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145056.43280733083</v>
      </c>
      <c r="D14" s="11">
        <v>-2E-3</v>
      </c>
      <c r="E14" s="10">
        <f t="shared" si="2"/>
        <v>-290.6942541229073</v>
      </c>
      <c r="F14" s="3"/>
      <c r="G14" s="28"/>
      <c r="H14" s="10"/>
      <c r="I14" s="10">
        <f t="shared" si="5"/>
        <v>1071</v>
      </c>
      <c r="J14" s="10">
        <f t="shared" si="3"/>
        <v>155355439.53665131</v>
      </c>
      <c r="K14" s="11">
        <f t="shared" si="4"/>
        <v>-2.0000000000001128E-3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145347.12706145374</v>
      </c>
      <c r="D15" s="11">
        <v>4.0000000000000001E-3</v>
      </c>
      <c r="E15" s="10">
        <f t="shared" si="2"/>
        <v>579.0722193683323</v>
      </c>
      <c r="F15" s="3"/>
      <c r="G15" s="28"/>
      <c r="H15" s="10"/>
      <c r="I15" s="10">
        <f t="shared" si="5"/>
        <v>1071</v>
      </c>
      <c r="J15" s="10">
        <f t="shared" si="3"/>
        <v>155666773.08281696</v>
      </c>
      <c r="K15" s="11">
        <f t="shared" si="4"/>
        <v>4.0000000000000036E-3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144768.0548420854</v>
      </c>
      <c r="D16" s="11">
        <v>1.03E-2</v>
      </c>
      <c r="E16" s="10">
        <f t="shared" si="2"/>
        <v>1475.9091011318087</v>
      </c>
      <c r="F16" s="3"/>
      <c r="G16" s="28"/>
      <c r="H16" s="10"/>
      <c r="I16" s="10">
        <f t="shared" si="5"/>
        <v>1071</v>
      </c>
      <c r="J16" s="10">
        <f t="shared" si="3"/>
        <v>155046586.73587346</v>
      </c>
      <c r="K16" s="11">
        <f t="shared" si="4"/>
        <v>1.0299999999999976E-2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143292.14574095359</v>
      </c>
      <c r="D17" s="11">
        <v>1.10078181818182E-2</v>
      </c>
      <c r="E17" s="10">
        <f t="shared" si="2"/>
        <v>1560.1599303511612</v>
      </c>
      <c r="F17" s="3"/>
      <c r="G17" s="28"/>
      <c r="H17" s="10"/>
      <c r="I17" s="10">
        <f t="shared" si="5"/>
        <v>1071</v>
      </c>
      <c r="J17" s="10">
        <f t="shared" si="3"/>
        <v>153465888.0885613</v>
      </c>
      <c r="K17" s="11">
        <f t="shared" si="4"/>
        <v>1.1007818181818285E-2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141731.98581060243</v>
      </c>
      <c r="D18" s="11">
        <v>1.21927272727274E-2</v>
      </c>
      <c r="E18" s="10">
        <f t="shared" si="2"/>
        <v>1707.2830126600165</v>
      </c>
      <c r="F18" s="3"/>
      <c r="G18" s="28"/>
      <c r="H18" s="10"/>
      <c r="I18" s="10">
        <f t="shared" si="5"/>
        <v>1071</v>
      </c>
      <c r="J18" s="10">
        <f t="shared" si="3"/>
        <v>151794956.80315521</v>
      </c>
      <c r="K18" s="11">
        <f t="shared" si="4"/>
        <v>1.2192727272727355E-2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140024.70279794242</v>
      </c>
      <c r="D19" s="11">
        <v>1.33072727272729E-2</v>
      </c>
      <c r="E19" s="10">
        <f t="shared" si="2"/>
        <v>1838.8764778845944</v>
      </c>
      <c r="F19" s="3"/>
      <c r="G19" s="28"/>
      <c r="H19" s="10"/>
      <c r="I19" s="10">
        <f t="shared" si="5"/>
        <v>1071</v>
      </c>
      <c r="J19" s="10">
        <f t="shared" si="3"/>
        <v>149966456.69659632</v>
      </c>
      <c r="K19" s="11">
        <f t="shared" si="4"/>
        <v>1.3307272727272945E-2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138185.82632005782</v>
      </c>
      <c r="D20" s="11">
        <v>1.4221818181818301E-2</v>
      </c>
      <c r="E20" s="10">
        <f t="shared" si="2"/>
        <v>1937.6961351031496</v>
      </c>
      <c r="F20" s="3"/>
      <c r="G20" s="28"/>
      <c r="H20" s="10"/>
      <c r="I20" s="10">
        <f t="shared" si="5"/>
        <v>1071</v>
      </c>
      <c r="J20" s="10">
        <f t="shared" si="3"/>
        <v>147997019.98878193</v>
      </c>
      <c r="K20" s="11">
        <f t="shared" si="4"/>
        <v>1.4221818181818335E-2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136248.13018495467</v>
      </c>
      <c r="D21" s="11">
        <v>1.47363636363637E-2</v>
      </c>
      <c r="E21" s="10">
        <f t="shared" si="2"/>
        <v>1978.6439740713104</v>
      </c>
      <c r="F21" s="3"/>
      <c r="G21" s="28"/>
      <c r="H21" s="10"/>
      <c r="I21" s="10">
        <f t="shared" si="5"/>
        <v>1071</v>
      </c>
      <c r="J21" s="10">
        <f t="shared" si="3"/>
        <v>145921747.42808646</v>
      </c>
      <c r="K21" s="11">
        <f t="shared" si="4"/>
        <v>1.473636363636377E-2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134269.48621088336</v>
      </c>
      <c r="D22" s="11">
        <v>1.52509090909092E-2</v>
      </c>
      <c r="E22" s="10">
        <f t="shared" si="2"/>
        <v>2016.9710852254939</v>
      </c>
      <c r="F22" s="3"/>
      <c r="G22" s="28"/>
      <c r="H22" s="10"/>
      <c r="I22" s="10">
        <f t="shared" si="5"/>
        <v>1071</v>
      </c>
      <c r="J22" s="10">
        <f t="shared" si="3"/>
        <v>143802619.73185608</v>
      </c>
      <c r="K22" s="11">
        <f t="shared" si="4"/>
        <v>1.5250909090909204E-2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132252.51512565787</v>
      </c>
      <c r="D23" s="11">
        <v>1.57654545454546E-2</v>
      </c>
      <c r="E23" s="10">
        <f t="shared" si="2"/>
        <v>2052.6598993944208</v>
      </c>
      <c r="F23" s="3"/>
      <c r="G23" s="28"/>
      <c r="H23" s="10"/>
      <c r="I23" s="10">
        <f t="shared" si="5"/>
        <v>1071</v>
      </c>
      <c r="J23" s="10">
        <f t="shared" si="3"/>
        <v>141642443.69957957</v>
      </c>
      <c r="K23" s="11">
        <f t="shared" si="4"/>
        <v>1.5765454545454416E-2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130199.85522626345</v>
      </c>
      <c r="D24" s="11">
        <v>1.62800000000001E-2</v>
      </c>
      <c r="E24" s="10">
        <f t="shared" si="2"/>
        <v>2085.6984719600732</v>
      </c>
      <c r="F24" s="3"/>
      <c r="G24" s="28"/>
      <c r="H24" s="10"/>
      <c r="I24" s="10">
        <f t="shared" si="5"/>
        <v>1071</v>
      </c>
      <c r="J24" s="10">
        <f t="shared" si="3"/>
        <v>139444044.94732815</v>
      </c>
      <c r="K24" s="11">
        <f t="shared" si="4"/>
        <v>1.6280000000000072E-2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128114.15675430337</v>
      </c>
      <c r="D25" s="11">
        <v>1.6794545454545499E-2</v>
      </c>
      <c r="E25" s="10">
        <f t="shared" si="2"/>
        <v>2116.0804201787541</v>
      </c>
      <c r="F25" s="3"/>
      <c r="G25" s="28"/>
      <c r="H25" s="10"/>
      <c r="I25" s="10">
        <f t="shared" si="5"/>
        <v>1071</v>
      </c>
      <c r="J25" s="10">
        <f t="shared" si="3"/>
        <v>137210261.88385892</v>
      </c>
      <c r="K25" s="11">
        <f t="shared" si="4"/>
        <v>1.6794545454545506E-2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125998.07633412462</v>
      </c>
      <c r="D26" s="11">
        <v>1.7309090909091E-2</v>
      </c>
      <c r="E26" s="10">
        <f t="shared" si="2"/>
        <v>2143.8048446898611</v>
      </c>
      <c r="F26" s="3"/>
      <c r="G26" s="28"/>
      <c r="H26" s="10"/>
      <c r="I26" s="10">
        <f t="shared" si="5"/>
        <v>1071</v>
      </c>
      <c r="J26" s="10">
        <f t="shared" si="3"/>
        <v>134943939.75384748</v>
      </c>
      <c r="K26" s="11">
        <f t="shared" si="4"/>
        <v>1.7309090909091163E-2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123854.27148943476</v>
      </c>
      <c r="D27" s="11">
        <v>1.7823636363636399E-2</v>
      </c>
      <c r="E27" s="10">
        <f t="shared" si="2"/>
        <v>2168.8762357667438</v>
      </c>
      <c r="F27" s="3"/>
      <c r="G27" s="28"/>
      <c r="H27" s="10"/>
      <c r="I27" s="10">
        <f t="shared" si="5"/>
        <v>1071</v>
      </c>
      <c r="J27" s="10">
        <f t="shared" si="3"/>
        <v>132647924.76518463</v>
      </c>
      <c r="K27" s="11">
        <f t="shared" si="4"/>
        <v>1.7823636363636375E-2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121685.39525366802</v>
      </c>
      <c r="D28" s="11">
        <v>1.8338181818181899E-2</v>
      </c>
      <c r="E28" s="10">
        <f t="shared" si="2"/>
        <v>2191.3043649162719</v>
      </c>
      <c r="F28" s="3"/>
      <c r="G28" s="28"/>
      <c r="H28" s="10"/>
      <c r="I28" s="10">
        <f t="shared" si="5"/>
        <v>1071</v>
      </c>
      <c r="J28" s="10">
        <f t="shared" si="3"/>
        <v>130325058.31667845</v>
      </c>
      <c r="K28" s="11">
        <f t="shared" si="4"/>
        <v>1.8338181818181809E-2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119494.09088875174</v>
      </c>
      <c r="D29" s="11">
        <v>1.8852727272727299E-2</v>
      </c>
      <c r="E29" s="10">
        <f t="shared" si="2"/>
        <v>2211.1041624812642</v>
      </c>
      <c r="F29" s="3"/>
      <c r="G29" s="28"/>
      <c r="H29" s="10"/>
      <c r="I29" s="10">
        <f t="shared" si="5"/>
        <v>1071</v>
      </c>
      <c r="J29" s="10">
        <f t="shared" si="3"/>
        <v>127978171.34185311</v>
      </c>
      <c r="K29" s="11">
        <f t="shared" si="4"/>
        <v>1.8852727272727243E-2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117282.98672627048</v>
      </c>
      <c r="D30" s="11">
        <v>1.9367272727272799E-2</v>
      </c>
      <c r="E30" s="10">
        <f t="shared" si="2"/>
        <v>2228.2955819443159</v>
      </c>
      <c r="F30" s="3"/>
      <c r="G30" s="28"/>
      <c r="H30" s="10"/>
      <c r="I30" s="10">
        <f t="shared" si="5"/>
        <v>1071</v>
      </c>
      <c r="J30" s="10">
        <f t="shared" si="3"/>
        <v>125610078.78383568</v>
      </c>
      <c r="K30" s="11">
        <f t="shared" si="4"/>
        <v>1.93672727272729E-2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115054.69114432616</v>
      </c>
      <c r="D31" s="11">
        <v>1.9881818181818198E-2</v>
      </c>
      <c r="E31" s="10">
        <f t="shared" si="2"/>
        <v>2242.9034516712272</v>
      </c>
      <c r="F31" s="3"/>
      <c r="G31" s="28"/>
      <c r="H31" s="10"/>
      <c r="I31" s="10">
        <f t="shared" si="5"/>
        <v>1071</v>
      </c>
      <c r="J31" s="10">
        <f t="shared" si="3"/>
        <v>123223574.21557333</v>
      </c>
      <c r="K31" s="11">
        <f t="shared" si="4"/>
        <v>1.9881818181818112E-2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112811.78769265494</v>
      </c>
      <c r="D32" s="11">
        <v>2.0396363636363699E-2</v>
      </c>
      <c r="E32" s="10">
        <f t="shared" si="2"/>
        <v>2254.9573148691125</v>
      </c>
      <c r="F32" s="3"/>
      <c r="G32" s="28"/>
      <c r="H32" s="10"/>
      <c r="I32" s="10">
        <f t="shared" si="5"/>
        <v>1071</v>
      </c>
      <c r="J32" s="10">
        <f t="shared" si="3"/>
        <v>120821424.61883344</v>
      </c>
      <c r="K32" s="11">
        <f t="shared" si="4"/>
        <v>2.0396363636363768E-2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110556.83037778582</v>
      </c>
      <c r="D33" s="11">
        <v>2.0910909090909102E-2</v>
      </c>
      <c r="E33" s="10">
        <f t="shared" si="2"/>
        <v>2264.491258563954</v>
      </c>
      <c r="F33" s="3"/>
      <c r="G33" s="28"/>
      <c r="H33" s="10"/>
      <c r="I33" s="10">
        <f t="shared" si="5"/>
        <v>1071</v>
      </c>
      <c r="J33" s="10">
        <f t="shared" si="3"/>
        <v>118406365.33460861</v>
      </c>
      <c r="K33" s="11">
        <f t="shared" si="4"/>
        <v>2.0910909090909202E-2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108292.33911922187</v>
      </c>
      <c r="D34" s="11">
        <v>2.1425454545454602E-2</v>
      </c>
      <c r="E34" s="10">
        <f t="shared" si="2"/>
        <v>2271.5437324326049</v>
      </c>
      <c r="F34" s="3"/>
      <c r="G34" s="28"/>
      <c r="H34" s="10"/>
      <c r="I34" s="10">
        <f t="shared" si="5"/>
        <v>1071</v>
      </c>
      <c r="J34" s="10">
        <f t="shared" ref="J34:J65" si="6">IF(I34="","",I34*C34)</f>
        <v>115981095.19668663</v>
      </c>
      <c r="K34" s="11">
        <f t="shared" ref="K34:K65" si="7">IFERROR(J34/J35-1,"")</f>
        <v>2.1425454545454636E-2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106020.79538678926</v>
      </c>
      <c r="D35" s="11">
        <v>2.1940000000000098E-2</v>
      </c>
      <c r="E35" s="10">
        <f t="shared" si="2"/>
        <v>2276.1573583440913</v>
      </c>
      <c r="F35" s="3"/>
      <c r="G35" s="28"/>
      <c r="H35" s="10"/>
      <c r="I35" s="10">
        <f t="shared" ref="I35:I66" si="8">IF(H35&lt;&gt;"",H35,I34/(1+IF(G34="",0,G34)/100))</f>
        <v>1071</v>
      </c>
      <c r="J35" s="10">
        <f t="shared" si="6"/>
        <v>113548271.85925131</v>
      </c>
      <c r="K35" s="11">
        <f t="shared" si="7"/>
        <v>2.1940000000000071E-2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103744.63802844517</v>
      </c>
      <c r="D36" s="11">
        <v>2.2800000000000001E-2</v>
      </c>
      <c r="E36" s="10">
        <f t="shared" si="2"/>
        <v>2312.6493420498009</v>
      </c>
      <c r="F36" s="3"/>
      <c r="G36" s="28"/>
      <c r="H36" s="10"/>
      <c r="I36" s="10">
        <f t="shared" si="8"/>
        <v>1071</v>
      </c>
      <c r="J36" s="10">
        <f t="shared" si="6"/>
        <v>111110507.32846478</v>
      </c>
      <c r="K36" s="11">
        <f t="shared" si="7"/>
        <v>2.2799999999999709E-2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101431.98868639537</v>
      </c>
      <c r="D37" s="11">
        <v>2.3300000000000001E-2</v>
      </c>
      <c r="E37" s="10">
        <f t="shared" si="2"/>
        <v>2309.5527571513958</v>
      </c>
      <c r="F37" s="3"/>
      <c r="G37" s="28"/>
      <c r="H37" s="10"/>
      <c r="I37" s="10">
        <f t="shared" si="8"/>
        <v>1071</v>
      </c>
      <c r="J37" s="10">
        <f t="shared" si="6"/>
        <v>108633659.88312945</v>
      </c>
      <c r="K37" s="11">
        <f t="shared" si="7"/>
        <v>2.3300000000000098E-2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99122.435929243977</v>
      </c>
      <c r="D38" s="11">
        <v>2.3400000000000001E-2</v>
      </c>
      <c r="E38" s="10">
        <f t="shared" si="2"/>
        <v>2266.4305264259456</v>
      </c>
      <c r="F38" s="3"/>
      <c r="G38" s="28"/>
      <c r="H38" s="10"/>
      <c r="I38" s="10">
        <f t="shared" si="8"/>
        <v>1071</v>
      </c>
      <c r="J38" s="10">
        <f t="shared" si="6"/>
        <v>106160128.88022029</v>
      </c>
      <c r="K38" s="11">
        <f t="shared" si="7"/>
        <v>2.3400000000000087E-2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96856.005402818031</v>
      </c>
      <c r="D39" s="11">
        <v>2.3599999999999999E-2</v>
      </c>
      <c r="E39" s="10">
        <f t="shared" si="2"/>
        <v>2233.1005544221553</v>
      </c>
      <c r="F39" s="3"/>
      <c r="G39" s="28"/>
      <c r="H39" s="10"/>
      <c r="I39" s="10">
        <f t="shared" si="8"/>
        <v>1071</v>
      </c>
      <c r="J39" s="10">
        <f t="shared" si="6"/>
        <v>103732781.78641811</v>
      </c>
      <c r="K39" s="11">
        <f t="shared" si="7"/>
        <v>2.3600000000000065E-2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94622.904848395876</v>
      </c>
      <c r="D40" s="11">
        <v>2.41E-2</v>
      </c>
      <c r="E40" s="10">
        <f t="shared" si="2"/>
        <v>2226.7473946356185</v>
      </c>
      <c r="F40" s="3"/>
      <c r="G40" s="28"/>
      <c r="H40" s="10"/>
      <c r="I40" s="10">
        <f t="shared" si="8"/>
        <v>1071</v>
      </c>
      <c r="J40" s="10">
        <f t="shared" si="6"/>
        <v>101341131.09263198</v>
      </c>
      <c r="K40" s="11">
        <f t="shared" si="7"/>
        <v>2.410000000000001E-2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92396.157453760257</v>
      </c>
      <c r="D41" s="11">
        <v>2.4799999999999999E-2</v>
      </c>
      <c r="E41" s="10">
        <f t="shared" si="2"/>
        <v>2235.9725847514201</v>
      </c>
      <c r="F41" s="3"/>
      <c r="G41" s="28"/>
      <c r="H41" s="10"/>
      <c r="I41" s="10">
        <f t="shared" si="8"/>
        <v>1071</v>
      </c>
      <c r="J41" s="10">
        <f t="shared" si="6"/>
        <v>98956284.632977232</v>
      </c>
      <c r="K41" s="11">
        <f t="shared" si="7"/>
        <v>2.4799999999999933E-2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90160.184869008837</v>
      </c>
      <c r="D42" s="11">
        <v>2.5499999999999998E-2</v>
      </c>
      <c r="E42" s="10">
        <f t="shared" si="2"/>
        <v>2241.9158597364585</v>
      </c>
      <c r="F42" s="3"/>
      <c r="G42" s="28"/>
      <c r="H42" s="10"/>
      <c r="I42" s="10">
        <f t="shared" si="8"/>
        <v>1071</v>
      </c>
      <c r="J42" s="10">
        <f t="shared" si="6"/>
        <v>96561557.994708464</v>
      </c>
      <c r="K42" s="11">
        <f t="shared" si="7"/>
        <v>2.5500000000000078E-2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87918.269009272379</v>
      </c>
      <c r="D43" s="11">
        <v>2.6200000000000001E-2</v>
      </c>
      <c r="E43" s="10">
        <f t="shared" si="2"/>
        <v>2244.6488482195855</v>
      </c>
      <c r="F43" s="3"/>
      <c r="G43" s="28"/>
      <c r="H43" s="10"/>
      <c r="I43" s="10">
        <f t="shared" si="8"/>
        <v>1071</v>
      </c>
      <c r="J43" s="10">
        <f t="shared" si="6"/>
        <v>94160466.108930722</v>
      </c>
      <c r="K43" s="11">
        <f t="shared" si="7"/>
        <v>2.6200000000000223E-2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85673.620161052793</v>
      </c>
      <c r="D44" s="11">
        <v>2.6700000000000002E-2</v>
      </c>
      <c r="E44" s="10">
        <f t="shared" si="2"/>
        <v>2227.9981087952765</v>
      </c>
      <c r="F44" s="3"/>
      <c r="G44" s="28"/>
      <c r="H44" s="10"/>
      <c r="I44" s="10">
        <f t="shared" si="8"/>
        <v>1071</v>
      </c>
      <c r="J44" s="10">
        <f t="shared" si="6"/>
        <v>91756447.192487538</v>
      </c>
      <c r="K44" s="11">
        <f t="shared" si="7"/>
        <v>2.6699999999999946E-2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83445.622052257517</v>
      </c>
      <c r="D45" s="11">
        <v>2.7199999999999998E-2</v>
      </c>
      <c r="E45" s="10">
        <f t="shared" si="2"/>
        <v>2209.6192755270604</v>
      </c>
      <c r="F45" s="3"/>
      <c r="G45" s="28"/>
      <c r="H45" s="10"/>
      <c r="I45" s="10">
        <f t="shared" si="8"/>
        <v>1071</v>
      </c>
      <c r="J45" s="10">
        <f t="shared" si="6"/>
        <v>89370261.217967793</v>
      </c>
      <c r="K45" s="11">
        <f t="shared" si="7"/>
        <v>2.7199999999999669E-2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81236.002776730456</v>
      </c>
      <c r="D46" s="11">
        <v>2.7699999999999999E-2</v>
      </c>
      <c r="E46" s="10">
        <f t="shared" si="2"/>
        <v>2189.5857515962271</v>
      </c>
      <c r="F46" s="3"/>
      <c r="G46" s="28"/>
      <c r="H46" s="10"/>
      <c r="I46" s="10">
        <f t="shared" si="8"/>
        <v>1071</v>
      </c>
      <c r="J46" s="10">
        <f t="shared" si="6"/>
        <v>87003758.973878324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79046.417025134229</v>
      </c>
      <c r="D47" s="11">
        <v>2.81E-2</v>
      </c>
      <c r="E47" s="10">
        <f t="shared" si="2"/>
        <v>2160.494425062032</v>
      </c>
      <c r="F47" s="3"/>
      <c r="G47" s="28"/>
      <c r="H47" s="10"/>
      <c r="I47" s="10">
        <f t="shared" si="8"/>
        <v>1071</v>
      </c>
      <c r="J47" s="10">
        <f t="shared" si="6"/>
        <v>84658712.633918762</v>
      </c>
      <c r="K47" s="11">
        <f t="shared" si="7"/>
        <v>2.8100000000000014E-2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76885.922600072197</v>
      </c>
      <c r="D48" s="11">
        <v>2.8400000000000002E-2</v>
      </c>
      <c r="E48" s="10">
        <f t="shared" si="2"/>
        <v>2123.2596283956082</v>
      </c>
      <c r="F48" s="3"/>
      <c r="G48" s="28"/>
      <c r="H48" s="10"/>
      <c r="I48" s="10">
        <f t="shared" si="8"/>
        <v>1071</v>
      </c>
      <c r="J48" s="10">
        <f t="shared" si="6"/>
        <v>82344823.10467732</v>
      </c>
      <c r="K48" s="11">
        <f t="shared" si="7"/>
        <v>2.8399999999999759E-2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74762.662971676589</v>
      </c>
      <c r="D49" s="11">
        <v>2.8500000000000001E-2</v>
      </c>
      <c r="E49" s="10">
        <f t="shared" si="2"/>
        <v>2071.6926540522836</v>
      </c>
      <c r="F49" s="3"/>
      <c r="G49" s="28"/>
      <c r="H49" s="10"/>
      <c r="I49" s="10">
        <f t="shared" si="8"/>
        <v>1071</v>
      </c>
      <c r="J49" s="10">
        <f t="shared" si="6"/>
        <v>80070812.042665631</v>
      </c>
      <c r="K49" s="11">
        <f t="shared" si="7"/>
        <v>2.849999999999997E-2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72690.970317624306</v>
      </c>
      <c r="D50" s="11">
        <v>2.87E-2</v>
      </c>
      <c r="E50" s="10">
        <f t="shared" si="2"/>
        <v>2028.0264879127208</v>
      </c>
      <c r="F50" s="3"/>
      <c r="G50" s="28"/>
      <c r="H50" s="10"/>
      <c r="I50" s="10">
        <f t="shared" si="8"/>
        <v>1071</v>
      </c>
      <c r="J50" s="10">
        <f t="shared" si="6"/>
        <v>77852029.210175633</v>
      </c>
      <c r="K50" s="11">
        <f t="shared" si="7"/>
        <v>2.870000000000017E-2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70662.943829711585</v>
      </c>
      <c r="D51" s="11">
        <v>2.9000000000000001E-2</v>
      </c>
      <c r="E51" s="10">
        <f t="shared" si="2"/>
        <v>1991.4726638111024</v>
      </c>
      <c r="F51" s="3"/>
      <c r="G51" s="28"/>
      <c r="H51" s="10"/>
      <c r="I51" s="10">
        <f t="shared" si="8"/>
        <v>1071</v>
      </c>
      <c r="J51" s="10">
        <f t="shared" si="6"/>
        <v>75680012.841621101</v>
      </c>
      <c r="K51" s="11">
        <f t="shared" si="7"/>
        <v>2.8999999999999693E-2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68671.471165900482</v>
      </c>
      <c r="D52" s="11">
        <v>2.92E-2</v>
      </c>
      <c r="E52" s="10">
        <f t="shared" si="2"/>
        <v>1948.3161271320278</v>
      </c>
      <c r="F52" s="3"/>
      <c r="G52" s="28"/>
      <c r="H52" s="10"/>
      <c r="I52" s="10">
        <f t="shared" si="8"/>
        <v>1071</v>
      </c>
      <c r="J52" s="10">
        <f t="shared" si="6"/>
        <v>73547145.618679419</v>
      </c>
      <c r="K52" s="11">
        <f t="shared" si="7"/>
        <v>2.9199999999999893E-2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66723.155038768455</v>
      </c>
      <c r="D53" s="11">
        <v>2.93E-2</v>
      </c>
      <c r="E53" s="10">
        <f t="shared" si="2"/>
        <v>1899.3378438122309</v>
      </c>
      <c r="F53" s="3"/>
      <c r="G53" s="28"/>
      <c r="H53" s="10"/>
      <c r="I53" s="10">
        <f t="shared" si="8"/>
        <v>1071</v>
      </c>
      <c r="J53" s="10">
        <f t="shared" si="6"/>
        <v>71460499.046521008</v>
      </c>
      <c r="K53" s="11">
        <f t="shared" si="7"/>
        <v>2.9300000000000104E-2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64823.817194956224</v>
      </c>
      <c r="D54" s="11">
        <v>2.92E-2</v>
      </c>
      <c r="E54" s="10">
        <f t="shared" si="2"/>
        <v>1839.1522173462072</v>
      </c>
      <c r="F54" s="3"/>
      <c r="G54" s="28"/>
      <c r="H54" s="10"/>
      <c r="I54" s="10">
        <f t="shared" si="8"/>
        <v>1071</v>
      </c>
      <c r="J54" s="10">
        <f t="shared" si="6"/>
        <v>69426308.21579811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62984.664977610017</v>
      </c>
      <c r="D55" s="11">
        <v>2.8799999999999999E-2</v>
      </c>
      <c r="E55" s="10">
        <f t="shared" si="2"/>
        <v>1763.1788018615553</v>
      </c>
      <c r="F55" s="3"/>
      <c r="G55" s="28"/>
      <c r="H55" s="10"/>
      <c r="I55" s="10">
        <f t="shared" si="8"/>
        <v>1071</v>
      </c>
      <c r="J55" s="10">
        <f t="shared" si="6"/>
        <v>67456576.191020325</v>
      </c>
      <c r="K55" s="11">
        <f t="shared" si="7"/>
        <v>2.8799999999999937E-2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61221.486175748461</v>
      </c>
      <c r="D56" s="11">
        <v>2.8000000000000001E-2</v>
      </c>
      <c r="E56" s="10">
        <f t="shared" si="2"/>
        <v>1667.5112966157176</v>
      </c>
      <c r="F56" s="3"/>
      <c r="G56" s="28"/>
      <c r="H56" s="10"/>
      <c r="I56" s="10">
        <f t="shared" si="8"/>
        <v>1071</v>
      </c>
      <c r="J56" s="10">
        <f t="shared" si="6"/>
        <v>65568211.6942266</v>
      </c>
      <c r="K56" s="11">
        <f t="shared" si="7"/>
        <v>2.8000000000000025E-2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59553.974879132744</v>
      </c>
      <c r="D57" s="11">
        <v>2.7E-2</v>
      </c>
      <c r="E57" s="10">
        <f t="shared" si="2"/>
        <v>1565.6838575818692</v>
      </c>
      <c r="F57" s="3"/>
      <c r="G57" s="28"/>
      <c r="H57" s="10"/>
      <c r="I57" s="10">
        <f t="shared" si="8"/>
        <v>1071</v>
      </c>
      <c r="J57" s="10">
        <f t="shared" si="6"/>
        <v>63782307.09555117</v>
      </c>
      <c r="K57" s="11">
        <f t="shared" si="7"/>
        <v>2.6999999999999913E-2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57988.291021550875</v>
      </c>
      <c r="D58" s="11">
        <v>2.5600000000000001E-2</v>
      </c>
      <c r="E58" s="10">
        <f t="shared" si="2"/>
        <v>1447.4456417235851</v>
      </c>
      <c r="F58" s="3"/>
      <c r="G58" s="28"/>
      <c r="H58" s="10"/>
      <c r="I58" s="10">
        <f t="shared" si="8"/>
        <v>1071</v>
      </c>
      <c r="J58" s="10">
        <f t="shared" si="6"/>
        <v>62105459.684080988</v>
      </c>
      <c r="K58" s="11">
        <f t="shared" si="7"/>
        <v>2.5600000000000067E-2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56540.845379827289</v>
      </c>
      <c r="D59" s="11">
        <v>2.41E-2</v>
      </c>
      <c r="E59" s="10">
        <f t="shared" si="2"/>
        <v>1330.5676922701314</v>
      </c>
      <c r="F59" s="3"/>
      <c r="G59" s="28"/>
      <c r="H59" s="10"/>
      <c r="I59" s="10">
        <f t="shared" si="8"/>
        <v>1071</v>
      </c>
      <c r="J59" s="10">
        <f t="shared" si="6"/>
        <v>60555245.40179503</v>
      </c>
      <c r="K59" s="11">
        <f t="shared" si="7"/>
        <v>2.410000000000001E-2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55210.277687557158</v>
      </c>
      <c r="D60" s="11">
        <v>2.24E-2</v>
      </c>
      <c r="E60" s="10">
        <f t="shared" si="2"/>
        <v>1209.6148476147064</v>
      </c>
      <c r="F60" s="3"/>
      <c r="G60" s="28"/>
      <c r="H60" s="10"/>
      <c r="I60" s="10">
        <f t="shared" si="8"/>
        <v>1071</v>
      </c>
      <c r="J60" s="10">
        <f t="shared" si="6"/>
        <v>59130207.403373718</v>
      </c>
      <c r="K60" s="11">
        <f t="shared" si="7"/>
        <v>2.2399999999999975E-2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54000.662839942452</v>
      </c>
      <c r="D61" s="11">
        <v>2.1000000000000001E-2</v>
      </c>
      <c r="E61" s="10">
        <f t="shared" si="2"/>
        <v>1110.6894413700138</v>
      </c>
      <c r="F61" s="3"/>
      <c r="G61" s="28"/>
      <c r="H61" s="10"/>
      <c r="I61" s="10">
        <f t="shared" si="8"/>
        <v>1071</v>
      </c>
      <c r="J61" s="10">
        <f t="shared" si="6"/>
        <v>57834709.901578367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52889.973398572438</v>
      </c>
      <c r="D62" s="11">
        <v>1.9800000000000002E-2</v>
      </c>
      <c r="E62" s="10">
        <f t="shared" si="2"/>
        <v>1026.8890697114475</v>
      </c>
      <c r="F62" s="3"/>
      <c r="G62" s="28"/>
      <c r="H62" s="10"/>
      <c r="I62" s="10">
        <f t="shared" si="8"/>
        <v>1071</v>
      </c>
      <c r="J62" s="10">
        <f t="shared" si="6"/>
        <v>56645161.509871081</v>
      </c>
      <c r="K62" s="11">
        <f t="shared" si="7"/>
        <v>1.980000000000004E-2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51863.08432886099</v>
      </c>
      <c r="D63" s="11">
        <v>1.8800000000000001E-2</v>
      </c>
      <c r="E63" s="10">
        <f t="shared" si="2"/>
        <v>957.03375086629967</v>
      </c>
      <c r="F63" s="3"/>
      <c r="G63" s="28"/>
      <c r="H63" s="10"/>
      <c r="I63" s="10">
        <f t="shared" si="8"/>
        <v>1071</v>
      </c>
      <c r="J63" s="10">
        <f t="shared" si="6"/>
        <v>55545363.316210121</v>
      </c>
      <c r="K63" s="11">
        <f t="shared" si="7"/>
        <v>1.8799999999999928E-2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50906.050577994691</v>
      </c>
      <c r="D64" s="11">
        <v>1.7899999999999999E-2</v>
      </c>
      <c r="E64" s="10">
        <f t="shared" si="2"/>
        <v>895.19432689469249</v>
      </c>
      <c r="F64" s="3"/>
      <c r="G64" s="28"/>
      <c r="H64" s="10"/>
      <c r="I64" s="10">
        <f t="shared" si="8"/>
        <v>1071</v>
      </c>
      <c r="J64" s="10">
        <f t="shared" si="6"/>
        <v>54520380.169032313</v>
      </c>
      <c r="K64" s="11">
        <f t="shared" si="7"/>
        <v>1.7900000000000027E-2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50010.856251099998</v>
      </c>
      <c r="D65" s="11">
        <v>1.6899999999999998E-2</v>
      </c>
      <c r="E65" s="10">
        <f t="shared" si="2"/>
        <v>831.13725109999359</v>
      </c>
      <c r="F65" s="3"/>
      <c r="G65" s="28"/>
      <c r="H65" s="10"/>
      <c r="I65" s="10">
        <f t="shared" si="8"/>
        <v>1071</v>
      </c>
      <c r="J65" s="10">
        <f t="shared" si="6"/>
        <v>53561627.044928096</v>
      </c>
      <c r="K65" s="11">
        <f t="shared" si="7"/>
        <v>1.6899999999999915E-2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49179.719000000005</v>
      </c>
      <c r="D66" s="11">
        <v>1.5900000000000001E-2</v>
      </c>
      <c r="E66" s="10">
        <f t="shared" si="2"/>
        <v>769.7190000000046</v>
      </c>
      <c r="F66" s="24">
        <f>SUM(F2)</f>
        <v>143925</v>
      </c>
      <c r="G66" s="28"/>
      <c r="H66" s="10"/>
      <c r="I66" s="10">
        <f t="shared" si="8"/>
        <v>1071</v>
      </c>
      <c r="J66" s="10">
        <f t="shared" ref="J66:J67" si="9">IF(I66="","",I66*C66)</f>
        <v>52671479.049000002</v>
      </c>
      <c r="K66" s="11">
        <f t="shared" ref="K66" si="10">IFERROR(J66/J67-1,"")</f>
        <v>1.5900000000000025E-2</v>
      </c>
    </row>
    <row r="67" spans="1:11" ht="22.5" customHeight="1">
      <c r="A67" s="3">
        <f t="shared" si="0"/>
        <v>1950</v>
      </c>
      <c r="B67" s="3">
        <v>1700</v>
      </c>
      <c r="C67" s="10">
        <v>48410</v>
      </c>
      <c r="D67" s="11">
        <v>1.49E-2</v>
      </c>
      <c r="E67" s="3" t="s">
        <v>72</v>
      </c>
      <c r="F67" s="10">
        <f>SUM(C2)</f>
        <v>143923.67315868818</v>
      </c>
      <c r="G67" s="28"/>
      <c r="H67" s="10"/>
      <c r="I67" s="10">
        <f t="shared" ref="I67" si="11">IF(H67&lt;&gt;"",H67,I66/(1+IF(G66="",0,G66)/100))</f>
        <v>1071</v>
      </c>
      <c r="J67" s="10">
        <f t="shared" si="9"/>
        <v>51847110</v>
      </c>
      <c r="K67" s="11"/>
    </row>
  </sheetData>
  <dataValidations count="1">
    <dataValidation type="custom" allowBlank="1" showDropDown="1" sqref="D2:D67" xr:uid="{00000000-0002-0000-9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10353.827030039225</v>
      </c>
      <c r="D2" s="11">
        <v>2.23E-2</v>
      </c>
      <c r="E2" s="10">
        <f t="shared" ref="E2:E66" si="2">SUM(C2-C3)</f>
        <v>225.85380296378207</v>
      </c>
      <c r="F2" s="15">
        <v>10360</v>
      </c>
      <c r="G2" s="28"/>
      <c r="H2" s="10"/>
      <c r="I2" s="10">
        <f>IF(H2&lt;&gt;"",H2,3532)</f>
        <v>3532</v>
      </c>
      <c r="J2" s="10">
        <f t="shared" ref="J2:J33" si="3">IF(I2="","",I2*C2)</f>
        <v>36569717.070098542</v>
      </c>
      <c r="K2" s="11">
        <f t="shared" ref="K2:K33" si="4">IFERROR(J2/J3-1,"")</f>
        <v>2.2299999999999986E-2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10127.973227075443</v>
      </c>
      <c r="D3" s="11">
        <v>2.24E-2</v>
      </c>
      <c r="E3" s="10">
        <f t="shared" si="2"/>
        <v>221.89612704077626</v>
      </c>
      <c r="F3" s="3"/>
      <c r="G3" s="28"/>
      <c r="H3" s="10"/>
      <c r="I3" s="10">
        <f t="shared" ref="I3:I34" si="5">IF(H3&lt;&gt;"",H3,I2/(1+IF(G2="",0,G2)/100))</f>
        <v>3532</v>
      </c>
      <c r="J3" s="10">
        <f t="shared" si="3"/>
        <v>35772001.438030466</v>
      </c>
      <c r="K3" s="11">
        <f t="shared" si="4"/>
        <v>2.2400000000000198E-2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9906.0771000346667</v>
      </c>
      <c r="D4" s="11">
        <v>2.23E-2</v>
      </c>
      <c r="E4" s="10">
        <f t="shared" si="2"/>
        <v>216.08678404653438</v>
      </c>
      <c r="F4" s="3"/>
      <c r="G4" s="28"/>
      <c r="H4" s="10"/>
      <c r="I4" s="10">
        <f t="shared" si="5"/>
        <v>3532</v>
      </c>
      <c r="J4" s="10">
        <f t="shared" si="3"/>
        <v>34988264.31732244</v>
      </c>
      <c r="K4" s="11">
        <f t="shared" si="4"/>
        <v>2.2299999999999764E-2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9689.9903159881324</v>
      </c>
      <c r="D5" s="11">
        <v>2.1999999999999999E-2</v>
      </c>
      <c r="E5" s="10">
        <f t="shared" si="2"/>
        <v>208.59078958095779</v>
      </c>
      <c r="F5" s="3"/>
      <c r="G5" s="28"/>
      <c r="H5" s="10"/>
      <c r="I5" s="10">
        <f t="shared" si="5"/>
        <v>3532</v>
      </c>
      <c r="J5" s="10">
        <f t="shared" si="3"/>
        <v>34225045.796070084</v>
      </c>
      <c r="K5" s="11">
        <f t="shared" si="4"/>
        <v>2.200000000000002E-2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9481.3995264071746</v>
      </c>
      <c r="D6" s="11">
        <v>2.1499999999999998E-2</v>
      </c>
      <c r="E6" s="10">
        <f t="shared" si="2"/>
        <v>199.55955929295669</v>
      </c>
      <c r="F6" s="3"/>
      <c r="G6" s="28"/>
      <c r="H6" s="10"/>
      <c r="I6" s="10">
        <f t="shared" si="5"/>
        <v>3532</v>
      </c>
      <c r="J6" s="10">
        <f t="shared" si="3"/>
        <v>33488303.12727014</v>
      </c>
      <c r="K6" s="11">
        <f t="shared" si="4"/>
        <v>2.1500000000000075E-2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9281.8399671142179</v>
      </c>
      <c r="D7" s="11">
        <v>2.1100000000000001E-2</v>
      </c>
      <c r="E7" s="10">
        <f t="shared" si="2"/>
        <v>191.79984654403052</v>
      </c>
      <c r="F7" s="3"/>
      <c r="G7" s="28"/>
      <c r="H7" s="10"/>
      <c r="I7" s="10">
        <f t="shared" si="5"/>
        <v>3532</v>
      </c>
      <c r="J7" s="10">
        <f t="shared" si="3"/>
        <v>32783458.763847418</v>
      </c>
      <c r="K7" s="11">
        <f t="shared" si="4"/>
        <v>2.1099999999999897E-2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9090.0401205701874</v>
      </c>
      <c r="D8" s="11">
        <v>2.0799999999999999E-2</v>
      </c>
      <c r="E8" s="10">
        <f t="shared" si="2"/>
        <v>185.22025324045717</v>
      </c>
      <c r="F8" s="3"/>
      <c r="G8" s="28"/>
      <c r="H8" s="10"/>
      <c r="I8" s="10">
        <f t="shared" si="5"/>
        <v>3532</v>
      </c>
      <c r="J8" s="10">
        <f t="shared" si="3"/>
        <v>32106021.705853902</v>
      </c>
      <c r="K8" s="11">
        <f t="shared" si="4"/>
        <v>2.079999999999993E-2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8904.8198673297302</v>
      </c>
      <c r="D9" s="11">
        <v>2.06E-2</v>
      </c>
      <c r="E9" s="10">
        <f t="shared" si="2"/>
        <v>179.73671297961118</v>
      </c>
      <c r="F9" s="3"/>
      <c r="G9" s="28"/>
      <c r="H9" s="10"/>
      <c r="I9" s="10">
        <f t="shared" si="5"/>
        <v>3532</v>
      </c>
      <c r="J9" s="10">
        <f t="shared" si="3"/>
        <v>31451823.771408606</v>
      </c>
      <c r="K9" s="11">
        <f t="shared" si="4"/>
        <v>2.059999999999973E-2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8725.083154350119</v>
      </c>
      <c r="D10" s="11">
        <v>2.0299999999999999E-2</v>
      </c>
      <c r="E10" s="10">
        <f t="shared" si="2"/>
        <v>173.5952053644105</v>
      </c>
      <c r="F10" s="3"/>
      <c r="G10" s="28"/>
      <c r="H10" s="10"/>
      <c r="I10" s="10">
        <f t="shared" si="5"/>
        <v>3532</v>
      </c>
      <c r="J10" s="10">
        <f t="shared" si="3"/>
        <v>30816993.701164622</v>
      </c>
      <c r="K10" s="11">
        <f t="shared" si="4"/>
        <v>2.0300000000000207E-2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8551.4879489857085</v>
      </c>
      <c r="D11" s="11">
        <v>2.0199999999999999E-2</v>
      </c>
      <c r="E11" s="10">
        <f t="shared" si="2"/>
        <v>169.31979667664382</v>
      </c>
      <c r="F11" s="3"/>
      <c r="G11" s="28"/>
      <c r="H11" s="10"/>
      <c r="I11" s="10">
        <f t="shared" si="5"/>
        <v>3532</v>
      </c>
      <c r="J11" s="10">
        <f t="shared" si="3"/>
        <v>30203855.435817521</v>
      </c>
      <c r="K11" s="11">
        <f t="shared" si="4"/>
        <v>2.0199999999999996E-2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8382.1681523090647</v>
      </c>
      <c r="D12" s="11">
        <v>2.0299999999999999E-2</v>
      </c>
      <c r="E12" s="10">
        <f t="shared" si="2"/>
        <v>166.77253111033497</v>
      </c>
      <c r="F12" s="3"/>
      <c r="G12" s="28"/>
      <c r="H12" s="10"/>
      <c r="I12" s="10">
        <f t="shared" si="5"/>
        <v>3532</v>
      </c>
      <c r="J12" s="10">
        <f t="shared" si="3"/>
        <v>29605817.913955618</v>
      </c>
      <c r="K12" s="11">
        <f t="shared" si="4"/>
        <v>2.0300000000000207E-2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8215.3956211987297</v>
      </c>
      <c r="D13" s="11">
        <v>2.0799999999999999E-2</v>
      </c>
      <c r="E13" s="10">
        <f t="shared" si="2"/>
        <v>167.39834337865614</v>
      </c>
      <c r="F13" s="3"/>
      <c r="G13" s="28"/>
      <c r="H13" s="10"/>
      <c r="I13" s="10">
        <f t="shared" si="5"/>
        <v>3532</v>
      </c>
      <c r="J13" s="10">
        <f t="shared" si="3"/>
        <v>29016777.334073912</v>
      </c>
      <c r="K13" s="11">
        <f t="shared" si="4"/>
        <v>2.0799999999999708E-2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8047.9972778200736</v>
      </c>
      <c r="D14" s="11">
        <v>2.1499999999999998E-2</v>
      </c>
      <c r="E14" s="10">
        <f t="shared" si="2"/>
        <v>169.39005528451526</v>
      </c>
      <c r="F14" s="3"/>
      <c r="G14" s="28"/>
      <c r="H14" s="10"/>
      <c r="I14" s="10">
        <f t="shared" si="5"/>
        <v>3532</v>
      </c>
      <c r="J14" s="10">
        <f t="shared" si="3"/>
        <v>28425526.3852605</v>
      </c>
      <c r="K14" s="11">
        <f t="shared" si="4"/>
        <v>2.1500000000000075E-2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7878.6072225355583</v>
      </c>
      <c r="D15" s="11">
        <v>2.24E-2</v>
      </c>
      <c r="E15" s="10">
        <f t="shared" si="2"/>
        <v>172.61424274725778</v>
      </c>
      <c r="F15" s="3"/>
      <c r="G15" s="28"/>
      <c r="H15" s="10"/>
      <c r="I15" s="10">
        <f t="shared" si="5"/>
        <v>3532</v>
      </c>
      <c r="J15" s="10">
        <f t="shared" si="3"/>
        <v>27827240.70999559</v>
      </c>
      <c r="K15" s="11">
        <f t="shared" si="4"/>
        <v>2.2399999999999975E-2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7705.9929797883005</v>
      </c>
      <c r="D16" s="11">
        <v>2.35E-2</v>
      </c>
      <c r="E16" s="10">
        <f t="shared" si="2"/>
        <v>176.93291160237004</v>
      </c>
      <c r="F16" s="3"/>
      <c r="G16" s="28"/>
      <c r="H16" s="10"/>
      <c r="I16" s="10">
        <f t="shared" si="5"/>
        <v>3532</v>
      </c>
      <c r="J16" s="10">
        <f t="shared" si="3"/>
        <v>27217567.204612277</v>
      </c>
      <c r="K16" s="11">
        <f t="shared" si="4"/>
        <v>2.3500000000000076E-2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7529.0600681859305</v>
      </c>
      <c r="D17" s="11">
        <v>2.4500000000000001E-2</v>
      </c>
      <c r="E17" s="10">
        <f t="shared" si="2"/>
        <v>180.05072881459728</v>
      </c>
      <c r="F17" s="3"/>
      <c r="G17" s="28"/>
      <c r="H17" s="10"/>
      <c r="I17" s="10">
        <f t="shared" si="5"/>
        <v>3532</v>
      </c>
      <c r="J17" s="10">
        <f t="shared" si="3"/>
        <v>26592640.160832707</v>
      </c>
      <c r="K17" s="11">
        <f t="shared" si="4"/>
        <v>2.4499999999999966E-2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7349.0093393713332</v>
      </c>
      <c r="D18" s="11">
        <v>2.5399999999999999E-2</v>
      </c>
      <c r="E18" s="10">
        <f t="shared" si="2"/>
        <v>182.04099592357397</v>
      </c>
      <c r="F18" s="3"/>
      <c r="G18" s="28"/>
      <c r="H18" s="10"/>
      <c r="I18" s="10">
        <f t="shared" si="5"/>
        <v>3532</v>
      </c>
      <c r="J18" s="10">
        <f t="shared" si="3"/>
        <v>25956700.986659549</v>
      </c>
      <c r="K18" s="11">
        <f t="shared" si="4"/>
        <v>2.5400000000000089E-2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7166.9683434477593</v>
      </c>
      <c r="D19" s="11">
        <v>2.6100000000000002E-2</v>
      </c>
      <c r="E19" s="10">
        <f t="shared" si="2"/>
        <v>182.29984773802425</v>
      </c>
      <c r="F19" s="3"/>
      <c r="G19" s="28"/>
      <c r="H19" s="10"/>
      <c r="I19" s="10">
        <f t="shared" si="5"/>
        <v>3532</v>
      </c>
      <c r="J19" s="10">
        <f t="shared" si="3"/>
        <v>25313732.189057484</v>
      </c>
      <c r="K19" s="11">
        <f t="shared" si="4"/>
        <v>2.6100000000000012E-2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6984.668495709735</v>
      </c>
      <c r="D20" s="11">
        <v>2.6700000000000002E-2</v>
      </c>
      <c r="E20" s="10">
        <f t="shared" si="2"/>
        <v>181.640838448865</v>
      </c>
      <c r="F20" s="3"/>
      <c r="G20" s="28"/>
      <c r="H20" s="10"/>
      <c r="I20" s="10">
        <f t="shared" si="5"/>
        <v>3532</v>
      </c>
      <c r="J20" s="10">
        <f t="shared" si="3"/>
        <v>24669849.126846783</v>
      </c>
      <c r="K20" s="11">
        <f t="shared" si="4"/>
        <v>2.6699999999999946E-2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6803.02765726087</v>
      </c>
      <c r="D21" s="11">
        <v>2.7099999999999999E-2</v>
      </c>
      <c r="E21" s="10">
        <f t="shared" si="2"/>
        <v>179.49766284857287</v>
      </c>
      <c r="F21" s="3"/>
      <c r="G21" s="28"/>
      <c r="H21" s="10"/>
      <c r="I21" s="10">
        <f t="shared" si="5"/>
        <v>3532</v>
      </c>
      <c r="J21" s="10">
        <f t="shared" si="3"/>
        <v>24028293.685445394</v>
      </c>
      <c r="K21" s="11">
        <f t="shared" si="4"/>
        <v>2.7100000000000124E-2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6623.5299944122971</v>
      </c>
      <c r="D22" s="11">
        <v>2.7199999999999998E-2</v>
      </c>
      <c r="E22" s="10">
        <f t="shared" si="2"/>
        <v>175.38942352805043</v>
      </c>
      <c r="F22" s="3"/>
      <c r="G22" s="28"/>
      <c r="H22" s="10"/>
      <c r="I22" s="10">
        <f t="shared" si="5"/>
        <v>3532</v>
      </c>
      <c r="J22" s="10">
        <f t="shared" si="3"/>
        <v>23394307.940264232</v>
      </c>
      <c r="K22" s="11">
        <f t="shared" si="4"/>
        <v>2.7199999999999891E-2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6448.1405708842467</v>
      </c>
      <c r="D23" s="11">
        <v>2.7199999999999998E-2</v>
      </c>
      <c r="E23" s="10">
        <f t="shared" si="2"/>
        <v>170.74515530378812</v>
      </c>
      <c r="F23" s="3"/>
      <c r="G23" s="28"/>
      <c r="H23" s="10"/>
      <c r="I23" s="10">
        <f t="shared" si="5"/>
        <v>3532</v>
      </c>
      <c r="J23" s="10">
        <f t="shared" si="3"/>
        <v>22774832.496363159</v>
      </c>
      <c r="K23" s="11">
        <f t="shared" si="4"/>
        <v>2.7200000000000113E-2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6277.3954155804586</v>
      </c>
      <c r="D24" s="11">
        <v>2.7099999999999999E-2</v>
      </c>
      <c r="E24" s="10">
        <f t="shared" si="2"/>
        <v>165.62887329591103</v>
      </c>
      <c r="F24" s="3"/>
      <c r="G24" s="28"/>
      <c r="H24" s="10"/>
      <c r="I24" s="10">
        <f t="shared" si="5"/>
        <v>3532</v>
      </c>
      <c r="J24" s="10">
        <f t="shared" si="3"/>
        <v>22171760.607830178</v>
      </c>
      <c r="K24" s="11">
        <f t="shared" si="4"/>
        <v>2.7099999999999902E-2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6111.7665422845475</v>
      </c>
      <c r="D25" s="11">
        <v>2.7199999999999998E-2</v>
      </c>
      <c r="E25" s="10">
        <f t="shared" si="2"/>
        <v>161.83805485800167</v>
      </c>
      <c r="F25" s="3"/>
      <c r="G25" s="28"/>
      <c r="H25" s="10"/>
      <c r="I25" s="10">
        <f t="shared" si="5"/>
        <v>3532</v>
      </c>
      <c r="J25" s="10">
        <f t="shared" si="3"/>
        <v>21586759.427349024</v>
      </c>
      <c r="K25" s="11">
        <f t="shared" si="4"/>
        <v>2.7200000000000113E-2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5949.9284874265459</v>
      </c>
      <c r="D26" s="11">
        <v>2.7400000000000001E-2</v>
      </c>
      <c r="E26" s="10">
        <f t="shared" si="2"/>
        <v>158.68020299346699</v>
      </c>
      <c r="F26" s="3"/>
      <c r="G26" s="28"/>
      <c r="H26" s="10"/>
      <c r="I26" s="10">
        <f t="shared" si="5"/>
        <v>3532</v>
      </c>
      <c r="J26" s="10">
        <f t="shared" si="3"/>
        <v>21015147.417590559</v>
      </c>
      <c r="K26" s="11">
        <f t="shared" si="4"/>
        <v>2.7399999999999869E-2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5791.2482844330789</v>
      </c>
      <c r="D27" s="11">
        <v>2.76E-2</v>
      </c>
      <c r="E27" s="10">
        <f t="shared" si="2"/>
        <v>155.5453996208189</v>
      </c>
      <c r="F27" s="3"/>
      <c r="G27" s="28"/>
      <c r="H27" s="10"/>
      <c r="I27" s="10">
        <f t="shared" si="5"/>
        <v>3532</v>
      </c>
      <c r="J27" s="10">
        <f t="shared" si="3"/>
        <v>20454688.940617636</v>
      </c>
      <c r="K27" s="11">
        <f t="shared" si="4"/>
        <v>2.7600000000000069E-2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5635.70288481226</v>
      </c>
      <c r="D28" s="11">
        <v>2.76E-2</v>
      </c>
      <c r="E28" s="10">
        <f t="shared" si="2"/>
        <v>151.36765241418743</v>
      </c>
      <c r="F28" s="3"/>
      <c r="G28" s="28"/>
      <c r="H28" s="10"/>
      <c r="I28" s="10">
        <f t="shared" si="5"/>
        <v>3532</v>
      </c>
      <c r="J28" s="10">
        <f t="shared" si="3"/>
        <v>19905302.589156903</v>
      </c>
      <c r="K28" s="11">
        <f t="shared" si="4"/>
        <v>2.7600000000000069E-2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5484.3352323980725</v>
      </c>
      <c r="D29" s="11">
        <v>2.7099999999999999E-2</v>
      </c>
      <c r="E29" s="10">
        <f t="shared" si="2"/>
        <v>144.70400622917623</v>
      </c>
      <c r="F29" s="3"/>
      <c r="G29" s="28"/>
      <c r="H29" s="10"/>
      <c r="I29" s="10">
        <f t="shared" si="5"/>
        <v>3532</v>
      </c>
      <c r="J29" s="10">
        <f t="shared" si="3"/>
        <v>19370672.040829994</v>
      </c>
      <c r="K29" s="11">
        <f t="shared" si="4"/>
        <v>2.7099999999999902E-2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5339.6312261688963</v>
      </c>
      <c r="D30" s="11">
        <v>2.5899999999999999E-2</v>
      </c>
      <c r="E30" s="10">
        <f t="shared" si="2"/>
        <v>134.80499927651272</v>
      </c>
      <c r="F30" s="3"/>
      <c r="G30" s="28"/>
      <c r="H30" s="10"/>
      <c r="I30" s="10">
        <f t="shared" si="5"/>
        <v>3532</v>
      </c>
      <c r="J30" s="10">
        <f t="shared" si="3"/>
        <v>18859577.49082854</v>
      </c>
      <c r="K30" s="11">
        <f t="shared" si="4"/>
        <v>2.5900000000000034E-2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5204.8262268923836</v>
      </c>
      <c r="D31" s="11">
        <v>2.41E-2</v>
      </c>
      <c r="E31" s="10">
        <f t="shared" si="2"/>
        <v>122.48443713319648</v>
      </c>
      <c r="F31" s="3"/>
      <c r="G31" s="28"/>
      <c r="H31" s="10"/>
      <c r="I31" s="10">
        <f t="shared" si="5"/>
        <v>3532</v>
      </c>
      <c r="J31" s="10">
        <f t="shared" si="3"/>
        <v>18383446.233383898</v>
      </c>
      <c r="K31" s="11">
        <f t="shared" si="4"/>
        <v>2.410000000000001E-2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5082.3417897591871</v>
      </c>
      <c r="D32" s="11">
        <v>2.1600000000000001E-2</v>
      </c>
      <c r="E32" s="10">
        <f t="shared" si="2"/>
        <v>107.45750064486947</v>
      </c>
      <c r="F32" s="3"/>
      <c r="G32" s="28"/>
      <c r="H32" s="10"/>
      <c r="I32" s="10">
        <f t="shared" si="5"/>
        <v>3532</v>
      </c>
      <c r="J32" s="10">
        <f t="shared" si="3"/>
        <v>17950831.201429449</v>
      </c>
      <c r="K32" s="11">
        <f t="shared" si="4"/>
        <v>2.1600000000000064E-2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4974.8842891143177</v>
      </c>
      <c r="D33" s="11">
        <v>1.9099999999999999E-2</v>
      </c>
      <c r="E33" s="10">
        <f t="shared" si="2"/>
        <v>93.239417056307502</v>
      </c>
      <c r="F33" s="3"/>
      <c r="G33" s="28"/>
      <c r="H33" s="10"/>
      <c r="I33" s="10">
        <f t="shared" si="5"/>
        <v>3532</v>
      </c>
      <c r="J33" s="10">
        <f t="shared" si="3"/>
        <v>17571291.309151769</v>
      </c>
      <c r="K33" s="11">
        <f t="shared" si="4"/>
        <v>1.9099999999999895E-2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4881.6448720580102</v>
      </c>
      <c r="D34" s="11">
        <v>1.6899999999999998E-2</v>
      </c>
      <c r="E34" s="10">
        <f t="shared" si="2"/>
        <v>81.12872292042448</v>
      </c>
      <c r="F34" s="3"/>
      <c r="G34" s="28"/>
      <c r="H34" s="10"/>
      <c r="I34" s="10">
        <f t="shared" si="5"/>
        <v>3532</v>
      </c>
      <c r="J34" s="10">
        <f t="shared" ref="J34:J65" si="6">IF(I34="","",I34*C34)</f>
        <v>17241969.688108891</v>
      </c>
      <c r="K34" s="11">
        <f t="shared" ref="K34:K65" si="7">IFERROR(J34/J35-1,"")</f>
        <v>1.6899999999999693E-2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4800.5161491375857</v>
      </c>
      <c r="D35" s="11">
        <v>1.52E-2</v>
      </c>
      <c r="E35" s="10">
        <f t="shared" si="2"/>
        <v>71.875340294416674</v>
      </c>
      <c r="F35" s="3"/>
      <c r="G35" s="28"/>
      <c r="H35" s="10"/>
      <c r="I35" s="10">
        <f t="shared" ref="I35:I66" si="8">IF(H35&lt;&gt;"",H35,I34/(1+IF(G34="",0,G34)/100))</f>
        <v>3532</v>
      </c>
      <c r="J35" s="10">
        <f t="shared" si="6"/>
        <v>16955423.038753953</v>
      </c>
      <c r="K35" s="11">
        <f t="shared" si="7"/>
        <v>1.5200000000000102E-2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4728.640808843169</v>
      </c>
      <c r="D36" s="11">
        <v>1.4200000000000001E-2</v>
      </c>
      <c r="E36" s="10">
        <f t="shared" si="2"/>
        <v>66.206566244895839</v>
      </c>
      <c r="F36" s="3"/>
      <c r="G36" s="28"/>
      <c r="H36" s="10"/>
      <c r="I36" s="10">
        <f t="shared" si="8"/>
        <v>3532</v>
      </c>
      <c r="J36" s="10">
        <f t="shared" si="6"/>
        <v>16701559.336834073</v>
      </c>
      <c r="K36" s="11">
        <f t="shared" si="7"/>
        <v>1.419999999999999E-2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4662.4342425982732</v>
      </c>
      <c r="D37" s="11">
        <v>1.3599999999999999E-2</v>
      </c>
      <c r="E37" s="10">
        <f t="shared" si="2"/>
        <v>62.558312647332968</v>
      </c>
      <c r="F37" s="3"/>
      <c r="G37" s="28"/>
      <c r="H37" s="10"/>
      <c r="I37" s="10">
        <f t="shared" si="8"/>
        <v>3532</v>
      </c>
      <c r="J37" s="10">
        <f t="shared" si="6"/>
        <v>16467717.744857101</v>
      </c>
      <c r="K37" s="11">
        <f t="shared" si="7"/>
        <v>1.3600000000000056E-2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4599.8759299509402</v>
      </c>
      <c r="D38" s="11">
        <v>1.34E-2</v>
      </c>
      <c r="E38" s="10">
        <f t="shared" si="2"/>
        <v>60.82330517203809</v>
      </c>
      <c r="F38" s="3"/>
      <c r="G38" s="28"/>
      <c r="H38" s="10"/>
      <c r="I38" s="10">
        <f t="shared" si="8"/>
        <v>3532</v>
      </c>
      <c r="J38" s="10">
        <f t="shared" si="6"/>
        <v>16246761.78458672</v>
      </c>
      <c r="K38" s="11">
        <f t="shared" si="7"/>
        <v>1.3400000000000079E-2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4539.0526247789021</v>
      </c>
      <c r="D39" s="11">
        <v>1.34E-2</v>
      </c>
      <c r="E39" s="10">
        <f t="shared" si="2"/>
        <v>60.019049903333325</v>
      </c>
      <c r="F39" s="3"/>
      <c r="G39" s="28"/>
      <c r="H39" s="10"/>
      <c r="I39" s="10">
        <f t="shared" si="8"/>
        <v>3532</v>
      </c>
      <c r="J39" s="10">
        <f t="shared" si="6"/>
        <v>16031933.870719083</v>
      </c>
      <c r="K39" s="11">
        <f t="shared" si="7"/>
        <v>1.3400000000000301E-2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4479.0335748755688</v>
      </c>
      <c r="D40" s="11">
        <v>1.35E-2</v>
      </c>
      <c r="E40" s="10">
        <f t="shared" si="2"/>
        <v>59.661522704312119</v>
      </c>
      <c r="F40" s="3"/>
      <c r="G40" s="28"/>
      <c r="H40" s="10"/>
      <c r="I40" s="10">
        <f t="shared" si="8"/>
        <v>3532</v>
      </c>
      <c r="J40" s="10">
        <f t="shared" si="6"/>
        <v>15819946.586460508</v>
      </c>
      <c r="K40" s="11">
        <f t="shared" si="7"/>
        <v>1.3500000000000068E-2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4419.3720521712567</v>
      </c>
      <c r="D41" s="11">
        <v>1.34E-2</v>
      </c>
      <c r="E41" s="10">
        <f t="shared" si="2"/>
        <v>58.436535917796391</v>
      </c>
      <c r="F41" s="3"/>
      <c r="G41" s="28"/>
      <c r="H41" s="10"/>
      <c r="I41" s="10">
        <f t="shared" si="8"/>
        <v>3532</v>
      </c>
      <c r="J41" s="10">
        <f t="shared" si="6"/>
        <v>15609222.088268878</v>
      </c>
      <c r="K41" s="11">
        <f t="shared" si="7"/>
        <v>1.3400000000000079E-2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4360.9355162534603</v>
      </c>
      <c r="D42" s="11">
        <v>1.32E-2</v>
      </c>
      <c r="E42" s="10">
        <f t="shared" si="2"/>
        <v>56.814398751032058</v>
      </c>
      <c r="F42" s="3"/>
      <c r="G42" s="28"/>
      <c r="H42" s="10"/>
      <c r="I42" s="10">
        <f t="shared" si="8"/>
        <v>3532</v>
      </c>
      <c r="J42" s="10">
        <f t="shared" si="6"/>
        <v>15402824.243407222</v>
      </c>
      <c r="K42" s="11">
        <f t="shared" si="7"/>
        <v>1.3199999999999878E-2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4304.1211175024282</v>
      </c>
      <c r="D43" s="11">
        <v>1.2699999999999999E-2</v>
      </c>
      <c r="E43" s="10">
        <f t="shared" si="2"/>
        <v>53.976832420539722</v>
      </c>
      <c r="F43" s="3"/>
      <c r="G43" s="28"/>
      <c r="H43" s="10"/>
      <c r="I43" s="10">
        <f t="shared" si="8"/>
        <v>3532</v>
      </c>
      <c r="J43" s="10">
        <f t="shared" si="6"/>
        <v>15202155.787018577</v>
      </c>
      <c r="K43" s="11">
        <f t="shared" si="7"/>
        <v>1.2699999999999934E-2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4250.1442850818885</v>
      </c>
      <c r="D44" s="11">
        <v>1.2E-2</v>
      </c>
      <c r="E44" s="10">
        <f t="shared" si="2"/>
        <v>50.396967807295368</v>
      </c>
      <c r="F44" s="3"/>
      <c r="G44" s="28"/>
      <c r="H44" s="10"/>
      <c r="I44" s="10">
        <f t="shared" si="8"/>
        <v>3532</v>
      </c>
      <c r="J44" s="10">
        <f t="shared" si="6"/>
        <v>15011509.61490923</v>
      </c>
      <c r="K44" s="11">
        <f t="shared" si="7"/>
        <v>1.2000000000000011E-2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4199.7473172745931</v>
      </c>
      <c r="D45" s="11">
        <v>1.1299999999999999E-2</v>
      </c>
      <c r="E45" s="10">
        <f t="shared" si="2"/>
        <v>46.926871042423954</v>
      </c>
      <c r="F45" s="3"/>
      <c r="G45" s="28"/>
      <c r="H45" s="10"/>
      <c r="I45" s="10">
        <f t="shared" si="8"/>
        <v>3532</v>
      </c>
      <c r="J45" s="10">
        <f t="shared" si="6"/>
        <v>14833507.524613863</v>
      </c>
      <c r="K45" s="11">
        <f t="shared" si="7"/>
        <v>1.1300000000000088E-2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4152.8204462321692</v>
      </c>
      <c r="D46" s="11">
        <v>1.0699999999999999E-2</v>
      </c>
      <c r="E46" s="10">
        <f t="shared" si="2"/>
        <v>43.964755886696366</v>
      </c>
      <c r="F46" s="3"/>
      <c r="G46" s="28"/>
      <c r="H46" s="10"/>
      <c r="I46" s="10">
        <f t="shared" si="8"/>
        <v>3532</v>
      </c>
      <c r="J46" s="10">
        <f t="shared" si="6"/>
        <v>14667761.816092022</v>
      </c>
      <c r="K46" s="11">
        <f t="shared" si="7"/>
        <v>1.0699999999999932E-2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4108.8556903454728</v>
      </c>
      <c r="D47" s="11">
        <v>1.0200000000000001E-2</v>
      </c>
      <c r="E47" s="10">
        <f t="shared" si="2"/>
        <v>41.487159019524825</v>
      </c>
      <c r="F47" s="3"/>
      <c r="G47" s="28"/>
      <c r="H47" s="10"/>
      <c r="I47" s="10">
        <f t="shared" si="8"/>
        <v>3532</v>
      </c>
      <c r="J47" s="10">
        <f t="shared" si="6"/>
        <v>14512478.29830021</v>
      </c>
      <c r="K47" s="11">
        <f t="shared" si="7"/>
        <v>1.0199999999999987E-2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4067.368531325948</v>
      </c>
      <c r="D48" s="11">
        <v>0.01</v>
      </c>
      <c r="E48" s="10">
        <f t="shared" si="2"/>
        <v>40.270975557682505</v>
      </c>
      <c r="F48" s="3"/>
      <c r="G48" s="28"/>
      <c r="H48" s="10"/>
      <c r="I48" s="10">
        <f t="shared" si="8"/>
        <v>3532</v>
      </c>
      <c r="J48" s="10">
        <f t="shared" si="6"/>
        <v>14365945.652643248</v>
      </c>
      <c r="K48" s="11">
        <f t="shared" si="7"/>
        <v>1.0000000000000009E-2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4027.0975557682655</v>
      </c>
      <c r="D49" s="11">
        <v>0.01</v>
      </c>
      <c r="E49" s="10">
        <f t="shared" si="2"/>
        <v>39.872253027408533</v>
      </c>
      <c r="F49" s="3"/>
      <c r="G49" s="28"/>
      <c r="H49" s="10"/>
      <c r="I49" s="10">
        <f t="shared" si="8"/>
        <v>3532</v>
      </c>
      <c r="J49" s="10">
        <f t="shared" si="6"/>
        <v>14223708.566973513</v>
      </c>
      <c r="K49" s="11">
        <f t="shared" si="7"/>
        <v>9.9999999999997868E-3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3987.2253027408569</v>
      </c>
      <c r="D50" s="11">
        <v>1.04E-2</v>
      </c>
      <c r="E50" s="10">
        <f t="shared" si="2"/>
        <v>41.040323781180632</v>
      </c>
      <c r="F50" s="3"/>
      <c r="G50" s="28"/>
      <c r="H50" s="10"/>
      <c r="I50" s="10">
        <f t="shared" si="8"/>
        <v>3532</v>
      </c>
      <c r="J50" s="10">
        <f t="shared" si="6"/>
        <v>14082879.769280707</v>
      </c>
      <c r="K50" s="11">
        <f t="shared" si="7"/>
        <v>1.0399999999999965E-2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3946.1849789596763</v>
      </c>
      <c r="D51" s="11">
        <v>1.11E-2</v>
      </c>
      <c r="E51" s="10">
        <f t="shared" si="2"/>
        <v>43.321781491893034</v>
      </c>
      <c r="F51" s="3"/>
      <c r="G51" s="28"/>
      <c r="H51" s="10"/>
      <c r="I51" s="10">
        <f t="shared" si="8"/>
        <v>3532</v>
      </c>
      <c r="J51" s="10">
        <f t="shared" si="6"/>
        <v>13937925.345685577</v>
      </c>
      <c r="K51" s="11">
        <f t="shared" si="7"/>
        <v>1.110000000000011E-2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3902.8631974677833</v>
      </c>
      <c r="D52" s="11">
        <v>1.2E-2</v>
      </c>
      <c r="E52" s="10">
        <f t="shared" si="2"/>
        <v>46.279010246653797</v>
      </c>
      <c r="F52" s="3"/>
      <c r="G52" s="28"/>
      <c r="H52" s="10"/>
      <c r="I52" s="10">
        <f t="shared" si="8"/>
        <v>3532</v>
      </c>
      <c r="J52" s="10">
        <f t="shared" si="6"/>
        <v>13784912.813456211</v>
      </c>
      <c r="K52" s="11">
        <f t="shared" si="7"/>
        <v>1.2000000000000011E-2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3856.5841872211295</v>
      </c>
      <c r="D53" s="11">
        <v>1.29E-2</v>
      </c>
      <c r="E53" s="10">
        <f t="shared" si="2"/>
        <v>49.116335289912513</v>
      </c>
      <c r="F53" s="3"/>
      <c r="G53" s="28"/>
      <c r="H53" s="10"/>
      <c r="I53" s="10">
        <f t="shared" si="8"/>
        <v>3532</v>
      </c>
      <c r="J53" s="10">
        <f t="shared" si="6"/>
        <v>13621455.34926503</v>
      </c>
      <c r="K53" s="11">
        <f t="shared" si="7"/>
        <v>1.2899999999999912E-2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3807.467851931217</v>
      </c>
      <c r="D54" s="11">
        <v>1.37E-2</v>
      </c>
      <c r="E54" s="10">
        <f t="shared" si="2"/>
        <v>51.45734395921636</v>
      </c>
      <c r="F54" s="3"/>
      <c r="G54" s="28"/>
      <c r="H54" s="10"/>
      <c r="I54" s="10">
        <f t="shared" si="8"/>
        <v>3532</v>
      </c>
      <c r="J54" s="10">
        <f t="shared" si="6"/>
        <v>13447976.453021059</v>
      </c>
      <c r="K54" s="11">
        <f t="shared" si="7"/>
        <v>1.3700000000000045E-2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3756.0105079720006</v>
      </c>
      <c r="D55" s="11">
        <v>1.43E-2</v>
      </c>
      <c r="E55" s="10">
        <f t="shared" si="2"/>
        <v>52.953712179828017</v>
      </c>
      <c r="F55" s="3"/>
      <c r="G55" s="28"/>
      <c r="H55" s="10"/>
      <c r="I55" s="10">
        <f t="shared" si="8"/>
        <v>3532</v>
      </c>
      <c r="J55" s="10">
        <f t="shared" si="6"/>
        <v>13266229.114157107</v>
      </c>
      <c r="K55" s="11">
        <f t="shared" si="7"/>
        <v>1.4299999999999979E-2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3703.0567957921726</v>
      </c>
      <c r="D56" s="11">
        <v>1.46E-2</v>
      </c>
      <c r="E56" s="10">
        <f t="shared" si="2"/>
        <v>53.286644213054842</v>
      </c>
      <c r="F56" s="3"/>
      <c r="G56" s="28"/>
      <c r="H56" s="10"/>
      <c r="I56" s="10">
        <f t="shared" si="8"/>
        <v>3532</v>
      </c>
      <c r="J56" s="10">
        <f t="shared" si="6"/>
        <v>13079196.602737954</v>
      </c>
      <c r="K56" s="11">
        <f t="shared" si="7"/>
        <v>1.4599999999999946E-2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3649.7701515791177</v>
      </c>
      <c r="D57" s="11">
        <v>1.4500000000000001E-2</v>
      </c>
      <c r="E57" s="10">
        <f t="shared" si="2"/>
        <v>52.165270771707128</v>
      </c>
      <c r="F57" s="3"/>
      <c r="G57" s="28"/>
      <c r="H57" s="10"/>
      <c r="I57" s="10">
        <f t="shared" si="8"/>
        <v>3532</v>
      </c>
      <c r="J57" s="10">
        <f t="shared" si="6"/>
        <v>12890988.175377443</v>
      </c>
      <c r="K57" s="11">
        <f t="shared" si="7"/>
        <v>1.4499999999999735E-2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3597.6048808074106</v>
      </c>
      <c r="D58" s="11">
        <v>1.41E-2</v>
      </c>
      <c r="E58" s="10">
        <f t="shared" si="2"/>
        <v>50.020933654850978</v>
      </c>
      <c r="F58" s="3"/>
      <c r="G58" s="28"/>
      <c r="H58" s="10"/>
      <c r="I58" s="10">
        <f t="shared" si="8"/>
        <v>3532</v>
      </c>
      <c r="J58" s="10">
        <f t="shared" si="6"/>
        <v>12706740.439011775</v>
      </c>
      <c r="K58" s="11">
        <f t="shared" si="7"/>
        <v>1.4100000000000001E-2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3547.5839471525596</v>
      </c>
      <c r="D59" s="11">
        <v>1.34E-2</v>
      </c>
      <c r="E59" s="10">
        <f t="shared" si="2"/>
        <v>46.909043706181819</v>
      </c>
      <c r="F59" s="3"/>
      <c r="G59" s="28"/>
      <c r="H59" s="10"/>
      <c r="I59" s="10">
        <f t="shared" si="8"/>
        <v>3532</v>
      </c>
      <c r="J59" s="10">
        <f t="shared" si="6"/>
        <v>12530066.50134284</v>
      </c>
      <c r="K59" s="11">
        <f t="shared" si="7"/>
        <v>1.3400000000000079E-2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3500.6749034463778</v>
      </c>
      <c r="D60" s="11">
        <v>1.24E-2</v>
      </c>
      <c r="E60" s="10">
        <f t="shared" si="2"/>
        <v>42.876697750627045</v>
      </c>
      <c r="F60" s="3"/>
      <c r="G60" s="28"/>
      <c r="H60" s="10"/>
      <c r="I60" s="10">
        <f t="shared" si="8"/>
        <v>3532</v>
      </c>
      <c r="J60" s="10">
        <f t="shared" si="6"/>
        <v>12364383.758972606</v>
      </c>
      <c r="K60" s="11">
        <f t="shared" si="7"/>
        <v>1.2399999999999745E-2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3457.7982056957508</v>
      </c>
      <c r="D61" s="11">
        <v>1.1299999999999999E-2</v>
      </c>
      <c r="E61" s="10">
        <f t="shared" si="2"/>
        <v>38.636526969605711</v>
      </c>
      <c r="F61" s="3"/>
      <c r="G61" s="28"/>
      <c r="H61" s="10"/>
      <c r="I61" s="10">
        <f t="shared" si="8"/>
        <v>3532</v>
      </c>
      <c r="J61" s="10">
        <f t="shared" si="6"/>
        <v>12212943.262517393</v>
      </c>
      <c r="K61" s="11">
        <f t="shared" si="7"/>
        <v>1.1300000000000088E-2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3419.1616787261451</v>
      </c>
      <c r="D62" s="11">
        <v>1.03E-2</v>
      </c>
      <c r="E62" s="10">
        <f t="shared" si="2"/>
        <v>34.858324548034489</v>
      </c>
      <c r="F62" s="3"/>
      <c r="G62" s="28"/>
      <c r="H62" s="10"/>
      <c r="I62" s="10">
        <f t="shared" si="8"/>
        <v>3532</v>
      </c>
      <c r="J62" s="10">
        <f t="shared" si="6"/>
        <v>12076479.049260745</v>
      </c>
      <c r="K62" s="11">
        <f t="shared" si="7"/>
        <v>1.0299999999999976E-2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3384.3033541781106</v>
      </c>
      <c r="D63" s="11">
        <v>9.5999999999999992E-3</v>
      </c>
      <c r="E63" s="10">
        <f t="shared" si="2"/>
        <v>32.180380546860306</v>
      </c>
      <c r="F63" s="3"/>
      <c r="G63" s="28"/>
      <c r="H63" s="10"/>
      <c r="I63" s="10">
        <f t="shared" si="8"/>
        <v>3532</v>
      </c>
      <c r="J63" s="10">
        <f t="shared" si="6"/>
        <v>11953359.446957087</v>
      </c>
      <c r="K63" s="11">
        <f t="shared" si="7"/>
        <v>9.600000000000275E-3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3352.1229736312503</v>
      </c>
      <c r="D64" s="11">
        <v>9.4999999999999998E-3</v>
      </c>
      <c r="E64" s="10">
        <f t="shared" si="2"/>
        <v>31.545486131250073</v>
      </c>
      <c r="F64" s="3"/>
      <c r="G64" s="28"/>
      <c r="H64" s="10"/>
      <c r="I64" s="10">
        <f t="shared" si="8"/>
        <v>3532</v>
      </c>
      <c r="J64" s="10">
        <f t="shared" si="6"/>
        <v>11839698.342865575</v>
      </c>
      <c r="K64" s="11">
        <f t="shared" si="7"/>
        <v>9.5000000000000639E-3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3320.5774875000002</v>
      </c>
      <c r="D65" s="11">
        <v>1.01E-2</v>
      </c>
      <c r="E65" s="10">
        <f t="shared" si="2"/>
        <v>33.202487500000188</v>
      </c>
      <c r="F65" s="3"/>
      <c r="G65" s="28"/>
      <c r="H65" s="10"/>
      <c r="I65" s="10">
        <f t="shared" si="8"/>
        <v>3532</v>
      </c>
      <c r="J65" s="10">
        <f t="shared" si="6"/>
        <v>11728279.68585</v>
      </c>
      <c r="K65" s="11">
        <f t="shared" si="7"/>
        <v>1.0099999999999998E-2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3287.375</v>
      </c>
      <c r="D66" s="11">
        <v>1.15E-2</v>
      </c>
      <c r="E66" s="10">
        <f t="shared" si="2"/>
        <v>37.375</v>
      </c>
      <c r="F66" s="24">
        <f>SUM(F2)</f>
        <v>10360</v>
      </c>
      <c r="G66" s="28"/>
      <c r="H66" s="10"/>
      <c r="I66" s="10">
        <f t="shared" si="8"/>
        <v>3532</v>
      </c>
      <c r="J66" s="10">
        <f t="shared" ref="J66:J67" si="9">IF(I66="","",I66*C66)</f>
        <v>11611008.5</v>
      </c>
      <c r="K66" s="11">
        <f t="shared" ref="K66" si="10">IFERROR(J66/J67-1,"")</f>
        <v>1.1500000000000066E-2</v>
      </c>
    </row>
    <row r="67" spans="1:11" ht="22.5" customHeight="1">
      <c r="A67" s="3">
        <f t="shared" si="0"/>
        <v>1950</v>
      </c>
      <c r="B67" s="3">
        <v>1700</v>
      </c>
      <c r="C67" s="10">
        <v>3250</v>
      </c>
      <c r="D67" s="11">
        <v>1.35E-2</v>
      </c>
      <c r="E67" s="3" t="s">
        <v>72</v>
      </c>
      <c r="F67" s="10">
        <f>SUM(C2)</f>
        <v>10353.827030039225</v>
      </c>
      <c r="G67" s="28"/>
      <c r="H67" s="10"/>
      <c r="I67" s="10">
        <f t="shared" ref="I67" si="11">IF(H67&lt;&gt;"",H67,I66/(1+IF(G66="",0,G66)/100))</f>
        <v>3532</v>
      </c>
      <c r="J67" s="10">
        <f t="shared" si="9"/>
        <v>11479000</v>
      </c>
      <c r="K67" s="11"/>
    </row>
  </sheetData>
  <dataValidations count="1">
    <dataValidation type="custom" allowBlank="1" showDropDown="1" sqref="D2:D67" xr:uid="{00000000-0002-0000-9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27844494.037598766</v>
      </c>
      <c r="D2" s="11">
        <v>8.9999999999999998E-4</v>
      </c>
      <c r="E2" s="10">
        <f t="shared" ref="E2:E66" si="2">SUM(C2-C3)</f>
        <v>25037.510874047875</v>
      </c>
      <c r="F2" s="15">
        <v>27844193</v>
      </c>
      <c r="G2" s="28"/>
      <c r="H2" s="10"/>
      <c r="I2" s="10">
        <f>IF(H2&lt;&gt;"",H2,15516)</f>
        <v>15516</v>
      </c>
      <c r="J2" s="10">
        <f t="shared" ref="J2:J33" si="3">IF(I2="","",I2*C2)</f>
        <v>432035169487.38245</v>
      </c>
      <c r="K2" s="11">
        <f t="shared" ref="K2:K33" si="4">IFERROR(J2/J3-1,"")</f>
        <v>8.9999999999990088E-4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27819456.526724719</v>
      </c>
      <c r="D3" s="11">
        <v>1.1000000000000001E-3</v>
      </c>
      <c r="E3" s="10">
        <f t="shared" si="2"/>
        <v>30567.777624014765</v>
      </c>
      <c r="F3" s="3"/>
      <c r="G3" s="28"/>
      <c r="H3" s="10"/>
      <c r="I3" s="10">
        <f t="shared" ref="I3:I34" si="5">IF(H3&lt;&gt;"",H3,I2/(1+IF(G2="",0,G2)/100))</f>
        <v>15516</v>
      </c>
      <c r="J3" s="10">
        <f t="shared" si="3"/>
        <v>431646687468.66071</v>
      </c>
      <c r="K3" s="11">
        <f t="shared" si="4"/>
        <v>1.1000000000001009E-3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27788888.749100704</v>
      </c>
      <c r="D4" s="11">
        <v>1.5E-3</v>
      </c>
      <c r="E4" s="10">
        <f t="shared" si="2"/>
        <v>41620.901770997792</v>
      </c>
      <c r="F4" s="3"/>
      <c r="G4" s="28"/>
      <c r="H4" s="10"/>
      <c r="I4" s="10">
        <f t="shared" si="5"/>
        <v>15516</v>
      </c>
      <c r="J4" s="10">
        <f t="shared" si="3"/>
        <v>431172397831.04651</v>
      </c>
      <c r="K4" s="11">
        <f t="shared" si="4"/>
        <v>1.5000000000000568E-3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27747267.847329706</v>
      </c>
      <c r="D5" s="11">
        <v>2.0999999999999999E-3</v>
      </c>
      <c r="E5" s="10">
        <f t="shared" si="2"/>
        <v>58147.153457131237</v>
      </c>
      <c r="F5" s="3"/>
      <c r="G5" s="28"/>
      <c r="H5" s="10"/>
      <c r="I5" s="10">
        <f t="shared" si="5"/>
        <v>15516</v>
      </c>
      <c r="J5" s="10">
        <f t="shared" si="3"/>
        <v>430526607919.16772</v>
      </c>
      <c r="K5" s="11">
        <f t="shared" si="4"/>
        <v>2.0999999999999908E-3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27689120.693872575</v>
      </c>
      <c r="D6" s="11">
        <v>2.8E-3</v>
      </c>
      <c r="E6" s="10">
        <f t="shared" si="2"/>
        <v>77313.061371002346</v>
      </c>
      <c r="F6" s="3"/>
      <c r="G6" s="28"/>
      <c r="H6" s="10"/>
      <c r="I6" s="10">
        <f t="shared" si="5"/>
        <v>15516</v>
      </c>
      <c r="J6" s="10">
        <f t="shared" si="3"/>
        <v>429624396686.12689</v>
      </c>
      <c r="K6" s="11">
        <f t="shared" si="4"/>
        <v>2.7999999999999137E-3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27611807.632501572</v>
      </c>
      <c r="D7" s="11">
        <v>3.3999999999999998E-3</v>
      </c>
      <c r="E7" s="10">
        <f t="shared" si="2"/>
        <v>93562.035031400621</v>
      </c>
      <c r="F7" s="3"/>
      <c r="G7" s="28"/>
      <c r="H7" s="10"/>
      <c r="I7" s="10">
        <f t="shared" si="5"/>
        <v>15516</v>
      </c>
      <c r="J7" s="10">
        <f t="shared" si="3"/>
        <v>428424807225.89441</v>
      </c>
      <c r="K7" s="11">
        <f t="shared" si="4"/>
        <v>3.4000000000000696E-3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27518245.597470172</v>
      </c>
      <c r="D8" s="11">
        <v>4.1000000000000003E-3</v>
      </c>
      <c r="E8" s="10">
        <f t="shared" si="2"/>
        <v>112364.11408189312</v>
      </c>
      <c r="F8" s="3"/>
      <c r="G8" s="28"/>
      <c r="H8" s="10"/>
      <c r="I8" s="10">
        <f t="shared" si="5"/>
        <v>15516</v>
      </c>
      <c r="J8" s="10">
        <f t="shared" si="3"/>
        <v>426973098690.34717</v>
      </c>
      <c r="K8" s="11">
        <f t="shared" si="4"/>
        <v>4.0999999999999925E-3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27405881.483388279</v>
      </c>
      <c r="D9" s="11">
        <v>4.7000000000000002E-3</v>
      </c>
      <c r="E9" s="10">
        <f t="shared" si="2"/>
        <v>128205.07910015061</v>
      </c>
      <c r="F9" s="3"/>
      <c r="G9" s="28"/>
      <c r="H9" s="10"/>
      <c r="I9" s="10">
        <f t="shared" si="5"/>
        <v>15516</v>
      </c>
      <c r="J9" s="10">
        <f t="shared" si="3"/>
        <v>425229657096.2525</v>
      </c>
      <c r="K9" s="11">
        <f t="shared" si="4"/>
        <v>4.6999999999999265E-3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27277676.404288128</v>
      </c>
      <c r="D10" s="11">
        <v>5.3E-3</v>
      </c>
      <c r="E10" s="10">
        <f t="shared" si="2"/>
        <v>143809.49462123588</v>
      </c>
      <c r="F10" s="3"/>
      <c r="G10" s="28"/>
      <c r="H10" s="10"/>
      <c r="I10" s="10">
        <f t="shared" si="5"/>
        <v>15516</v>
      </c>
      <c r="J10" s="10">
        <f t="shared" si="3"/>
        <v>423240427088.93457</v>
      </c>
      <c r="K10" s="11">
        <f t="shared" si="4"/>
        <v>5.3000000000000824E-3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27133866.909666892</v>
      </c>
      <c r="D11" s="11">
        <v>5.7999999999999996E-3</v>
      </c>
      <c r="E11" s="10">
        <f t="shared" si="2"/>
        <v>156468.90840730816</v>
      </c>
      <c r="F11" s="3"/>
      <c r="G11" s="28"/>
      <c r="H11" s="10"/>
      <c r="I11" s="10">
        <f t="shared" si="5"/>
        <v>15516</v>
      </c>
      <c r="J11" s="10">
        <f t="shared" si="3"/>
        <v>421009078970.39148</v>
      </c>
      <c r="K11" s="11">
        <f t="shared" si="4"/>
        <v>5.8000000000000274E-3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26977398.001259584</v>
      </c>
      <c r="D12" s="11">
        <v>6.1000000000000004E-3</v>
      </c>
      <c r="E12" s="10">
        <f t="shared" si="2"/>
        <v>163564.38505882397</v>
      </c>
      <c r="F12" s="3"/>
      <c r="G12" s="28"/>
      <c r="H12" s="10"/>
      <c r="I12" s="10">
        <f t="shared" si="5"/>
        <v>15516</v>
      </c>
      <c r="J12" s="10">
        <f t="shared" si="3"/>
        <v>418581307387.5437</v>
      </c>
      <c r="K12" s="11">
        <f t="shared" si="4"/>
        <v>6.0999999999999943E-3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26813833.61620076</v>
      </c>
      <c r="D13" s="11">
        <v>6.4000000000000003E-3</v>
      </c>
      <c r="E13" s="10">
        <f t="shared" si="2"/>
        <v>170517.22490429506</v>
      </c>
      <c r="F13" s="3"/>
      <c r="G13" s="28"/>
      <c r="H13" s="10"/>
      <c r="I13" s="10">
        <f t="shared" si="5"/>
        <v>15516</v>
      </c>
      <c r="J13" s="10">
        <f t="shared" si="3"/>
        <v>416043442388.97101</v>
      </c>
      <c r="K13" s="11">
        <f t="shared" si="4"/>
        <v>6.3999999999999613E-3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26643316.391296465</v>
      </c>
      <c r="D14" s="11">
        <v>6.7000000000000002E-3</v>
      </c>
      <c r="E14" s="10">
        <f t="shared" si="2"/>
        <v>177322.16134070233</v>
      </c>
      <c r="F14" s="3"/>
      <c r="G14" s="28"/>
      <c r="H14" s="10"/>
      <c r="I14" s="10">
        <f t="shared" si="5"/>
        <v>15516</v>
      </c>
      <c r="J14" s="10">
        <f t="shared" si="3"/>
        <v>413397697127.35596</v>
      </c>
      <c r="K14" s="11">
        <f t="shared" si="4"/>
        <v>6.6999999999999282E-3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26465994.229955763</v>
      </c>
      <c r="D15" s="11">
        <v>7.1000000000000004E-3</v>
      </c>
      <c r="E15" s="10">
        <f t="shared" si="2"/>
        <v>186583.81395361945</v>
      </c>
      <c r="F15" s="3"/>
      <c r="G15" s="28"/>
      <c r="H15" s="10"/>
      <c r="I15" s="10">
        <f t="shared" si="5"/>
        <v>15516</v>
      </c>
      <c r="J15" s="10">
        <f t="shared" si="3"/>
        <v>410646366471.99359</v>
      </c>
      <c r="K15" s="11">
        <f t="shared" si="4"/>
        <v>7.1000000000001062E-3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26279410.416002143</v>
      </c>
      <c r="D16" s="11">
        <v>7.7000000000000002E-3</v>
      </c>
      <c r="E16" s="10">
        <f t="shared" si="2"/>
        <v>200805.25970350206</v>
      </c>
      <c r="F16" s="3"/>
      <c r="G16" s="28"/>
      <c r="H16" s="10"/>
      <c r="I16" s="10">
        <f t="shared" si="5"/>
        <v>15516</v>
      </c>
      <c r="J16" s="10">
        <f t="shared" si="3"/>
        <v>407751332014.68927</v>
      </c>
      <c r="K16" s="11">
        <f t="shared" si="4"/>
        <v>7.7000000000002622E-3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26078605.156298641</v>
      </c>
      <c r="D17" s="11">
        <v>8.6999999999999994E-3</v>
      </c>
      <c r="E17" s="10">
        <f t="shared" si="2"/>
        <v>224926.99996014312</v>
      </c>
      <c r="F17" s="3"/>
      <c r="G17" s="28"/>
      <c r="H17" s="10"/>
      <c r="I17" s="10">
        <f t="shared" si="5"/>
        <v>15516</v>
      </c>
      <c r="J17" s="10">
        <f t="shared" si="3"/>
        <v>404635637605.1297</v>
      </c>
      <c r="K17" s="11">
        <f t="shared" si="4"/>
        <v>8.69999999999993E-3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25853678.156338498</v>
      </c>
      <c r="D18" s="11">
        <v>9.9000000000000008E-3</v>
      </c>
      <c r="E18" s="10">
        <f t="shared" si="2"/>
        <v>253442.33463486657</v>
      </c>
      <c r="F18" s="3"/>
      <c r="G18" s="28"/>
      <c r="H18" s="10"/>
      <c r="I18" s="10">
        <f t="shared" si="5"/>
        <v>15516</v>
      </c>
      <c r="J18" s="10">
        <f t="shared" si="3"/>
        <v>401145670273.74811</v>
      </c>
      <c r="K18" s="11">
        <f t="shared" si="4"/>
        <v>9.9000000000000199E-3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25600235.821703631</v>
      </c>
      <c r="D19" s="11">
        <v>1.1299999999999999E-2</v>
      </c>
      <c r="E19" s="10">
        <f t="shared" si="2"/>
        <v>286050.29643553123</v>
      </c>
      <c r="F19" s="3"/>
      <c r="G19" s="28"/>
      <c r="H19" s="10"/>
      <c r="I19" s="10">
        <f t="shared" si="5"/>
        <v>15516</v>
      </c>
      <c r="J19" s="10">
        <f t="shared" si="3"/>
        <v>397213259009.55353</v>
      </c>
      <c r="K19" s="11">
        <f t="shared" si="4"/>
        <v>1.1300000000000088E-2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25314185.5252681</v>
      </c>
      <c r="D20" s="11">
        <v>1.2699999999999999E-2</v>
      </c>
      <c r="E20" s="10">
        <f t="shared" si="2"/>
        <v>317458.43405836076</v>
      </c>
      <c r="F20" s="3"/>
      <c r="G20" s="28"/>
      <c r="H20" s="10"/>
      <c r="I20" s="10">
        <f t="shared" si="5"/>
        <v>15516</v>
      </c>
      <c r="J20" s="10">
        <f t="shared" si="3"/>
        <v>392774902610.05981</v>
      </c>
      <c r="K20" s="11">
        <f t="shared" si="4"/>
        <v>1.2699999999999712E-2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24996727.091209739</v>
      </c>
      <c r="D21" s="11">
        <v>1.4200000000000001E-2</v>
      </c>
      <c r="E21" s="10">
        <f t="shared" si="2"/>
        <v>349983.75536894053</v>
      </c>
      <c r="F21" s="3"/>
      <c r="G21" s="28"/>
      <c r="H21" s="10"/>
      <c r="I21" s="10">
        <f t="shared" si="5"/>
        <v>15516</v>
      </c>
      <c r="J21" s="10">
        <f t="shared" si="3"/>
        <v>387849217547.21033</v>
      </c>
      <c r="K21" s="11">
        <f t="shared" si="4"/>
        <v>1.4200000000000212E-2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24646743.335840799</v>
      </c>
      <c r="D22" s="11">
        <v>1.55E-2</v>
      </c>
      <c r="E22" s="10">
        <f t="shared" si="2"/>
        <v>376193.52211278677</v>
      </c>
      <c r="F22" s="3"/>
      <c r="G22" s="28"/>
      <c r="H22" s="10"/>
      <c r="I22" s="10">
        <f t="shared" si="5"/>
        <v>15516</v>
      </c>
      <c r="J22" s="10">
        <f t="shared" si="3"/>
        <v>382418869598.90582</v>
      </c>
      <c r="K22" s="11">
        <f t="shared" si="4"/>
        <v>1.5500000000000069E-2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24270549.813728012</v>
      </c>
      <c r="D23" s="11">
        <v>1.6500000000000001E-2</v>
      </c>
      <c r="E23" s="10">
        <f t="shared" si="2"/>
        <v>393963.67134924978</v>
      </c>
      <c r="F23" s="3"/>
      <c r="G23" s="28"/>
      <c r="H23" s="10"/>
      <c r="I23" s="10">
        <f t="shared" si="5"/>
        <v>15516</v>
      </c>
      <c r="J23" s="10">
        <f t="shared" si="3"/>
        <v>376581850909.80383</v>
      </c>
      <c r="K23" s="11">
        <f t="shared" si="4"/>
        <v>1.6499999999999959E-2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23876586.142378762</v>
      </c>
      <c r="D24" s="11">
        <v>1.72E-2</v>
      </c>
      <c r="E24" s="10">
        <f t="shared" si="2"/>
        <v>403733.07279681042</v>
      </c>
      <c r="F24" s="3"/>
      <c r="G24" s="28"/>
      <c r="H24" s="10"/>
      <c r="I24" s="10">
        <f t="shared" si="5"/>
        <v>15516</v>
      </c>
      <c r="J24" s="10">
        <f t="shared" si="3"/>
        <v>370469110585.14886</v>
      </c>
      <c r="K24" s="11">
        <f t="shared" si="4"/>
        <v>1.7200000000000104E-2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23472853.069581952</v>
      </c>
      <c r="D25" s="11">
        <v>1.7500000000000002E-2</v>
      </c>
      <c r="E25" s="10">
        <f t="shared" si="2"/>
        <v>403710.0036537461</v>
      </c>
      <c r="F25" s="3"/>
      <c r="G25" s="28"/>
      <c r="H25" s="10"/>
      <c r="I25" s="10">
        <f t="shared" si="5"/>
        <v>15516</v>
      </c>
      <c r="J25" s="10">
        <f t="shared" si="3"/>
        <v>364204788227.63354</v>
      </c>
      <c r="K25" s="11">
        <f t="shared" si="4"/>
        <v>1.7500000000000071E-2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23069143.065928206</v>
      </c>
      <c r="D26" s="11">
        <v>1.7299999999999999E-2</v>
      </c>
      <c r="E26" s="10">
        <f t="shared" si="2"/>
        <v>392309.22544043884</v>
      </c>
      <c r="F26" s="3"/>
      <c r="G26" s="28"/>
      <c r="H26" s="10"/>
      <c r="I26" s="10">
        <f t="shared" si="5"/>
        <v>15516</v>
      </c>
      <c r="J26" s="10">
        <f t="shared" si="3"/>
        <v>357940823810.94202</v>
      </c>
      <c r="K26" s="11">
        <f t="shared" si="4"/>
        <v>1.7300000000000093E-2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22676833.840487767</v>
      </c>
      <c r="D27" s="11">
        <v>1.6799999999999999E-2</v>
      </c>
      <c r="E27" s="10">
        <f t="shared" si="2"/>
        <v>374676.2475611642</v>
      </c>
      <c r="F27" s="3"/>
      <c r="G27" s="28"/>
      <c r="H27" s="10"/>
      <c r="I27" s="10">
        <f t="shared" si="5"/>
        <v>15516</v>
      </c>
      <c r="J27" s="10">
        <f t="shared" si="3"/>
        <v>351853753869.00818</v>
      </c>
      <c r="K27" s="11">
        <f t="shared" si="4"/>
        <v>1.6799999999999704E-2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22302157.592926603</v>
      </c>
      <c r="D28" s="11">
        <v>1.61E-2</v>
      </c>
      <c r="E28" s="10">
        <f t="shared" si="2"/>
        <v>353375.39341218397</v>
      </c>
      <c r="F28" s="3"/>
      <c r="G28" s="28"/>
      <c r="H28" s="10"/>
      <c r="I28" s="10">
        <f t="shared" si="5"/>
        <v>15516</v>
      </c>
      <c r="J28" s="10">
        <f t="shared" si="3"/>
        <v>346040277211.84918</v>
      </c>
      <c r="K28" s="11">
        <f t="shared" si="4"/>
        <v>1.6100000000000225E-2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21948782.199514419</v>
      </c>
      <c r="D29" s="11">
        <v>1.5599999999999999E-2</v>
      </c>
      <c r="E29" s="10">
        <f t="shared" si="2"/>
        <v>337141.59345453605</v>
      </c>
      <c r="F29" s="3"/>
      <c r="G29" s="28"/>
      <c r="H29" s="10"/>
      <c r="I29" s="10">
        <f t="shared" si="5"/>
        <v>15516</v>
      </c>
      <c r="J29" s="10">
        <f t="shared" si="3"/>
        <v>340557304607.66571</v>
      </c>
      <c r="K29" s="11">
        <f t="shared" si="4"/>
        <v>1.5600000000000058E-2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21611640.606059883</v>
      </c>
      <c r="D30" s="11">
        <v>1.5599999999999999E-2</v>
      </c>
      <c r="E30" s="10">
        <f t="shared" si="2"/>
        <v>331962.97110529244</v>
      </c>
      <c r="F30" s="3"/>
      <c r="G30" s="28"/>
      <c r="H30" s="10"/>
      <c r="I30" s="10">
        <f t="shared" si="5"/>
        <v>15516</v>
      </c>
      <c r="J30" s="10">
        <f t="shared" si="3"/>
        <v>335326215643.62512</v>
      </c>
      <c r="K30" s="11">
        <f t="shared" si="4"/>
        <v>1.5599999999999836E-2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21279677.63495459</v>
      </c>
      <c r="D31" s="11">
        <v>1.6199999999999999E-2</v>
      </c>
      <c r="E31" s="10">
        <f t="shared" si="2"/>
        <v>339235.16796522588</v>
      </c>
      <c r="F31" s="3"/>
      <c r="G31" s="28"/>
      <c r="H31" s="10"/>
      <c r="I31" s="10">
        <f t="shared" si="5"/>
        <v>15516</v>
      </c>
      <c r="J31" s="10">
        <f t="shared" si="3"/>
        <v>330175478183.95544</v>
      </c>
      <c r="K31" s="11">
        <f t="shared" si="4"/>
        <v>1.6199999999999992E-2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20940442.466989364</v>
      </c>
      <c r="D32" s="11">
        <v>1.7399999999999999E-2</v>
      </c>
      <c r="E32" s="10">
        <f t="shared" si="2"/>
        <v>358132.19866878167</v>
      </c>
      <c r="F32" s="3"/>
      <c r="G32" s="28"/>
      <c r="H32" s="10"/>
      <c r="I32" s="10">
        <f t="shared" si="5"/>
        <v>15516</v>
      </c>
      <c r="J32" s="10">
        <f t="shared" si="3"/>
        <v>324911905317.80701</v>
      </c>
      <c r="K32" s="11">
        <f t="shared" si="4"/>
        <v>1.7400000000000304E-2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20582310.268320583</v>
      </c>
      <c r="D33" s="11">
        <v>1.9099999999999999E-2</v>
      </c>
      <c r="E33" s="10">
        <f t="shared" si="2"/>
        <v>385754.22051312029</v>
      </c>
      <c r="F33" s="3"/>
      <c r="G33" s="28"/>
      <c r="H33" s="10"/>
      <c r="I33" s="10">
        <f t="shared" si="5"/>
        <v>15516</v>
      </c>
      <c r="J33" s="10">
        <f t="shared" si="3"/>
        <v>319355126123.26215</v>
      </c>
      <c r="K33" s="11">
        <f t="shared" si="4"/>
        <v>1.9099999999999895E-2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20196556.047807463</v>
      </c>
      <c r="D34" s="11">
        <v>2.1100000000000001E-2</v>
      </c>
      <c r="E34" s="10">
        <f t="shared" si="2"/>
        <v>417341.42846805975</v>
      </c>
      <c r="F34" s="3"/>
      <c r="G34" s="28"/>
      <c r="H34" s="10"/>
      <c r="I34" s="10">
        <f t="shared" si="5"/>
        <v>15516</v>
      </c>
      <c r="J34" s="10">
        <f t="shared" ref="J34:J65" si="6">IF(I34="","",I34*C34)</f>
        <v>313369763637.78058</v>
      </c>
      <c r="K34" s="11">
        <f t="shared" ref="K34:K65" si="7">IFERROR(J34/J35-1,"")</f>
        <v>2.1099999999999897E-2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19779214.619339403</v>
      </c>
      <c r="D35" s="11">
        <v>2.3E-2</v>
      </c>
      <c r="E35" s="10">
        <f t="shared" si="2"/>
        <v>444693.97482385486</v>
      </c>
      <c r="F35" s="3"/>
      <c r="G35" s="28"/>
      <c r="H35" s="10"/>
      <c r="I35" s="10">
        <f t="shared" ref="I35:I66" si="8">IF(H35&lt;&gt;"",H35,I34/(1+IF(G34="",0,G34)/100))</f>
        <v>15516</v>
      </c>
      <c r="J35" s="10">
        <f t="shared" si="6"/>
        <v>306894294033.67017</v>
      </c>
      <c r="K35" s="11">
        <f t="shared" si="7"/>
        <v>2.2999999999999909E-2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19334520.644515548</v>
      </c>
      <c r="D36" s="11">
        <v>2.47E-2</v>
      </c>
      <c r="E36" s="10">
        <f t="shared" si="2"/>
        <v>466051.19539331645</v>
      </c>
      <c r="F36" s="3"/>
      <c r="G36" s="28"/>
      <c r="H36" s="10"/>
      <c r="I36" s="10">
        <f t="shared" si="8"/>
        <v>15516</v>
      </c>
      <c r="J36" s="10">
        <f t="shared" si="6"/>
        <v>299994422320.30322</v>
      </c>
      <c r="K36" s="11">
        <f t="shared" si="7"/>
        <v>2.4699999999999722E-2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18868469.449122231</v>
      </c>
      <c r="D37" s="11">
        <v>2.5899999999999999E-2</v>
      </c>
      <c r="E37" s="10">
        <f t="shared" si="2"/>
        <v>476355.74493836239</v>
      </c>
      <c r="F37" s="3"/>
      <c r="G37" s="28"/>
      <c r="H37" s="10"/>
      <c r="I37" s="10">
        <f t="shared" si="8"/>
        <v>15516</v>
      </c>
      <c r="J37" s="10">
        <f t="shared" si="6"/>
        <v>292763171972.58057</v>
      </c>
      <c r="K37" s="11">
        <f t="shared" si="7"/>
        <v>2.5900000000000256E-2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18392113.704183869</v>
      </c>
      <c r="D38" s="11">
        <v>2.63E-2</v>
      </c>
      <c r="E38" s="10">
        <f t="shared" si="2"/>
        <v>471316.95451625809</v>
      </c>
      <c r="F38" s="3"/>
      <c r="G38" s="28"/>
      <c r="H38" s="10"/>
      <c r="I38" s="10">
        <f t="shared" si="8"/>
        <v>15516</v>
      </c>
      <c r="J38" s="10">
        <f t="shared" si="6"/>
        <v>285372036234.11688</v>
      </c>
      <c r="K38" s="11">
        <f t="shared" si="7"/>
        <v>2.629999999999999E-2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17920796.749667611</v>
      </c>
      <c r="D39" s="11">
        <v>2.5999999999999999E-2</v>
      </c>
      <c r="E39" s="10">
        <f t="shared" si="2"/>
        <v>454133.250966236</v>
      </c>
      <c r="F39" s="3"/>
      <c r="G39" s="28"/>
      <c r="H39" s="10"/>
      <c r="I39" s="10">
        <f t="shared" si="8"/>
        <v>15516</v>
      </c>
      <c r="J39" s="10">
        <f t="shared" si="6"/>
        <v>278059082367.84265</v>
      </c>
      <c r="K39" s="11">
        <f t="shared" si="7"/>
        <v>2.6000000000000023E-2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17466663.498701375</v>
      </c>
      <c r="D40" s="11">
        <v>2.4899999999999999E-2</v>
      </c>
      <c r="E40" s="10">
        <f t="shared" si="2"/>
        <v>424353.5185068436</v>
      </c>
      <c r="F40" s="3"/>
      <c r="G40" s="28"/>
      <c r="H40" s="10"/>
      <c r="I40" s="10">
        <f t="shared" si="8"/>
        <v>15516</v>
      </c>
      <c r="J40" s="10">
        <f t="shared" si="6"/>
        <v>271012750845.85052</v>
      </c>
      <c r="K40" s="11">
        <f t="shared" si="7"/>
        <v>2.4899999999999922E-2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17042309.980194531</v>
      </c>
      <c r="D41" s="11">
        <v>2.3400000000000001E-2</v>
      </c>
      <c r="E41" s="10">
        <f t="shared" si="2"/>
        <v>389671.73493898101</v>
      </c>
      <c r="F41" s="3"/>
      <c r="G41" s="28"/>
      <c r="H41" s="10"/>
      <c r="I41" s="10">
        <f t="shared" si="8"/>
        <v>15516</v>
      </c>
      <c r="J41" s="10">
        <f t="shared" si="6"/>
        <v>264428481652.69833</v>
      </c>
      <c r="K41" s="11">
        <f t="shared" si="7"/>
        <v>2.3399999999999865E-2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16652638.24525555</v>
      </c>
      <c r="D42" s="11">
        <v>2.1499999999999998E-2</v>
      </c>
      <c r="E42" s="10">
        <f t="shared" si="2"/>
        <v>350496.05704649538</v>
      </c>
      <c r="F42" s="3"/>
      <c r="G42" s="28"/>
      <c r="H42" s="10"/>
      <c r="I42" s="10">
        <f t="shared" si="8"/>
        <v>15516</v>
      </c>
      <c r="J42" s="10">
        <f t="shared" si="6"/>
        <v>258382335013.38513</v>
      </c>
      <c r="K42" s="11">
        <f t="shared" si="7"/>
        <v>2.1500000000000075E-2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16302142.188209055</v>
      </c>
      <c r="D43" s="11">
        <v>1.9300000000000001E-2</v>
      </c>
      <c r="E43" s="10">
        <f t="shared" si="2"/>
        <v>308673.93724363483</v>
      </c>
      <c r="F43" s="3"/>
      <c r="G43" s="28"/>
      <c r="H43" s="10"/>
      <c r="I43" s="10">
        <f t="shared" si="8"/>
        <v>15516</v>
      </c>
      <c r="J43" s="10">
        <f t="shared" si="6"/>
        <v>252944038192.25171</v>
      </c>
      <c r="K43" s="11">
        <f t="shared" si="7"/>
        <v>1.9300000000000095E-2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15993468.25096542</v>
      </c>
      <c r="D44" s="11">
        <v>1.7100000000000001E-2</v>
      </c>
      <c r="E44" s="10">
        <f t="shared" si="2"/>
        <v>268890.28324796632</v>
      </c>
      <c r="F44" s="3"/>
      <c r="G44" s="28"/>
      <c r="H44" s="10"/>
      <c r="I44" s="10">
        <f t="shared" si="8"/>
        <v>15516</v>
      </c>
      <c r="J44" s="10">
        <f t="shared" si="6"/>
        <v>248154653381.97946</v>
      </c>
      <c r="K44" s="11">
        <f t="shared" si="7"/>
        <v>1.7099999999999893E-2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15724577.967717454</v>
      </c>
      <c r="D45" s="11">
        <v>1.49E-2</v>
      </c>
      <c r="E45" s="10">
        <f t="shared" si="2"/>
        <v>230856.45060497522</v>
      </c>
      <c r="F45" s="3"/>
      <c r="G45" s="28"/>
      <c r="H45" s="10"/>
      <c r="I45" s="10">
        <f t="shared" si="8"/>
        <v>15516</v>
      </c>
      <c r="J45" s="10">
        <f t="shared" si="6"/>
        <v>243982551747.104</v>
      </c>
      <c r="K45" s="11">
        <f t="shared" si="7"/>
        <v>1.4899999999999913E-2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15493721.517112479</v>
      </c>
      <c r="D46" s="11">
        <v>1.2999999999999999E-2</v>
      </c>
      <c r="E46" s="10">
        <f t="shared" si="2"/>
        <v>198833.54365494661</v>
      </c>
      <c r="F46" s="3"/>
      <c r="G46" s="28"/>
      <c r="H46" s="10"/>
      <c r="I46" s="10">
        <f t="shared" si="8"/>
        <v>15516</v>
      </c>
      <c r="J46" s="10">
        <f t="shared" si="6"/>
        <v>240400583059.51721</v>
      </c>
      <c r="K46" s="11">
        <f t="shared" si="7"/>
        <v>1.2999999999999901E-2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15294887.973457532</v>
      </c>
      <c r="D47" s="11">
        <v>1.14E-2</v>
      </c>
      <c r="E47" s="10">
        <f t="shared" si="2"/>
        <v>172396.40389303677</v>
      </c>
      <c r="F47" s="3"/>
      <c r="G47" s="28"/>
      <c r="H47" s="10"/>
      <c r="I47" s="10">
        <f t="shared" si="8"/>
        <v>15516</v>
      </c>
      <c r="J47" s="10">
        <f t="shared" si="6"/>
        <v>237315481796.16705</v>
      </c>
      <c r="K47" s="11">
        <f t="shared" si="7"/>
        <v>1.1400000000000077E-2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15122491.569564495</v>
      </c>
      <c r="D48" s="11">
        <v>1.03E-2</v>
      </c>
      <c r="E48" s="10">
        <f t="shared" si="2"/>
        <v>154173.67432100698</v>
      </c>
      <c r="F48" s="3"/>
      <c r="G48" s="28"/>
      <c r="H48" s="10"/>
      <c r="I48" s="10">
        <f t="shared" si="8"/>
        <v>15516</v>
      </c>
      <c r="J48" s="10">
        <f t="shared" si="6"/>
        <v>234640579193.3627</v>
      </c>
      <c r="K48" s="11">
        <f t="shared" si="7"/>
        <v>1.0299999999999976E-2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14968317.895243488</v>
      </c>
      <c r="D49" s="11">
        <v>9.5999999999999992E-3</v>
      </c>
      <c r="E49" s="10">
        <f t="shared" si="2"/>
        <v>142329.48870279081</v>
      </c>
      <c r="F49" s="3"/>
      <c r="G49" s="28"/>
      <c r="H49" s="10"/>
      <c r="I49" s="10">
        <f t="shared" si="8"/>
        <v>15516</v>
      </c>
      <c r="J49" s="10">
        <f t="shared" si="6"/>
        <v>232248420462.59796</v>
      </c>
      <c r="K49" s="11">
        <f t="shared" si="7"/>
        <v>9.6000000000000529E-3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14825988.406540697</v>
      </c>
      <c r="D50" s="11">
        <v>9.4000000000000004E-3</v>
      </c>
      <c r="E50" s="10">
        <f t="shared" si="2"/>
        <v>138066.46623883769</v>
      </c>
      <c r="F50" s="3"/>
      <c r="G50" s="28"/>
      <c r="H50" s="10"/>
      <c r="I50" s="10">
        <f t="shared" si="8"/>
        <v>15516</v>
      </c>
      <c r="J50" s="10">
        <f t="shared" si="6"/>
        <v>230040036115.88547</v>
      </c>
      <c r="K50" s="11">
        <f t="shared" si="7"/>
        <v>9.400000000000075E-3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14687921.94030186</v>
      </c>
      <c r="D51" s="11">
        <v>9.4999999999999998E-3</v>
      </c>
      <c r="E51" s="10">
        <f t="shared" si="2"/>
        <v>138222.14802661538</v>
      </c>
      <c r="F51" s="3"/>
      <c r="G51" s="28"/>
      <c r="H51" s="10"/>
      <c r="I51" s="10">
        <f t="shared" si="8"/>
        <v>15516</v>
      </c>
      <c r="J51" s="10">
        <f t="shared" si="6"/>
        <v>227897796825.72366</v>
      </c>
      <c r="K51" s="11">
        <f t="shared" si="7"/>
        <v>9.5000000000000639E-3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14549699.792275244</v>
      </c>
      <c r="D52" s="11">
        <v>9.7000000000000003E-3</v>
      </c>
      <c r="E52" s="10">
        <f t="shared" si="2"/>
        <v>139776.25827975757</v>
      </c>
      <c r="F52" s="3"/>
      <c r="G52" s="28"/>
      <c r="H52" s="10"/>
      <c r="I52" s="10">
        <f t="shared" si="8"/>
        <v>15516</v>
      </c>
      <c r="J52" s="10">
        <f t="shared" si="6"/>
        <v>225753141976.94269</v>
      </c>
      <c r="K52" s="11">
        <f t="shared" si="7"/>
        <v>9.7000000000000419E-3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14409923.533995487</v>
      </c>
      <c r="D53" s="11">
        <v>0.01</v>
      </c>
      <c r="E53" s="10">
        <f t="shared" si="2"/>
        <v>142672.5102375783</v>
      </c>
      <c r="F53" s="3"/>
      <c r="G53" s="28"/>
      <c r="H53" s="10"/>
      <c r="I53" s="10">
        <f t="shared" si="8"/>
        <v>15516</v>
      </c>
      <c r="J53" s="10">
        <f t="shared" si="6"/>
        <v>223584373553.47397</v>
      </c>
      <c r="K53" s="11">
        <f t="shared" si="7"/>
        <v>9.9999999999997868E-3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14267251.023757908</v>
      </c>
      <c r="D54" s="11">
        <v>1.01E-2</v>
      </c>
      <c r="E54" s="10">
        <f t="shared" si="2"/>
        <v>142658.38564494066</v>
      </c>
      <c r="F54" s="3"/>
      <c r="G54" s="28"/>
      <c r="H54" s="10"/>
      <c r="I54" s="10">
        <f t="shared" si="8"/>
        <v>15516</v>
      </c>
      <c r="J54" s="10">
        <f t="shared" si="6"/>
        <v>221370666884.62772</v>
      </c>
      <c r="K54" s="11">
        <f t="shared" si="7"/>
        <v>1.0099999999999998E-2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14124592.638112968</v>
      </c>
      <c r="D55" s="11">
        <v>1.0200000000000001E-2</v>
      </c>
      <c r="E55" s="10">
        <f t="shared" si="2"/>
        <v>142616.16007597744</v>
      </c>
      <c r="F55" s="3"/>
      <c r="G55" s="28"/>
      <c r="H55" s="10"/>
      <c r="I55" s="10">
        <f t="shared" si="8"/>
        <v>15516</v>
      </c>
      <c r="J55" s="10">
        <f t="shared" si="6"/>
        <v>219157179372.96082</v>
      </c>
      <c r="K55" s="11">
        <f t="shared" si="7"/>
        <v>1.0199999999999987E-2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13981976.47803699</v>
      </c>
      <c r="D56" s="11">
        <v>1.03E-2</v>
      </c>
      <c r="E56" s="10">
        <f t="shared" si="2"/>
        <v>142546.13255842961</v>
      </c>
      <c r="F56" s="3"/>
      <c r="G56" s="28"/>
      <c r="H56" s="10"/>
      <c r="I56" s="10">
        <f t="shared" si="8"/>
        <v>15516</v>
      </c>
      <c r="J56" s="10">
        <f t="shared" si="6"/>
        <v>216944347033.22195</v>
      </c>
      <c r="K56" s="11">
        <f t="shared" si="7"/>
        <v>1.0300000000000198E-2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13839430.345478561</v>
      </c>
      <c r="D57" s="11">
        <v>1.0699999999999999E-2</v>
      </c>
      <c r="E57" s="10">
        <f t="shared" si="2"/>
        <v>146514.20272743702</v>
      </c>
      <c r="F57" s="3"/>
      <c r="G57" s="28"/>
      <c r="H57" s="10"/>
      <c r="I57" s="10">
        <f t="shared" si="8"/>
        <v>15516</v>
      </c>
      <c r="J57" s="10">
        <f t="shared" si="6"/>
        <v>214732601240.44534</v>
      </c>
      <c r="K57" s="11">
        <f t="shared" si="7"/>
        <v>1.0699999999999932E-2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13692916.142751124</v>
      </c>
      <c r="D58" s="11">
        <v>1.1299999999999999E-2</v>
      </c>
      <c r="E58" s="10">
        <f t="shared" si="2"/>
        <v>153001.04065370187</v>
      </c>
      <c r="F58" s="3"/>
      <c r="G58" s="28"/>
      <c r="H58" s="10"/>
      <c r="I58" s="10">
        <f t="shared" si="8"/>
        <v>15516</v>
      </c>
      <c r="J58" s="10">
        <f t="shared" si="6"/>
        <v>212459286870.92642</v>
      </c>
      <c r="K58" s="11">
        <f t="shared" si="7"/>
        <v>1.1300000000000088E-2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13539915.102097422</v>
      </c>
      <c r="D59" s="11">
        <v>1.2200000000000001E-2</v>
      </c>
      <c r="E59" s="10">
        <f t="shared" si="2"/>
        <v>163195.97337046824</v>
      </c>
      <c r="F59" s="3"/>
      <c r="G59" s="28"/>
      <c r="H59" s="10"/>
      <c r="I59" s="10">
        <f t="shared" si="8"/>
        <v>15516</v>
      </c>
      <c r="J59" s="10">
        <f t="shared" si="6"/>
        <v>210085322724.14359</v>
      </c>
      <c r="K59" s="11">
        <f t="shared" si="7"/>
        <v>1.2199999999999767E-2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13376719.128726954</v>
      </c>
      <c r="D60" s="11">
        <v>1.32E-2</v>
      </c>
      <c r="E60" s="10">
        <f t="shared" si="2"/>
        <v>174272.29816344008</v>
      </c>
      <c r="F60" s="3"/>
      <c r="G60" s="28"/>
      <c r="H60" s="10"/>
      <c r="I60" s="10">
        <f t="shared" si="8"/>
        <v>15516</v>
      </c>
      <c r="J60" s="10">
        <f t="shared" si="6"/>
        <v>207553174001.32742</v>
      </c>
      <c r="K60" s="11">
        <f t="shared" si="7"/>
        <v>1.3200000000000323E-2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13202446.830563514</v>
      </c>
      <c r="D61" s="11">
        <v>1.43E-2</v>
      </c>
      <c r="E61" s="10">
        <f t="shared" si="2"/>
        <v>186133.28371986374</v>
      </c>
      <c r="F61" s="3"/>
      <c r="G61" s="28"/>
      <c r="H61" s="10"/>
      <c r="I61" s="10">
        <f t="shared" si="8"/>
        <v>15516</v>
      </c>
      <c r="J61" s="10">
        <f t="shared" si="6"/>
        <v>204849165023.02347</v>
      </c>
      <c r="K61" s="11">
        <f t="shared" si="7"/>
        <v>1.4299999999999979E-2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13016313.54684365</v>
      </c>
      <c r="D62" s="11">
        <v>1.5299999999999999E-2</v>
      </c>
      <c r="E62" s="10">
        <f t="shared" si="2"/>
        <v>196148.52483670786</v>
      </c>
      <c r="F62" s="3"/>
      <c r="G62" s="28"/>
      <c r="H62" s="10"/>
      <c r="I62" s="10">
        <f t="shared" si="8"/>
        <v>15516</v>
      </c>
      <c r="J62" s="10">
        <f t="shared" si="6"/>
        <v>201961120992.82608</v>
      </c>
      <c r="K62" s="11">
        <f t="shared" si="7"/>
        <v>1.5300000000000091E-2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12820165.022006942</v>
      </c>
      <c r="D63" s="11">
        <v>1.61E-2</v>
      </c>
      <c r="E63" s="10">
        <f t="shared" si="2"/>
        <v>203134.19629397802</v>
      </c>
      <c r="F63" s="3"/>
      <c r="G63" s="28"/>
      <c r="H63" s="10"/>
      <c r="I63" s="10">
        <f t="shared" si="8"/>
        <v>15516</v>
      </c>
      <c r="J63" s="10">
        <f t="shared" si="6"/>
        <v>198917680481.45972</v>
      </c>
      <c r="K63" s="11">
        <f t="shared" si="7"/>
        <v>1.6100000000000003E-2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12617030.825712964</v>
      </c>
      <c r="D64" s="11">
        <v>1.67E-2</v>
      </c>
      <c r="E64" s="10">
        <f t="shared" si="2"/>
        <v>207243.44918796606</v>
      </c>
      <c r="F64" s="3"/>
      <c r="G64" s="28"/>
      <c r="H64" s="10"/>
      <c r="I64" s="10">
        <f t="shared" si="8"/>
        <v>15516</v>
      </c>
      <c r="J64" s="10">
        <f t="shared" si="6"/>
        <v>195765850291.76236</v>
      </c>
      <c r="K64" s="11">
        <f t="shared" si="7"/>
        <v>1.6699999999999937E-2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12409787.376524998</v>
      </c>
      <c r="D65" s="11">
        <v>1.7100000000000001E-2</v>
      </c>
      <c r="E65" s="10">
        <f t="shared" si="2"/>
        <v>208639.62652499788</v>
      </c>
      <c r="F65" s="3"/>
      <c r="G65" s="28"/>
      <c r="H65" s="10"/>
      <c r="I65" s="10">
        <f t="shared" si="8"/>
        <v>15516</v>
      </c>
      <c r="J65" s="10">
        <f t="shared" si="6"/>
        <v>192550260934.16187</v>
      </c>
      <c r="K65" s="11">
        <f t="shared" si="7"/>
        <v>1.7099999999999893E-2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12201147.75</v>
      </c>
      <c r="D66" s="11">
        <v>1.7500000000000002E-2</v>
      </c>
      <c r="E66" s="10">
        <f t="shared" si="2"/>
        <v>209847.75</v>
      </c>
      <c r="F66" s="24">
        <f>SUM(F2)</f>
        <v>27844193</v>
      </c>
      <c r="G66" s="28"/>
      <c r="H66" s="10"/>
      <c r="I66" s="10">
        <f t="shared" si="8"/>
        <v>15516</v>
      </c>
      <c r="J66" s="10">
        <f t="shared" ref="J66:J67" si="9">IF(I66="","",I66*C66)</f>
        <v>189313008489</v>
      </c>
      <c r="K66" s="11">
        <f t="shared" ref="K66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11991300</v>
      </c>
      <c r="D67" s="11">
        <v>1.7999999999999999E-2</v>
      </c>
      <c r="E67" s="3" t="s">
        <v>72</v>
      </c>
      <c r="F67" s="10">
        <f>SUM(C2)</f>
        <v>27844494.037598766</v>
      </c>
      <c r="G67" s="28"/>
      <c r="H67" s="10"/>
      <c r="I67" s="10">
        <f t="shared" ref="I67" si="11">IF(H67&lt;&gt;"",H67,I66/(1+IF(G66="",0,G66)/100))</f>
        <v>15516</v>
      </c>
      <c r="J67" s="10">
        <f t="shared" si="9"/>
        <v>186057010800</v>
      </c>
      <c r="K67" s="11"/>
    </row>
  </sheetData>
  <dataValidations count="1">
    <dataValidation type="custom" allowBlank="1" showDropDown="1" sqref="D2:D67" xr:uid="{00000000-0002-0000-9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5164.85416955047</v>
      </c>
      <c r="D2" s="11">
        <v>-1E-3</v>
      </c>
      <c r="E2" s="10">
        <f t="shared" ref="E2:E66" si="2">SUM(C2-C3)</f>
        <v>-5.1700241937442115</v>
      </c>
      <c r="F2" s="15">
        <v>5165</v>
      </c>
      <c r="G2" s="28"/>
      <c r="H2" s="10"/>
      <c r="I2" s="10">
        <f>IF(H2&lt;&gt;"",H2,9325)</f>
        <v>9325</v>
      </c>
      <c r="J2" s="10">
        <f t="shared" ref="J2:J33" si="3">IF(I2="","",I2*C2)</f>
        <v>48162265.131058134</v>
      </c>
      <c r="K2" s="11">
        <f t="shared" ref="K2:K33" si="4">IFERROR(J2/J3-1,"")</f>
        <v>-1.0000000000000009E-3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5170.0241937442142</v>
      </c>
      <c r="D3" s="11">
        <v>-1E-3</v>
      </c>
      <c r="E3" s="10">
        <f t="shared" si="2"/>
        <v>-5.1751993931375182</v>
      </c>
      <c r="F3" s="3"/>
      <c r="G3" s="28"/>
      <c r="H3" s="10"/>
      <c r="I3" s="10">
        <f t="shared" ref="I3:I34" si="5">IF(H3&lt;&gt;"",H3,I2/(1+IF(G2="",0,G2)/100))</f>
        <v>9325</v>
      </c>
      <c r="J3" s="10">
        <f t="shared" si="3"/>
        <v>48210475.606664799</v>
      </c>
      <c r="K3" s="11">
        <f t="shared" si="4"/>
        <v>-9.9999999999988987E-4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5175.1993931373518</v>
      </c>
      <c r="D4" s="11">
        <v>-6.9999999999999999E-4</v>
      </c>
      <c r="E4" s="10">
        <f t="shared" si="2"/>
        <v>-3.6251771992356225</v>
      </c>
      <c r="F4" s="3"/>
      <c r="G4" s="28"/>
      <c r="H4" s="10"/>
      <c r="I4" s="10">
        <f t="shared" si="5"/>
        <v>9325</v>
      </c>
      <c r="J4" s="10">
        <f t="shared" si="3"/>
        <v>48258734.341005802</v>
      </c>
      <c r="K4" s="11">
        <f t="shared" si="4"/>
        <v>-7.0000000000003393E-4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5178.8245703365874</v>
      </c>
      <c r="D5" s="11">
        <v>-4.0000000000000002E-4</v>
      </c>
      <c r="E5" s="10">
        <f t="shared" si="2"/>
        <v>-2.0723587716429392</v>
      </c>
      <c r="F5" s="3"/>
      <c r="G5" s="28"/>
      <c r="H5" s="10"/>
      <c r="I5" s="10">
        <f t="shared" si="5"/>
        <v>9325</v>
      </c>
      <c r="J5" s="10">
        <f t="shared" si="3"/>
        <v>48292539.118388675</v>
      </c>
      <c r="K5" s="11">
        <f t="shared" si="4"/>
        <v>-3.9999999999995595E-4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5180.8969291082303</v>
      </c>
      <c r="D6" s="11">
        <v>1E-4</v>
      </c>
      <c r="E6" s="10">
        <f t="shared" si="2"/>
        <v>0.51803788912184245</v>
      </c>
      <c r="F6" s="3"/>
      <c r="G6" s="28"/>
      <c r="H6" s="10"/>
      <c r="I6" s="10">
        <f t="shared" si="5"/>
        <v>9325</v>
      </c>
      <c r="J6" s="10">
        <f t="shared" si="3"/>
        <v>48311863.863934249</v>
      </c>
      <c r="K6" s="11">
        <f t="shared" si="4"/>
        <v>9.9999999999988987E-5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5180.3788912191085</v>
      </c>
      <c r="D7" s="11">
        <v>8.9999999999999998E-4</v>
      </c>
      <c r="E7" s="10">
        <f t="shared" si="2"/>
        <v>4.6581486682953255</v>
      </c>
      <c r="F7" s="3"/>
      <c r="G7" s="28"/>
      <c r="H7" s="10"/>
      <c r="I7" s="10">
        <f t="shared" si="5"/>
        <v>9325</v>
      </c>
      <c r="J7" s="10">
        <f t="shared" si="3"/>
        <v>48307033.160618186</v>
      </c>
      <c r="K7" s="11">
        <f t="shared" si="4"/>
        <v>8.9999999999990088E-4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5175.7207425508132</v>
      </c>
      <c r="D8" s="11">
        <v>1.8E-3</v>
      </c>
      <c r="E8" s="10">
        <f t="shared" si="2"/>
        <v>9.299558131953745</v>
      </c>
      <c r="F8" s="3"/>
      <c r="G8" s="28"/>
      <c r="H8" s="10"/>
      <c r="I8" s="10">
        <f t="shared" si="5"/>
        <v>9325</v>
      </c>
      <c r="J8" s="10">
        <f t="shared" si="3"/>
        <v>48263595.924286336</v>
      </c>
      <c r="K8" s="11">
        <f t="shared" si="4"/>
        <v>1.8000000000000238E-3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5166.4211844188594</v>
      </c>
      <c r="D9" s="11">
        <v>2.7000000000000001E-3</v>
      </c>
      <c r="E9" s="10">
        <f t="shared" si="2"/>
        <v>13.911775404339096</v>
      </c>
      <c r="F9" s="3"/>
      <c r="G9" s="28"/>
      <c r="H9" s="10"/>
      <c r="I9" s="10">
        <f t="shared" si="5"/>
        <v>9325</v>
      </c>
      <c r="J9" s="10">
        <f t="shared" si="3"/>
        <v>48176877.54470586</v>
      </c>
      <c r="K9" s="11">
        <f t="shared" si="4"/>
        <v>2.6999999999999247E-3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5152.5094090145203</v>
      </c>
      <c r="D10" s="11">
        <v>3.3999999999999998E-3</v>
      </c>
      <c r="E10" s="10">
        <f t="shared" si="2"/>
        <v>17.459170809896023</v>
      </c>
      <c r="F10" s="3"/>
      <c r="G10" s="28"/>
      <c r="H10" s="10"/>
      <c r="I10" s="10">
        <f t="shared" si="5"/>
        <v>9325</v>
      </c>
      <c r="J10" s="10">
        <f t="shared" si="3"/>
        <v>48047150.239060402</v>
      </c>
      <c r="K10" s="11">
        <f t="shared" si="4"/>
        <v>3.4000000000000696E-3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5135.0502382046243</v>
      </c>
      <c r="D11" s="11">
        <v>4.0000000000000001E-3</v>
      </c>
      <c r="E11" s="10">
        <f t="shared" si="2"/>
        <v>20.458367482887297</v>
      </c>
      <c r="F11" s="3"/>
      <c r="G11" s="28"/>
      <c r="H11" s="10"/>
      <c r="I11" s="10">
        <f t="shared" si="5"/>
        <v>9325</v>
      </c>
      <c r="J11" s="10">
        <f t="shared" si="3"/>
        <v>47884343.471258119</v>
      </c>
      <c r="K11" s="11">
        <f t="shared" si="4"/>
        <v>4.0000000000000036E-3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5114.591870721737</v>
      </c>
      <c r="D12" s="11">
        <v>4.1999999999999997E-3</v>
      </c>
      <c r="E12" s="10">
        <f t="shared" si="2"/>
        <v>21.39144180146468</v>
      </c>
      <c r="F12" s="3"/>
      <c r="G12" s="28"/>
      <c r="H12" s="10"/>
      <c r="I12" s="10">
        <f t="shared" si="5"/>
        <v>9325</v>
      </c>
      <c r="J12" s="10">
        <f t="shared" si="3"/>
        <v>47693569.194480196</v>
      </c>
      <c r="K12" s="11">
        <f t="shared" si="4"/>
        <v>4.1999999999997595E-3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5093.2004289202723</v>
      </c>
      <c r="D13" s="11">
        <v>4.3E-3</v>
      </c>
      <c r="E13" s="10">
        <f t="shared" si="2"/>
        <v>21.806991779704731</v>
      </c>
      <c r="F13" s="3"/>
      <c r="G13" s="28"/>
      <c r="H13" s="10"/>
      <c r="I13" s="10">
        <f t="shared" si="5"/>
        <v>9325</v>
      </c>
      <c r="J13" s="10">
        <f t="shared" si="3"/>
        <v>47494093.99968154</v>
      </c>
      <c r="K13" s="11">
        <f t="shared" si="4"/>
        <v>4.3000000000001926E-3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5071.3934371405676</v>
      </c>
      <c r="D14" s="11">
        <v>4.3E-3</v>
      </c>
      <c r="E14" s="10">
        <f t="shared" si="2"/>
        <v>21.713623199944777</v>
      </c>
      <c r="F14" s="3"/>
      <c r="G14" s="28"/>
      <c r="H14" s="10"/>
      <c r="I14" s="10">
        <f t="shared" si="5"/>
        <v>9325</v>
      </c>
      <c r="J14" s="10">
        <f t="shared" si="3"/>
        <v>47290743.801335789</v>
      </c>
      <c r="K14" s="11">
        <f t="shared" si="4"/>
        <v>4.2999999999999705E-3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5049.6798139406228</v>
      </c>
      <c r="D15" s="11">
        <v>4.3E-3</v>
      </c>
      <c r="E15" s="10">
        <f t="shared" si="2"/>
        <v>21.620654386084425</v>
      </c>
      <c r="F15" s="3"/>
      <c r="G15" s="28"/>
      <c r="H15" s="10"/>
      <c r="I15" s="10">
        <f t="shared" si="5"/>
        <v>9325</v>
      </c>
      <c r="J15" s="10">
        <f t="shared" si="3"/>
        <v>47088264.264996305</v>
      </c>
      <c r="K15" s="11">
        <f t="shared" si="4"/>
        <v>4.2999999999999705E-3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5028.0591595545384</v>
      </c>
      <c r="D16" s="11">
        <v>4.5999999999999999E-3</v>
      </c>
      <c r="E16" s="10">
        <f t="shared" si="2"/>
        <v>23.023165572318248</v>
      </c>
      <c r="F16" s="3"/>
      <c r="G16" s="28"/>
      <c r="H16" s="10"/>
      <c r="I16" s="10">
        <f t="shared" si="5"/>
        <v>9325</v>
      </c>
      <c r="J16" s="10">
        <f t="shared" si="3"/>
        <v>46886651.662846074</v>
      </c>
      <c r="K16" s="11">
        <f t="shared" si="4"/>
        <v>4.5999999999999375E-3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5005.0359939822201</v>
      </c>
      <c r="D17" s="11">
        <v>5.3E-3</v>
      </c>
      <c r="E17" s="10">
        <f t="shared" si="2"/>
        <v>26.386840513385323</v>
      </c>
      <c r="F17" s="3"/>
      <c r="G17" s="28"/>
      <c r="H17" s="10"/>
      <c r="I17" s="10">
        <f t="shared" si="5"/>
        <v>9325</v>
      </c>
      <c r="J17" s="10">
        <f t="shared" si="3"/>
        <v>46671960.643884204</v>
      </c>
      <c r="K17" s="11">
        <f t="shared" si="4"/>
        <v>5.3000000000000824E-3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4978.6491534688348</v>
      </c>
      <c r="D18" s="11">
        <v>6.1000000000000004E-3</v>
      </c>
      <c r="E18" s="10">
        <f t="shared" si="2"/>
        <v>30.185627508359175</v>
      </c>
      <c r="F18" s="3"/>
      <c r="G18" s="28"/>
      <c r="H18" s="10"/>
      <c r="I18" s="10">
        <f t="shared" si="5"/>
        <v>9325</v>
      </c>
      <c r="J18" s="10">
        <f t="shared" si="3"/>
        <v>46425903.356096886</v>
      </c>
      <c r="K18" s="11">
        <f t="shared" si="4"/>
        <v>6.0999999999999943E-3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4948.4635259604756</v>
      </c>
      <c r="D19" s="11">
        <v>7.1000000000000004E-3</v>
      </c>
      <c r="E19" s="10">
        <f t="shared" si="2"/>
        <v>34.88639761127979</v>
      </c>
      <c r="F19" s="3"/>
      <c r="G19" s="28"/>
      <c r="H19" s="10"/>
      <c r="I19" s="10">
        <f t="shared" si="5"/>
        <v>9325</v>
      </c>
      <c r="J19" s="10">
        <f t="shared" si="3"/>
        <v>46144422.379581437</v>
      </c>
      <c r="K19" s="11">
        <f t="shared" si="4"/>
        <v>7.1000000000001062E-3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4913.5771283491958</v>
      </c>
      <c r="D20" s="11">
        <v>7.9000000000000008E-3</v>
      </c>
      <c r="E20" s="10">
        <f t="shared" si="2"/>
        <v>38.51300656211788</v>
      </c>
      <c r="F20" s="3"/>
      <c r="G20" s="28"/>
      <c r="H20" s="10"/>
      <c r="I20" s="10">
        <f t="shared" si="5"/>
        <v>9325</v>
      </c>
      <c r="J20" s="10">
        <f t="shared" si="3"/>
        <v>45819106.721856251</v>
      </c>
      <c r="K20" s="11">
        <f t="shared" si="4"/>
        <v>7.9000000000000181E-3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4875.064121787078</v>
      </c>
      <c r="D21" s="11">
        <v>8.6999999999999994E-3</v>
      </c>
      <c r="E21" s="10">
        <f t="shared" si="2"/>
        <v>42.047246812280719</v>
      </c>
      <c r="F21" s="3"/>
      <c r="G21" s="28"/>
      <c r="H21" s="10"/>
      <c r="I21" s="10">
        <f t="shared" si="5"/>
        <v>9325</v>
      </c>
      <c r="J21" s="10">
        <f t="shared" si="3"/>
        <v>45459972.935664505</v>
      </c>
      <c r="K21" s="11">
        <f t="shared" si="4"/>
        <v>8.69999999999993E-3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4833.0168749747972</v>
      </c>
      <c r="D22" s="11">
        <v>9.2999999999999992E-3</v>
      </c>
      <c r="E22" s="10">
        <f t="shared" si="2"/>
        <v>44.532900958352911</v>
      </c>
      <c r="F22" s="3"/>
      <c r="G22" s="28"/>
      <c r="H22" s="10"/>
      <c r="I22" s="10">
        <f t="shared" si="5"/>
        <v>9325</v>
      </c>
      <c r="J22" s="10">
        <f t="shared" si="3"/>
        <v>45067882.359139986</v>
      </c>
      <c r="K22" s="11">
        <f t="shared" si="4"/>
        <v>9.300000000000086E-3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4788.4839740164443</v>
      </c>
      <c r="D23" s="11">
        <v>9.7000000000000003E-3</v>
      </c>
      <c r="E23" s="10">
        <f t="shared" si="2"/>
        <v>46.00207442602732</v>
      </c>
      <c r="F23" s="3"/>
      <c r="G23" s="28"/>
      <c r="H23" s="10"/>
      <c r="I23" s="10">
        <f t="shared" si="5"/>
        <v>9325</v>
      </c>
      <c r="J23" s="10">
        <f t="shared" si="3"/>
        <v>44652613.057703346</v>
      </c>
      <c r="K23" s="11">
        <f t="shared" si="4"/>
        <v>9.7000000000000419E-3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4742.481899590417</v>
      </c>
      <c r="D24" s="11">
        <v>0.01</v>
      </c>
      <c r="E24" s="10">
        <f t="shared" si="2"/>
        <v>46.955266332578503</v>
      </c>
      <c r="F24" s="3"/>
      <c r="G24" s="28"/>
      <c r="H24" s="10"/>
      <c r="I24" s="10">
        <f t="shared" si="5"/>
        <v>9325</v>
      </c>
      <c r="J24" s="10">
        <f t="shared" si="3"/>
        <v>44223643.71368064</v>
      </c>
      <c r="K24" s="11">
        <f t="shared" si="4"/>
        <v>1.0000000000000009E-2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4695.5266332578385</v>
      </c>
      <c r="D25" s="11">
        <v>1.04E-2</v>
      </c>
      <c r="E25" s="10">
        <f t="shared" si="2"/>
        <v>48.330836288480896</v>
      </c>
      <c r="F25" s="3"/>
      <c r="G25" s="28"/>
      <c r="H25" s="10"/>
      <c r="I25" s="10">
        <f t="shared" si="5"/>
        <v>9325</v>
      </c>
      <c r="J25" s="10">
        <f t="shared" si="3"/>
        <v>43785785.855129346</v>
      </c>
      <c r="K25" s="11">
        <f t="shared" si="4"/>
        <v>1.0399999999999965E-2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4647.1957969693576</v>
      </c>
      <c r="D26" s="11">
        <v>1.11E-2</v>
      </c>
      <c r="E26" s="10">
        <f t="shared" si="2"/>
        <v>51.017578228029379</v>
      </c>
      <c r="F26" s="3"/>
      <c r="G26" s="28"/>
      <c r="H26" s="10"/>
      <c r="I26" s="10">
        <f t="shared" si="5"/>
        <v>9325</v>
      </c>
      <c r="J26" s="10">
        <f t="shared" si="3"/>
        <v>43335100.806739263</v>
      </c>
      <c r="K26" s="11">
        <f t="shared" si="4"/>
        <v>1.110000000000011E-2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4596.1782187413282</v>
      </c>
      <c r="D27" s="11">
        <v>1.21E-2</v>
      </c>
      <c r="E27" s="10">
        <f t="shared" si="2"/>
        <v>54.948875058561498</v>
      </c>
      <c r="F27" s="3"/>
      <c r="G27" s="28"/>
      <c r="H27" s="10"/>
      <c r="I27" s="10">
        <f t="shared" si="5"/>
        <v>9325</v>
      </c>
      <c r="J27" s="10">
        <f t="shared" si="3"/>
        <v>42859361.889762886</v>
      </c>
      <c r="K27" s="11">
        <f t="shared" si="4"/>
        <v>1.21E-2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4541.2293436827667</v>
      </c>
      <c r="D28" s="11">
        <v>1.34E-2</v>
      </c>
      <c r="E28" s="10">
        <f t="shared" si="2"/>
        <v>60.047832253157139</v>
      </c>
      <c r="F28" s="3"/>
      <c r="G28" s="28"/>
      <c r="H28" s="10"/>
      <c r="I28" s="10">
        <f t="shared" si="5"/>
        <v>9325</v>
      </c>
      <c r="J28" s="10">
        <f t="shared" si="3"/>
        <v>42346963.629841797</v>
      </c>
      <c r="K28" s="11">
        <f t="shared" si="4"/>
        <v>1.3400000000000079E-2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4481.1815114296096</v>
      </c>
      <c r="D29" s="11">
        <v>1.49E-2</v>
      </c>
      <c r="E29" s="10">
        <f t="shared" si="2"/>
        <v>65.789343305055809</v>
      </c>
      <c r="F29" s="3"/>
      <c r="G29" s="28"/>
      <c r="H29" s="10"/>
      <c r="I29" s="10">
        <f t="shared" si="5"/>
        <v>9325</v>
      </c>
      <c r="J29" s="10">
        <f t="shared" si="3"/>
        <v>41787017.594081111</v>
      </c>
      <c r="K29" s="11">
        <f t="shared" si="4"/>
        <v>1.4900000000000135E-2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4415.3921681245538</v>
      </c>
      <c r="D30" s="11">
        <v>1.6400000000000001E-2</v>
      </c>
      <c r="E30" s="10">
        <f t="shared" si="2"/>
        <v>71.244029473870796</v>
      </c>
      <c r="F30" s="3"/>
      <c r="G30" s="28"/>
      <c r="H30" s="10"/>
      <c r="I30" s="10">
        <f t="shared" si="5"/>
        <v>9325</v>
      </c>
      <c r="J30" s="10">
        <f t="shared" si="3"/>
        <v>41173531.967761464</v>
      </c>
      <c r="K30" s="11">
        <f t="shared" si="4"/>
        <v>1.639999999999997E-2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4344.148138650683</v>
      </c>
      <c r="D31" s="11">
        <v>1.7600000000000001E-2</v>
      </c>
      <c r="E31" s="10">
        <f t="shared" si="2"/>
        <v>75.134637618172746</v>
      </c>
      <c r="F31" s="3"/>
      <c r="G31" s="28"/>
      <c r="H31" s="10"/>
      <c r="I31" s="10">
        <f t="shared" si="5"/>
        <v>9325</v>
      </c>
      <c r="J31" s="10">
        <f t="shared" si="3"/>
        <v>40509181.392917618</v>
      </c>
      <c r="K31" s="11">
        <f t="shared" si="4"/>
        <v>1.760000000000006E-2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4269.0135010325102</v>
      </c>
      <c r="D32" s="11">
        <v>1.8499999999999999E-2</v>
      </c>
      <c r="E32" s="10">
        <f t="shared" si="2"/>
        <v>77.542218722730468</v>
      </c>
      <c r="F32" s="3"/>
      <c r="G32" s="28"/>
      <c r="H32" s="10"/>
      <c r="I32" s="10">
        <f t="shared" si="5"/>
        <v>9325</v>
      </c>
      <c r="J32" s="10">
        <f t="shared" si="3"/>
        <v>39808550.897128157</v>
      </c>
      <c r="K32" s="11">
        <f t="shared" si="4"/>
        <v>1.8499999999999961E-2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4191.4712823097798</v>
      </c>
      <c r="D33" s="11">
        <v>1.8800000000000001E-2</v>
      </c>
      <c r="E33" s="10">
        <f t="shared" si="2"/>
        <v>77.345563513372326</v>
      </c>
      <c r="F33" s="3"/>
      <c r="G33" s="28"/>
      <c r="H33" s="10"/>
      <c r="I33" s="10">
        <f t="shared" si="5"/>
        <v>9325</v>
      </c>
      <c r="J33" s="10">
        <f t="shared" si="3"/>
        <v>39085469.707538694</v>
      </c>
      <c r="K33" s="11">
        <f t="shared" si="4"/>
        <v>1.8799999999999928E-2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4114.1257187964075</v>
      </c>
      <c r="D34" s="11">
        <v>1.8700000000000001E-2</v>
      </c>
      <c r="E34" s="10">
        <f t="shared" si="2"/>
        <v>75.521891569149375</v>
      </c>
      <c r="F34" s="3"/>
      <c r="G34" s="28"/>
      <c r="H34" s="10"/>
      <c r="I34" s="10">
        <f t="shared" si="5"/>
        <v>9325</v>
      </c>
      <c r="J34" s="10">
        <f t="shared" ref="J34:J65" si="6">IF(I34="","",I34*C34)</f>
        <v>38364222.327776499</v>
      </c>
      <c r="K34" s="11">
        <f t="shared" ref="K34:K65" si="7">IFERROR(J34/J35-1,"")</f>
        <v>1.8699999999999939E-2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4038.6038272272581</v>
      </c>
      <c r="D35" s="11">
        <v>1.84E-2</v>
      </c>
      <c r="E35" s="10">
        <f t="shared" si="2"/>
        <v>72.967704655323359</v>
      </c>
      <c r="F35" s="3"/>
      <c r="G35" s="28"/>
      <c r="H35" s="10"/>
      <c r="I35" s="10">
        <f t="shared" ref="I35:I66" si="8">IF(H35&lt;&gt;"",H35,I34/(1+IF(G34="",0,G34)/100))</f>
        <v>9325</v>
      </c>
      <c r="J35" s="10">
        <f t="shared" si="6"/>
        <v>37659980.688894182</v>
      </c>
      <c r="K35" s="11">
        <f t="shared" si="7"/>
        <v>1.8399999999999972E-2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3965.6361225719347</v>
      </c>
      <c r="D36" s="11">
        <v>1.7899999999999999E-2</v>
      </c>
      <c r="E36" s="10">
        <f t="shared" si="2"/>
        <v>69.73660142846802</v>
      </c>
      <c r="F36" s="3"/>
      <c r="G36" s="28"/>
      <c r="H36" s="10"/>
      <c r="I36" s="10">
        <f t="shared" si="8"/>
        <v>9325</v>
      </c>
      <c r="J36" s="10">
        <f t="shared" si="6"/>
        <v>36979556.842983291</v>
      </c>
      <c r="K36" s="11">
        <f t="shared" si="7"/>
        <v>1.7900000000000027E-2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3895.8995211434667</v>
      </c>
      <c r="D37" s="11">
        <v>1.7399999999999999E-2</v>
      </c>
      <c r="E37" s="10">
        <f t="shared" si="2"/>
        <v>66.629301816293264</v>
      </c>
      <c r="F37" s="3"/>
      <c r="G37" s="28"/>
      <c r="H37" s="10"/>
      <c r="I37" s="10">
        <f t="shared" si="8"/>
        <v>9325</v>
      </c>
      <c r="J37" s="10">
        <f t="shared" si="6"/>
        <v>36329263.034662828</v>
      </c>
      <c r="K37" s="11">
        <f t="shared" si="7"/>
        <v>1.7400000000000082E-2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3829.2702193271734</v>
      </c>
      <c r="D38" s="11">
        <v>1.6899999999999998E-2</v>
      </c>
      <c r="E38" s="10">
        <f t="shared" si="2"/>
        <v>63.639164821151553</v>
      </c>
      <c r="F38" s="3"/>
      <c r="G38" s="28"/>
      <c r="H38" s="10"/>
      <c r="I38" s="10">
        <f t="shared" si="8"/>
        <v>9325</v>
      </c>
      <c r="J38" s="10">
        <f t="shared" si="6"/>
        <v>35707944.795225896</v>
      </c>
      <c r="K38" s="11">
        <f t="shared" si="7"/>
        <v>1.6899999999999915E-2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3765.6310545060219</v>
      </c>
      <c r="D39" s="11">
        <v>1.67E-2</v>
      </c>
      <c r="E39" s="10">
        <f t="shared" si="2"/>
        <v>61.853091974279778</v>
      </c>
      <c r="F39" s="3"/>
      <c r="G39" s="28"/>
      <c r="H39" s="10"/>
      <c r="I39" s="10">
        <f t="shared" si="8"/>
        <v>9325</v>
      </c>
      <c r="J39" s="10">
        <f t="shared" si="6"/>
        <v>35114509.583268657</v>
      </c>
      <c r="K39" s="11">
        <f t="shared" si="7"/>
        <v>1.6699999999999937E-2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3703.7779625317421</v>
      </c>
      <c r="D40" s="11">
        <v>1.67E-2</v>
      </c>
      <c r="E40" s="10">
        <f t="shared" si="2"/>
        <v>60.83711220053101</v>
      </c>
      <c r="F40" s="3"/>
      <c r="G40" s="28"/>
      <c r="H40" s="10"/>
      <c r="I40" s="10">
        <f t="shared" si="8"/>
        <v>9325</v>
      </c>
      <c r="J40" s="10">
        <f t="shared" si="6"/>
        <v>34537729.500608496</v>
      </c>
      <c r="K40" s="11">
        <f t="shared" si="7"/>
        <v>1.6699999999999937E-2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3642.9408503312111</v>
      </c>
      <c r="D41" s="11">
        <v>1.72E-2</v>
      </c>
      <c r="E41" s="10">
        <f t="shared" si="2"/>
        <v>61.599078475911483</v>
      </c>
      <c r="F41" s="3"/>
      <c r="G41" s="28"/>
      <c r="H41" s="10"/>
      <c r="I41" s="10">
        <f t="shared" si="8"/>
        <v>9325</v>
      </c>
      <c r="J41" s="10">
        <f t="shared" si="6"/>
        <v>33970423.429338545</v>
      </c>
      <c r="K41" s="11">
        <f t="shared" si="7"/>
        <v>1.7200000000000104E-2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3581.3417718552996</v>
      </c>
      <c r="D42" s="11">
        <v>1.7999999999999999E-2</v>
      </c>
      <c r="E42" s="10">
        <f t="shared" si="2"/>
        <v>63.324314237127055</v>
      </c>
      <c r="F42" s="3"/>
      <c r="G42" s="28"/>
      <c r="H42" s="10"/>
      <c r="I42" s="10">
        <f t="shared" si="8"/>
        <v>9325</v>
      </c>
      <c r="J42" s="10">
        <f t="shared" si="6"/>
        <v>33396012.022550669</v>
      </c>
      <c r="K42" s="11">
        <f t="shared" si="7"/>
        <v>1.8000000000000016E-2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3518.0174576181726</v>
      </c>
      <c r="D43" s="11">
        <v>1.9099999999999999E-2</v>
      </c>
      <c r="E43" s="10">
        <f t="shared" si="2"/>
        <v>65.93477915857784</v>
      </c>
      <c r="F43" s="3"/>
      <c r="G43" s="28"/>
      <c r="H43" s="10"/>
      <c r="I43" s="10">
        <f t="shared" si="8"/>
        <v>9325</v>
      </c>
      <c r="J43" s="10">
        <f t="shared" si="6"/>
        <v>32805512.792289458</v>
      </c>
      <c r="K43" s="11">
        <f t="shared" si="7"/>
        <v>1.9099999999999895E-2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3452.0826784595947</v>
      </c>
      <c r="D44" s="11">
        <v>2.0400000000000001E-2</v>
      </c>
      <c r="E44" s="10">
        <f t="shared" si="2"/>
        <v>69.014589024476209</v>
      </c>
      <c r="F44" s="3"/>
      <c r="G44" s="28"/>
      <c r="H44" s="10"/>
      <c r="I44" s="10">
        <f t="shared" si="8"/>
        <v>9325</v>
      </c>
      <c r="J44" s="10">
        <f t="shared" si="6"/>
        <v>32190670.976635721</v>
      </c>
      <c r="K44" s="11">
        <f t="shared" si="7"/>
        <v>2.0399999999999974E-2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3383.0680894351185</v>
      </c>
      <c r="D45" s="11">
        <v>2.1499999999999998E-2</v>
      </c>
      <c r="E45" s="10">
        <f t="shared" si="2"/>
        <v>71.205055235296641</v>
      </c>
      <c r="F45" s="3"/>
      <c r="G45" s="28"/>
      <c r="H45" s="10"/>
      <c r="I45" s="10">
        <f t="shared" si="8"/>
        <v>9325</v>
      </c>
      <c r="J45" s="10">
        <f t="shared" si="6"/>
        <v>31547109.93398248</v>
      </c>
      <c r="K45" s="11">
        <f t="shared" si="7"/>
        <v>2.1500000000000075E-2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3311.8630341998219</v>
      </c>
      <c r="D46" s="11">
        <v>2.24E-2</v>
      </c>
      <c r="E46" s="10">
        <f t="shared" si="2"/>
        <v>72.56037946603692</v>
      </c>
      <c r="F46" s="3"/>
      <c r="G46" s="28"/>
      <c r="H46" s="10"/>
      <c r="I46" s="10">
        <f t="shared" si="8"/>
        <v>9325</v>
      </c>
      <c r="J46" s="10">
        <f t="shared" si="6"/>
        <v>30883122.793913338</v>
      </c>
      <c r="K46" s="11">
        <f t="shared" si="7"/>
        <v>2.2399999999999975E-2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3239.3026547337849</v>
      </c>
      <c r="D47" s="11">
        <v>2.3E-2</v>
      </c>
      <c r="E47" s="10">
        <f t="shared" si="2"/>
        <v>72.828896440739754</v>
      </c>
      <c r="F47" s="3"/>
      <c r="G47" s="28"/>
      <c r="H47" s="10"/>
      <c r="I47" s="10">
        <f t="shared" si="8"/>
        <v>9325</v>
      </c>
      <c r="J47" s="10">
        <f t="shared" si="6"/>
        <v>30206497.255392544</v>
      </c>
      <c r="K47" s="11">
        <f t="shared" si="7"/>
        <v>2.2999999999999909E-2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3166.4737582930452</v>
      </c>
      <c r="D48" s="11">
        <v>2.3099999999999999E-2</v>
      </c>
      <c r="E48" s="10">
        <f t="shared" si="2"/>
        <v>71.494031684653692</v>
      </c>
      <c r="F48" s="3"/>
      <c r="G48" s="28"/>
      <c r="H48" s="10"/>
      <c r="I48" s="10">
        <f t="shared" si="8"/>
        <v>9325</v>
      </c>
      <c r="J48" s="10">
        <f t="shared" si="6"/>
        <v>29527367.796082646</v>
      </c>
      <c r="K48" s="11">
        <f t="shared" si="7"/>
        <v>2.3099999999999898E-2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3094.9797266083915</v>
      </c>
      <c r="D49" s="11">
        <v>2.29E-2</v>
      </c>
      <c r="E49" s="10">
        <f t="shared" si="2"/>
        <v>69.288332915565661</v>
      </c>
      <c r="F49" s="3"/>
      <c r="G49" s="28"/>
      <c r="H49" s="10"/>
      <c r="I49" s="10">
        <f t="shared" si="8"/>
        <v>9325</v>
      </c>
      <c r="J49" s="10">
        <f t="shared" si="6"/>
        <v>28860685.950623251</v>
      </c>
      <c r="K49" s="11">
        <f t="shared" si="7"/>
        <v>2.289999999999992E-2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3025.6913936928258</v>
      </c>
      <c r="D50" s="11">
        <v>2.2499999999999999E-2</v>
      </c>
      <c r="E50" s="10">
        <f t="shared" si="2"/>
        <v>66.580006218179278</v>
      </c>
      <c r="F50" s="3"/>
      <c r="G50" s="28"/>
      <c r="H50" s="10"/>
      <c r="I50" s="10">
        <f t="shared" si="8"/>
        <v>9325</v>
      </c>
      <c r="J50" s="10">
        <f t="shared" si="6"/>
        <v>28214572.246185601</v>
      </c>
      <c r="K50" s="11">
        <f t="shared" si="7"/>
        <v>2.2499999999999742E-2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2959.1113874746466</v>
      </c>
      <c r="D51" s="11">
        <v>2.18E-2</v>
      </c>
      <c r="E51" s="10">
        <f t="shared" si="2"/>
        <v>63.132343165930251</v>
      </c>
      <c r="F51" s="3"/>
      <c r="G51" s="28"/>
      <c r="H51" s="10"/>
      <c r="I51" s="10">
        <f t="shared" si="8"/>
        <v>9325</v>
      </c>
      <c r="J51" s="10">
        <f t="shared" si="6"/>
        <v>27593713.688201081</v>
      </c>
      <c r="K51" s="11">
        <f t="shared" si="7"/>
        <v>2.1800000000000042E-2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2895.9790443087163</v>
      </c>
      <c r="D52" s="11">
        <v>2.1000000000000001E-2</v>
      </c>
      <c r="E52" s="10">
        <f t="shared" si="2"/>
        <v>59.56470120517406</v>
      </c>
      <c r="F52" s="3"/>
      <c r="G52" s="28"/>
      <c r="H52" s="10"/>
      <c r="I52" s="10">
        <f t="shared" si="8"/>
        <v>9325</v>
      </c>
      <c r="J52" s="10">
        <f t="shared" si="6"/>
        <v>27005004.58817878</v>
      </c>
      <c r="K52" s="11">
        <f t="shared" si="7"/>
        <v>2.0999999999999908E-2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2836.4143431035423</v>
      </c>
      <c r="D53" s="11">
        <v>2.01E-2</v>
      </c>
      <c r="E53" s="10">
        <f t="shared" si="2"/>
        <v>55.888568078013122</v>
      </c>
      <c r="F53" s="3"/>
      <c r="G53" s="28"/>
      <c r="H53" s="10"/>
      <c r="I53" s="10">
        <f t="shared" si="8"/>
        <v>9325</v>
      </c>
      <c r="J53" s="10">
        <f t="shared" si="6"/>
        <v>26449563.749440532</v>
      </c>
      <c r="K53" s="11">
        <f t="shared" si="7"/>
        <v>2.0100000000000007E-2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2780.5257750255291</v>
      </c>
      <c r="D54" s="11">
        <v>1.9199999999999998E-2</v>
      </c>
      <c r="E54" s="10">
        <f t="shared" si="2"/>
        <v>52.380391366258209</v>
      </c>
      <c r="F54" s="3"/>
      <c r="G54" s="28"/>
      <c r="H54" s="10"/>
      <c r="I54" s="10">
        <f t="shared" si="8"/>
        <v>9325</v>
      </c>
      <c r="J54" s="10">
        <f t="shared" si="6"/>
        <v>25928402.852113061</v>
      </c>
      <c r="K54" s="11">
        <f t="shared" si="7"/>
        <v>1.9200000000000106E-2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2728.1453836592709</v>
      </c>
      <c r="D55" s="11">
        <v>1.84E-2</v>
      </c>
      <c r="E55" s="10">
        <f t="shared" si="2"/>
        <v>49.290922092822711</v>
      </c>
      <c r="F55" s="3"/>
      <c r="G55" s="28"/>
      <c r="H55" s="10"/>
      <c r="I55" s="10">
        <f t="shared" si="8"/>
        <v>9325</v>
      </c>
      <c r="J55" s="10">
        <f t="shared" si="6"/>
        <v>25439955.7026227</v>
      </c>
      <c r="K55" s="11">
        <f t="shared" si="7"/>
        <v>1.8399999999999972E-2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2678.8544615664482</v>
      </c>
      <c r="D56" s="11">
        <v>1.77E-2</v>
      </c>
      <c r="E56" s="10">
        <f t="shared" si="2"/>
        <v>46.591062169329234</v>
      </c>
      <c r="F56" s="3"/>
      <c r="G56" s="28"/>
      <c r="H56" s="10"/>
      <c r="I56" s="10">
        <f t="shared" si="8"/>
        <v>9325</v>
      </c>
      <c r="J56" s="10">
        <f t="shared" si="6"/>
        <v>24980317.85410713</v>
      </c>
      <c r="K56" s="11">
        <f t="shared" si="7"/>
        <v>1.7700000000000271E-2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2632.263399397119</v>
      </c>
      <c r="D57" s="11">
        <v>1.7100000000000001E-2</v>
      </c>
      <c r="E57" s="10">
        <f t="shared" si="2"/>
        <v>44.254944577416609</v>
      </c>
      <c r="F57" s="3"/>
      <c r="G57" s="28"/>
      <c r="H57" s="10"/>
      <c r="I57" s="10">
        <f t="shared" si="8"/>
        <v>9325</v>
      </c>
      <c r="J57" s="10">
        <f t="shared" si="6"/>
        <v>24545856.199378133</v>
      </c>
      <c r="K57" s="11">
        <f t="shared" si="7"/>
        <v>1.7099999999999893E-2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2588.0084548197024</v>
      </c>
      <c r="D58" s="11">
        <v>1.67E-2</v>
      </c>
      <c r="E58" s="10">
        <f t="shared" si="2"/>
        <v>42.509827083199525</v>
      </c>
      <c r="F58" s="3"/>
      <c r="G58" s="28"/>
      <c r="H58" s="10"/>
      <c r="I58" s="10">
        <f t="shared" si="8"/>
        <v>9325</v>
      </c>
      <c r="J58" s="10">
        <f t="shared" si="6"/>
        <v>24133178.841193724</v>
      </c>
      <c r="K58" s="11">
        <f t="shared" si="7"/>
        <v>1.6699999999999937E-2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2545.4986277365028</v>
      </c>
      <c r="D59" s="11">
        <v>1.66E-2</v>
      </c>
      <c r="E59" s="10">
        <f t="shared" si="2"/>
        <v>41.565293350802676</v>
      </c>
      <c r="F59" s="3"/>
      <c r="G59" s="28"/>
      <c r="H59" s="10"/>
      <c r="I59" s="10">
        <f t="shared" si="8"/>
        <v>9325</v>
      </c>
      <c r="J59" s="10">
        <f t="shared" si="6"/>
        <v>23736774.70364289</v>
      </c>
      <c r="K59" s="11">
        <f t="shared" si="7"/>
        <v>1.6599999999999948E-2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2503.9333343857002</v>
      </c>
      <c r="D60" s="11">
        <v>1.6799999999999999E-2</v>
      </c>
      <c r="E60" s="10">
        <f t="shared" si="2"/>
        <v>41.371046437529003</v>
      </c>
      <c r="F60" s="3"/>
      <c r="G60" s="28"/>
      <c r="H60" s="10"/>
      <c r="I60" s="10">
        <f t="shared" si="8"/>
        <v>9325</v>
      </c>
      <c r="J60" s="10">
        <f t="shared" si="6"/>
        <v>23349178.343146656</v>
      </c>
      <c r="K60" s="11">
        <f t="shared" si="7"/>
        <v>1.6799999999999926E-2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2462.5622879481712</v>
      </c>
      <c r="D61" s="11">
        <v>1.7299999999999999E-2</v>
      </c>
      <c r="E61" s="10">
        <f t="shared" si="2"/>
        <v>41.87784093335631</v>
      </c>
      <c r="F61" s="3"/>
      <c r="G61" s="28"/>
      <c r="H61" s="10"/>
      <c r="I61" s="10">
        <f t="shared" si="8"/>
        <v>9325</v>
      </c>
      <c r="J61" s="10">
        <f t="shared" si="6"/>
        <v>22963393.335116696</v>
      </c>
      <c r="K61" s="11">
        <f t="shared" si="7"/>
        <v>1.7300000000000093E-2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2420.6844470148149</v>
      </c>
      <c r="D62" s="11">
        <v>1.7899999999999999E-2</v>
      </c>
      <c r="E62" s="10">
        <f t="shared" si="2"/>
        <v>42.568279400300071</v>
      </c>
      <c r="F62" s="3"/>
      <c r="G62" s="28"/>
      <c r="H62" s="10"/>
      <c r="I62" s="10">
        <f t="shared" si="8"/>
        <v>9325</v>
      </c>
      <c r="J62" s="10">
        <f t="shared" si="6"/>
        <v>22572882.468413148</v>
      </c>
      <c r="K62" s="11">
        <f t="shared" si="7"/>
        <v>1.7900000000000027E-2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2378.1161676145148</v>
      </c>
      <c r="D63" s="11">
        <v>1.8499999999999999E-2</v>
      </c>
      <c r="E63" s="10">
        <f t="shared" si="2"/>
        <v>43.196022681264822</v>
      </c>
      <c r="F63" s="3"/>
      <c r="G63" s="28"/>
      <c r="H63" s="10"/>
      <c r="I63" s="10">
        <f t="shared" si="8"/>
        <v>9325</v>
      </c>
      <c r="J63" s="10">
        <f t="shared" si="6"/>
        <v>22175933.26300535</v>
      </c>
      <c r="K63" s="11">
        <f t="shared" si="7"/>
        <v>1.8499999999999739E-2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2334.92014493325</v>
      </c>
      <c r="D64" s="11">
        <v>1.9E-2</v>
      </c>
      <c r="E64" s="10">
        <f t="shared" si="2"/>
        <v>43.536293183249654</v>
      </c>
      <c r="F64" s="3"/>
      <c r="G64" s="28"/>
      <c r="H64" s="10"/>
      <c r="I64" s="10">
        <f t="shared" si="8"/>
        <v>9325</v>
      </c>
      <c r="J64" s="10">
        <f t="shared" si="6"/>
        <v>21773130.351502556</v>
      </c>
      <c r="K64" s="11">
        <f t="shared" si="7"/>
        <v>1.8999999999999684E-2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2291.3838517500003</v>
      </c>
      <c r="D65" s="11">
        <v>1.9300000000000001E-2</v>
      </c>
      <c r="E65" s="10">
        <f t="shared" si="2"/>
        <v>43.386351750000358</v>
      </c>
      <c r="F65" s="3"/>
      <c r="G65" s="28"/>
      <c r="H65" s="10"/>
      <c r="I65" s="10">
        <f t="shared" si="8"/>
        <v>9325</v>
      </c>
      <c r="J65" s="10">
        <f t="shared" si="6"/>
        <v>21367154.417568754</v>
      </c>
      <c r="K65" s="11">
        <f t="shared" si="7"/>
        <v>1.9300000000000317E-2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2247.9974999999999</v>
      </c>
      <c r="D66" s="11">
        <v>1.95E-2</v>
      </c>
      <c r="E66" s="10">
        <f t="shared" si="2"/>
        <v>42.997499999999945</v>
      </c>
      <c r="F66" s="24">
        <f>SUM(F2)</f>
        <v>5165</v>
      </c>
      <c r="G66" s="28"/>
      <c r="H66" s="10"/>
      <c r="I66" s="10">
        <f t="shared" si="8"/>
        <v>9325</v>
      </c>
      <c r="J66" s="10">
        <f t="shared" ref="J66:J67" si="9">IF(I66="","",I66*C66)</f>
        <v>20962576.6875</v>
      </c>
      <c r="K66" s="11">
        <f t="shared" ref="K66" si="10">IFERROR(J66/J67-1,"")</f>
        <v>1.9500000000000073E-2</v>
      </c>
    </row>
    <row r="67" spans="1:11" ht="22.5" customHeight="1">
      <c r="A67" s="3">
        <f t="shared" si="0"/>
        <v>1950</v>
      </c>
      <c r="B67" s="3">
        <v>1700</v>
      </c>
      <c r="C67" s="10">
        <v>2205</v>
      </c>
      <c r="D67" s="11">
        <v>1.9599999999999999E-2</v>
      </c>
      <c r="E67" s="3" t="s">
        <v>72</v>
      </c>
      <c r="F67" s="10">
        <f>SUM(C2)</f>
        <v>5164.85416955047</v>
      </c>
      <c r="G67" s="28"/>
      <c r="H67" s="10"/>
      <c r="I67" s="10">
        <f t="shared" ref="I67" si="11">IF(H67&lt;&gt;"",H67,I66/(1+IF(G66="",0,G66)/100))</f>
        <v>9325</v>
      </c>
      <c r="J67" s="10">
        <f t="shared" si="9"/>
        <v>20561625</v>
      </c>
      <c r="K67" s="11"/>
    </row>
  </sheetData>
  <dataValidations count="1">
    <dataValidation type="custom" allowBlank="1" showDropDown="1" sqref="D2:D67" xr:uid="{00000000-0002-0000-9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30764064.853330579</v>
      </c>
      <c r="D2" s="11">
        <v>0.01</v>
      </c>
      <c r="E2" s="10">
        <f t="shared" ref="E2:E66" si="2">SUM(C2-C3)</f>
        <v>304594.70151812583</v>
      </c>
      <c r="F2" s="15">
        <v>30764253</v>
      </c>
      <c r="G2" s="28"/>
      <c r="H2" s="10"/>
      <c r="I2" s="10">
        <f>IF(H2&lt;&gt;"",H2,1659)</f>
        <v>1659</v>
      </c>
      <c r="J2" s="10">
        <f t="shared" ref="J2:J33" si="3">IF(I2="","",I2*C2)</f>
        <v>51037583591.67543</v>
      </c>
      <c r="K2" s="11">
        <f t="shared" ref="K2:K33" si="4">IFERROR(J2/J3-1,"")</f>
        <v>1.0000000000000009E-2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30459470.151812453</v>
      </c>
      <c r="D3" s="11">
        <v>1.7299999999999999E-2</v>
      </c>
      <c r="E3" s="10">
        <f t="shared" si="2"/>
        <v>517987.64732759073</v>
      </c>
      <c r="F3" s="3"/>
      <c r="G3" s="28"/>
      <c r="H3" s="10"/>
      <c r="I3" s="10">
        <f t="shared" ref="I3:I34" si="5">IF(H3&lt;&gt;"",H3,I2/(1+IF(G2="",0,G2)/100))</f>
        <v>1659</v>
      </c>
      <c r="J3" s="10">
        <f t="shared" si="3"/>
        <v>50532260981.856857</v>
      </c>
      <c r="K3" s="11">
        <f t="shared" si="4"/>
        <v>1.7300000000000093E-2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29941482.504484862</v>
      </c>
      <c r="D4" s="11">
        <v>1.37E-2</v>
      </c>
      <c r="E4" s="10">
        <f t="shared" si="2"/>
        <v>404654.54307136685</v>
      </c>
      <c r="F4" s="3"/>
      <c r="G4" s="28"/>
      <c r="H4" s="10"/>
      <c r="I4" s="10">
        <f t="shared" si="5"/>
        <v>1659</v>
      </c>
      <c r="J4" s="10">
        <f t="shared" si="3"/>
        <v>49672919474.940384</v>
      </c>
      <c r="K4" s="11">
        <f t="shared" si="4"/>
        <v>1.3700000000000045E-2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29536827.961413495</v>
      </c>
      <c r="D5" s="11">
        <v>1.1599999999999999E-2</v>
      </c>
      <c r="E5" s="10">
        <f t="shared" si="2"/>
        <v>338698.30402569845</v>
      </c>
      <c r="F5" s="3"/>
      <c r="G5" s="28"/>
      <c r="H5" s="10"/>
      <c r="I5" s="10">
        <f t="shared" si="5"/>
        <v>1659</v>
      </c>
      <c r="J5" s="10">
        <f t="shared" si="3"/>
        <v>49001597587.984985</v>
      </c>
      <c r="K5" s="11">
        <f t="shared" si="4"/>
        <v>1.1600000000000055E-2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29198129.657387797</v>
      </c>
      <c r="D6" s="11">
        <v>1.55E-2</v>
      </c>
      <c r="E6" s="10">
        <f t="shared" si="2"/>
        <v>445663.22963024303</v>
      </c>
      <c r="F6" s="3"/>
      <c r="G6" s="28"/>
      <c r="H6" s="10"/>
      <c r="I6" s="10">
        <f t="shared" si="5"/>
        <v>1659</v>
      </c>
      <c r="J6" s="10">
        <f t="shared" si="3"/>
        <v>48439697101.606354</v>
      </c>
      <c r="K6" s="11">
        <f t="shared" si="4"/>
        <v>1.5500000000000069E-2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28752466.427757554</v>
      </c>
      <c r="D7" s="11">
        <v>1.9099999999999999E-2</v>
      </c>
      <c r="E7" s="10">
        <f t="shared" si="2"/>
        <v>538879.51012674719</v>
      </c>
      <c r="F7" s="3"/>
      <c r="G7" s="28"/>
      <c r="H7" s="10"/>
      <c r="I7" s="10">
        <f t="shared" si="5"/>
        <v>1659</v>
      </c>
      <c r="J7" s="10">
        <f t="shared" si="3"/>
        <v>47700341803.64978</v>
      </c>
      <c r="K7" s="11">
        <f t="shared" si="4"/>
        <v>1.9099999999999895E-2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28213586.917630807</v>
      </c>
      <c r="D8" s="11">
        <v>2.3400000000000001E-2</v>
      </c>
      <c r="E8" s="10">
        <f t="shared" si="2"/>
        <v>645102.53456377238</v>
      </c>
      <c r="F8" s="3"/>
      <c r="G8" s="28"/>
      <c r="H8" s="10"/>
      <c r="I8" s="10">
        <f t="shared" si="5"/>
        <v>1659</v>
      </c>
      <c r="J8" s="10">
        <f t="shared" si="3"/>
        <v>46806340696.34951</v>
      </c>
      <c r="K8" s="11">
        <f t="shared" si="4"/>
        <v>2.3400000000000087E-2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27568484.383067034</v>
      </c>
      <c r="D9" s="11">
        <v>3.85E-2</v>
      </c>
      <c r="E9" s="10">
        <f t="shared" si="2"/>
        <v>1022038.1788618974</v>
      </c>
      <c r="F9" s="3"/>
      <c r="G9" s="28"/>
      <c r="H9" s="10"/>
      <c r="I9" s="10">
        <f t="shared" si="5"/>
        <v>1659</v>
      </c>
      <c r="J9" s="10">
        <f t="shared" si="3"/>
        <v>45736115591.508209</v>
      </c>
      <c r="K9" s="11">
        <f t="shared" si="4"/>
        <v>3.8499999999999979E-2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26546446.204205137</v>
      </c>
      <c r="D10" s="11">
        <v>4.2099999999999999E-2</v>
      </c>
      <c r="E10" s="10">
        <f t="shared" si="2"/>
        <v>1072455.028497301</v>
      </c>
      <c r="F10" s="3"/>
      <c r="G10" s="28"/>
      <c r="H10" s="10"/>
      <c r="I10" s="10">
        <f t="shared" si="5"/>
        <v>1659</v>
      </c>
      <c r="J10" s="10">
        <f t="shared" si="3"/>
        <v>44040554252.776321</v>
      </c>
      <c r="K10" s="11">
        <f t="shared" si="4"/>
        <v>4.2100000000000026E-2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25473991.175707836</v>
      </c>
      <c r="D11" s="11">
        <v>4.53E-2</v>
      </c>
      <c r="E11" s="10">
        <f t="shared" si="2"/>
        <v>1103962.3077198528</v>
      </c>
      <c r="F11" s="3"/>
      <c r="G11" s="28"/>
      <c r="H11" s="10"/>
      <c r="I11" s="10">
        <f t="shared" si="5"/>
        <v>1659</v>
      </c>
      <c r="J11" s="10">
        <f t="shared" si="3"/>
        <v>42261351360.499298</v>
      </c>
      <c r="K11" s="11">
        <f t="shared" si="4"/>
        <v>4.5299999999999896E-2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24370028.867987983</v>
      </c>
      <c r="D12" s="11">
        <v>4.8300000000000003E-2</v>
      </c>
      <c r="E12" s="10">
        <f t="shared" si="2"/>
        <v>1122839.2581549361</v>
      </c>
      <c r="F12" s="3"/>
      <c r="G12" s="28"/>
      <c r="H12" s="10"/>
      <c r="I12" s="10">
        <f t="shared" si="5"/>
        <v>1659</v>
      </c>
      <c r="J12" s="10">
        <f t="shared" si="3"/>
        <v>40429877891.992065</v>
      </c>
      <c r="K12" s="11">
        <f t="shared" si="4"/>
        <v>4.830000000000001E-2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23247189.609833047</v>
      </c>
      <c r="D13" s="11">
        <v>5.0900000000000001E-2</v>
      </c>
      <c r="E13" s="10">
        <f t="shared" si="2"/>
        <v>1125970.0743557923</v>
      </c>
      <c r="F13" s="3"/>
      <c r="G13" s="28"/>
      <c r="H13" s="10"/>
      <c r="I13" s="10">
        <f t="shared" si="5"/>
        <v>1659</v>
      </c>
      <c r="J13" s="10">
        <f t="shared" si="3"/>
        <v>38567087562.713028</v>
      </c>
      <c r="K13" s="11">
        <f t="shared" si="4"/>
        <v>5.0900000000000167E-2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22121219.535477255</v>
      </c>
      <c r="D14" s="11">
        <v>5.2999999999999999E-2</v>
      </c>
      <c r="E14" s="10">
        <f t="shared" si="2"/>
        <v>1113413.7088131942</v>
      </c>
      <c r="F14" s="3"/>
      <c r="G14" s="28"/>
      <c r="H14" s="10"/>
      <c r="I14" s="10">
        <f t="shared" si="5"/>
        <v>1659</v>
      </c>
      <c r="J14" s="10">
        <f t="shared" si="3"/>
        <v>36699103209.356766</v>
      </c>
      <c r="K14" s="11">
        <f t="shared" si="4"/>
        <v>5.2999999999999936E-2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21007805.82666406</v>
      </c>
      <c r="D15" s="11">
        <v>5.45E-2</v>
      </c>
      <c r="E15" s="10">
        <f t="shared" si="2"/>
        <v>1085751.9369873777</v>
      </c>
      <c r="F15" s="3"/>
      <c r="G15" s="28"/>
      <c r="H15" s="10"/>
      <c r="I15" s="10">
        <f t="shared" si="5"/>
        <v>1659</v>
      </c>
      <c r="J15" s="10">
        <f t="shared" si="3"/>
        <v>34851949866.435677</v>
      </c>
      <c r="K15" s="11">
        <f t="shared" si="4"/>
        <v>5.4499999999999993E-2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19922053.889676683</v>
      </c>
      <c r="D16" s="11">
        <v>5.5199999999999999E-2</v>
      </c>
      <c r="E16" s="10">
        <f t="shared" si="2"/>
        <v>1042169.6121210679</v>
      </c>
      <c r="F16" s="3"/>
      <c r="G16" s="28"/>
      <c r="H16" s="10"/>
      <c r="I16" s="10">
        <f t="shared" si="5"/>
        <v>1659</v>
      </c>
      <c r="J16" s="10">
        <f t="shared" si="3"/>
        <v>33050687402.973618</v>
      </c>
      <c r="K16" s="11">
        <f t="shared" si="4"/>
        <v>5.5199999999999916E-2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18879884.277555615</v>
      </c>
      <c r="D17" s="11">
        <v>5.4800000000000001E-2</v>
      </c>
      <c r="E17" s="10">
        <f t="shared" si="2"/>
        <v>980866.1911358051</v>
      </c>
      <c r="F17" s="3"/>
      <c r="G17" s="28"/>
      <c r="H17" s="10"/>
      <c r="I17" s="10">
        <f t="shared" si="5"/>
        <v>1659</v>
      </c>
      <c r="J17" s="10">
        <f t="shared" si="3"/>
        <v>31321728016.464764</v>
      </c>
      <c r="K17" s="11">
        <f t="shared" si="4"/>
        <v>5.479999999999996E-2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17899018.08641981</v>
      </c>
      <c r="D18" s="11">
        <v>5.33E-2</v>
      </c>
      <c r="E18" s="10">
        <f t="shared" si="2"/>
        <v>905741.63486772403</v>
      </c>
      <c r="F18" s="3"/>
      <c r="G18" s="28"/>
      <c r="H18" s="10"/>
      <c r="I18" s="10">
        <f t="shared" si="5"/>
        <v>1659</v>
      </c>
      <c r="J18" s="10">
        <f t="shared" si="3"/>
        <v>29694471005.370464</v>
      </c>
      <c r="K18" s="11">
        <f t="shared" si="4"/>
        <v>5.3299999999999903E-2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16993276.451552086</v>
      </c>
      <c r="D19" s="11">
        <v>5.0999999999999997E-2</v>
      </c>
      <c r="E19" s="10">
        <f t="shared" si="2"/>
        <v>824602.37776323035</v>
      </c>
      <c r="F19" s="3"/>
      <c r="G19" s="28"/>
      <c r="H19" s="10"/>
      <c r="I19" s="10">
        <f t="shared" si="5"/>
        <v>1659</v>
      </c>
      <c r="J19" s="10">
        <f t="shared" si="3"/>
        <v>28191845633.124908</v>
      </c>
      <c r="K19" s="11">
        <f t="shared" si="4"/>
        <v>5.0999999999999934E-2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16168674.073788855</v>
      </c>
      <c r="D20" s="11">
        <v>4.8099999999999997E-2</v>
      </c>
      <c r="E20" s="10">
        <f t="shared" si="2"/>
        <v>742021.9663669914</v>
      </c>
      <c r="F20" s="3"/>
      <c r="G20" s="28"/>
      <c r="H20" s="10"/>
      <c r="I20" s="10">
        <f t="shared" si="5"/>
        <v>1659</v>
      </c>
      <c r="J20" s="10">
        <f t="shared" si="3"/>
        <v>26823830288.41571</v>
      </c>
      <c r="K20" s="11">
        <f t="shared" si="4"/>
        <v>4.8100000000000032E-2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15426652.107421864</v>
      </c>
      <c r="D21" s="11">
        <v>4.48E-2</v>
      </c>
      <c r="E21" s="10">
        <f t="shared" si="2"/>
        <v>661479.72282972746</v>
      </c>
      <c r="F21" s="3"/>
      <c r="G21" s="28"/>
      <c r="H21" s="10"/>
      <c r="I21" s="10">
        <f t="shared" si="5"/>
        <v>1659</v>
      </c>
      <c r="J21" s="10">
        <f t="shared" si="3"/>
        <v>25592815846.212872</v>
      </c>
      <c r="K21" s="11">
        <f t="shared" si="4"/>
        <v>4.4799999999999951E-2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14765172.384592136</v>
      </c>
      <c r="D22" s="11">
        <v>4.1200000000000001E-2</v>
      </c>
      <c r="E22" s="10">
        <f t="shared" si="2"/>
        <v>584253.84387744404</v>
      </c>
      <c r="F22" s="3"/>
      <c r="G22" s="28"/>
      <c r="H22" s="10"/>
      <c r="I22" s="10">
        <f t="shared" si="5"/>
        <v>1659</v>
      </c>
      <c r="J22" s="10">
        <f t="shared" si="3"/>
        <v>24495420986.038353</v>
      </c>
      <c r="K22" s="11">
        <f t="shared" si="4"/>
        <v>4.1199999999999903E-2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14180918.540714692</v>
      </c>
      <c r="D23" s="11">
        <v>3.7600000000000001E-2</v>
      </c>
      <c r="E23" s="10">
        <f t="shared" si="2"/>
        <v>513880.62560801208</v>
      </c>
      <c r="F23" s="3"/>
      <c r="G23" s="28"/>
      <c r="H23" s="10"/>
      <c r="I23" s="10">
        <f t="shared" si="5"/>
        <v>1659</v>
      </c>
      <c r="J23" s="10">
        <f t="shared" si="3"/>
        <v>23526143859.045673</v>
      </c>
      <c r="K23" s="11">
        <f t="shared" si="4"/>
        <v>3.7600000000000078E-2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13667037.91510668</v>
      </c>
      <c r="D24" s="11">
        <v>3.44E-2</v>
      </c>
      <c r="E24" s="10">
        <f t="shared" si="2"/>
        <v>454510.9283446148</v>
      </c>
      <c r="F24" s="3"/>
      <c r="G24" s="28"/>
      <c r="H24" s="10"/>
      <c r="I24" s="10">
        <f t="shared" si="5"/>
        <v>1659</v>
      </c>
      <c r="J24" s="10">
        <f t="shared" si="3"/>
        <v>22673615901.161983</v>
      </c>
      <c r="K24" s="11">
        <f t="shared" si="4"/>
        <v>3.4399999999999986E-2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13212526.986762065</v>
      </c>
      <c r="D25" s="11">
        <v>3.2099999999999997E-2</v>
      </c>
      <c r="E25" s="10">
        <f t="shared" si="2"/>
        <v>410931.22398513928</v>
      </c>
      <c r="F25" s="3"/>
      <c r="G25" s="28"/>
      <c r="H25" s="10"/>
      <c r="I25" s="10">
        <f t="shared" si="5"/>
        <v>1659</v>
      </c>
      <c r="J25" s="10">
        <f t="shared" si="3"/>
        <v>21919582271.038265</v>
      </c>
      <c r="K25" s="11">
        <f t="shared" si="4"/>
        <v>3.2099999999999795E-2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12801595.762776926</v>
      </c>
      <c r="D26" s="11">
        <v>3.1099999999999999E-2</v>
      </c>
      <c r="E26" s="10">
        <f t="shared" si="2"/>
        <v>386121.25712575018</v>
      </c>
      <c r="F26" s="3"/>
      <c r="G26" s="28"/>
      <c r="H26" s="10"/>
      <c r="I26" s="10">
        <f t="shared" si="5"/>
        <v>1659</v>
      </c>
      <c r="J26" s="10">
        <f t="shared" si="3"/>
        <v>21237847370.446922</v>
      </c>
      <c r="K26" s="11">
        <f t="shared" si="4"/>
        <v>3.1099999999999905E-2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12415474.505651176</v>
      </c>
      <c r="D27" s="11">
        <v>3.1399999999999997E-2</v>
      </c>
      <c r="E27" s="10">
        <f t="shared" si="2"/>
        <v>377977.40883987583</v>
      </c>
      <c r="F27" s="3"/>
      <c r="G27" s="28"/>
      <c r="H27" s="10"/>
      <c r="I27" s="10">
        <f t="shared" si="5"/>
        <v>1659</v>
      </c>
      <c r="J27" s="10">
        <f t="shared" si="3"/>
        <v>20597272204.875301</v>
      </c>
      <c r="K27" s="11">
        <f t="shared" si="4"/>
        <v>3.1400000000000095E-2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12037497.0968113</v>
      </c>
      <c r="D28" s="11">
        <v>3.2899999999999999E-2</v>
      </c>
      <c r="E28" s="10">
        <f t="shared" si="2"/>
        <v>383419.16398982517</v>
      </c>
      <c r="F28" s="3"/>
      <c r="G28" s="28"/>
      <c r="H28" s="10"/>
      <c r="I28" s="10">
        <f t="shared" si="5"/>
        <v>1659</v>
      </c>
      <c r="J28" s="10">
        <f t="shared" si="3"/>
        <v>19970207683.609947</v>
      </c>
      <c r="K28" s="11">
        <f t="shared" si="4"/>
        <v>3.2899999999999929E-2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11654077.932821475</v>
      </c>
      <c r="D29" s="11">
        <v>3.5099999999999999E-2</v>
      </c>
      <c r="E29" s="10">
        <f t="shared" si="2"/>
        <v>395187.06930927746</v>
      </c>
      <c r="F29" s="3"/>
      <c r="G29" s="28"/>
      <c r="H29" s="10"/>
      <c r="I29" s="10">
        <f t="shared" si="5"/>
        <v>1659</v>
      </c>
      <c r="J29" s="10">
        <f t="shared" si="3"/>
        <v>19334115290.550827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11258890.863512198</v>
      </c>
      <c r="D30" s="11">
        <v>3.73E-2</v>
      </c>
      <c r="E30" s="10">
        <f t="shared" si="2"/>
        <v>404855.51837366819</v>
      </c>
      <c r="F30" s="3"/>
      <c r="G30" s="28"/>
      <c r="H30" s="10"/>
      <c r="I30" s="10">
        <f t="shared" si="5"/>
        <v>1659</v>
      </c>
      <c r="J30" s="10">
        <f t="shared" si="3"/>
        <v>18678499942.566734</v>
      </c>
      <c r="K30" s="11">
        <f t="shared" si="4"/>
        <v>3.7300000000000111E-2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10854035.345138529</v>
      </c>
      <c r="D31" s="11">
        <v>3.9100000000000003E-2</v>
      </c>
      <c r="E31" s="10">
        <f t="shared" si="2"/>
        <v>408423.42603687383</v>
      </c>
      <c r="F31" s="3"/>
      <c r="G31" s="28"/>
      <c r="H31" s="10"/>
      <c r="I31" s="10">
        <f t="shared" si="5"/>
        <v>1659</v>
      </c>
      <c r="J31" s="10">
        <f t="shared" si="3"/>
        <v>18006844637.58482</v>
      </c>
      <c r="K31" s="11">
        <f t="shared" si="4"/>
        <v>3.9099999999999913E-2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10445611.919101655</v>
      </c>
      <c r="D32" s="11">
        <v>4.0300000000000002E-2</v>
      </c>
      <c r="E32" s="10">
        <f t="shared" si="2"/>
        <v>404650.73569143191</v>
      </c>
      <c r="F32" s="3"/>
      <c r="G32" s="28"/>
      <c r="H32" s="10"/>
      <c r="I32" s="10">
        <f t="shared" si="5"/>
        <v>1659</v>
      </c>
      <c r="J32" s="10">
        <f t="shared" si="3"/>
        <v>17329270173.789646</v>
      </c>
      <c r="K32" s="11">
        <f t="shared" si="4"/>
        <v>4.0300000000000002E-2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10040961.183410224</v>
      </c>
      <c r="D33" s="11">
        <v>4.0800000000000003E-2</v>
      </c>
      <c r="E33" s="10">
        <f t="shared" si="2"/>
        <v>393611.85269325227</v>
      </c>
      <c r="F33" s="3"/>
      <c r="G33" s="28"/>
      <c r="H33" s="10"/>
      <c r="I33" s="10">
        <f t="shared" si="5"/>
        <v>1659</v>
      </c>
      <c r="J33" s="10">
        <f t="shared" si="3"/>
        <v>16657954603.277561</v>
      </c>
      <c r="K33" s="11">
        <f t="shared" si="4"/>
        <v>4.0799999999999947E-2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9647349.3307169713</v>
      </c>
      <c r="D34" s="11">
        <v>4.0800000000000003E-2</v>
      </c>
      <c r="E34" s="10">
        <f t="shared" si="2"/>
        <v>378182.02603117935</v>
      </c>
      <c r="F34" s="3"/>
      <c r="G34" s="28"/>
      <c r="H34" s="10"/>
      <c r="I34" s="10">
        <f t="shared" si="5"/>
        <v>1659</v>
      </c>
      <c r="J34" s="10">
        <f t="shared" ref="J34:J65" si="6">IF(I34="","",I34*C34)</f>
        <v>16004952539.659456</v>
      </c>
      <c r="K34" s="11">
        <f t="shared" ref="K34:K65" si="7">IFERROR(J34/J35-1,"")</f>
        <v>4.0799999999999947E-2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9269167.304685792</v>
      </c>
      <c r="D35" s="11">
        <v>4.0500000000000001E-2</v>
      </c>
      <c r="E35" s="10">
        <f t="shared" si="2"/>
        <v>360789.30883207545</v>
      </c>
      <c r="F35" s="3"/>
      <c r="G35" s="28"/>
      <c r="H35" s="10"/>
      <c r="I35" s="10">
        <f t="shared" ref="I35:I66" si="8">IF(H35&lt;&gt;"",H35,I34/(1+IF(G34="",0,G34)/100))</f>
        <v>1659</v>
      </c>
      <c r="J35" s="10">
        <f t="shared" si="6"/>
        <v>15377548558.473728</v>
      </c>
      <c r="K35" s="11">
        <f t="shared" si="7"/>
        <v>4.049999999999998E-2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8908377.9958537165</v>
      </c>
      <c r="D36" s="11">
        <v>3.9800000000000002E-2</v>
      </c>
      <c r="E36" s="10">
        <f t="shared" si="2"/>
        <v>340982.34683110006</v>
      </c>
      <c r="F36" s="3"/>
      <c r="G36" s="28"/>
      <c r="H36" s="10"/>
      <c r="I36" s="10">
        <f t="shared" si="8"/>
        <v>1659</v>
      </c>
      <c r="J36" s="10">
        <f t="shared" si="6"/>
        <v>14778999095.121315</v>
      </c>
      <c r="K36" s="11">
        <f t="shared" si="7"/>
        <v>3.9799999999999836E-2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8567395.6490226164</v>
      </c>
      <c r="D37" s="11">
        <v>3.8800000000000001E-2</v>
      </c>
      <c r="E37" s="10">
        <f t="shared" si="2"/>
        <v>319998.99035625439</v>
      </c>
      <c r="F37" s="3"/>
      <c r="G37" s="28"/>
      <c r="H37" s="10"/>
      <c r="I37" s="10">
        <f t="shared" si="8"/>
        <v>1659</v>
      </c>
      <c r="J37" s="10">
        <f t="shared" si="6"/>
        <v>14213309381.728521</v>
      </c>
      <c r="K37" s="11">
        <f t="shared" si="7"/>
        <v>3.8799999999999946E-2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8247396.6586663621</v>
      </c>
      <c r="D38" s="11">
        <v>3.7699999999999997E-2</v>
      </c>
      <c r="E38" s="10">
        <f t="shared" si="2"/>
        <v>299630.77385730203</v>
      </c>
      <c r="F38" s="3"/>
      <c r="G38" s="28"/>
      <c r="H38" s="10"/>
      <c r="I38" s="10">
        <f t="shared" si="8"/>
        <v>1659</v>
      </c>
      <c r="J38" s="10">
        <f t="shared" si="6"/>
        <v>13682431056.727495</v>
      </c>
      <c r="K38" s="11">
        <f t="shared" si="7"/>
        <v>3.7700000000000067E-2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7947765.88480906</v>
      </c>
      <c r="D39" s="11">
        <v>3.6499999999999998E-2</v>
      </c>
      <c r="E39" s="10">
        <f t="shared" si="2"/>
        <v>279877.9110424798</v>
      </c>
      <c r="F39" s="3"/>
      <c r="G39" s="28"/>
      <c r="H39" s="10"/>
      <c r="I39" s="10">
        <f t="shared" si="8"/>
        <v>1659</v>
      </c>
      <c r="J39" s="10">
        <f t="shared" si="6"/>
        <v>13185343602.898232</v>
      </c>
      <c r="K39" s="11">
        <f t="shared" si="7"/>
        <v>3.6499999999999977E-2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7667887.9737665802</v>
      </c>
      <c r="D40" s="11">
        <v>3.5400000000000001E-2</v>
      </c>
      <c r="E40" s="10">
        <f t="shared" si="2"/>
        <v>262162.67555663269</v>
      </c>
      <c r="F40" s="3"/>
      <c r="G40" s="28"/>
      <c r="H40" s="10"/>
      <c r="I40" s="10">
        <f t="shared" si="8"/>
        <v>1659</v>
      </c>
      <c r="J40" s="10">
        <f t="shared" si="6"/>
        <v>12721026148.478756</v>
      </c>
      <c r="K40" s="11">
        <f t="shared" si="7"/>
        <v>3.5400000000000098E-2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7405725.2982099475</v>
      </c>
      <c r="D41" s="11">
        <v>3.4299999999999997E-2</v>
      </c>
      <c r="E41" s="10">
        <f t="shared" si="2"/>
        <v>245592.55315537192</v>
      </c>
      <c r="F41" s="3"/>
      <c r="G41" s="28"/>
      <c r="H41" s="10"/>
      <c r="I41" s="10">
        <f t="shared" si="8"/>
        <v>1659</v>
      </c>
      <c r="J41" s="10">
        <f t="shared" si="6"/>
        <v>12286098269.730303</v>
      </c>
      <c r="K41" s="11">
        <f t="shared" si="7"/>
        <v>3.4299999999999997E-2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7160132.7450545756</v>
      </c>
      <c r="D42" s="11">
        <v>3.3500000000000002E-2</v>
      </c>
      <c r="E42" s="10">
        <f t="shared" si="2"/>
        <v>232089.45037187077</v>
      </c>
      <c r="F42" s="3"/>
      <c r="G42" s="28"/>
      <c r="H42" s="10"/>
      <c r="I42" s="10">
        <f t="shared" si="8"/>
        <v>1659</v>
      </c>
      <c r="J42" s="10">
        <f t="shared" si="6"/>
        <v>11878660224.045542</v>
      </c>
      <c r="K42" s="11">
        <f t="shared" si="7"/>
        <v>3.3500000000000085E-2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6928043.2946827048</v>
      </c>
      <c r="D43" s="11">
        <v>3.3000000000000002E-2</v>
      </c>
      <c r="E43" s="10">
        <f t="shared" si="2"/>
        <v>221321.80902664922</v>
      </c>
      <c r="F43" s="3"/>
      <c r="G43" s="28"/>
      <c r="H43" s="10"/>
      <c r="I43" s="10">
        <f t="shared" si="8"/>
        <v>1659</v>
      </c>
      <c r="J43" s="10">
        <f t="shared" si="6"/>
        <v>11493623825.878607</v>
      </c>
      <c r="K43" s="11">
        <f t="shared" si="7"/>
        <v>3.2999999999999918E-2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6706721.4856560556</v>
      </c>
      <c r="D44" s="11">
        <v>3.27E-2</v>
      </c>
      <c r="E44" s="10">
        <f t="shared" si="2"/>
        <v>212365.44260768127</v>
      </c>
      <c r="F44" s="3"/>
      <c r="G44" s="28"/>
      <c r="H44" s="10"/>
      <c r="I44" s="10">
        <f t="shared" si="8"/>
        <v>1659</v>
      </c>
      <c r="J44" s="10">
        <f t="shared" si="6"/>
        <v>11126450944.703396</v>
      </c>
      <c r="K44" s="11">
        <f t="shared" si="7"/>
        <v>3.2699999999999729E-2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6494356.0430483744</v>
      </c>
      <c r="D45" s="11">
        <v>3.27E-2</v>
      </c>
      <c r="E45" s="10">
        <f t="shared" si="2"/>
        <v>205640.98248056695</v>
      </c>
      <c r="F45" s="3"/>
      <c r="G45" s="28"/>
      <c r="H45" s="10"/>
      <c r="I45" s="10">
        <f t="shared" si="8"/>
        <v>1659</v>
      </c>
      <c r="J45" s="10">
        <f t="shared" si="6"/>
        <v>10774136675.417253</v>
      </c>
      <c r="K45" s="11">
        <f t="shared" si="7"/>
        <v>3.2699999999999951E-2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6288715.0605678074</v>
      </c>
      <c r="D46" s="11">
        <v>3.2899999999999999E-2</v>
      </c>
      <c r="E46" s="10">
        <f t="shared" si="2"/>
        <v>200308.57342693396</v>
      </c>
      <c r="F46" s="3"/>
      <c r="G46" s="28"/>
      <c r="H46" s="10"/>
      <c r="I46" s="10">
        <f t="shared" si="8"/>
        <v>1659</v>
      </c>
      <c r="J46" s="10">
        <f t="shared" si="6"/>
        <v>10432978285.481993</v>
      </c>
      <c r="K46" s="11">
        <f t="shared" si="7"/>
        <v>3.2899999999999707E-2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6088406.4871408734</v>
      </c>
      <c r="D47" s="11">
        <v>3.3399999999999999E-2</v>
      </c>
      <c r="E47" s="10">
        <f t="shared" si="2"/>
        <v>196780.31417699438</v>
      </c>
      <c r="F47" s="3"/>
      <c r="G47" s="28"/>
      <c r="H47" s="10"/>
      <c r="I47" s="10">
        <f t="shared" si="8"/>
        <v>1659</v>
      </c>
      <c r="J47" s="10">
        <f t="shared" si="6"/>
        <v>10100666362.16671</v>
      </c>
      <c r="K47" s="11">
        <f t="shared" si="7"/>
        <v>3.3400000000000318E-2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5891626.1729638791</v>
      </c>
      <c r="D48" s="11">
        <v>3.4000000000000002E-2</v>
      </c>
      <c r="E48" s="10">
        <f t="shared" si="2"/>
        <v>193728.52019417007</v>
      </c>
      <c r="F48" s="3"/>
      <c r="G48" s="28"/>
      <c r="H48" s="10"/>
      <c r="I48" s="10">
        <f t="shared" si="8"/>
        <v>1659</v>
      </c>
      <c r="J48" s="10">
        <f t="shared" si="6"/>
        <v>9774207820.9470749</v>
      </c>
      <c r="K48" s="11">
        <f t="shared" si="7"/>
        <v>3.400000000000003E-2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5697897.652769709</v>
      </c>
      <c r="D49" s="11">
        <v>3.4500000000000003E-2</v>
      </c>
      <c r="E49" s="10">
        <f t="shared" si="2"/>
        <v>190021.71969120856</v>
      </c>
      <c r="F49" s="3"/>
      <c r="G49" s="28"/>
      <c r="H49" s="10"/>
      <c r="I49" s="10">
        <f t="shared" si="8"/>
        <v>1659</v>
      </c>
      <c r="J49" s="10">
        <f t="shared" si="6"/>
        <v>9452812205.9449463</v>
      </c>
      <c r="K49" s="11">
        <f t="shared" si="7"/>
        <v>3.4499999999999975E-2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5507875.9330785004</v>
      </c>
      <c r="D50" s="11">
        <v>3.4799999999999998E-2</v>
      </c>
      <c r="E50" s="10">
        <f t="shared" si="2"/>
        <v>185228.14309154544</v>
      </c>
      <c r="F50" s="3"/>
      <c r="G50" s="28"/>
      <c r="H50" s="10"/>
      <c r="I50" s="10">
        <f t="shared" si="8"/>
        <v>1659</v>
      </c>
      <c r="J50" s="10">
        <f t="shared" si="6"/>
        <v>9137566172.977232</v>
      </c>
      <c r="K50" s="11">
        <f t="shared" si="7"/>
        <v>3.4799999999999942E-2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5322647.789986955</v>
      </c>
      <c r="D51" s="11">
        <v>3.4799999999999998E-2</v>
      </c>
      <c r="E51" s="10">
        <f t="shared" si="2"/>
        <v>178998.9786350457</v>
      </c>
      <c r="F51" s="3"/>
      <c r="G51" s="28"/>
      <c r="H51" s="10"/>
      <c r="I51" s="10">
        <f t="shared" si="8"/>
        <v>1659</v>
      </c>
      <c r="J51" s="10">
        <f t="shared" si="6"/>
        <v>8830272683.5883579</v>
      </c>
      <c r="K51" s="11">
        <f t="shared" si="7"/>
        <v>3.479999999999972E-2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5143648.8113519093</v>
      </c>
      <c r="D52" s="11">
        <v>3.4500000000000003E-2</v>
      </c>
      <c r="E52" s="10">
        <f t="shared" si="2"/>
        <v>171537.8288947707</v>
      </c>
      <c r="F52" s="3"/>
      <c r="G52" s="28"/>
      <c r="H52" s="10"/>
      <c r="I52" s="10">
        <f t="shared" si="8"/>
        <v>1659</v>
      </c>
      <c r="J52" s="10">
        <f t="shared" si="6"/>
        <v>8533313378.0328178</v>
      </c>
      <c r="K52" s="11">
        <f t="shared" si="7"/>
        <v>3.4499999999999975E-2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4972110.9824571386</v>
      </c>
      <c r="D53" s="11">
        <v>3.39E-2</v>
      </c>
      <c r="E53" s="10">
        <f t="shared" si="2"/>
        <v>163027.91595444176</v>
      </c>
      <c r="F53" s="3"/>
      <c r="G53" s="28"/>
      <c r="H53" s="10"/>
      <c r="I53" s="10">
        <f t="shared" si="8"/>
        <v>1659</v>
      </c>
      <c r="J53" s="10">
        <f t="shared" si="6"/>
        <v>8248732119.8963928</v>
      </c>
      <c r="K53" s="11">
        <f t="shared" si="7"/>
        <v>3.3900000000000041E-2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4809083.0665026968</v>
      </c>
      <c r="D54" s="11">
        <v>3.3099999999999997E-2</v>
      </c>
      <c r="E54" s="10">
        <f t="shared" si="2"/>
        <v>154080.58222944383</v>
      </c>
      <c r="F54" s="3"/>
      <c r="G54" s="28"/>
      <c r="H54" s="10"/>
      <c r="I54" s="10">
        <f t="shared" si="8"/>
        <v>1659</v>
      </c>
      <c r="J54" s="10">
        <f t="shared" si="6"/>
        <v>7978268807.3279743</v>
      </c>
      <c r="K54" s="11">
        <f t="shared" si="7"/>
        <v>3.3099999999999907E-2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4655002.484273253</v>
      </c>
      <c r="D55" s="11">
        <v>3.2399999999999998E-2</v>
      </c>
      <c r="E55" s="10">
        <f t="shared" si="2"/>
        <v>146088.80326467752</v>
      </c>
      <c r="F55" s="3"/>
      <c r="G55" s="28"/>
      <c r="H55" s="10"/>
      <c r="I55" s="10">
        <f t="shared" si="8"/>
        <v>1659</v>
      </c>
      <c r="J55" s="10">
        <f t="shared" si="6"/>
        <v>7722649121.4093266</v>
      </c>
      <c r="K55" s="11">
        <f t="shared" si="7"/>
        <v>3.2399999999999762E-2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4508913.6810085755</v>
      </c>
      <c r="D56" s="11">
        <v>3.1800000000000002E-2</v>
      </c>
      <c r="E56" s="10">
        <f t="shared" si="2"/>
        <v>138964.3875325378</v>
      </c>
      <c r="F56" s="3"/>
      <c r="G56" s="28"/>
      <c r="H56" s="10"/>
      <c r="I56" s="10">
        <f t="shared" si="8"/>
        <v>1659</v>
      </c>
      <c r="J56" s="10">
        <f t="shared" si="6"/>
        <v>7480287796.7932272</v>
      </c>
      <c r="K56" s="11">
        <f t="shared" si="7"/>
        <v>3.180000000000005E-2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4369949.2934760377</v>
      </c>
      <c r="D57" s="11">
        <v>3.1600000000000003E-2</v>
      </c>
      <c r="E57" s="10">
        <f t="shared" si="2"/>
        <v>133860.40875711851</v>
      </c>
      <c r="F57" s="3"/>
      <c r="G57" s="28"/>
      <c r="H57" s="10"/>
      <c r="I57" s="10">
        <f t="shared" si="8"/>
        <v>1659</v>
      </c>
      <c r="J57" s="10">
        <f t="shared" si="6"/>
        <v>7249745877.8767462</v>
      </c>
      <c r="K57" s="11">
        <f t="shared" si="7"/>
        <v>3.1600000000000072E-2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4236088.8847189192</v>
      </c>
      <c r="D58" s="11">
        <v>3.1699999999999999E-2</v>
      </c>
      <c r="E58" s="10">
        <f t="shared" si="2"/>
        <v>130158.00876765558</v>
      </c>
      <c r="F58" s="3"/>
      <c r="G58" s="28"/>
      <c r="H58" s="10"/>
      <c r="I58" s="10">
        <f t="shared" si="8"/>
        <v>1659</v>
      </c>
      <c r="J58" s="10">
        <f t="shared" si="6"/>
        <v>7027671459.7486868</v>
      </c>
      <c r="K58" s="11">
        <f t="shared" si="7"/>
        <v>3.1700000000000061E-2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4105930.8759512636</v>
      </c>
      <c r="D59" s="11">
        <v>3.2199999999999999E-2</v>
      </c>
      <c r="E59" s="10">
        <f t="shared" si="2"/>
        <v>128086.58613217482</v>
      </c>
      <c r="F59" s="3"/>
      <c r="G59" s="28"/>
      <c r="H59" s="10"/>
      <c r="I59" s="10">
        <f t="shared" si="8"/>
        <v>1659</v>
      </c>
      <c r="J59" s="10">
        <f t="shared" si="6"/>
        <v>6811739323.203146</v>
      </c>
      <c r="K59" s="11">
        <f t="shared" si="7"/>
        <v>3.2200000000000006E-2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3977844.2898190888</v>
      </c>
      <c r="D60" s="11">
        <v>3.3099999999999997E-2</v>
      </c>
      <c r="E60" s="10">
        <f t="shared" si="2"/>
        <v>127448.11343820672</v>
      </c>
      <c r="F60" s="3"/>
      <c r="G60" s="28"/>
      <c r="H60" s="10"/>
      <c r="I60" s="10">
        <f t="shared" si="8"/>
        <v>1659</v>
      </c>
      <c r="J60" s="10">
        <f t="shared" si="6"/>
        <v>6599243676.8098679</v>
      </c>
      <c r="K60" s="11">
        <f t="shared" si="7"/>
        <v>3.3099999999999907E-2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3850396.176380882</v>
      </c>
      <c r="D61" s="11">
        <v>3.4200000000000001E-2</v>
      </c>
      <c r="E61" s="10">
        <f t="shared" si="2"/>
        <v>127328.9008240439</v>
      </c>
      <c r="F61" s="3"/>
      <c r="G61" s="28"/>
      <c r="H61" s="10"/>
      <c r="I61" s="10">
        <f t="shared" si="8"/>
        <v>1659</v>
      </c>
      <c r="J61" s="10">
        <f t="shared" si="6"/>
        <v>6387807256.6158829</v>
      </c>
      <c r="K61" s="11">
        <f t="shared" si="7"/>
        <v>3.4200000000000008E-2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3723067.2755568381</v>
      </c>
      <c r="D62" s="11">
        <v>3.5000000000000003E-2</v>
      </c>
      <c r="E62" s="10">
        <f t="shared" si="2"/>
        <v>125900.82574346755</v>
      </c>
      <c r="F62" s="3"/>
      <c r="G62" s="28"/>
      <c r="H62" s="10"/>
      <c r="I62" s="10">
        <f t="shared" si="8"/>
        <v>1659</v>
      </c>
      <c r="J62" s="10">
        <f t="shared" si="6"/>
        <v>6176568610.1487942</v>
      </c>
      <c r="K62" s="11">
        <f t="shared" si="7"/>
        <v>3.4999999999999698E-2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3597166.4498133706</v>
      </c>
      <c r="D63" s="11">
        <v>3.5400000000000001E-2</v>
      </c>
      <c r="E63" s="10">
        <f t="shared" si="2"/>
        <v>122985.98833628884</v>
      </c>
      <c r="F63" s="3"/>
      <c r="G63" s="28"/>
      <c r="H63" s="10"/>
      <c r="I63" s="10">
        <f t="shared" si="8"/>
        <v>1659</v>
      </c>
      <c r="J63" s="10">
        <f t="shared" si="6"/>
        <v>5967699140.2403822</v>
      </c>
      <c r="K63" s="11">
        <f t="shared" si="7"/>
        <v>3.5400000000000098E-2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3474180.4614770818</v>
      </c>
      <c r="D64" s="11">
        <v>3.5099999999999999E-2</v>
      </c>
      <c r="E64" s="10">
        <f t="shared" si="2"/>
        <v>117808.65056308126</v>
      </c>
      <c r="F64" s="3"/>
      <c r="G64" s="28"/>
      <c r="H64" s="10"/>
      <c r="I64" s="10">
        <f t="shared" si="8"/>
        <v>1659</v>
      </c>
      <c r="J64" s="10">
        <f t="shared" si="6"/>
        <v>5763665385.5904789</v>
      </c>
      <c r="K64" s="11">
        <f t="shared" si="7"/>
        <v>3.5099999999999909E-2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3356371.8109140005</v>
      </c>
      <c r="D65" s="11">
        <v>3.3799999999999997E-2</v>
      </c>
      <c r="E65" s="10">
        <f t="shared" si="2"/>
        <v>109736.28091400024</v>
      </c>
      <c r="F65" s="3"/>
      <c r="G65" s="28"/>
      <c r="H65" s="10"/>
      <c r="I65" s="10">
        <f t="shared" si="8"/>
        <v>1659</v>
      </c>
      <c r="J65" s="10">
        <f t="shared" si="6"/>
        <v>5568220834.3063269</v>
      </c>
      <c r="K65" s="11">
        <f t="shared" si="7"/>
        <v>3.3800000000000052E-2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3246635.5300000003</v>
      </c>
      <c r="D66" s="11">
        <v>3.1300000000000001E-2</v>
      </c>
      <c r="E66" s="10">
        <f t="shared" si="2"/>
        <v>98535.530000000261</v>
      </c>
      <c r="F66" s="24">
        <f>SUM(F2)</f>
        <v>30764253</v>
      </c>
      <c r="G66" s="28"/>
      <c r="H66" s="10"/>
      <c r="I66" s="10">
        <f t="shared" si="8"/>
        <v>1659</v>
      </c>
      <c r="J66" s="10">
        <f t="shared" ref="J66:J67" si="9">IF(I66="","",I66*C66)</f>
        <v>5386168344.2700005</v>
      </c>
      <c r="K66" s="11">
        <f t="shared" ref="K66" si="10">IFERROR(J66/J67-1,"")</f>
        <v>3.1300000000000106E-2</v>
      </c>
    </row>
    <row r="67" spans="1:11" ht="22.5" customHeight="1">
      <c r="A67" s="3">
        <f t="shared" si="0"/>
        <v>1950</v>
      </c>
      <c r="B67" s="3">
        <v>1700</v>
      </c>
      <c r="C67" s="10">
        <v>3148100</v>
      </c>
      <c r="D67" s="11">
        <v>2.7400000000000001E-2</v>
      </c>
      <c r="E67" s="3" t="s">
        <v>72</v>
      </c>
      <c r="F67" s="10">
        <f>SUM(C2)</f>
        <v>30764064.853330579</v>
      </c>
      <c r="G67" s="28"/>
      <c r="H67" s="10"/>
      <c r="I67" s="10">
        <f t="shared" ref="I67" si="11">IF(H67&lt;&gt;"",H67,I66/(1+IF(G66="",0,G66)/100))</f>
        <v>1659</v>
      </c>
      <c r="J67" s="10">
        <f t="shared" si="9"/>
        <v>5222697900</v>
      </c>
      <c r="K67" s="11"/>
    </row>
  </sheetData>
  <dataValidations count="1">
    <dataValidation type="custom" allowBlank="1" showDropDown="1" sqref="D2:D67" xr:uid="{00000000-0002-0000-9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P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5" max="15" width="37.90625" customWidth="1"/>
  </cols>
  <sheetData>
    <row r="1" spans="1:16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O1" t="s">
        <v>84</v>
      </c>
      <c r="P1" t="s">
        <v>85</v>
      </c>
    </row>
    <row r="2" spans="1:16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85678302.344146222</v>
      </c>
      <c r="D2" s="11">
        <v>-4.1999999999999997E-3</v>
      </c>
      <c r="E2" s="10">
        <f t="shared" ref="E2:E66" si="2">SUM(C2-C3)</f>
        <v>-361366.60960575938</v>
      </c>
      <c r="F2" s="15">
        <v>85678806</v>
      </c>
      <c r="G2" s="28"/>
      <c r="H2" s="10"/>
      <c r="I2" s="10">
        <f>IF(H2&lt;&gt;"",H2,11230)</f>
        <v>11230</v>
      </c>
      <c r="J2" s="10">
        <f t="shared" ref="J2:J16" si="3">IF(I2="","",I2*C2)</f>
        <v>962167335324.76208</v>
      </c>
      <c r="K2" s="11">
        <f t="shared" ref="K2:K16" si="4">IFERROR(J2/J3-1,"")</f>
        <v>-4.1999999999999815E-3</v>
      </c>
    </row>
    <row r="3" spans="1:16" ht="22.5" customHeight="1">
      <c r="A3" s="3">
        <f t="shared" si="0"/>
        <v>2014</v>
      </c>
      <c r="B3" s="3">
        <v>1764</v>
      </c>
      <c r="C3" s="10">
        <f t="shared" si="1"/>
        <v>86039668.953751981</v>
      </c>
      <c r="D3" s="11">
        <v>-8.0000000000000004E-4</v>
      </c>
      <c r="E3" s="10">
        <f t="shared" si="2"/>
        <v>-68886.844638720155</v>
      </c>
      <c r="F3" s="3"/>
      <c r="G3" s="28"/>
      <c r="H3" s="10"/>
      <c r="I3" s="10">
        <f t="shared" ref="I3:I16" si="5">IF(H3&lt;&gt;"",H3,I2/(1+IF(G2="",0,G2)/100))</f>
        <v>11230</v>
      </c>
      <c r="J3" s="10">
        <f t="shared" si="3"/>
        <v>966225482350.63477</v>
      </c>
      <c r="K3" s="11">
        <f t="shared" si="4"/>
        <v>-8.0000000000013394E-4</v>
      </c>
    </row>
    <row r="4" spans="1:16" ht="22.5" customHeight="1">
      <c r="A4" s="3">
        <f t="shared" si="0"/>
        <v>2013</v>
      </c>
      <c r="B4" s="3">
        <v>1763</v>
      </c>
      <c r="C4" s="10">
        <f t="shared" si="1"/>
        <v>86108555.798390701</v>
      </c>
      <c r="D4" s="11">
        <v>1.6000000000000001E-3</v>
      </c>
      <c r="E4" s="10">
        <f t="shared" si="2"/>
        <v>137553.6035118103</v>
      </c>
      <c r="F4" s="3"/>
      <c r="G4" s="28"/>
      <c r="H4" s="10"/>
      <c r="I4" s="10">
        <f t="shared" si="5"/>
        <v>11230</v>
      </c>
      <c r="J4" s="10">
        <f t="shared" si="3"/>
        <v>966999081615.92761</v>
      </c>
      <c r="K4" s="11">
        <f t="shared" si="4"/>
        <v>1.6000000000000458E-3</v>
      </c>
    </row>
    <row r="5" spans="1:16" ht="22.5" customHeight="1">
      <c r="A5" s="3">
        <f t="shared" si="0"/>
        <v>2012</v>
      </c>
      <c r="B5" s="3">
        <v>1762</v>
      </c>
      <c r="C5" s="10">
        <f t="shared" si="1"/>
        <v>85971002.194878891</v>
      </c>
      <c r="D5" s="11">
        <v>3.0000000000000001E-3</v>
      </c>
      <c r="E5" s="10">
        <f t="shared" si="2"/>
        <v>257141.58183911443</v>
      </c>
      <c r="F5" s="3"/>
      <c r="G5" s="28"/>
      <c r="H5" s="10"/>
      <c r="I5" s="10">
        <f t="shared" si="5"/>
        <v>11230</v>
      </c>
      <c r="J5" s="10">
        <f t="shared" si="3"/>
        <v>965454354648.48999</v>
      </c>
      <c r="K5" s="11">
        <f t="shared" si="4"/>
        <v>3.0000000000001137E-3</v>
      </c>
    </row>
    <row r="6" spans="1:16" ht="22.5" customHeight="1">
      <c r="A6" s="3">
        <f t="shared" si="0"/>
        <v>2011</v>
      </c>
      <c r="B6" s="3">
        <v>1761</v>
      </c>
      <c r="C6" s="10">
        <f t="shared" si="1"/>
        <v>85713860.613039777</v>
      </c>
      <c r="D6" s="11">
        <v>3.3999999999999998E-3</v>
      </c>
      <c r="E6" s="10">
        <f t="shared" si="2"/>
        <v>290439.63133779168</v>
      </c>
      <c r="F6" s="3"/>
      <c r="G6" s="28"/>
      <c r="H6" s="10"/>
      <c r="I6" s="10">
        <f t="shared" si="5"/>
        <v>11230</v>
      </c>
      <c r="J6" s="10">
        <f t="shared" si="3"/>
        <v>962566654684.43665</v>
      </c>
      <c r="K6" s="11">
        <f t="shared" si="4"/>
        <v>3.4000000000000696E-3</v>
      </c>
    </row>
    <row r="7" spans="1:16" ht="22.5" customHeight="1">
      <c r="A7" s="3">
        <f t="shared" si="0"/>
        <v>2010</v>
      </c>
      <c r="B7" s="3">
        <v>1760</v>
      </c>
      <c r="C7" s="10">
        <f t="shared" si="1"/>
        <v>85423420.981701985</v>
      </c>
      <c r="D7" s="11">
        <v>3.2000000000000002E-3</v>
      </c>
      <c r="E7" s="10">
        <f t="shared" si="2"/>
        <v>272483.00153653324</v>
      </c>
      <c r="F7" s="3"/>
      <c r="G7" s="28"/>
      <c r="H7" s="10"/>
      <c r="I7" s="10">
        <f t="shared" si="5"/>
        <v>11230</v>
      </c>
      <c r="J7" s="10">
        <f t="shared" si="3"/>
        <v>959305017624.51331</v>
      </c>
      <c r="K7" s="11">
        <f t="shared" si="4"/>
        <v>3.2000000000000917E-3</v>
      </c>
    </row>
    <row r="8" spans="1:16" ht="22.5" customHeight="1">
      <c r="A8" s="3">
        <f t="shared" si="0"/>
        <v>2009</v>
      </c>
      <c r="B8" s="3">
        <v>1759</v>
      </c>
      <c r="C8" s="10">
        <f t="shared" si="1"/>
        <v>85150937.980165452</v>
      </c>
      <c r="D8" s="11">
        <v>2.8E-3</v>
      </c>
      <c r="E8" s="10">
        <f t="shared" si="2"/>
        <v>237756.90700484812</v>
      </c>
      <c r="F8" s="3"/>
      <c r="G8" s="28"/>
      <c r="H8" s="10"/>
      <c r="I8" s="10">
        <f t="shared" si="5"/>
        <v>11230</v>
      </c>
      <c r="J8" s="10">
        <f t="shared" si="3"/>
        <v>956245033517.25806</v>
      </c>
      <c r="K8" s="11">
        <f t="shared" si="4"/>
        <v>2.7999999999999137E-3</v>
      </c>
    </row>
    <row r="9" spans="1:16" ht="22.5" customHeight="1">
      <c r="A9" s="3">
        <f t="shared" si="0"/>
        <v>2008</v>
      </c>
      <c r="B9" s="3">
        <v>1758</v>
      </c>
      <c r="C9" s="10">
        <f t="shared" si="1"/>
        <v>84913181.073160604</v>
      </c>
      <c r="D9" s="11">
        <v>2.8E-3</v>
      </c>
      <c r="E9" s="10">
        <f t="shared" si="2"/>
        <v>237093.04647471011</v>
      </c>
      <c r="F9" s="3"/>
      <c r="G9" s="28"/>
      <c r="H9" s="10"/>
      <c r="I9" s="10">
        <f t="shared" si="5"/>
        <v>11230</v>
      </c>
      <c r="J9" s="10">
        <f t="shared" si="3"/>
        <v>953575023451.59363</v>
      </c>
      <c r="K9" s="11">
        <f t="shared" si="4"/>
        <v>2.7999999999999137E-3</v>
      </c>
    </row>
    <row r="10" spans="1:16" ht="22.5" customHeight="1">
      <c r="A10" s="3">
        <f t="shared" si="0"/>
        <v>2007</v>
      </c>
      <c r="B10" s="3">
        <v>1757</v>
      </c>
      <c r="C10" s="10">
        <f t="shared" si="1"/>
        <v>84676088.026685894</v>
      </c>
      <c r="D10" s="11">
        <v>3.3E-3</v>
      </c>
      <c r="E10" s="10">
        <f t="shared" si="2"/>
        <v>278512.00088514388</v>
      </c>
      <c r="F10" s="3"/>
      <c r="G10" s="28"/>
      <c r="H10" s="10"/>
      <c r="I10" s="10">
        <f t="shared" si="5"/>
        <v>11230</v>
      </c>
      <c r="J10" s="10">
        <f t="shared" si="3"/>
        <v>950912468539.68262</v>
      </c>
      <c r="K10" s="11">
        <f t="shared" si="4"/>
        <v>3.3000000000000806E-3</v>
      </c>
    </row>
    <row r="11" spans="1:16" ht="22.5" customHeight="1">
      <c r="A11" s="3">
        <f t="shared" si="0"/>
        <v>2006</v>
      </c>
      <c r="B11" s="3">
        <v>1756</v>
      </c>
      <c r="C11" s="10">
        <f t="shared" si="1"/>
        <v>84397576.02580075</v>
      </c>
      <c r="D11" s="11">
        <v>4.4000000000000003E-3</v>
      </c>
      <c r="E11" s="10">
        <f t="shared" si="2"/>
        <v>369722.55527032912</v>
      </c>
      <c r="F11" s="3"/>
      <c r="G11" s="28"/>
      <c r="H11" s="10"/>
      <c r="I11" s="10">
        <f t="shared" si="5"/>
        <v>11230</v>
      </c>
      <c r="J11" s="10">
        <f t="shared" si="3"/>
        <v>947784778769.74243</v>
      </c>
      <c r="K11" s="11">
        <f t="shared" si="4"/>
        <v>4.3999999999999595E-3</v>
      </c>
    </row>
    <row r="12" spans="1:16" ht="22.5" customHeight="1">
      <c r="A12" s="3">
        <f t="shared" si="0"/>
        <v>2005</v>
      </c>
      <c r="B12" s="3">
        <v>1755</v>
      </c>
      <c r="C12" s="10">
        <f t="shared" si="1"/>
        <v>84027853.470530421</v>
      </c>
      <c r="D12" s="11">
        <v>4.3E-3</v>
      </c>
      <c r="E12" s="10">
        <f t="shared" si="2"/>
        <v>359772.74711070955</v>
      </c>
      <c r="F12" s="3"/>
      <c r="G12" s="28"/>
      <c r="H12" s="10"/>
      <c r="I12" s="10">
        <f t="shared" si="5"/>
        <v>11230</v>
      </c>
      <c r="J12" s="10">
        <f t="shared" si="3"/>
        <v>943632794474.05664</v>
      </c>
      <c r="K12" s="11">
        <f t="shared" si="4"/>
        <v>4.3000000000001926E-3</v>
      </c>
    </row>
    <row r="13" spans="1:16" ht="22.5" customHeight="1">
      <c r="A13" s="3">
        <f t="shared" si="0"/>
        <v>2004</v>
      </c>
      <c r="B13" s="3">
        <v>1754</v>
      </c>
      <c r="C13" s="10">
        <f t="shared" si="1"/>
        <v>83668080.723419711</v>
      </c>
      <c r="D13" s="11">
        <v>5.4999999999999997E-3</v>
      </c>
      <c r="E13" s="10">
        <f t="shared" si="2"/>
        <v>457657.32867112756</v>
      </c>
      <c r="F13" s="3"/>
      <c r="G13" s="28"/>
      <c r="H13" s="10"/>
      <c r="I13" s="10">
        <f t="shared" si="5"/>
        <v>11230</v>
      </c>
      <c r="J13" s="10">
        <f t="shared" si="3"/>
        <v>939592546524.0033</v>
      </c>
      <c r="K13" s="11">
        <f t="shared" si="4"/>
        <v>5.5000000000000604E-3</v>
      </c>
    </row>
    <row r="14" spans="1:16" ht="22.5" customHeight="1">
      <c r="A14" s="3">
        <f t="shared" si="0"/>
        <v>2003</v>
      </c>
      <c r="B14" s="3">
        <v>1753</v>
      </c>
      <c r="C14" s="10">
        <f t="shared" si="1"/>
        <v>83210423.394748583</v>
      </c>
      <c r="D14" s="11">
        <v>6.4999999999999997E-3</v>
      </c>
      <c r="E14" s="10">
        <f t="shared" si="2"/>
        <v>537374.815763399</v>
      </c>
      <c r="F14" s="3"/>
      <c r="G14" s="28"/>
      <c r="H14" s="10"/>
      <c r="I14" s="10">
        <f t="shared" si="5"/>
        <v>11230</v>
      </c>
      <c r="J14" s="10">
        <f t="shared" si="3"/>
        <v>934453054723.02661</v>
      </c>
      <c r="K14" s="11">
        <f t="shared" si="4"/>
        <v>6.4999999999999503E-3</v>
      </c>
    </row>
    <row r="15" spans="1:16" ht="22.5" customHeight="1">
      <c r="A15" s="3">
        <f t="shared" si="0"/>
        <v>2002</v>
      </c>
      <c r="B15" s="3">
        <v>1752</v>
      </c>
      <c r="C15" s="10">
        <f t="shared" si="1"/>
        <v>82673048.578985184</v>
      </c>
      <c r="D15" s="11">
        <v>7.7999999999999996E-3</v>
      </c>
      <c r="E15" s="10">
        <f t="shared" si="2"/>
        <v>639858.87965478003</v>
      </c>
      <c r="F15" s="3"/>
      <c r="G15" s="28"/>
      <c r="H15" s="10"/>
      <c r="I15" s="10">
        <f t="shared" si="5"/>
        <v>11230</v>
      </c>
      <c r="J15" s="10">
        <f t="shared" si="3"/>
        <v>928418335542.00366</v>
      </c>
      <c r="K15" s="11">
        <f t="shared" si="4"/>
        <v>7.8000000000000291E-3</v>
      </c>
    </row>
    <row r="16" spans="1:16" ht="22.5" customHeight="1">
      <c r="A16" s="3">
        <f t="shared" si="0"/>
        <v>2001</v>
      </c>
      <c r="B16" s="3">
        <v>1751</v>
      </c>
      <c r="C16" s="10">
        <f t="shared" si="1"/>
        <v>82033189.699330404</v>
      </c>
      <c r="D16" s="11">
        <v>8.3999999999999995E-3</v>
      </c>
      <c r="E16" s="10">
        <f t="shared" si="2"/>
        <v>683338.74799124897</v>
      </c>
      <c r="F16" s="3"/>
      <c r="G16" s="28"/>
      <c r="H16" s="10"/>
      <c r="I16" s="10">
        <f t="shared" si="5"/>
        <v>11230</v>
      </c>
      <c r="J16" s="10">
        <f t="shared" si="3"/>
        <v>921232720323.48047</v>
      </c>
      <c r="K16" s="11" t="str">
        <f t="shared" si="4"/>
        <v/>
      </c>
    </row>
    <row r="17" spans="1:16" ht="22.5" customHeight="1">
      <c r="A17" s="3">
        <f t="shared" si="0"/>
        <v>2000</v>
      </c>
      <c r="B17" s="3">
        <v>1750</v>
      </c>
      <c r="C17" s="10">
        <f t="shared" si="1"/>
        <v>81349850.951339155</v>
      </c>
      <c r="D17" s="11">
        <v>9.6999999999999986E-3</v>
      </c>
      <c r="E17" s="10">
        <f t="shared" si="2"/>
        <v>781512.87929879129</v>
      </c>
      <c r="F17" s="3"/>
      <c r="N17" s="27"/>
    </row>
    <row r="18" spans="1:16" ht="22.5" customHeight="1">
      <c r="A18" s="3">
        <f t="shared" si="0"/>
        <v>1999</v>
      </c>
      <c r="B18" s="3">
        <v>1749</v>
      </c>
      <c r="C18" s="10">
        <f t="shared" si="1"/>
        <v>80568338.072040364</v>
      </c>
      <c r="D18" s="11">
        <v>9.6999999999999986E-3</v>
      </c>
      <c r="E18" s="10">
        <f t="shared" si="2"/>
        <v>774005.03050291538</v>
      </c>
      <c r="F18" s="3"/>
      <c r="G18" s="28"/>
      <c r="H18" s="10"/>
      <c r="I18" s="10">
        <f t="shared" ref="I18:I49" si="6">IF(H18&lt;&gt;"",H18,I17/(1+IF(G17="",0,G17)/100))</f>
        <v>0</v>
      </c>
      <c r="J18" s="10">
        <f t="shared" ref="J18:J49" si="7">IF(I18="","",I18*C18)</f>
        <v>0</v>
      </c>
      <c r="K18" s="11" t="str">
        <f t="shared" ref="K18:K49" si="8">IFERROR(J18/J19-1,"")</f>
        <v/>
      </c>
    </row>
    <row r="19" spans="1:16" ht="22.5" customHeight="1">
      <c r="A19" s="3">
        <f t="shared" si="0"/>
        <v>1998</v>
      </c>
      <c r="B19" s="3">
        <v>1748</v>
      </c>
      <c r="C19" s="10">
        <f t="shared" si="1"/>
        <v>79794333.041537449</v>
      </c>
      <c r="D19" s="11">
        <v>9.5999999999999992E-3</v>
      </c>
      <c r="E19" s="10">
        <f t="shared" si="2"/>
        <v>758741.67709861696</v>
      </c>
      <c r="F19" s="3"/>
      <c r="G19" s="28"/>
      <c r="H19" s="10"/>
      <c r="I19" s="10">
        <f t="shared" si="6"/>
        <v>0</v>
      </c>
      <c r="J19" s="10">
        <f t="shared" si="7"/>
        <v>0</v>
      </c>
      <c r="K19" s="11" t="str">
        <f t="shared" si="8"/>
        <v/>
      </c>
    </row>
    <row r="20" spans="1:16" ht="22.5" customHeight="1">
      <c r="A20" s="3">
        <f t="shared" si="0"/>
        <v>1997</v>
      </c>
      <c r="B20" s="3">
        <v>1747</v>
      </c>
      <c r="C20" s="10">
        <f t="shared" si="1"/>
        <v>79035591.364438832</v>
      </c>
      <c r="D20" s="11">
        <v>9.4999999999999998E-3</v>
      </c>
      <c r="E20" s="10">
        <f t="shared" si="2"/>
        <v>743772.28128992021</v>
      </c>
      <c r="F20" s="3"/>
      <c r="G20" s="28"/>
      <c r="H20" s="10"/>
      <c r="I20" s="10">
        <f t="shared" si="6"/>
        <v>0</v>
      </c>
      <c r="J20" s="10">
        <f t="shared" si="7"/>
        <v>0</v>
      </c>
      <c r="K20" s="11" t="str">
        <f t="shared" si="8"/>
        <v/>
      </c>
      <c r="O20" t="s">
        <v>144</v>
      </c>
      <c r="P20" t="s">
        <v>115</v>
      </c>
    </row>
    <row r="21" spans="1:16" ht="22.5" customHeight="1">
      <c r="A21" s="3">
        <f t="shared" si="0"/>
        <v>1996</v>
      </c>
      <c r="B21" s="3">
        <v>1746</v>
      </c>
      <c r="C21" s="10">
        <f t="shared" si="1"/>
        <v>78291819.083148912</v>
      </c>
      <c r="D21" s="11">
        <v>9.3999999999999986E-3</v>
      </c>
      <c r="E21" s="10">
        <f t="shared" si="2"/>
        <v>729089.65660947561</v>
      </c>
      <c r="F21" s="3"/>
      <c r="G21" s="28"/>
      <c r="H21" s="10"/>
      <c r="I21" s="10">
        <f t="shared" si="6"/>
        <v>0</v>
      </c>
      <c r="J21" s="10">
        <f t="shared" si="7"/>
        <v>0</v>
      </c>
      <c r="K21" s="11" t="str">
        <f t="shared" si="8"/>
        <v/>
      </c>
    </row>
    <row r="22" spans="1:16" ht="22.5" customHeight="1">
      <c r="A22" s="3">
        <f t="shared" si="0"/>
        <v>1995</v>
      </c>
      <c r="B22" s="3">
        <v>1745</v>
      </c>
      <c r="C22" s="10">
        <f t="shared" si="1"/>
        <v>77562729.426539436</v>
      </c>
      <c r="D22" s="11">
        <v>9.2999999999999992E-3</v>
      </c>
      <c r="E22" s="10">
        <f t="shared" si="2"/>
        <v>714686.79645974934</v>
      </c>
      <c r="F22" s="3"/>
      <c r="G22" s="28"/>
      <c r="H22" s="10"/>
      <c r="I22" s="10">
        <f t="shared" si="6"/>
        <v>0</v>
      </c>
      <c r="J22" s="10">
        <f t="shared" si="7"/>
        <v>0</v>
      </c>
      <c r="K22" s="11" t="str">
        <f t="shared" si="8"/>
        <v/>
      </c>
    </row>
    <row r="23" spans="1:16" ht="22.5" customHeight="1">
      <c r="A23" s="3">
        <f t="shared" si="0"/>
        <v>1994</v>
      </c>
      <c r="B23" s="3">
        <v>1744</v>
      </c>
      <c r="C23" s="10">
        <f t="shared" si="1"/>
        <v>76848042.630079687</v>
      </c>
      <c r="D23" s="11">
        <v>9.1999999999999998E-3</v>
      </c>
      <c r="E23" s="10">
        <f t="shared" si="2"/>
        <v>700556.86900192499</v>
      </c>
      <c r="F23" s="3"/>
      <c r="G23" s="28"/>
      <c r="H23" s="10"/>
      <c r="I23" s="10">
        <f t="shared" si="6"/>
        <v>0</v>
      </c>
      <c r="J23" s="10">
        <f t="shared" si="7"/>
        <v>0</v>
      </c>
      <c r="K23" s="11" t="str">
        <f t="shared" si="8"/>
        <v/>
      </c>
    </row>
    <row r="24" spans="1:16" ht="22.5" customHeight="1">
      <c r="A24" s="3">
        <f t="shared" si="0"/>
        <v>1993</v>
      </c>
      <c r="B24" s="3">
        <v>1743</v>
      </c>
      <c r="C24" s="10">
        <f t="shared" si="1"/>
        <v>76147485.761077762</v>
      </c>
      <c r="D24" s="11">
        <v>8.7999999999999988E-3</v>
      </c>
      <c r="E24" s="10">
        <f t="shared" si="2"/>
        <v>664252.45311011374</v>
      </c>
      <c r="F24" s="3"/>
      <c r="G24" s="28"/>
      <c r="H24" s="10"/>
      <c r="I24" s="10">
        <f t="shared" si="6"/>
        <v>0</v>
      </c>
      <c r="J24" s="10">
        <f t="shared" si="7"/>
        <v>0</v>
      </c>
      <c r="K24" s="11" t="str">
        <f t="shared" si="8"/>
        <v/>
      </c>
    </row>
    <row r="25" spans="1:16" ht="22.5" customHeight="1">
      <c r="A25" s="3">
        <f t="shared" si="0"/>
        <v>1992</v>
      </c>
      <c r="B25" s="3">
        <v>1742</v>
      </c>
      <c r="C25" s="10">
        <f t="shared" si="1"/>
        <v>75483233.307967648</v>
      </c>
      <c r="D25" s="11">
        <v>8.199999999999999E-3</v>
      </c>
      <c r="E25" s="10">
        <f t="shared" si="2"/>
        <v>613928.30105666816</v>
      </c>
      <c r="F25" s="3"/>
      <c r="G25" s="28"/>
      <c r="H25" s="10"/>
      <c r="I25" s="10">
        <f t="shared" si="6"/>
        <v>0</v>
      </c>
      <c r="J25" s="10">
        <f t="shared" si="7"/>
        <v>0</v>
      </c>
      <c r="K25" s="11" t="str">
        <f t="shared" si="8"/>
        <v/>
      </c>
    </row>
    <row r="26" spans="1:16" ht="22.5" customHeight="1">
      <c r="A26" s="3">
        <f t="shared" si="0"/>
        <v>1991</v>
      </c>
      <c r="B26" s="3">
        <v>1741</v>
      </c>
      <c r="C26" s="10">
        <f t="shared" si="1"/>
        <v>74869305.00691098</v>
      </c>
      <c r="D26" s="11">
        <v>7.3999999999999986E-3</v>
      </c>
      <c r="E26" s="10">
        <f t="shared" si="2"/>
        <v>549963.12988996506</v>
      </c>
      <c r="F26" s="3"/>
      <c r="G26" s="28"/>
      <c r="H26" s="10"/>
      <c r="I26" s="10">
        <f t="shared" si="6"/>
        <v>0</v>
      </c>
      <c r="J26" s="10">
        <f t="shared" si="7"/>
        <v>0</v>
      </c>
      <c r="K26" s="11" t="str">
        <f t="shared" si="8"/>
        <v/>
      </c>
    </row>
    <row r="27" spans="1:16" ht="22.5" customHeight="1">
      <c r="A27" s="3">
        <f t="shared" si="0"/>
        <v>1990</v>
      </c>
      <c r="B27" s="3">
        <v>1740</v>
      </c>
      <c r="C27" s="10">
        <f t="shared" si="1"/>
        <v>74319341.877021015</v>
      </c>
      <c r="D27" s="11">
        <v>8.5000000000000006E-3</v>
      </c>
      <c r="E27" s="10">
        <f t="shared" si="2"/>
        <v>626390.09018807113</v>
      </c>
      <c r="F27" s="3"/>
      <c r="G27" s="28"/>
      <c r="H27" s="10"/>
      <c r="I27" s="10">
        <f t="shared" si="6"/>
        <v>0</v>
      </c>
      <c r="J27" s="10">
        <f t="shared" si="7"/>
        <v>0</v>
      </c>
      <c r="K27" s="11" t="str">
        <f t="shared" si="8"/>
        <v/>
      </c>
      <c r="O27" t="s">
        <v>88</v>
      </c>
      <c r="P27" t="s">
        <v>89</v>
      </c>
    </row>
    <row r="28" spans="1:16" ht="22.5" customHeight="1">
      <c r="A28" s="3">
        <f t="shared" si="0"/>
        <v>1989</v>
      </c>
      <c r="B28" s="3">
        <v>1739</v>
      </c>
      <c r="C28" s="10">
        <f t="shared" si="1"/>
        <v>73692951.786832944</v>
      </c>
      <c r="D28" s="11">
        <v>8.8999999999999999E-3</v>
      </c>
      <c r="E28" s="10">
        <f t="shared" si="2"/>
        <v>650081.54515096545</v>
      </c>
      <c r="F28" s="3"/>
      <c r="G28" s="28"/>
      <c r="H28" s="10"/>
      <c r="I28" s="10">
        <f t="shared" si="6"/>
        <v>0</v>
      </c>
      <c r="J28" s="10">
        <f t="shared" si="7"/>
        <v>0</v>
      </c>
      <c r="K28" s="11" t="str">
        <f t="shared" si="8"/>
        <v/>
      </c>
    </row>
    <row r="29" spans="1:16" ht="22.5" customHeight="1">
      <c r="A29" s="3">
        <f t="shared" si="0"/>
        <v>1988</v>
      </c>
      <c r="B29" s="3">
        <v>1738</v>
      </c>
      <c r="C29" s="10">
        <f t="shared" si="1"/>
        <v>73042870.241681978</v>
      </c>
      <c r="D29" s="11">
        <v>8.3999999999999995E-3</v>
      </c>
      <c r="E29" s="10">
        <f t="shared" si="2"/>
        <v>608449.1372769922</v>
      </c>
      <c r="F29" s="3"/>
      <c r="G29" s="28"/>
      <c r="H29" s="10"/>
      <c r="I29" s="10">
        <f t="shared" si="6"/>
        <v>0</v>
      </c>
      <c r="J29" s="10">
        <f t="shared" si="7"/>
        <v>0</v>
      </c>
      <c r="K29" s="11" t="str">
        <f t="shared" si="8"/>
        <v/>
      </c>
    </row>
    <row r="30" spans="1:16" ht="22.5" customHeight="1">
      <c r="A30" s="3">
        <f t="shared" si="0"/>
        <v>1987</v>
      </c>
      <c r="B30" s="3">
        <v>1737</v>
      </c>
      <c r="C30" s="10">
        <f t="shared" si="1"/>
        <v>72434421.104404986</v>
      </c>
      <c r="D30" s="11">
        <v>7.0000000000000001E-3</v>
      </c>
      <c r="E30" s="10">
        <f t="shared" si="2"/>
        <v>503516.33339704573</v>
      </c>
      <c r="F30" s="3"/>
      <c r="G30" s="28"/>
      <c r="H30" s="10"/>
      <c r="I30" s="10">
        <f t="shared" si="6"/>
        <v>0</v>
      </c>
      <c r="J30" s="10">
        <f t="shared" si="7"/>
        <v>0</v>
      </c>
      <c r="K30" s="11" t="str">
        <f t="shared" si="8"/>
        <v/>
      </c>
    </row>
    <row r="31" spans="1:16" ht="22.5" customHeight="1">
      <c r="A31" s="3">
        <f t="shared" si="0"/>
        <v>1986</v>
      </c>
      <c r="B31" s="3">
        <v>1736</v>
      </c>
      <c r="C31" s="10">
        <f t="shared" si="1"/>
        <v>71930904.77100794</v>
      </c>
      <c r="D31" s="11">
        <v>5.7999999999999996E-3</v>
      </c>
      <c r="E31" s="10">
        <f t="shared" si="2"/>
        <v>414793.44568686187</v>
      </c>
      <c r="F31" s="3"/>
      <c r="G31" s="28"/>
      <c r="H31" s="10"/>
      <c r="I31" s="10">
        <f t="shared" si="6"/>
        <v>0</v>
      </c>
      <c r="J31" s="10">
        <f t="shared" si="7"/>
        <v>0</v>
      </c>
      <c r="K31" s="11" t="str">
        <f t="shared" si="8"/>
        <v/>
      </c>
    </row>
    <row r="32" spans="1:16" ht="22.5" customHeight="1">
      <c r="A32" s="3">
        <f t="shared" si="0"/>
        <v>1985</v>
      </c>
      <c r="B32" s="3">
        <v>1735</v>
      </c>
      <c r="C32" s="10">
        <f t="shared" si="1"/>
        <v>71516111.325321078</v>
      </c>
      <c r="D32" s="11">
        <v>5.1000000000000004E-3</v>
      </c>
      <c r="E32" s="10">
        <f t="shared" si="2"/>
        <v>362881.47225067019</v>
      </c>
      <c r="F32" s="3"/>
      <c r="G32" s="28"/>
      <c r="H32" s="10"/>
      <c r="I32" s="10">
        <f t="shared" si="6"/>
        <v>0</v>
      </c>
      <c r="J32" s="10">
        <f t="shared" si="7"/>
        <v>0</v>
      </c>
      <c r="K32" s="11" t="str">
        <f t="shared" si="8"/>
        <v/>
      </c>
    </row>
    <row r="33" spans="1:16" ht="22.5" customHeight="1">
      <c r="A33" s="3">
        <f t="shared" si="0"/>
        <v>1984</v>
      </c>
      <c r="B33" s="3">
        <v>1734</v>
      </c>
      <c r="C33" s="10">
        <f t="shared" si="1"/>
        <v>71153229.853070408</v>
      </c>
      <c r="D33" s="11">
        <v>4.8999999999999998E-3</v>
      </c>
      <c r="E33" s="10">
        <f t="shared" si="2"/>
        <v>346950.76751919091</v>
      </c>
      <c r="F33" s="3"/>
      <c r="G33" s="28"/>
      <c r="H33" s="10"/>
      <c r="I33" s="10">
        <f t="shared" si="6"/>
        <v>0</v>
      </c>
      <c r="J33" s="10">
        <f t="shared" si="7"/>
        <v>0</v>
      </c>
      <c r="K33" s="11" t="str">
        <f t="shared" si="8"/>
        <v/>
      </c>
    </row>
    <row r="34" spans="1:16" ht="22.5" customHeight="1">
      <c r="A34" s="3">
        <f t="shared" si="0"/>
        <v>1983</v>
      </c>
      <c r="B34" s="3">
        <v>1733</v>
      </c>
      <c r="C34" s="10">
        <f t="shared" si="1"/>
        <v>70806279.085551217</v>
      </c>
      <c r="D34" s="11">
        <v>5.0000000000000001E-3</v>
      </c>
      <c r="E34" s="10">
        <f t="shared" si="2"/>
        <v>352270.04520173371</v>
      </c>
      <c r="F34" s="3"/>
      <c r="G34" s="28"/>
      <c r="H34" s="10"/>
      <c r="I34" s="10">
        <f t="shared" si="6"/>
        <v>0</v>
      </c>
      <c r="J34" s="10">
        <f t="shared" si="7"/>
        <v>0</v>
      </c>
      <c r="K34" s="11" t="str">
        <f t="shared" si="8"/>
        <v/>
      </c>
    </row>
    <row r="35" spans="1:16" ht="22.5" customHeight="1">
      <c r="A35" s="3">
        <f t="shared" si="0"/>
        <v>1982</v>
      </c>
      <c r="B35" s="3">
        <v>1732</v>
      </c>
      <c r="C35" s="10">
        <f t="shared" si="1"/>
        <v>70454009.040349483</v>
      </c>
      <c r="D35" s="11">
        <v>5.1999999999999998E-3</v>
      </c>
      <c r="E35" s="10">
        <f t="shared" si="2"/>
        <v>364465.6257558912</v>
      </c>
      <c r="F35" s="3"/>
      <c r="G35" s="28"/>
      <c r="H35" s="10"/>
      <c r="I35" s="10">
        <f t="shared" si="6"/>
        <v>0</v>
      </c>
      <c r="J35" s="10">
        <f t="shared" si="7"/>
        <v>0</v>
      </c>
      <c r="K35" s="11" t="str">
        <f t="shared" si="8"/>
        <v/>
      </c>
    </row>
    <row r="36" spans="1:16" ht="22.5" customHeight="1">
      <c r="A36" s="3">
        <f t="shared" si="0"/>
        <v>1981</v>
      </c>
      <c r="B36" s="3">
        <v>1731</v>
      </c>
      <c r="C36" s="10">
        <f t="shared" si="1"/>
        <v>70089543.414593592</v>
      </c>
      <c r="D36" s="11">
        <v>5.1999999999999998E-3</v>
      </c>
      <c r="E36" s="10">
        <f t="shared" si="2"/>
        <v>362580.20867080986</v>
      </c>
      <c r="F36" s="3"/>
      <c r="G36" s="28"/>
      <c r="H36" s="10"/>
      <c r="I36" s="10">
        <f t="shared" si="6"/>
        <v>0</v>
      </c>
      <c r="J36" s="10">
        <f t="shared" si="7"/>
        <v>0</v>
      </c>
      <c r="K36" s="11" t="str">
        <f t="shared" si="8"/>
        <v/>
      </c>
    </row>
    <row r="37" spans="1:16" ht="22.5" customHeight="1">
      <c r="A37" s="3">
        <f t="shared" si="0"/>
        <v>1980</v>
      </c>
      <c r="B37" s="3">
        <v>1730</v>
      </c>
      <c r="C37" s="10">
        <f t="shared" si="1"/>
        <v>69726963.205922782</v>
      </c>
      <c r="D37" s="11">
        <v>5.1000000000000004E-3</v>
      </c>
      <c r="E37" s="10">
        <f t="shared" si="2"/>
        <v>353803.11645628512</v>
      </c>
      <c r="F37" s="3"/>
      <c r="G37" s="28"/>
      <c r="H37" s="10"/>
      <c r="I37" s="10">
        <f t="shared" si="6"/>
        <v>0</v>
      </c>
      <c r="J37" s="10">
        <f t="shared" si="7"/>
        <v>0</v>
      </c>
      <c r="K37" s="11" t="str">
        <f t="shared" si="8"/>
        <v/>
      </c>
      <c r="O37" t="s">
        <v>92</v>
      </c>
      <c r="P37" t="s">
        <v>93</v>
      </c>
    </row>
    <row r="38" spans="1:16" ht="22.5" customHeight="1">
      <c r="A38" s="3">
        <f t="shared" si="0"/>
        <v>1979</v>
      </c>
      <c r="B38" s="3">
        <v>1729</v>
      </c>
      <c r="C38" s="10">
        <f t="shared" si="1"/>
        <v>69373160.089466497</v>
      </c>
      <c r="D38" s="11">
        <v>4.7999999999999996E-3</v>
      </c>
      <c r="E38" s="10">
        <f t="shared" si="2"/>
        <v>331400.44628725946</v>
      </c>
      <c r="F38" s="3"/>
      <c r="G38" s="28"/>
      <c r="H38" s="10"/>
      <c r="I38" s="10">
        <f t="shared" si="6"/>
        <v>0</v>
      </c>
      <c r="J38" s="10">
        <f t="shared" si="7"/>
        <v>0</v>
      </c>
      <c r="K38" s="11" t="str">
        <f t="shared" si="8"/>
        <v/>
      </c>
      <c r="O38" t="s">
        <v>98</v>
      </c>
      <c r="P38" t="s">
        <v>99</v>
      </c>
    </row>
    <row r="39" spans="1:16" ht="22.5" customHeight="1">
      <c r="A39" s="3">
        <f t="shared" si="0"/>
        <v>1978</v>
      </c>
      <c r="B39" s="3">
        <v>1728</v>
      </c>
      <c r="C39" s="10">
        <f t="shared" si="1"/>
        <v>69041759.643179238</v>
      </c>
      <c r="D39" s="11">
        <v>4.5999999999999999E-3</v>
      </c>
      <c r="E39" s="10">
        <f t="shared" si="2"/>
        <v>316137.86020168662</v>
      </c>
      <c r="F39" s="3"/>
      <c r="G39" s="28"/>
      <c r="H39" s="10"/>
      <c r="I39" s="10">
        <f t="shared" si="6"/>
        <v>0</v>
      </c>
      <c r="J39" s="10">
        <f t="shared" si="7"/>
        <v>0</v>
      </c>
      <c r="K39" s="11" t="str">
        <f t="shared" si="8"/>
        <v/>
      </c>
    </row>
    <row r="40" spans="1:16" ht="22.5" customHeight="1">
      <c r="A40" s="3">
        <f t="shared" si="0"/>
        <v>1977</v>
      </c>
      <c r="B40" s="3">
        <v>1727</v>
      </c>
      <c r="C40" s="10">
        <f t="shared" si="1"/>
        <v>68725621.782977551</v>
      </c>
      <c r="D40" s="11">
        <v>4.7000000000000002E-3</v>
      </c>
      <c r="E40" s="10">
        <f t="shared" si="2"/>
        <v>321499.37531600893</v>
      </c>
      <c r="F40" s="3"/>
      <c r="G40" s="28"/>
      <c r="H40" s="10"/>
      <c r="I40" s="10">
        <f t="shared" si="6"/>
        <v>0</v>
      </c>
      <c r="J40" s="10">
        <f t="shared" si="7"/>
        <v>0</v>
      </c>
      <c r="K40" s="11" t="str">
        <f t="shared" si="8"/>
        <v/>
      </c>
    </row>
    <row r="41" spans="1:16" ht="22.5" customHeight="1">
      <c r="A41" s="3">
        <f t="shared" si="0"/>
        <v>1976</v>
      </c>
      <c r="B41" s="3">
        <v>1726</v>
      </c>
      <c r="C41" s="10">
        <f t="shared" si="1"/>
        <v>68404122.407661542</v>
      </c>
      <c r="D41" s="11">
        <v>5.3E-3</v>
      </c>
      <c r="E41" s="10">
        <f t="shared" si="2"/>
        <v>360630.50707311928</v>
      </c>
      <c r="F41" s="3"/>
      <c r="G41" s="28"/>
      <c r="H41" s="10"/>
      <c r="I41" s="10">
        <f t="shared" si="6"/>
        <v>0</v>
      </c>
      <c r="J41" s="10">
        <f t="shared" si="7"/>
        <v>0</v>
      </c>
      <c r="K41" s="11" t="str">
        <f t="shared" si="8"/>
        <v/>
      </c>
    </row>
    <row r="42" spans="1:16" ht="22.5" customHeight="1">
      <c r="A42" s="3">
        <f t="shared" si="0"/>
        <v>1975</v>
      </c>
      <c r="B42" s="3">
        <v>1725</v>
      </c>
      <c r="C42" s="10">
        <f t="shared" si="1"/>
        <v>68043491.900588423</v>
      </c>
      <c r="D42" s="11">
        <v>6.4000000000000003E-3</v>
      </c>
      <c r="E42" s="10">
        <f t="shared" si="2"/>
        <v>432709.01049658656</v>
      </c>
      <c r="F42" s="3"/>
      <c r="G42" s="28"/>
      <c r="H42" s="10"/>
      <c r="I42" s="10">
        <f t="shared" si="6"/>
        <v>0</v>
      </c>
      <c r="J42" s="10">
        <f t="shared" si="7"/>
        <v>0</v>
      </c>
      <c r="K42" s="11" t="str">
        <f t="shared" si="8"/>
        <v/>
      </c>
      <c r="O42" t="s">
        <v>96</v>
      </c>
      <c r="P42" t="s">
        <v>97</v>
      </c>
    </row>
    <row r="43" spans="1:16" ht="22.5" customHeight="1">
      <c r="A43" s="3">
        <f t="shared" si="0"/>
        <v>1974</v>
      </c>
      <c r="B43" s="3">
        <v>1724</v>
      </c>
      <c r="C43" s="10">
        <f t="shared" si="1"/>
        <v>67610782.890091836</v>
      </c>
      <c r="D43" s="11">
        <v>7.7999999999999996E-3</v>
      </c>
      <c r="E43" s="10">
        <f t="shared" si="2"/>
        <v>523282.50301916897</v>
      </c>
      <c r="F43" s="3"/>
      <c r="G43" s="28"/>
      <c r="H43" s="10"/>
      <c r="I43" s="10">
        <f t="shared" si="6"/>
        <v>0</v>
      </c>
      <c r="J43" s="10">
        <f t="shared" si="7"/>
        <v>0</v>
      </c>
      <c r="K43" s="11" t="str">
        <f t="shared" si="8"/>
        <v/>
      </c>
    </row>
    <row r="44" spans="1:16" ht="22.5" customHeight="1">
      <c r="A44" s="3">
        <f t="shared" si="0"/>
        <v>1973</v>
      </c>
      <c r="B44" s="3">
        <v>1723</v>
      </c>
      <c r="C44" s="10">
        <f t="shared" si="1"/>
        <v>67087500.387072667</v>
      </c>
      <c r="D44" s="11">
        <v>9.2999999999999992E-3</v>
      </c>
      <c r="E44" s="10">
        <f t="shared" si="2"/>
        <v>618164.82076665014</v>
      </c>
      <c r="F44" s="3"/>
      <c r="G44" s="28"/>
      <c r="H44" s="10"/>
      <c r="I44" s="10">
        <f t="shared" si="6"/>
        <v>0</v>
      </c>
      <c r="J44" s="10">
        <f t="shared" si="7"/>
        <v>0</v>
      </c>
      <c r="K44" s="11" t="str">
        <f t="shared" si="8"/>
        <v/>
      </c>
    </row>
    <row r="45" spans="1:16" ht="22.5" customHeight="1">
      <c r="A45" s="3">
        <f t="shared" si="0"/>
        <v>1972</v>
      </c>
      <c r="B45" s="3">
        <v>1722</v>
      </c>
      <c r="C45" s="10">
        <f t="shared" si="1"/>
        <v>66469335.566306017</v>
      </c>
      <c r="D45" s="11">
        <v>1.0699999999999999E-2</v>
      </c>
      <c r="E45" s="10">
        <f t="shared" si="2"/>
        <v>703692.38207130879</v>
      </c>
      <c r="F45" s="3"/>
      <c r="G45" s="28"/>
      <c r="H45" s="10"/>
      <c r="I45" s="10">
        <f t="shared" si="6"/>
        <v>0</v>
      </c>
      <c r="J45" s="10">
        <f t="shared" si="7"/>
        <v>0</v>
      </c>
      <c r="K45" s="11" t="str">
        <f t="shared" si="8"/>
        <v/>
      </c>
    </row>
    <row r="46" spans="1:16" ht="22.5" customHeight="1">
      <c r="A46" s="3">
        <f t="shared" si="0"/>
        <v>1971</v>
      </c>
      <c r="B46" s="3">
        <v>1721</v>
      </c>
      <c r="C46" s="10">
        <f t="shared" si="1"/>
        <v>65765643.184234709</v>
      </c>
      <c r="D46" s="11">
        <v>1.18E-2</v>
      </c>
      <c r="E46" s="10">
        <f t="shared" si="2"/>
        <v>766984.17629370838</v>
      </c>
      <c r="F46" s="3"/>
      <c r="G46" s="28"/>
      <c r="H46" s="10"/>
      <c r="I46" s="10">
        <f t="shared" si="6"/>
        <v>0</v>
      </c>
      <c r="J46" s="10">
        <f t="shared" si="7"/>
        <v>0</v>
      </c>
      <c r="K46" s="11" t="str">
        <f t="shared" si="8"/>
        <v/>
      </c>
    </row>
    <row r="47" spans="1:16" ht="22.5" customHeight="1">
      <c r="A47" s="3">
        <f t="shared" si="0"/>
        <v>1970</v>
      </c>
      <c r="B47" s="3">
        <v>1720</v>
      </c>
      <c r="C47" s="10">
        <f t="shared" si="1"/>
        <v>64998659.007941</v>
      </c>
      <c r="D47" s="11">
        <v>1.2699999999999999E-2</v>
      </c>
      <c r="E47" s="10">
        <f t="shared" si="2"/>
        <v>815130.8081374988</v>
      </c>
      <c r="F47" s="3"/>
      <c r="G47" s="28"/>
      <c r="H47" s="10"/>
      <c r="I47" s="10">
        <f t="shared" si="6"/>
        <v>0</v>
      </c>
      <c r="J47" s="10">
        <f t="shared" si="7"/>
        <v>0</v>
      </c>
      <c r="K47" s="11" t="str">
        <f t="shared" si="8"/>
        <v/>
      </c>
    </row>
    <row r="48" spans="1:16" ht="22.5" customHeight="1">
      <c r="A48" s="3">
        <f t="shared" si="0"/>
        <v>1969</v>
      </c>
      <c r="B48" s="3">
        <v>1719</v>
      </c>
      <c r="C48" s="10">
        <f t="shared" si="1"/>
        <v>64183528.199803501</v>
      </c>
      <c r="D48" s="11">
        <v>1.34E-2</v>
      </c>
      <c r="E48" s="10">
        <f t="shared" si="2"/>
        <v>848686.87376886606</v>
      </c>
      <c r="F48" s="3"/>
      <c r="G48" s="28"/>
      <c r="H48" s="10"/>
      <c r="I48" s="10">
        <f t="shared" si="6"/>
        <v>0</v>
      </c>
      <c r="J48" s="10">
        <f t="shared" si="7"/>
        <v>0</v>
      </c>
      <c r="K48" s="11" t="str">
        <f t="shared" si="8"/>
        <v/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63334841.326034635</v>
      </c>
      <c r="D49" s="11">
        <v>1.4200000000000001E-2</v>
      </c>
      <c r="E49" s="10">
        <f t="shared" si="2"/>
        <v>886762.71625881642</v>
      </c>
      <c r="F49" s="3"/>
      <c r="G49" s="28"/>
      <c r="H49" s="10"/>
      <c r="I49" s="10">
        <f t="shared" si="6"/>
        <v>0</v>
      </c>
      <c r="J49" s="10">
        <f t="shared" si="7"/>
        <v>0</v>
      </c>
      <c r="K49" s="11" t="str">
        <f t="shared" si="8"/>
        <v/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62448078.609775819</v>
      </c>
      <c r="D50" s="11">
        <v>1.52E-2</v>
      </c>
      <c r="E50" s="10">
        <f t="shared" si="2"/>
        <v>934998.81291233003</v>
      </c>
      <c r="F50" s="3"/>
      <c r="G50" s="28"/>
      <c r="H50" s="10"/>
      <c r="I50" s="10">
        <f t="shared" ref="I50:I67" si="9">IF(H50&lt;&gt;"",H50,I49/(1+IF(G49="",0,G49)/100))</f>
        <v>0</v>
      </c>
      <c r="J50" s="10">
        <f t="shared" ref="J50:J67" si="10">IF(I50="","",I50*C50)</f>
        <v>0</v>
      </c>
      <c r="K50" s="11" t="str">
        <f t="shared" ref="K50:K66" si="11">IFERROR(J50/J51-1,"")</f>
        <v/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61513079.796863489</v>
      </c>
      <c r="D51" s="11">
        <v>1.6400000000000001E-2</v>
      </c>
      <c r="E51" s="10">
        <f t="shared" si="2"/>
        <v>992536.90345194936</v>
      </c>
      <c r="F51" s="3"/>
      <c r="G51" s="28"/>
      <c r="H51" s="10"/>
      <c r="I51" s="10">
        <f t="shared" si="9"/>
        <v>0</v>
      </c>
      <c r="J51" s="10">
        <f t="shared" si="10"/>
        <v>0</v>
      </c>
      <c r="K51" s="11" t="str">
        <f t="shared" si="11"/>
        <v/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60520542.893411539</v>
      </c>
      <c r="D52" s="11">
        <v>1.7899999999999999E-2</v>
      </c>
      <c r="E52" s="10">
        <f t="shared" si="2"/>
        <v>1064267.3325396106</v>
      </c>
      <c r="F52" s="3"/>
      <c r="G52" s="28"/>
      <c r="H52" s="10"/>
      <c r="I52" s="10">
        <f t="shared" si="9"/>
        <v>0</v>
      </c>
      <c r="J52" s="10">
        <f t="shared" si="10"/>
        <v>0</v>
      </c>
      <c r="K52" s="11" t="str">
        <f t="shared" si="11"/>
        <v/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59456275.560871929</v>
      </c>
      <c r="D53" s="11">
        <v>1.95E-2</v>
      </c>
      <c r="E53" s="10">
        <f t="shared" si="2"/>
        <v>1137221.5531505719</v>
      </c>
      <c r="F53" s="3"/>
      <c r="G53" s="28"/>
      <c r="H53" s="10"/>
      <c r="I53" s="10">
        <f t="shared" si="9"/>
        <v>0</v>
      </c>
      <c r="J53" s="10">
        <f t="shared" si="10"/>
        <v>0</v>
      </c>
      <c r="K53" s="11" t="str">
        <f t="shared" si="11"/>
        <v/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58319054.007721357</v>
      </c>
      <c r="D54" s="11">
        <v>2.0899999999999998E-2</v>
      </c>
      <c r="E54" s="10">
        <f t="shared" si="2"/>
        <v>1193915.3969648108</v>
      </c>
      <c r="F54" s="3"/>
      <c r="G54" s="28"/>
      <c r="H54" s="10"/>
      <c r="I54" s="10">
        <f t="shared" si="9"/>
        <v>0</v>
      </c>
      <c r="J54" s="10">
        <f t="shared" si="10"/>
        <v>0</v>
      </c>
      <c r="K54" s="11" t="str">
        <f t="shared" si="11"/>
        <v/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57125138.610756546</v>
      </c>
      <c r="D55" s="11">
        <v>2.2100000000000002E-2</v>
      </c>
      <c r="E55" s="10">
        <f t="shared" si="2"/>
        <v>1235168.3429192081</v>
      </c>
      <c r="F55" s="3"/>
      <c r="G55" s="28"/>
      <c r="H55" s="10"/>
      <c r="I55" s="10">
        <f t="shared" si="9"/>
        <v>0</v>
      </c>
      <c r="J55" s="10">
        <f t="shared" si="10"/>
        <v>0</v>
      </c>
      <c r="K55" s="11" t="str">
        <f t="shared" si="11"/>
        <v/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55889970.267837338</v>
      </c>
      <c r="D56" s="11">
        <v>2.2599999999999999E-2</v>
      </c>
      <c r="E56" s="10">
        <f t="shared" si="2"/>
        <v>1235197.8564963043</v>
      </c>
      <c r="F56" s="3"/>
      <c r="G56" s="28"/>
      <c r="H56" s="10"/>
      <c r="I56" s="10">
        <f t="shared" si="9"/>
        <v>0</v>
      </c>
      <c r="J56" s="10">
        <f t="shared" si="10"/>
        <v>0</v>
      </c>
      <c r="K56" s="11" t="str">
        <f t="shared" si="11"/>
        <v/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54654772.411341034</v>
      </c>
      <c r="D57" s="11">
        <v>2.2200000000000001E-2</v>
      </c>
      <c r="E57" s="10">
        <f t="shared" si="2"/>
        <v>1186984.8831263632</v>
      </c>
      <c r="F57" s="3"/>
      <c r="G57" s="28"/>
      <c r="H57" s="10"/>
      <c r="I57" s="10">
        <f t="shared" si="9"/>
        <v>0</v>
      </c>
      <c r="J57" s="10">
        <f t="shared" si="10"/>
        <v>0</v>
      </c>
      <c r="K57" s="11" t="str">
        <f t="shared" si="11"/>
        <v/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53467787.528214671</v>
      </c>
      <c r="D58" s="11">
        <v>2.0799999999999999E-2</v>
      </c>
      <c r="E58" s="10">
        <f t="shared" si="2"/>
        <v>1089469.0248695761</v>
      </c>
      <c r="F58" s="3"/>
      <c r="G58" s="28"/>
      <c r="H58" s="10"/>
      <c r="I58" s="10">
        <f t="shared" si="9"/>
        <v>0</v>
      </c>
      <c r="J58" s="10">
        <f t="shared" si="10"/>
        <v>0</v>
      </c>
      <c r="K58" s="11" t="str">
        <f t="shared" si="11"/>
        <v/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52378318.503345095</v>
      </c>
      <c r="D59" s="11">
        <v>1.84E-2</v>
      </c>
      <c r="E59" s="10">
        <f t="shared" si="2"/>
        <v>946348.25261346251</v>
      </c>
      <c r="F59" s="3"/>
      <c r="G59" s="28"/>
      <c r="H59" s="10"/>
      <c r="I59" s="10">
        <f t="shared" si="9"/>
        <v>0</v>
      </c>
      <c r="J59" s="10">
        <f t="shared" si="10"/>
        <v>0</v>
      </c>
      <c r="K59" s="11" t="str">
        <f t="shared" si="11"/>
        <v/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51431970.250731632</v>
      </c>
      <c r="D60" s="11">
        <v>1.4999999999999999E-2</v>
      </c>
      <c r="E60" s="10">
        <f t="shared" si="2"/>
        <v>760078.37808962166</v>
      </c>
      <c r="F60" s="3"/>
      <c r="G60" s="28"/>
      <c r="H60" s="10"/>
      <c r="I60" s="10">
        <f t="shared" si="9"/>
        <v>0</v>
      </c>
      <c r="J60" s="10">
        <f t="shared" si="10"/>
        <v>0</v>
      </c>
      <c r="K60" s="11" t="str">
        <f t="shared" si="11"/>
        <v/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50671891.87264201</v>
      </c>
      <c r="D61" s="11">
        <v>1.11E-2</v>
      </c>
      <c r="E61" s="10">
        <f t="shared" si="2"/>
        <v>556283.25564863533</v>
      </c>
      <c r="F61" s="3"/>
      <c r="G61" s="28"/>
      <c r="H61" s="10"/>
      <c r="I61" s="10">
        <f t="shared" si="9"/>
        <v>0</v>
      </c>
      <c r="J61" s="10">
        <f t="shared" si="10"/>
        <v>0</v>
      </c>
      <c r="K61" s="11" t="str">
        <f t="shared" si="11"/>
        <v/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50115608.616993375</v>
      </c>
      <c r="D62" s="11">
        <v>7.4000000000000003E-3</v>
      </c>
      <c r="E62" s="10">
        <f t="shared" si="2"/>
        <v>368131.33190962672</v>
      </c>
      <c r="F62" s="3"/>
      <c r="G62" s="28"/>
      <c r="H62" s="10"/>
      <c r="I62" s="10">
        <f t="shared" si="9"/>
        <v>0</v>
      </c>
      <c r="J62" s="10">
        <f t="shared" si="10"/>
        <v>0</v>
      </c>
      <c r="K62" s="11" t="str">
        <f t="shared" si="11"/>
        <v/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49747477.285083748</v>
      </c>
      <c r="D63" s="11">
        <v>4.5999999999999999E-3</v>
      </c>
      <c r="E63" s="10">
        <f t="shared" si="2"/>
        <v>227790.55894025415</v>
      </c>
      <c r="F63" s="3"/>
      <c r="G63" s="28"/>
      <c r="H63" s="10"/>
      <c r="I63" s="10">
        <f t="shared" si="9"/>
        <v>0</v>
      </c>
      <c r="J63" s="10">
        <f t="shared" si="10"/>
        <v>0</v>
      </c>
      <c r="K63" s="11" t="str">
        <f t="shared" si="11"/>
        <v/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49519686.726143494</v>
      </c>
      <c r="D64" s="11">
        <v>3.0999999999999999E-3</v>
      </c>
      <c r="E64" s="10">
        <f t="shared" si="2"/>
        <v>153036.61534348875</v>
      </c>
      <c r="F64" s="3"/>
      <c r="G64" s="28"/>
      <c r="H64" s="10"/>
      <c r="I64" s="10">
        <f t="shared" si="9"/>
        <v>0</v>
      </c>
      <c r="J64" s="10">
        <f t="shared" si="10"/>
        <v>0</v>
      </c>
      <c r="K64" s="11" t="str">
        <f t="shared" si="11"/>
        <v/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49366650.110800005</v>
      </c>
      <c r="D65" s="11">
        <v>3.3E-3</v>
      </c>
      <c r="E65" s="10">
        <f t="shared" si="2"/>
        <v>162374.1108000055</v>
      </c>
      <c r="F65" s="3"/>
      <c r="G65" s="28"/>
      <c r="H65" s="10"/>
      <c r="I65" s="10">
        <f t="shared" si="9"/>
        <v>0</v>
      </c>
      <c r="J65" s="10">
        <f t="shared" si="10"/>
        <v>0</v>
      </c>
      <c r="K65" s="11" t="str">
        <f t="shared" si="11"/>
        <v/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49204276</v>
      </c>
      <c r="D66" s="11">
        <v>5.4000000000000003E-3</v>
      </c>
      <c r="E66" s="10">
        <f t="shared" si="2"/>
        <v>264276</v>
      </c>
      <c r="F66" s="24">
        <f>SUM(F2)</f>
        <v>85678806</v>
      </c>
      <c r="G66" s="28"/>
      <c r="H66" s="10"/>
      <c r="I66" s="10">
        <f t="shared" si="9"/>
        <v>0</v>
      </c>
      <c r="J66" s="10">
        <f t="shared" si="10"/>
        <v>0</v>
      </c>
      <c r="K66" s="11" t="str">
        <f t="shared" si="11"/>
        <v/>
      </c>
    </row>
    <row r="67" spans="1:11" ht="22.5" customHeight="1">
      <c r="A67" s="3">
        <f t="shared" si="0"/>
        <v>1950</v>
      </c>
      <c r="B67" s="3">
        <v>1700</v>
      </c>
      <c r="C67" s="10">
        <v>48940000</v>
      </c>
      <c r="D67" s="11">
        <v>9.1000000000000004E-3</v>
      </c>
      <c r="E67" s="3" t="s">
        <v>72</v>
      </c>
      <c r="F67" s="10">
        <f>SUM(C2)</f>
        <v>85678302.344146222</v>
      </c>
      <c r="G67" s="28"/>
      <c r="H67" s="10"/>
      <c r="I67" s="10">
        <f t="shared" si="9"/>
        <v>0</v>
      </c>
      <c r="J67" s="10">
        <f t="shared" si="10"/>
        <v>0</v>
      </c>
      <c r="K67" s="11"/>
    </row>
  </sheetData>
  <dataValidations count="1">
    <dataValidation type="custom" allowBlank="1" showDropDown="1" sqref="D2:D67" xr:uid="{00000000-0002-0000-9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12306964.024369083</v>
      </c>
      <c r="D2" s="11">
        <v>1.4999999999999999E-2</v>
      </c>
      <c r="E2" s="10">
        <f t="shared" ref="E2:E66" si="2">SUM(C2-C3)</f>
        <v>181876.31563106924</v>
      </c>
      <c r="F2" s="15">
        <v>12307247</v>
      </c>
      <c r="G2" s="28"/>
      <c r="H2" s="10"/>
      <c r="I2" s="10">
        <f>IF(H2&lt;&gt;"",H2,6032)</f>
        <v>6032</v>
      </c>
      <c r="J2" s="10">
        <f t="shared" ref="J2:J33" si="3">IF(I2="","",I2*C2)</f>
        <v>74235606994.994308</v>
      </c>
      <c r="K2" s="11">
        <f t="shared" ref="K2:K33" si="4">IFERROR(J2/J3-1,"")</f>
        <v>1.4999999999999902E-2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12125087.708738014</v>
      </c>
      <c r="D3" s="11">
        <v>1.47E-2</v>
      </c>
      <c r="E3" s="10">
        <f t="shared" si="2"/>
        <v>175656.63675810397</v>
      </c>
      <c r="F3" s="3"/>
      <c r="G3" s="28"/>
      <c r="H3" s="10"/>
      <c r="I3" s="10">
        <f t="shared" ref="I3:I34" si="5">IF(H3&lt;&gt;"",H3,I2/(1+IF(G2="",0,G2)/100))</f>
        <v>6032</v>
      </c>
      <c r="J3" s="10">
        <f t="shared" si="3"/>
        <v>73138529059.107697</v>
      </c>
      <c r="K3" s="11">
        <f t="shared" si="4"/>
        <v>1.4699999999999935E-2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11949431.07197991</v>
      </c>
      <c r="D4" s="11">
        <v>1.46E-2</v>
      </c>
      <c r="E4" s="10">
        <f t="shared" si="2"/>
        <v>171951.20604268275</v>
      </c>
      <c r="F4" s="3"/>
      <c r="G4" s="28"/>
      <c r="H4" s="10"/>
      <c r="I4" s="10">
        <f t="shared" si="5"/>
        <v>6032</v>
      </c>
      <c r="J4" s="10">
        <f t="shared" si="3"/>
        <v>72078968226.182816</v>
      </c>
      <c r="K4" s="11">
        <f t="shared" si="4"/>
        <v>1.4599999999999946E-2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11777479.865937227</v>
      </c>
      <c r="D5" s="11">
        <v>1.4500000000000001E-2</v>
      </c>
      <c r="E5" s="10">
        <f t="shared" si="2"/>
        <v>168332.63485075347</v>
      </c>
      <c r="F5" s="3"/>
      <c r="G5" s="28"/>
      <c r="H5" s="10"/>
      <c r="I5" s="10">
        <f t="shared" si="5"/>
        <v>6032</v>
      </c>
      <c r="J5" s="10">
        <f t="shared" si="3"/>
        <v>71041758551.333359</v>
      </c>
      <c r="K5" s="11">
        <f t="shared" si="4"/>
        <v>1.4500000000000179E-2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11609147.231086474</v>
      </c>
      <c r="D6" s="11">
        <v>1.47E-2</v>
      </c>
      <c r="E6" s="10">
        <f t="shared" si="2"/>
        <v>168182.18616041169</v>
      </c>
      <c r="F6" s="3"/>
      <c r="G6" s="28"/>
      <c r="H6" s="10"/>
      <c r="I6" s="10">
        <f t="shared" si="5"/>
        <v>6032</v>
      </c>
      <c r="J6" s="10">
        <f t="shared" si="3"/>
        <v>70026376097.913605</v>
      </c>
      <c r="K6" s="11">
        <f t="shared" si="4"/>
        <v>1.4699999999999935E-2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11440965.044926062</v>
      </c>
      <c r="D7" s="11">
        <v>1.52E-2</v>
      </c>
      <c r="E7" s="10">
        <f t="shared" si="2"/>
        <v>171298.92502253503</v>
      </c>
      <c r="F7" s="3"/>
      <c r="G7" s="28"/>
      <c r="H7" s="10"/>
      <c r="I7" s="10">
        <f t="shared" si="5"/>
        <v>6032</v>
      </c>
      <c r="J7" s="10">
        <f t="shared" si="3"/>
        <v>69011901150.994003</v>
      </c>
      <c r="K7" s="11">
        <f t="shared" si="4"/>
        <v>1.5200000000000102E-2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11269666.119903527</v>
      </c>
      <c r="D8" s="11">
        <v>1.5900000000000001E-2</v>
      </c>
      <c r="E8" s="10">
        <f t="shared" si="2"/>
        <v>176383.19845109433</v>
      </c>
      <c r="F8" s="3"/>
      <c r="G8" s="28"/>
      <c r="H8" s="10"/>
      <c r="I8" s="10">
        <f t="shared" si="5"/>
        <v>6032</v>
      </c>
      <c r="J8" s="10">
        <f t="shared" si="3"/>
        <v>67978626035.25808</v>
      </c>
      <c r="K8" s="11">
        <f t="shared" si="4"/>
        <v>1.5900000000000247E-2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11093282.921452433</v>
      </c>
      <c r="D9" s="11">
        <v>1.7000000000000001E-2</v>
      </c>
      <c r="E9" s="10">
        <f t="shared" si="2"/>
        <v>185433.44116488658</v>
      </c>
      <c r="F9" s="3"/>
      <c r="G9" s="28"/>
      <c r="H9" s="10"/>
      <c r="I9" s="10">
        <f t="shared" si="5"/>
        <v>6032</v>
      </c>
      <c r="J9" s="10">
        <f t="shared" si="3"/>
        <v>66914682582.201073</v>
      </c>
      <c r="K9" s="11">
        <f t="shared" si="4"/>
        <v>1.6999999999999682E-2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10907849.480287546</v>
      </c>
      <c r="D10" s="11">
        <v>1.84E-2</v>
      </c>
      <c r="E10" s="10">
        <f t="shared" si="2"/>
        <v>197078.19170982949</v>
      </c>
      <c r="F10" s="3"/>
      <c r="G10" s="28"/>
      <c r="H10" s="10"/>
      <c r="I10" s="10">
        <f t="shared" si="5"/>
        <v>6032</v>
      </c>
      <c r="J10" s="10">
        <f t="shared" si="3"/>
        <v>65796148065.094482</v>
      </c>
      <c r="K10" s="11">
        <f t="shared" si="4"/>
        <v>1.8399999999999972E-2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10710771.288577717</v>
      </c>
      <c r="D11" s="11">
        <v>2.01E-2</v>
      </c>
      <c r="E11" s="10">
        <f t="shared" si="2"/>
        <v>211044.50828390568</v>
      </c>
      <c r="F11" s="3"/>
      <c r="G11" s="28"/>
      <c r="H11" s="10"/>
      <c r="I11" s="10">
        <f t="shared" si="5"/>
        <v>6032</v>
      </c>
      <c r="J11" s="10">
        <f t="shared" si="3"/>
        <v>64607372412.70079</v>
      </c>
      <c r="K11" s="11">
        <f t="shared" si="4"/>
        <v>2.0100000000000007E-2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10499726.780293811</v>
      </c>
      <c r="D12" s="11">
        <v>2.1899999999999999E-2</v>
      </c>
      <c r="E12" s="10">
        <f t="shared" si="2"/>
        <v>225016.16252904944</v>
      </c>
      <c r="F12" s="3"/>
      <c r="G12" s="28"/>
      <c r="H12" s="10"/>
      <c r="I12" s="10">
        <f t="shared" si="5"/>
        <v>6032</v>
      </c>
      <c r="J12" s="10">
        <f t="shared" si="3"/>
        <v>63334351938.732269</v>
      </c>
      <c r="K12" s="11">
        <f t="shared" si="4"/>
        <v>2.1900000000000253E-2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10274710.617764762</v>
      </c>
      <c r="D13" s="11">
        <v>2.3599999999999999E-2</v>
      </c>
      <c r="E13" s="10">
        <f t="shared" si="2"/>
        <v>236892.50740450248</v>
      </c>
      <c r="F13" s="3"/>
      <c r="G13" s="28"/>
      <c r="H13" s="10"/>
      <c r="I13" s="10">
        <f t="shared" si="5"/>
        <v>6032</v>
      </c>
      <c r="J13" s="10">
        <f t="shared" si="3"/>
        <v>61977054446.35704</v>
      </c>
      <c r="K13" s="11">
        <f t="shared" si="4"/>
        <v>2.3600000000000065E-2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10037818.110360259</v>
      </c>
      <c r="D14" s="11">
        <v>2.5100000000000001E-2</v>
      </c>
      <c r="E14" s="10">
        <f t="shared" si="2"/>
        <v>245780.15273635834</v>
      </c>
      <c r="F14" s="3"/>
      <c r="G14" s="28"/>
      <c r="H14" s="10"/>
      <c r="I14" s="10">
        <f t="shared" si="5"/>
        <v>6032</v>
      </c>
      <c r="J14" s="10">
        <f t="shared" si="3"/>
        <v>60548118841.693085</v>
      </c>
      <c r="K14" s="11">
        <f t="shared" si="4"/>
        <v>2.50999999999999E-2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9792037.9576239008</v>
      </c>
      <c r="D15" s="11">
        <v>2.64E-2</v>
      </c>
      <c r="E15" s="10">
        <f t="shared" si="2"/>
        <v>251860.68012594618</v>
      </c>
      <c r="F15" s="3"/>
      <c r="G15" s="28"/>
      <c r="H15" s="10"/>
      <c r="I15" s="10">
        <f t="shared" si="5"/>
        <v>6032</v>
      </c>
      <c r="J15" s="10">
        <f t="shared" si="3"/>
        <v>59065572960.387367</v>
      </c>
      <c r="K15" s="11">
        <f t="shared" si="4"/>
        <v>2.6399999999999979E-2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9540177.2774979547</v>
      </c>
      <c r="D16" s="11">
        <v>2.75E-2</v>
      </c>
      <c r="E16" s="10">
        <f t="shared" si="2"/>
        <v>255333.21180651523</v>
      </c>
      <c r="F16" s="3"/>
      <c r="G16" s="28"/>
      <c r="H16" s="10"/>
      <c r="I16" s="10">
        <f t="shared" si="5"/>
        <v>6032</v>
      </c>
      <c r="J16" s="10">
        <f t="shared" si="3"/>
        <v>57546349337.867661</v>
      </c>
      <c r="K16" s="11">
        <f t="shared" si="4"/>
        <v>2.750000000000008E-2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9284844.0656914394</v>
      </c>
      <c r="D17" s="11">
        <v>2.8500000000000001E-2</v>
      </c>
      <c r="E17" s="10">
        <f t="shared" si="2"/>
        <v>257285.42136335</v>
      </c>
      <c r="F17" s="3"/>
      <c r="G17" s="28"/>
      <c r="H17" s="10"/>
      <c r="I17" s="10">
        <f t="shared" si="5"/>
        <v>6032</v>
      </c>
      <c r="J17" s="10">
        <f t="shared" si="3"/>
        <v>56006179404.250763</v>
      </c>
      <c r="K17" s="11">
        <f t="shared" si="4"/>
        <v>2.849999999999997E-2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9027558.6443280894</v>
      </c>
      <c r="D18" s="11">
        <v>2.93E-2</v>
      </c>
      <c r="E18" s="10">
        <f t="shared" si="2"/>
        <v>256978.01251220703</v>
      </c>
      <c r="F18" s="3"/>
      <c r="G18" s="28"/>
      <c r="H18" s="10"/>
      <c r="I18" s="10">
        <f t="shared" si="5"/>
        <v>6032</v>
      </c>
      <c r="J18" s="10">
        <f t="shared" si="3"/>
        <v>54454233742.587036</v>
      </c>
      <c r="K18" s="11">
        <f t="shared" si="4"/>
        <v>2.9300000000000104E-2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8770580.6318158824</v>
      </c>
      <c r="D19" s="11">
        <v>0.03</v>
      </c>
      <c r="E19" s="10">
        <f t="shared" si="2"/>
        <v>255453.80481017195</v>
      </c>
      <c r="F19" s="3"/>
      <c r="G19" s="28"/>
      <c r="H19" s="10"/>
      <c r="I19" s="10">
        <f t="shared" si="5"/>
        <v>6032</v>
      </c>
      <c r="J19" s="10">
        <f t="shared" si="3"/>
        <v>52904142371.113403</v>
      </c>
      <c r="K19" s="11">
        <f t="shared" si="4"/>
        <v>3.0000000000000027E-2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8515126.8270057105</v>
      </c>
      <c r="D20" s="11">
        <v>3.0700000000000002E-2</v>
      </c>
      <c r="E20" s="10">
        <f t="shared" si="2"/>
        <v>253628.0135724023</v>
      </c>
      <c r="F20" s="3"/>
      <c r="G20" s="28"/>
      <c r="H20" s="10"/>
      <c r="I20" s="10">
        <f t="shared" si="5"/>
        <v>6032</v>
      </c>
      <c r="J20" s="10">
        <f t="shared" si="3"/>
        <v>51363245020.498444</v>
      </c>
      <c r="K20" s="11">
        <f t="shared" si="4"/>
        <v>3.069999999999995E-2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8261498.8134333082</v>
      </c>
      <c r="D21" s="11">
        <v>3.1300000000000001E-2</v>
      </c>
      <c r="E21" s="10">
        <f t="shared" si="2"/>
        <v>250736.84947199002</v>
      </c>
      <c r="F21" s="3"/>
      <c r="G21" s="28"/>
      <c r="H21" s="10"/>
      <c r="I21" s="10">
        <f t="shared" si="5"/>
        <v>6032</v>
      </c>
      <c r="J21" s="10">
        <f t="shared" si="3"/>
        <v>49833360842.629715</v>
      </c>
      <c r="K21" s="11">
        <f t="shared" si="4"/>
        <v>3.1300000000000106E-2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8010761.9639613181</v>
      </c>
      <c r="D22" s="11">
        <v>3.2099999999999997E-2</v>
      </c>
      <c r="E22" s="10">
        <f t="shared" si="2"/>
        <v>249147.81420711055</v>
      </c>
      <c r="F22" s="3"/>
      <c r="G22" s="28"/>
      <c r="H22" s="10"/>
      <c r="I22" s="10">
        <f t="shared" si="5"/>
        <v>6032</v>
      </c>
      <c r="J22" s="10">
        <f t="shared" si="3"/>
        <v>48320916166.61467</v>
      </c>
      <c r="K22" s="11">
        <f t="shared" si="4"/>
        <v>3.2100000000000017E-2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7761614.1497542076</v>
      </c>
      <c r="D23" s="11">
        <v>3.2899999999999999E-2</v>
      </c>
      <c r="E23" s="10">
        <f t="shared" si="2"/>
        <v>247223.45389380679</v>
      </c>
      <c r="F23" s="3"/>
      <c r="G23" s="28"/>
      <c r="H23" s="10"/>
      <c r="I23" s="10">
        <f t="shared" si="5"/>
        <v>6032</v>
      </c>
      <c r="J23" s="10">
        <f t="shared" si="3"/>
        <v>46818056551.317383</v>
      </c>
      <c r="K23" s="11">
        <f t="shared" si="4"/>
        <v>3.2899999999999929E-2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7514390.6958604008</v>
      </c>
      <c r="D24" s="11">
        <v>3.3700000000000001E-2</v>
      </c>
      <c r="E24" s="10">
        <f t="shared" si="2"/>
        <v>244979.16847295687</v>
      </c>
      <c r="F24" s="3"/>
      <c r="G24" s="28"/>
      <c r="H24" s="10"/>
      <c r="I24" s="10">
        <f t="shared" si="5"/>
        <v>6032</v>
      </c>
      <c r="J24" s="10">
        <f t="shared" si="3"/>
        <v>45326804677.429939</v>
      </c>
      <c r="K24" s="11">
        <f t="shared" si="4"/>
        <v>3.3700000000000063E-2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7269411.5273874439</v>
      </c>
      <c r="D25" s="11">
        <v>3.4599999999999999E-2</v>
      </c>
      <c r="E25" s="10">
        <f t="shared" si="2"/>
        <v>243110.03174908645</v>
      </c>
      <c r="F25" s="3"/>
      <c r="G25" s="28"/>
      <c r="H25" s="10"/>
      <c r="I25" s="10">
        <f t="shared" si="5"/>
        <v>6032</v>
      </c>
      <c r="J25" s="10">
        <f t="shared" si="3"/>
        <v>43849090333.201065</v>
      </c>
      <c r="K25" s="11">
        <f t="shared" si="4"/>
        <v>3.4599999999999964E-2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7026301.4956383575</v>
      </c>
      <c r="D26" s="11">
        <v>3.5400000000000001E-2</v>
      </c>
      <c r="E26" s="10">
        <f t="shared" si="2"/>
        <v>240227.03587560263</v>
      </c>
      <c r="F26" s="3"/>
      <c r="G26" s="28"/>
      <c r="H26" s="10"/>
      <c r="I26" s="10">
        <f t="shared" si="5"/>
        <v>6032</v>
      </c>
      <c r="J26" s="10">
        <f t="shared" si="3"/>
        <v>42382650621.690575</v>
      </c>
      <c r="K26" s="11">
        <f t="shared" si="4"/>
        <v>3.5400000000000098E-2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6786074.4597627549</v>
      </c>
      <c r="D27" s="11">
        <v>3.6200000000000003E-2</v>
      </c>
      <c r="E27" s="10">
        <f t="shared" si="2"/>
        <v>237073.82304903679</v>
      </c>
      <c r="F27" s="3"/>
      <c r="G27" s="28"/>
      <c r="H27" s="10"/>
      <c r="I27" s="10">
        <f t="shared" si="5"/>
        <v>6032</v>
      </c>
      <c r="J27" s="10">
        <f t="shared" si="3"/>
        <v>40933601141.28894</v>
      </c>
      <c r="K27" s="11">
        <f t="shared" si="4"/>
        <v>3.620000000000001E-2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6549000.6367137181</v>
      </c>
      <c r="D28" s="11">
        <v>3.6799999999999999E-2</v>
      </c>
      <c r="E28" s="10">
        <f t="shared" si="2"/>
        <v>232449.09667348024</v>
      </c>
      <c r="F28" s="3"/>
      <c r="G28" s="28"/>
      <c r="H28" s="10"/>
      <c r="I28" s="10">
        <f t="shared" si="5"/>
        <v>6032</v>
      </c>
      <c r="J28" s="10">
        <f t="shared" si="3"/>
        <v>39503571840.65715</v>
      </c>
      <c r="K28" s="11">
        <f t="shared" si="4"/>
        <v>3.6799999999999944E-2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6316551.5400402378</v>
      </c>
      <c r="D29" s="11">
        <v>3.73E-2</v>
      </c>
      <c r="E29" s="10">
        <f t="shared" si="2"/>
        <v>227135.22842331231</v>
      </c>
      <c r="F29" s="3"/>
      <c r="G29" s="28"/>
      <c r="H29" s="10"/>
      <c r="I29" s="10">
        <f t="shared" si="5"/>
        <v>6032</v>
      </c>
      <c r="J29" s="10">
        <f t="shared" si="3"/>
        <v>38101438889.522713</v>
      </c>
      <c r="K29" s="11">
        <f t="shared" si="4"/>
        <v>3.7300000000000111E-2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6089416.3116169255</v>
      </c>
      <c r="D30" s="11">
        <v>3.7699999999999997E-2</v>
      </c>
      <c r="E30" s="10">
        <f t="shared" si="2"/>
        <v>221230.60127971321</v>
      </c>
      <c r="F30" s="3"/>
      <c r="G30" s="28"/>
      <c r="H30" s="10"/>
      <c r="I30" s="10">
        <f t="shared" si="5"/>
        <v>6032</v>
      </c>
      <c r="J30" s="10">
        <f t="shared" si="3"/>
        <v>36731359191.673294</v>
      </c>
      <c r="K30" s="11">
        <f t="shared" si="4"/>
        <v>3.7700000000000067E-2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5868185.7103372123</v>
      </c>
      <c r="D31" s="11">
        <v>3.7999999999999999E-2</v>
      </c>
      <c r="E31" s="10">
        <f t="shared" si="2"/>
        <v>214827.60789288487</v>
      </c>
      <c r="F31" s="3"/>
      <c r="G31" s="28"/>
      <c r="H31" s="10"/>
      <c r="I31" s="10">
        <f t="shared" si="5"/>
        <v>6032</v>
      </c>
      <c r="J31" s="10">
        <f t="shared" si="3"/>
        <v>35396896204.754066</v>
      </c>
      <c r="K31" s="11">
        <f t="shared" si="4"/>
        <v>3.8000000000000034E-2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5653358.1024443274</v>
      </c>
      <c r="D32" s="11">
        <v>3.8199999999999998E-2</v>
      </c>
      <c r="E32" s="10">
        <f t="shared" si="2"/>
        <v>208012.21297762822</v>
      </c>
      <c r="F32" s="3"/>
      <c r="G32" s="28"/>
      <c r="H32" s="10"/>
      <c r="I32" s="10">
        <f t="shared" si="5"/>
        <v>6032</v>
      </c>
      <c r="J32" s="10">
        <f t="shared" si="3"/>
        <v>34101056073.944183</v>
      </c>
      <c r="K32" s="11">
        <f t="shared" si="4"/>
        <v>3.8200000000000012E-2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5445345.8894666992</v>
      </c>
      <c r="D33" s="11">
        <v>3.8399999999999997E-2</v>
      </c>
      <c r="E33" s="10">
        <f t="shared" si="2"/>
        <v>201368.72318520956</v>
      </c>
      <c r="F33" s="3"/>
      <c r="G33" s="28"/>
      <c r="H33" s="10"/>
      <c r="I33" s="10">
        <f t="shared" si="5"/>
        <v>6032</v>
      </c>
      <c r="J33" s="10">
        <f t="shared" si="3"/>
        <v>32846326405.26313</v>
      </c>
      <c r="K33" s="11">
        <f t="shared" si="4"/>
        <v>3.8400000000000212E-2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5243977.1662814897</v>
      </c>
      <c r="D34" s="11">
        <v>3.85E-2</v>
      </c>
      <c r="E34" s="10">
        <f t="shared" si="2"/>
        <v>194408.39759445097</v>
      </c>
      <c r="F34" s="3"/>
      <c r="G34" s="28"/>
      <c r="H34" s="10"/>
      <c r="I34" s="10">
        <f t="shared" si="5"/>
        <v>6032</v>
      </c>
      <c r="J34" s="10">
        <f t="shared" ref="J34:J65" si="6">IF(I34="","",I34*C34)</f>
        <v>31631670267.009945</v>
      </c>
      <c r="K34" s="11">
        <f t="shared" ref="K34:K65" si="7">IFERROR(J34/J35-1,"")</f>
        <v>3.8499999999999979E-2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5049568.7686870387</v>
      </c>
      <c r="D35" s="11">
        <v>3.8600000000000002E-2</v>
      </c>
      <c r="E35" s="10">
        <f t="shared" si="2"/>
        <v>187669.31876691617</v>
      </c>
      <c r="F35" s="3"/>
      <c r="G35" s="28"/>
      <c r="H35" s="10"/>
      <c r="I35" s="10">
        <f t="shared" ref="I35:I66" si="8">IF(H35&lt;&gt;"",H35,I34/(1+IF(G34="",0,G34)/100))</f>
        <v>6032</v>
      </c>
      <c r="J35" s="10">
        <f t="shared" si="6"/>
        <v>30458998812.720219</v>
      </c>
      <c r="K35" s="11">
        <f t="shared" si="7"/>
        <v>3.8599999999999968E-2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4861899.4499201225</v>
      </c>
      <c r="D36" s="11">
        <v>3.8600000000000002E-2</v>
      </c>
      <c r="E36" s="10">
        <f t="shared" si="2"/>
        <v>180694.51065560989</v>
      </c>
      <c r="F36" s="3"/>
      <c r="G36" s="28"/>
      <c r="H36" s="10"/>
      <c r="I36" s="10">
        <f t="shared" si="8"/>
        <v>6032</v>
      </c>
      <c r="J36" s="10">
        <f t="shared" si="6"/>
        <v>29326977481.918179</v>
      </c>
      <c r="K36" s="11">
        <f t="shared" si="7"/>
        <v>3.8599999999999968E-2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4681204.9392645126</v>
      </c>
      <c r="D37" s="11">
        <v>3.85E-2</v>
      </c>
      <c r="E37" s="10">
        <f t="shared" si="2"/>
        <v>173544.91108491458</v>
      </c>
      <c r="F37" s="3"/>
      <c r="G37" s="28"/>
      <c r="H37" s="10"/>
      <c r="I37" s="10">
        <f t="shared" si="8"/>
        <v>6032</v>
      </c>
      <c r="J37" s="10">
        <f t="shared" si="6"/>
        <v>28237028193.643539</v>
      </c>
      <c r="K37" s="11">
        <f t="shared" si="7"/>
        <v>3.8499999999999979E-2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4507660.028179598</v>
      </c>
      <c r="D38" s="11">
        <v>3.8399999999999997E-2</v>
      </c>
      <c r="E38" s="10">
        <f t="shared" si="2"/>
        <v>166693.12893114053</v>
      </c>
      <c r="F38" s="3"/>
      <c r="G38" s="28"/>
      <c r="H38" s="10"/>
      <c r="I38" s="10">
        <f t="shared" si="8"/>
        <v>6032</v>
      </c>
      <c r="J38" s="10">
        <f t="shared" si="6"/>
        <v>27190205289.979336</v>
      </c>
      <c r="K38" s="11">
        <f t="shared" si="7"/>
        <v>3.839999999999999E-2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4340966.8992484575</v>
      </c>
      <c r="D39" s="11">
        <v>3.7999999999999999E-2</v>
      </c>
      <c r="E39" s="10">
        <f t="shared" si="2"/>
        <v>158917.86336362408</v>
      </c>
      <c r="F39" s="3"/>
      <c r="G39" s="28"/>
      <c r="H39" s="10"/>
      <c r="I39" s="10">
        <f t="shared" si="8"/>
        <v>6032</v>
      </c>
      <c r="J39" s="10">
        <f t="shared" si="6"/>
        <v>26184712336.266697</v>
      </c>
      <c r="K39" s="11">
        <f t="shared" si="7"/>
        <v>3.8000000000000256E-2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4182049.0358848334</v>
      </c>
      <c r="D40" s="11">
        <v>3.7499999999999999E-2</v>
      </c>
      <c r="E40" s="10">
        <f t="shared" si="2"/>
        <v>151158.39888740378</v>
      </c>
      <c r="F40" s="3"/>
      <c r="G40" s="28"/>
      <c r="H40" s="10"/>
      <c r="I40" s="10">
        <f t="shared" si="8"/>
        <v>6032</v>
      </c>
      <c r="J40" s="10">
        <f t="shared" si="6"/>
        <v>25226119784.457314</v>
      </c>
      <c r="K40" s="11">
        <f t="shared" si="7"/>
        <v>3.7499999999999867E-2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4030890.6369974297</v>
      </c>
      <c r="D41" s="11">
        <v>3.6799999999999999E-2</v>
      </c>
      <c r="E41" s="10">
        <f t="shared" si="2"/>
        <v>143071.73557243962</v>
      </c>
      <c r="F41" s="3"/>
      <c r="G41" s="28"/>
      <c r="H41" s="10"/>
      <c r="I41" s="10">
        <f t="shared" si="8"/>
        <v>6032</v>
      </c>
      <c r="J41" s="10">
        <f t="shared" si="6"/>
        <v>24314332322.368496</v>
      </c>
      <c r="K41" s="11">
        <f t="shared" si="7"/>
        <v>3.6800000000000166E-2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3887818.90142499</v>
      </c>
      <c r="D42" s="11">
        <v>3.5799999999999998E-2</v>
      </c>
      <c r="E42" s="10">
        <f t="shared" si="2"/>
        <v>134373.35071540345</v>
      </c>
      <c r="F42" s="3"/>
      <c r="G42" s="28"/>
      <c r="H42" s="10"/>
      <c r="I42" s="10">
        <f t="shared" si="8"/>
        <v>6032</v>
      </c>
      <c r="J42" s="10">
        <f t="shared" si="6"/>
        <v>23451323613.395538</v>
      </c>
      <c r="K42" s="11">
        <f t="shared" si="7"/>
        <v>3.5800000000000054E-2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3753445.5507095866</v>
      </c>
      <c r="D43" s="11">
        <v>3.4799999999999998E-2</v>
      </c>
      <c r="E43" s="10">
        <f t="shared" si="2"/>
        <v>126227.19865161693</v>
      </c>
      <c r="F43" s="3"/>
      <c r="G43" s="28"/>
      <c r="H43" s="10"/>
      <c r="I43" s="10">
        <f t="shared" si="8"/>
        <v>6032</v>
      </c>
      <c r="J43" s="10">
        <f t="shared" si="6"/>
        <v>22640783561.880226</v>
      </c>
      <c r="K43" s="11">
        <f t="shared" si="7"/>
        <v>3.479999999999972E-2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3627218.3520579697</v>
      </c>
      <c r="D44" s="11">
        <v>3.3700000000000001E-2</v>
      </c>
      <c r="E44" s="10">
        <f t="shared" si="2"/>
        <v>118252.16065043397</v>
      </c>
      <c r="F44" s="3"/>
      <c r="G44" s="28"/>
      <c r="H44" s="10"/>
      <c r="I44" s="10">
        <f t="shared" si="8"/>
        <v>6032</v>
      </c>
      <c r="J44" s="10">
        <f t="shared" si="6"/>
        <v>21879381099.613674</v>
      </c>
      <c r="K44" s="11">
        <f t="shared" si="7"/>
        <v>3.3700000000000063E-2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3508966.1914075357</v>
      </c>
      <c r="D45" s="11">
        <v>3.2599999999999997E-2</v>
      </c>
      <c r="E45" s="10">
        <f t="shared" si="2"/>
        <v>110780.84237835137</v>
      </c>
      <c r="F45" s="3"/>
      <c r="G45" s="28"/>
      <c r="H45" s="10"/>
      <c r="I45" s="10">
        <f t="shared" si="8"/>
        <v>6032</v>
      </c>
      <c r="J45" s="10">
        <f t="shared" si="6"/>
        <v>21166084066.570255</v>
      </c>
      <c r="K45" s="11">
        <f t="shared" si="7"/>
        <v>3.2599999999999962E-2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3398185.3490291843</v>
      </c>
      <c r="D46" s="11">
        <v>3.1600000000000003E-2</v>
      </c>
      <c r="E46" s="10">
        <f t="shared" si="2"/>
        <v>104093.30848131282</v>
      </c>
      <c r="F46" s="3"/>
      <c r="G46" s="28"/>
      <c r="H46" s="10"/>
      <c r="I46" s="10">
        <f t="shared" si="8"/>
        <v>6032</v>
      </c>
      <c r="J46" s="10">
        <f t="shared" si="6"/>
        <v>20497854025.34404</v>
      </c>
      <c r="K46" s="11">
        <f t="shared" si="7"/>
        <v>3.159999999999985E-2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3294092.0405478715</v>
      </c>
      <c r="D47" s="11">
        <v>3.0700000000000002E-2</v>
      </c>
      <c r="E47" s="10">
        <f t="shared" si="2"/>
        <v>98116.45061106002</v>
      </c>
      <c r="F47" s="3"/>
      <c r="G47" s="28"/>
      <c r="H47" s="10"/>
      <c r="I47" s="10">
        <f t="shared" si="8"/>
        <v>6032</v>
      </c>
      <c r="J47" s="10">
        <f t="shared" si="6"/>
        <v>19869963188.584763</v>
      </c>
      <c r="K47" s="11">
        <f t="shared" si="7"/>
        <v>3.069999999999995E-2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3195975.5899368115</v>
      </c>
      <c r="D48" s="11">
        <v>2.9899999999999999E-2</v>
      </c>
      <c r="E48" s="10">
        <f t="shared" si="2"/>
        <v>92785.387065842282</v>
      </c>
      <c r="F48" s="3"/>
      <c r="G48" s="28"/>
      <c r="H48" s="10"/>
      <c r="I48" s="10">
        <f t="shared" si="8"/>
        <v>6032</v>
      </c>
      <c r="J48" s="10">
        <f t="shared" si="6"/>
        <v>19278124758.498848</v>
      </c>
      <c r="K48" s="11">
        <f t="shared" si="7"/>
        <v>2.990000000000026E-2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3103190.2028709692</v>
      </c>
      <c r="D49" s="11">
        <v>2.9399999999999999E-2</v>
      </c>
      <c r="E49" s="10">
        <f t="shared" si="2"/>
        <v>88628.125086853281</v>
      </c>
      <c r="F49" s="3"/>
      <c r="G49" s="28"/>
      <c r="H49" s="10"/>
      <c r="I49" s="10">
        <f t="shared" si="8"/>
        <v>6032</v>
      </c>
      <c r="J49" s="10">
        <f t="shared" si="6"/>
        <v>18718443303.717686</v>
      </c>
      <c r="K49" s="11">
        <f t="shared" si="7"/>
        <v>2.9400000000000093E-2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3014562.0777841159</v>
      </c>
      <c r="D50" s="11">
        <v>2.9100000000000001E-2</v>
      </c>
      <c r="E50" s="10">
        <f t="shared" si="2"/>
        <v>85243.179927623831</v>
      </c>
      <c r="F50" s="3"/>
      <c r="G50" s="28"/>
      <c r="H50" s="10"/>
      <c r="I50" s="10">
        <f t="shared" si="8"/>
        <v>6032</v>
      </c>
      <c r="J50" s="10">
        <f t="shared" si="6"/>
        <v>18183838453.193787</v>
      </c>
      <c r="K50" s="11">
        <f t="shared" si="7"/>
        <v>2.9099999999999904E-2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2929318.8978564921</v>
      </c>
      <c r="D51" s="11">
        <v>2.8799999999999999E-2</v>
      </c>
      <c r="E51" s="10">
        <f t="shared" si="2"/>
        <v>82002.706316355616</v>
      </c>
      <c r="F51" s="3"/>
      <c r="G51" s="28"/>
      <c r="H51" s="10"/>
      <c r="I51" s="10">
        <f t="shared" si="8"/>
        <v>6032</v>
      </c>
      <c r="J51" s="10">
        <f t="shared" si="6"/>
        <v>17669651591.870361</v>
      </c>
      <c r="K51" s="11">
        <f t="shared" si="7"/>
        <v>2.8799999999999937E-2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2847316.1915401365</v>
      </c>
      <c r="D52" s="11">
        <v>2.86E-2</v>
      </c>
      <c r="E52" s="10">
        <f t="shared" si="2"/>
        <v>79169.009408951737</v>
      </c>
      <c r="F52" s="3"/>
      <c r="G52" s="28"/>
      <c r="H52" s="10"/>
      <c r="I52" s="10">
        <f t="shared" si="8"/>
        <v>6032</v>
      </c>
      <c r="J52" s="10">
        <f t="shared" si="6"/>
        <v>17175011267.370104</v>
      </c>
      <c r="K52" s="11">
        <f t="shared" si="7"/>
        <v>2.8599999999999959E-2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2768147.1821311847</v>
      </c>
      <c r="D53" s="11">
        <v>2.8400000000000002E-2</v>
      </c>
      <c r="E53" s="10">
        <f t="shared" si="2"/>
        <v>76444.360144423787</v>
      </c>
      <c r="F53" s="3"/>
      <c r="G53" s="28"/>
      <c r="H53" s="10"/>
      <c r="I53" s="10">
        <f t="shared" si="8"/>
        <v>6032</v>
      </c>
      <c r="J53" s="10">
        <f t="shared" si="6"/>
        <v>16697463802.615307</v>
      </c>
      <c r="K53" s="11">
        <f t="shared" si="7"/>
        <v>2.8399999999999981E-2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2691702.8219867609</v>
      </c>
      <c r="D54" s="11">
        <v>2.8199999999999999E-2</v>
      </c>
      <c r="E54" s="10">
        <f t="shared" si="2"/>
        <v>73824.177766997367</v>
      </c>
      <c r="F54" s="3"/>
      <c r="G54" s="28"/>
      <c r="H54" s="10"/>
      <c r="I54" s="10">
        <f t="shared" si="8"/>
        <v>6032</v>
      </c>
      <c r="J54" s="10">
        <f t="shared" si="6"/>
        <v>16236351422.224142</v>
      </c>
      <c r="K54" s="11">
        <f t="shared" si="7"/>
        <v>2.8200000000000003E-2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2617878.6442197636</v>
      </c>
      <c r="D55" s="11">
        <v>2.8000000000000001E-2</v>
      </c>
      <c r="E55" s="10">
        <f t="shared" si="2"/>
        <v>71304.087585752364</v>
      </c>
      <c r="F55" s="3"/>
      <c r="G55" s="28"/>
      <c r="H55" s="10"/>
      <c r="I55" s="10">
        <f t="shared" si="8"/>
        <v>6032</v>
      </c>
      <c r="J55" s="10">
        <f t="shared" si="6"/>
        <v>15791043981.933615</v>
      </c>
      <c r="K55" s="11">
        <f t="shared" si="7"/>
        <v>2.8000000000000025E-2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2546574.5566340112</v>
      </c>
      <c r="D56" s="11">
        <v>2.7699999999999999E-2</v>
      </c>
      <c r="E56" s="10">
        <f t="shared" si="2"/>
        <v>68638.819907329045</v>
      </c>
      <c r="F56" s="3"/>
      <c r="G56" s="28"/>
      <c r="H56" s="10"/>
      <c r="I56" s="10">
        <f t="shared" si="8"/>
        <v>6032</v>
      </c>
      <c r="J56" s="10">
        <f t="shared" si="6"/>
        <v>15360937725.616356</v>
      </c>
      <c r="K56" s="11">
        <f t="shared" si="7"/>
        <v>2.7700000000000058E-2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2477935.7367266822</v>
      </c>
      <c r="D57" s="11">
        <v>2.7199999999999998E-2</v>
      </c>
      <c r="E57" s="10">
        <f t="shared" si="2"/>
        <v>65615.120754444506</v>
      </c>
      <c r="F57" s="3"/>
      <c r="G57" s="28"/>
      <c r="H57" s="10"/>
      <c r="I57" s="10">
        <f t="shared" si="8"/>
        <v>6032</v>
      </c>
      <c r="J57" s="10">
        <f t="shared" si="6"/>
        <v>14946908363.935347</v>
      </c>
      <c r="K57" s="11">
        <f t="shared" si="7"/>
        <v>2.7199999999999669E-2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2412320.6159722377</v>
      </c>
      <c r="D58" s="11">
        <v>2.6599999999999999E-2</v>
      </c>
      <c r="E58" s="10">
        <f t="shared" si="2"/>
        <v>62505.092913365923</v>
      </c>
      <c r="F58" s="3"/>
      <c r="G58" s="28"/>
      <c r="H58" s="10"/>
      <c r="I58" s="10">
        <f t="shared" si="8"/>
        <v>6032</v>
      </c>
      <c r="J58" s="10">
        <f t="shared" si="6"/>
        <v>14551117955.544538</v>
      </c>
      <c r="K58" s="11">
        <f t="shared" si="7"/>
        <v>2.6599999999999957E-2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2349815.5230588717</v>
      </c>
      <c r="D59" s="11">
        <v>2.5700000000000001E-2</v>
      </c>
      <c r="E59" s="10">
        <f t="shared" si="2"/>
        <v>58877.117034818511</v>
      </c>
      <c r="F59" s="3"/>
      <c r="G59" s="28"/>
      <c r="H59" s="10"/>
      <c r="I59" s="10">
        <f t="shared" si="8"/>
        <v>6032</v>
      </c>
      <c r="J59" s="10">
        <f t="shared" si="6"/>
        <v>14174087235.091114</v>
      </c>
      <c r="K59" s="11">
        <f t="shared" si="7"/>
        <v>2.5700000000000056E-2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2290938.4060240532</v>
      </c>
      <c r="D60" s="11">
        <v>2.4500000000000001E-2</v>
      </c>
      <c r="E60" s="10">
        <f t="shared" si="2"/>
        <v>54785.740309994202</v>
      </c>
      <c r="F60" s="3"/>
      <c r="G60" s="28"/>
      <c r="H60" s="10"/>
      <c r="I60" s="10">
        <f t="shared" si="8"/>
        <v>6032</v>
      </c>
      <c r="J60" s="10">
        <f t="shared" si="6"/>
        <v>13818940465.137089</v>
      </c>
      <c r="K60" s="11">
        <f t="shared" si="7"/>
        <v>2.4499999999999966E-2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2236152.665714059</v>
      </c>
      <c r="D61" s="11">
        <v>2.3099999999999999E-2</v>
      </c>
      <c r="E61" s="10">
        <f t="shared" si="2"/>
        <v>50488.834501021076</v>
      </c>
      <c r="F61" s="3"/>
      <c r="G61" s="28"/>
      <c r="H61" s="10"/>
      <c r="I61" s="10">
        <f t="shared" si="8"/>
        <v>6032</v>
      </c>
      <c r="J61" s="10">
        <f t="shared" si="6"/>
        <v>13488472879.587204</v>
      </c>
      <c r="K61" s="11">
        <f t="shared" si="7"/>
        <v>2.3099999999999898E-2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2185663.8312130379</v>
      </c>
      <c r="D62" s="11">
        <v>2.1600000000000001E-2</v>
      </c>
      <c r="E62" s="10">
        <f t="shared" si="2"/>
        <v>46212.15618069889</v>
      </c>
      <c r="F62" s="3"/>
      <c r="G62" s="28"/>
      <c r="H62" s="10"/>
      <c r="I62" s="10">
        <f t="shared" si="8"/>
        <v>6032</v>
      </c>
      <c r="J62" s="10">
        <f t="shared" si="6"/>
        <v>13183924229.877045</v>
      </c>
      <c r="K62" s="11">
        <f t="shared" si="7"/>
        <v>2.1600000000000286E-2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2139451.6750323391</v>
      </c>
      <c r="D63" s="11">
        <v>0.02</v>
      </c>
      <c r="E63" s="10">
        <f t="shared" si="2"/>
        <v>41950.032843771391</v>
      </c>
      <c r="F63" s="3"/>
      <c r="G63" s="28"/>
      <c r="H63" s="10"/>
      <c r="I63" s="10">
        <f t="shared" si="8"/>
        <v>6032</v>
      </c>
      <c r="J63" s="10">
        <f t="shared" si="6"/>
        <v>12905172503.795069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2097501.6421885677</v>
      </c>
      <c r="D64" s="11">
        <v>1.83E-2</v>
      </c>
      <c r="E64" s="10">
        <f t="shared" si="2"/>
        <v>37694.471228567883</v>
      </c>
      <c r="F64" s="3"/>
      <c r="G64" s="28"/>
      <c r="H64" s="10"/>
      <c r="I64" s="10">
        <f t="shared" si="8"/>
        <v>6032</v>
      </c>
      <c r="J64" s="10">
        <f t="shared" si="6"/>
        <v>12652129905.68144</v>
      </c>
      <c r="K64" s="11">
        <f t="shared" si="7"/>
        <v>1.8299999999999983E-2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2059807.1709599998</v>
      </c>
      <c r="D65" s="11">
        <v>1.6400000000000001E-2</v>
      </c>
      <c r="E65" s="10">
        <f t="shared" si="2"/>
        <v>33235.770959999878</v>
      </c>
      <c r="F65" s="3"/>
      <c r="G65" s="28"/>
      <c r="H65" s="10"/>
      <c r="I65" s="10">
        <f t="shared" si="8"/>
        <v>6032</v>
      </c>
      <c r="J65" s="10">
        <f t="shared" si="6"/>
        <v>12424756855.230719</v>
      </c>
      <c r="K65" s="11">
        <f t="shared" si="7"/>
        <v>1.639999999999997E-2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2026571.4</v>
      </c>
      <c r="D66" s="11">
        <v>1.43E-2</v>
      </c>
      <c r="E66" s="10">
        <f t="shared" si="2"/>
        <v>28571.399999999907</v>
      </c>
      <c r="F66" s="24">
        <f>SUM(F2)</f>
        <v>12307247</v>
      </c>
      <c r="G66" s="28"/>
      <c r="H66" s="10"/>
      <c r="I66" s="10">
        <f t="shared" si="8"/>
        <v>6032</v>
      </c>
      <c r="J66" s="10">
        <f t="shared" ref="J66:J67" si="9">IF(I66="","",I66*C66)</f>
        <v>12224278684.799999</v>
      </c>
      <c r="K66" s="11">
        <f t="shared" ref="K66" si="10">IFERROR(J66/J67-1,"")</f>
        <v>1.4299999999999979E-2</v>
      </c>
    </row>
    <row r="67" spans="1:11" ht="22.5" customHeight="1">
      <c r="A67" s="3">
        <f t="shared" si="0"/>
        <v>1950</v>
      </c>
      <c r="B67" s="3">
        <v>1700</v>
      </c>
      <c r="C67" s="10">
        <v>1998000</v>
      </c>
      <c r="D67" s="11">
        <v>1.2E-2</v>
      </c>
      <c r="E67" s="3" t="s">
        <v>72</v>
      </c>
      <c r="F67" s="10">
        <f>SUM(C2)</f>
        <v>12306964.024369083</v>
      </c>
      <c r="G67" s="28"/>
      <c r="H67" s="10"/>
      <c r="I67" s="10">
        <f t="shared" ref="I67" si="11">IF(H67&lt;&gt;"",H67,I66/(1+IF(G66="",0,G66)/100))</f>
        <v>6032</v>
      </c>
      <c r="J67" s="10">
        <f t="shared" si="9"/>
        <v>12051936000</v>
      </c>
      <c r="K67" s="11"/>
    </row>
  </sheetData>
  <dataValidations count="1">
    <dataValidation type="custom" allowBlank="1" showDropDown="1" sqref="D2:D67" xr:uid="{00000000-0002-0000-9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7437452.3362264652</v>
      </c>
      <c r="D2" s="11">
        <v>1.0999999999999999E-2</v>
      </c>
      <c r="E2" s="10">
        <f t="shared" ref="E2:E66" si="2">SUM(C2-C3)</f>
        <v>80921.835507903248</v>
      </c>
      <c r="F2" s="15">
        <v>7437017</v>
      </c>
      <c r="G2" s="28"/>
      <c r="H2" s="10"/>
      <c r="I2" s="10">
        <f>IF(H2&lt;&gt;"",H2,1060)</f>
        <v>1060</v>
      </c>
      <c r="J2" s="10">
        <f t="shared" ref="J2:J33" si="3">IF(I2="","",I2*C2)</f>
        <v>7883699476.400053</v>
      </c>
      <c r="K2" s="11">
        <f t="shared" ref="K2:K33" si="4">IFERROR(J2/J3-1,"")</f>
        <v>1.0999999999999899E-2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7356530.5007185619</v>
      </c>
      <c r="D3" s="11">
        <v>1.14E-2</v>
      </c>
      <c r="E3" s="10">
        <f t="shared" si="2"/>
        <v>82919.169179545715</v>
      </c>
      <c r="F3" s="3"/>
      <c r="G3" s="28"/>
      <c r="H3" s="10"/>
      <c r="I3" s="10">
        <f t="shared" ref="I3:I34" si="5">IF(H3&lt;&gt;"",H3,I2/(1+IF(G2="",0,G2)/100))</f>
        <v>1060</v>
      </c>
      <c r="J3" s="10">
        <f t="shared" si="3"/>
        <v>7797922330.7616758</v>
      </c>
      <c r="K3" s="11">
        <f t="shared" si="4"/>
        <v>1.1400000000000077E-2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7273611.3315390162</v>
      </c>
      <c r="D4" s="11">
        <v>1.1900000000000001E-2</v>
      </c>
      <c r="E4" s="10">
        <f t="shared" si="2"/>
        <v>85538.071791001596</v>
      </c>
      <c r="F4" s="3"/>
      <c r="G4" s="28"/>
      <c r="H4" s="10"/>
      <c r="I4" s="10">
        <f t="shared" si="5"/>
        <v>1060</v>
      </c>
      <c r="J4" s="10">
        <f t="shared" si="3"/>
        <v>7710028011.4313574</v>
      </c>
      <c r="K4" s="11">
        <f t="shared" si="4"/>
        <v>1.1900000000000022E-2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7188073.2597480146</v>
      </c>
      <c r="D5" s="11">
        <v>1.2500000000000001E-2</v>
      </c>
      <c r="E5" s="10">
        <f t="shared" si="2"/>
        <v>88741.645182074048</v>
      </c>
      <c r="F5" s="3"/>
      <c r="G5" s="28"/>
      <c r="H5" s="10"/>
      <c r="I5" s="10">
        <f t="shared" si="5"/>
        <v>1060</v>
      </c>
      <c r="J5" s="10">
        <f t="shared" si="3"/>
        <v>7619357655.3328953</v>
      </c>
      <c r="K5" s="11">
        <f t="shared" si="4"/>
        <v>1.2499999999999956E-2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7099331.6145659406</v>
      </c>
      <c r="D6" s="11">
        <v>1.3299999999999999E-2</v>
      </c>
      <c r="E6" s="10">
        <f t="shared" si="2"/>
        <v>93181.792631725781</v>
      </c>
      <c r="F6" s="3"/>
      <c r="G6" s="28"/>
      <c r="H6" s="10"/>
      <c r="I6" s="10">
        <f t="shared" si="5"/>
        <v>1060</v>
      </c>
      <c r="J6" s="10">
        <f t="shared" si="3"/>
        <v>7525291511.4398966</v>
      </c>
      <c r="K6" s="11">
        <f t="shared" si="4"/>
        <v>1.330000000000009E-2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7006149.8219342148</v>
      </c>
      <c r="D7" s="11">
        <v>1.41E-2</v>
      </c>
      <c r="E7" s="10">
        <f t="shared" si="2"/>
        <v>97413.186558793299</v>
      </c>
      <c r="F7" s="3"/>
      <c r="G7" s="28"/>
      <c r="H7" s="10"/>
      <c r="I7" s="10">
        <f t="shared" si="5"/>
        <v>1060</v>
      </c>
      <c r="J7" s="10">
        <f t="shared" si="3"/>
        <v>7426518811.250268</v>
      </c>
      <c r="K7" s="11">
        <f t="shared" si="4"/>
        <v>1.4100000000000001E-2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6908736.6353754215</v>
      </c>
      <c r="D8" s="11">
        <v>1.49E-2</v>
      </c>
      <c r="E8" s="10">
        <f t="shared" si="2"/>
        <v>101428.88547353726</v>
      </c>
      <c r="F8" s="3"/>
      <c r="G8" s="28"/>
      <c r="H8" s="10"/>
      <c r="I8" s="10">
        <f t="shared" si="5"/>
        <v>1060</v>
      </c>
      <c r="J8" s="10">
        <f t="shared" si="3"/>
        <v>7323260833.4979467</v>
      </c>
      <c r="K8" s="11">
        <f t="shared" si="4"/>
        <v>1.4899999999999913E-2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6807307.7499018842</v>
      </c>
      <c r="D9" s="11">
        <v>1.55E-2</v>
      </c>
      <c r="E9" s="10">
        <f t="shared" si="2"/>
        <v>103902.77707875893</v>
      </c>
      <c r="F9" s="3"/>
      <c r="G9" s="28"/>
      <c r="H9" s="10"/>
      <c r="I9" s="10">
        <f t="shared" si="5"/>
        <v>1060</v>
      </c>
      <c r="J9" s="10">
        <f t="shared" si="3"/>
        <v>7215746214.895997</v>
      </c>
      <c r="K9" s="11">
        <f t="shared" si="4"/>
        <v>1.5500000000000069E-2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6703404.9728231253</v>
      </c>
      <c r="D10" s="11">
        <v>1.5800000000000002E-2</v>
      </c>
      <c r="E10" s="10">
        <f t="shared" si="2"/>
        <v>104266.38961469382</v>
      </c>
      <c r="F10" s="3"/>
      <c r="G10" s="28"/>
      <c r="H10" s="10"/>
      <c r="I10" s="10">
        <f t="shared" si="5"/>
        <v>1060</v>
      </c>
      <c r="J10" s="10">
        <f t="shared" si="3"/>
        <v>7105609271.1925125</v>
      </c>
      <c r="K10" s="11">
        <f t="shared" si="4"/>
        <v>1.5800000000000036E-2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6599138.5832084315</v>
      </c>
      <c r="D11" s="11">
        <v>1.5800000000000002E-2</v>
      </c>
      <c r="E11" s="10">
        <f t="shared" si="2"/>
        <v>102644.60485793836</v>
      </c>
      <c r="F11" s="3"/>
      <c r="G11" s="28"/>
      <c r="H11" s="10"/>
      <c r="I11" s="10">
        <f t="shared" si="5"/>
        <v>1060</v>
      </c>
      <c r="J11" s="10">
        <f t="shared" si="3"/>
        <v>6995086898.2009373</v>
      </c>
      <c r="K11" s="11">
        <f t="shared" si="4"/>
        <v>1.5800000000000036E-2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6496493.9783504931</v>
      </c>
      <c r="D12" s="11">
        <v>1.5699999999999999E-2</v>
      </c>
      <c r="E12" s="10">
        <f t="shared" si="2"/>
        <v>100418.38678753842</v>
      </c>
      <c r="F12" s="3"/>
      <c r="G12" s="28"/>
      <c r="H12" s="10"/>
      <c r="I12" s="10">
        <f t="shared" si="5"/>
        <v>1060</v>
      </c>
      <c r="J12" s="10">
        <f t="shared" si="3"/>
        <v>6886283617.0515223</v>
      </c>
      <c r="K12" s="11">
        <f t="shared" si="4"/>
        <v>1.5699999999999825E-2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6396075.5915629547</v>
      </c>
      <c r="D13" s="11">
        <v>1.5599999999999999E-2</v>
      </c>
      <c r="E13" s="10">
        <f t="shared" si="2"/>
        <v>98246.13945291657</v>
      </c>
      <c r="F13" s="3"/>
      <c r="G13" s="28"/>
      <c r="H13" s="10"/>
      <c r="I13" s="10">
        <f t="shared" si="5"/>
        <v>1060</v>
      </c>
      <c r="J13" s="10">
        <f t="shared" si="3"/>
        <v>6779840127.0567322</v>
      </c>
      <c r="K13" s="11">
        <f t="shared" si="4"/>
        <v>1.5600000000000058E-2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6297829.4521100381</v>
      </c>
      <c r="D14" s="11">
        <v>1.5800000000000002E-2</v>
      </c>
      <c r="E14" s="10">
        <f t="shared" si="2"/>
        <v>97957.969426401891</v>
      </c>
      <c r="F14" s="3"/>
      <c r="G14" s="28"/>
      <c r="H14" s="10"/>
      <c r="I14" s="10">
        <f t="shared" si="5"/>
        <v>1060</v>
      </c>
      <c r="J14" s="10">
        <f t="shared" si="3"/>
        <v>6675699219.23664</v>
      </c>
      <c r="K14" s="11">
        <f t="shared" si="4"/>
        <v>1.5800000000000036E-2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6199871.4826836362</v>
      </c>
      <c r="D15" s="11">
        <v>1.6299999999999999E-2</v>
      </c>
      <c r="E15" s="10">
        <f t="shared" si="2"/>
        <v>99437.080751493573</v>
      </c>
      <c r="F15" s="3"/>
      <c r="G15" s="28"/>
      <c r="H15" s="10"/>
      <c r="I15" s="10">
        <f t="shared" si="5"/>
        <v>1060</v>
      </c>
      <c r="J15" s="10">
        <f t="shared" si="3"/>
        <v>6571863771.6446543</v>
      </c>
      <c r="K15" s="11">
        <f t="shared" si="4"/>
        <v>1.6299999999999981E-2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6100434.4019321427</v>
      </c>
      <c r="D16" s="11">
        <v>1.72E-2</v>
      </c>
      <c r="E16" s="10">
        <f t="shared" si="2"/>
        <v>103153.23605311941</v>
      </c>
      <c r="F16" s="3"/>
      <c r="G16" s="28"/>
      <c r="H16" s="10"/>
      <c r="I16" s="10">
        <f t="shared" si="5"/>
        <v>1060</v>
      </c>
      <c r="J16" s="10">
        <f t="shared" si="3"/>
        <v>6466460466.0480709</v>
      </c>
      <c r="K16" s="11">
        <f t="shared" si="4"/>
        <v>1.7200000000000104E-2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5997281.1658790233</v>
      </c>
      <c r="D17" s="11">
        <v>1.84E-2</v>
      </c>
      <c r="E17" s="10">
        <f t="shared" si="2"/>
        <v>108356.21902216598</v>
      </c>
      <c r="F17" s="3"/>
      <c r="G17" s="28"/>
      <c r="H17" s="10"/>
      <c r="I17" s="10">
        <f t="shared" si="5"/>
        <v>1060</v>
      </c>
      <c r="J17" s="10">
        <f t="shared" si="3"/>
        <v>6357118035.8317642</v>
      </c>
      <c r="K17" s="11">
        <f t="shared" si="4"/>
        <v>1.839999999999975E-2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5888924.9468568573</v>
      </c>
      <c r="D18" s="11">
        <v>1.9800000000000002E-2</v>
      </c>
      <c r="E18" s="10">
        <f t="shared" si="2"/>
        <v>114336.84442808945</v>
      </c>
      <c r="F18" s="3"/>
      <c r="G18" s="28"/>
      <c r="H18" s="10"/>
      <c r="I18" s="10">
        <f t="shared" si="5"/>
        <v>1060</v>
      </c>
      <c r="J18" s="10">
        <f t="shared" si="3"/>
        <v>6242260443.6682692</v>
      </c>
      <c r="K18" s="11">
        <f t="shared" si="4"/>
        <v>1.980000000000004E-2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5774588.1024287678</v>
      </c>
      <c r="D19" s="11">
        <v>2.12E-2</v>
      </c>
      <c r="E19" s="10">
        <f t="shared" si="2"/>
        <v>119879.81567909382</v>
      </c>
      <c r="F19" s="3"/>
      <c r="G19" s="28"/>
      <c r="H19" s="10"/>
      <c r="I19" s="10">
        <f t="shared" si="5"/>
        <v>1060</v>
      </c>
      <c r="J19" s="10">
        <f t="shared" si="3"/>
        <v>6121063388.5744944</v>
      </c>
      <c r="K19" s="11">
        <f t="shared" si="4"/>
        <v>2.1200000000000108E-2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5654708.286749674</v>
      </c>
      <c r="D20" s="11">
        <v>2.2599999999999999E-2</v>
      </c>
      <c r="E20" s="10">
        <f t="shared" si="2"/>
        <v>124972.03919474129</v>
      </c>
      <c r="F20" s="3"/>
      <c r="G20" s="28"/>
      <c r="H20" s="10"/>
      <c r="I20" s="10">
        <f t="shared" si="5"/>
        <v>1060</v>
      </c>
      <c r="J20" s="10">
        <f t="shared" si="3"/>
        <v>5993990783.9546547</v>
      </c>
      <c r="K20" s="11">
        <f t="shared" si="4"/>
        <v>2.2599999999999953E-2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5529736.2475549327</v>
      </c>
      <c r="D21" s="11">
        <v>2.3699999999999999E-2</v>
      </c>
      <c r="E21" s="10">
        <f t="shared" si="2"/>
        <v>128020.65943836328</v>
      </c>
      <c r="F21" s="3"/>
      <c r="G21" s="28"/>
      <c r="H21" s="10"/>
      <c r="I21" s="10">
        <f t="shared" si="5"/>
        <v>1060</v>
      </c>
      <c r="J21" s="10">
        <f t="shared" si="3"/>
        <v>5861520422.4082289</v>
      </c>
      <c r="K21" s="11">
        <f t="shared" si="4"/>
        <v>2.3700000000000054E-2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5401715.5881165694</v>
      </c>
      <c r="D22" s="11">
        <v>2.4500000000000001E-2</v>
      </c>
      <c r="E22" s="10">
        <f t="shared" si="2"/>
        <v>129177.19073582813</v>
      </c>
      <c r="F22" s="3"/>
      <c r="G22" s="28"/>
      <c r="H22" s="10"/>
      <c r="I22" s="10">
        <f t="shared" si="5"/>
        <v>1060</v>
      </c>
      <c r="J22" s="10">
        <f t="shared" si="3"/>
        <v>5725818523.4035635</v>
      </c>
      <c r="K22" s="11">
        <f t="shared" si="4"/>
        <v>2.4499999999999966E-2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5272538.3973807413</v>
      </c>
      <c r="D23" s="11">
        <v>2.5100000000000001E-2</v>
      </c>
      <c r="E23" s="10">
        <f t="shared" si="2"/>
        <v>129100.29633621685</v>
      </c>
      <c r="F23" s="3"/>
      <c r="G23" s="28"/>
      <c r="H23" s="10"/>
      <c r="I23" s="10">
        <f t="shared" si="5"/>
        <v>1060</v>
      </c>
      <c r="J23" s="10">
        <f t="shared" si="3"/>
        <v>5588890701.2235861</v>
      </c>
      <c r="K23" s="11">
        <f t="shared" si="4"/>
        <v>2.50999999999999E-2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5143438.1010445245</v>
      </c>
      <c r="D24" s="11">
        <v>2.5399999999999999E-2</v>
      </c>
      <c r="E24" s="10">
        <f t="shared" si="2"/>
        <v>127407.18526090402</v>
      </c>
      <c r="F24" s="3"/>
      <c r="G24" s="28"/>
      <c r="H24" s="10"/>
      <c r="I24" s="10">
        <f t="shared" si="5"/>
        <v>1060</v>
      </c>
      <c r="J24" s="10">
        <f t="shared" si="3"/>
        <v>5452044387.1071959</v>
      </c>
      <c r="K24" s="11">
        <f t="shared" si="4"/>
        <v>2.5400000000000089E-2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5016030.9157836204</v>
      </c>
      <c r="D25" s="11">
        <v>2.58E-2</v>
      </c>
      <c r="E25" s="10">
        <f t="shared" si="2"/>
        <v>126158.70308755897</v>
      </c>
      <c r="F25" s="3"/>
      <c r="G25" s="28"/>
      <c r="H25" s="10"/>
      <c r="I25" s="10">
        <f t="shared" si="5"/>
        <v>1060</v>
      </c>
      <c r="J25" s="10">
        <f t="shared" si="3"/>
        <v>5316992770.7306376</v>
      </c>
      <c r="K25" s="11">
        <f t="shared" si="4"/>
        <v>2.5800000000000267E-2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4889872.2126960615</v>
      </c>
      <c r="D26" s="11">
        <v>2.64E-2</v>
      </c>
      <c r="E26" s="10">
        <f t="shared" si="2"/>
        <v>125772.23929771595</v>
      </c>
      <c r="F26" s="3"/>
      <c r="G26" s="28"/>
      <c r="H26" s="10"/>
      <c r="I26" s="10">
        <f t="shared" si="5"/>
        <v>1060</v>
      </c>
      <c r="J26" s="10">
        <f t="shared" si="3"/>
        <v>5183264545.4578247</v>
      </c>
      <c r="K26" s="11">
        <f t="shared" si="4"/>
        <v>2.6399999999999757E-2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4764099.9733983455</v>
      </c>
      <c r="D27" s="11">
        <v>2.7300000000000001E-2</v>
      </c>
      <c r="E27" s="10">
        <f t="shared" si="2"/>
        <v>126603.64963864069</v>
      </c>
      <c r="F27" s="3"/>
      <c r="G27" s="28"/>
      <c r="H27" s="10"/>
      <c r="I27" s="10">
        <f t="shared" si="5"/>
        <v>1060</v>
      </c>
      <c r="J27" s="10">
        <f t="shared" si="3"/>
        <v>5049945971.8022461</v>
      </c>
      <c r="K27" s="11">
        <f t="shared" si="4"/>
        <v>2.7300000000000102E-2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4637496.3237597048</v>
      </c>
      <c r="D28" s="11">
        <v>2.8400000000000002E-2</v>
      </c>
      <c r="E28" s="10">
        <f t="shared" si="2"/>
        <v>128067.77090118174</v>
      </c>
      <c r="F28" s="3"/>
      <c r="G28" s="28"/>
      <c r="H28" s="10"/>
      <c r="I28" s="10">
        <f t="shared" si="5"/>
        <v>1060</v>
      </c>
      <c r="J28" s="10">
        <f t="shared" si="3"/>
        <v>4915746103.1852875</v>
      </c>
      <c r="K28" s="11">
        <f t="shared" si="4"/>
        <v>2.8400000000000203E-2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4509428.5528585231</v>
      </c>
      <c r="D29" s="11">
        <v>2.9700000000000001E-2</v>
      </c>
      <c r="E29" s="10">
        <f t="shared" si="2"/>
        <v>130067.03702039272</v>
      </c>
      <c r="F29" s="3"/>
      <c r="G29" s="28"/>
      <c r="H29" s="10"/>
      <c r="I29" s="10">
        <f t="shared" si="5"/>
        <v>1060</v>
      </c>
      <c r="J29" s="10">
        <f t="shared" si="3"/>
        <v>4779994266.0300341</v>
      </c>
      <c r="K29" s="11">
        <f t="shared" si="4"/>
        <v>2.970000000000006E-2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4379361.5158381304</v>
      </c>
      <c r="D30" s="11">
        <v>3.09E-2</v>
      </c>
      <c r="E30" s="10">
        <f t="shared" si="2"/>
        <v>131266.14690018259</v>
      </c>
      <c r="F30" s="3"/>
      <c r="G30" s="28"/>
      <c r="H30" s="10"/>
      <c r="I30" s="10">
        <f t="shared" si="5"/>
        <v>1060</v>
      </c>
      <c r="J30" s="10">
        <f t="shared" si="3"/>
        <v>4642123206.7884178</v>
      </c>
      <c r="K30" s="11">
        <f t="shared" si="4"/>
        <v>3.0899999999999928E-2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4248095.3689379478</v>
      </c>
      <c r="D31" s="11">
        <v>3.1899999999999998E-2</v>
      </c>
      <c r="E31" s="10">
        <f t="shared" si="2"/>
        <v>131324.97554910462</v>
      </c>
      <c r="F31" s="3"/>
      <c r="G31" s="28"/>
      <c r="H31" s="10"/>
      <c r="I31" s="10">
        <f t="shared" si="5"/>
        <v>1060</v>
      </c>
      <c r="J31" s="10">
        <f t="shared" si="3"/>
        <v>4502981091.0742245</v>
      </c>
      <c r="K31" s="11">
        <f t="shared" si="4"/>
        <v>3.1900000000000039E-2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4116770.3933888432</v>
      </c>
      <c r="D32" s="11">
        <v>3.2599999999999997E-2</v>
      </c>
      <c r="E32" s="10">
        <f t="shared" si="2"/>
        <v>129969.70252225082</v>
      </c>
      <c r="F32" s="3"/>
      <c r="G32" s="28"/>
      <c r="H32" s="10"/>
      <c r="I32" s="10">
        <f t="shared" si="5"/>
        <v>1060</v>
      </c>
      <c r="J32" s="10">
        <f t="shared" si="3"/>
        <v>4363776616.9921741</v>
      </c>
      <c r="K32" s="11">
        <f t="shared" si="4"/>
        <v>3.2600000000000184E-2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3986800.6908665923</v>
      </c>
      <c r="D33" s="11">
        <v>3.2800000000000003E-2</v>
      </c>
      <c r="E33" s="10">
        <f t="shared" si="2"/>
        <v>126614.11953952769</v>
      </c>
      <c r="F33" s="3"/>
      <c r="G33" s="28"/>
      <c r="H33" s="10"/>
      <c r="I33" s="10">
        <f t="shared" si="5"/>
        <v>1060</v>
      </c>
      <c r="J33" s="10">
        <f t="shared" si="3"/>
        <v>4226008732.3185878</v>
      </c>
      <c r="K33" s="11">
        <f t="shared" si="4"/>
        <v>3.279999999999994E-2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3860186.5713270647</v>
      </c>
      <c r="D34" s="11">
        <v>3.27E-2</v>
      </c>
      <c r="E34" s="10">
        <f t="shared" si="2"/>
        <v>122231.1425219276</v>
      </c>
      <c r="F34" s="3"/>
      <c r="G34" s="28"/>
      <c r="H34" s="10"/>
      <c r="I34" s="10">
        <f t="shared" si="5"/>
        <v>1060</v>
      </c>
      <c r="J34" s="10">
        <f t="shared" ref="J34:J65" si="6">IF(I34="","",I34*C34)</f>
        <v>4091797765.6066885</v>
      </c>
      <c r="K34" s="11">
        <f t="shared" ref="K34:K65" si="7">IFERROR(J34/J35-1,"")</f>
        <v>3.2699999999999951E-2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3737955.4288051371</v>
      </c>
      <c r="D35" s="11">
        <v>3.2300000000000002E-2</v>
      </c>
      <c r="E35" s="10">
        <f t="shared" si="2"/>
        <v>116958.2101621679</v>
      </c>
      <c r="F35" s="3"/>
      <c r="G35" s="28"/>
      <c r="H35" s="10"/>
      <c r="I35" s="10">
        <f t="shared" ref="I35:I66" si="8">IF(H35&lt;&gt;"",H35,I34/(1+IF(G34="",0,G34)/100))</f>
        <v>1060</v>
      </c>
      <c r="J35" s="10">
        <f t="shared" si="6"/>
        <v>3962232754.5334454</v>
      </c>
      <c r="K35" s="11">
        <f t="shared" si="7"/>
        <v>3.2299999999999995E-2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3620997.2186429692</v>
      </c>
      <c r="D36" s="11">
        <v>3.1899999999999998E-2</v>
      </c>
      <c r="E36" s="10">
        <f t="shared" si="2"/>
        <v>111938.95849860553</v>
      </c>
      <c r="F36" s="3"/>
      <c r="G36" s="28"/>
      <c r="H36" s="10"/>
      <c r="I36" s="10">
        <f t="shared" si="8"/>
        <v>1060</v>
      </c>
      <c r="J36" s="10">
        <f t="shared" si="6"/>
        <v>3838257051.7615471</v>
      </c>
      <c r="K36" s="11">
        <f t="shared" si="7"/>
        <v>3.1900000000000039E-2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3509058.2601443636</v>
      </c>
      <c r="D37" s="11">
        <v>3.1600000000000003E-2</v>
      </c>
      <c r="E37" s="10">
        <f t="shared" si="2"/>
        <v>107489.57058992051</v>
      </c>
      <c r="F37" s="3"/>
      <c r="G37" s="28"/>
      <c r="H37" s="10"/>
      <c r="I37" s="10">
        <f t="shared" si="8"/>
        <v>1060</v>
      </c>
      <c r="J37" s="10">
        <f t="shared" si="6"/>
        <v>3719601755.7530255</v>
      </c>
      <c r="K37" s="11">
        <f t="shared" si="7"/>
        <v>3.1600000000000072E-2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3401568.6895544431</v>
      </c>
      <c r="D38" s="11">
        <v>3.1600000000000003E-2</v>
      </c>
      <c r="E38" s="10">
        <f t="shared" si="2"/>
        <v>104196.94706273824</v>
      </c>
      <c r="F38" s="3"/>
      <c r="G38" s="28"/>
      <c r="H38" s="10"/>
      <c r="I38" s="10">
        <f t="shared" si="8"/>
        <v>1060</v>
      </c>
      <c r="J38" s="10">
        <f t="shared" si="6"/>
        <v>3605662810.9277096</v>
      </c>
      <c r="K38" s="11">
        <f t="shared" si="7"/>
        <v>3.1600000000000072E-2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3297371.7424917049</v>
      </c>
      <c r="D39" s="11">
        <v>3.2000000000000001E-2</v>
      </c>
      <c r="E39" s="10">
        <f t="shared" si="2"/>
        <v>102244.0850385027</v>
      </c>
      <c r="F39" s="3"/>
      <c r="G39" s="28"/>
      <c r="H39" s="10"/>
      <c r="I39" s="10">
        <f t="shared" si="8"/>
        <v>1060</v>
      </c>
      <c r="J39" s="10">
        <f t="shared" si="6"/>
        <v>3495214047.0412073</v>
      </c>
      <c r="K39" s="11">
        <f t="shared" si="7"/>
        <v>3.2000000000000028E-2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3195127.6574532022</v>
      </c>
      <c r="D40" s="11">
        <v>3.2899999999999999E-2</v>
      </c>
      <c r="E40" s="10">
        <f t="shared" si="2"/>
        <v>101771.42020545062</v>
      </c>
      <c r="F40" s="3"/>
      <c r="G40" s="28"/>
      <c r="H40" s="10"/>
      <c r="I40" s="10">
        <f t="shared" si="8"/>
        <v>1060</v>
      </c>
      <c r="J40" s="10">
        <f t="shared" si="6"/>
        <v>3386835316.9003944</v>
      </c>
      <c r="K40" s="11">
        <f t="shared" si="7"/>
        <v>3.2899999999999929E-2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3093356.2372477516</v>
      </c>
      <c r="D41" s="11">
        <v>3.4099999999999998E-2</v>
      </c>
      <c r="E41" s="10">
        <f t="shared" si="2"/>
        <v>102005.07464476209</v>
      </c>
      <c r="F41" s="3"/>
      <c r="G41" s="28"/>
      <c r="H41" s="10"/>
      <c r="I41" s="10">
        <f t="shared" si="8"/>
        <v>1060</v>
      </c>
      <c r="J41" s="10">
        <f t="shared" si="6"/>
        <v>3278957611.4826164</v>
      </c>
      <c r="K41" s="11">
        <f t="shared" si="7"/>
        <v>3.4100000000000019E-2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2991351.1626029895</v>
      </c>
      <c r="D42" s="11">
        <v>3.56E-2</v>
      </c>
      <c r="E42" s="10">
        <f t="shared" si="2"/>
        <v>102831.30686429748</v>
      </c>
      <c r="F42" s="3"/>
      <c r="G42" s="28"/>
      <c r="H42" s="10"/>
      <c r="I42" s="10">
        <f t="shared" si="8"/>
        <v>1060</v>
      </c>
      <c r="J42" s="10">
        <f t="shared" si="6"/>
        <v>3170832232.359169</v>
      </c>
      <c r="K42" s="11">
        <f t="shared" si="7"/>
        <v>3.5600000000000076E-2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2888519.855738692</v>
      </c>
      <c r="D43" s="11">
        <v>3.73E-2</v>
      </c>
      <c r="E43" s="10">
        <f t="shared" si="2"/>
        <v>103867.5316871237</v>
      </c>
      <c r="F43" s="3"/>
      <c r="G43" s="28"/>
      <c r="H43" s="10"/>
      <c r="I43" s="10">
        <f t="shared" si="8"/>
        <v>1060</v>
      </c>
      <c r="J43" s="10">
        <f t="shared" si="6"/>
        <v>3061831047.0830135</v>
      </c>
      <c r="K43" s="11">
        <f t="shared" si="7"/>
        <v>3.7300000000000111E-2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2784652.3240515683</v>
      </c>
      <c r="D44" s="11">
        <v>3.8800000000000001E-2</v>
      </c>
      <c r="E44" s="10">
        <f t="shared" si="2"/>
        <v>104008.96243088227</v>
      </c>
      <c r="F44" s="3"/>
      <c r="G44" s="28"/>
      <c r="H44" s="10"/>
      <c r="I44" s="10">
        <f t="shared" si="8"/>
        <v>1060</v>
      </c>
      <c r="J44" s="10">
        <f t="shared" si="6"/>
        <v>2951731463.4946623</v>
      </c>
      <c r="K44" s="11">
        <f t="shared" si="7"/>
        <v>3.8799999999999724E-2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2680643.361620686</v>
      </c>
      <c r="D45" s="11">
        <v>4.0099999999999997E-2</v>
      </c>
      <c r="E45" s="10">
        <f t="shared" si="2"/>
        <v>103349.48447359819</v>
      </c>
      <c r="F45" s="3"/>
      <c r="G45" s="28"/>
      <c r="H45" s="10"/>
      <c r="I45" s="10">
        <f t="shared" si="8"/>
        <v>1060</v>
      </c>
      <c r="J45" s="10">
        <f t="shared" si="6"/>
        <v>2841481963.3179274</v>
      </c>
      <c r="K45" s="11">
        <f t="shared" si="7"/>
        <v>4.0100000000000025E-2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2577293.8771470878</v>
      </c>
      <c r="D46" s="11">
        <v>4.1000000000000002E-2</v>
      </c>
      <c r="E46" s="10">
        <f t="shared" si="2"/>
        <v>101507.25164556224</v>
      </c>
      <c r="F46" s="3"/>
      <c r="G46" s="28"/>
      <c r="H46" s="10"/>
      <c r="I46" s="10">
        <f t="shared" si="8"/>
        <v>1060</v>
      </c>
      <c r="J46" s="10">
        <f t="shared" si="6"/>
        <v>2731931509.7759132</v>
      </c>
      <c r="K46" s="11">
        <f t="shared" si="7"/>
        <v>4.0999999999999925E-2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2475786.6255015256</v>
      </c>
      <c r="D47" s="11">
        <v>4.1200000000000001E-2</v>
      </c>
      <c r="E47" s="10">
        <f t="shared" si="2"/>
        <v>97966.201470094733</v>
      </c>
      <c r="F47" s="3"/>
      <c r="G47" s="28"/>
      <c r="H47" s="10"/>
      <c r="I47" s="10">
        <f t="shared" si="8"/>
        <v>1060</v>
      </c>
      <c r="J47" s="10">
        <f t="shared" si="6"/>
        <v>2624333823.0316172</v>
      </c>
      <c r="K47" s="11">
        <f t="shared" si="7"/>
        <v>4.1199999999999903E-2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2377820.4240314309</v>
      </c>
      <c r="D48" s="11">
        <v>4.07E-2</v>
      </c>
      <c r="E48" s="10">
        <f t="shared" si="2"/>
        <v>92992.496644642204</v>
      </c>
      <c r="F48" s="3"/>
      <c r="G48" s="28"/>
      <c r="H48" s="10"/>
      <c r="I48" s="10">
        <f t="shared" si="8"/>
        <v>1060</v>
      </c>
      <c r="J48" s="10">
        <f t="shared" si="6"/>
        <v>2520489649.4733167</v>
      </c>
      <c r="K48" s="11">
        <f t="shared" si="7"/>
        <v>4.0699999999999958E-2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2284827.9273867887</v>
      </c>
      <c r="D49" s="11">
        <v>3.9399999999999998E-2</v>
      </c>
      <c r="E49" s="10">
        <f t="shared" si="2"/>
        <v>86609.794438175391</v>
      </c>
      <c r="F49" s="3"/>
      <c r="G49" s="28"/>
      <c r="H49" s="10"/>
      <c r="I49" s="10">
        <f t="shared" si="8"/>
        <v>1060</v>
      </c>
      <c r="J49" s="10">
        <f t="shared" si="6"/>
        <v>2421917603.0299959</v>
      </c>
      <c r="K49" s="11">
        <f t="shared" si="7"/>
        <v>3.9400000000000102E-2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2198218.1329486133</v>
      </c>
      <c r="D50" s="11">
        <v>3.73E-2</v>
      </c>
      <c r="E50" s="10">
        <f t="shared" si="2"/>
        <v>79045.152182573453</v>
      </c>
      <c r="F50" s="3"/>
      <c r="G50" s="28"/>
      <c r="H50" s="10"/>
      <c r="I50" s="10">
        <f t="shared" si="8"/>
        <v>1060</v>
      </c>
      <c r="J50" s="10">
        <f t="shared" si="6"/>
        <v>2330111220.92553</v>
      </c>
      <c r="K50" s="11">
        <f t="shared" si="7"/>
        <v>3.7299999999999889E-2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2119172.9807660398</v>
      </c>
      <c r="D51" s="11">
        <v>3.4700000000000002E-2</v>
      </c>
      <c r="E51" s="10">
        <f t="shared" si="2"/>
        <v>71069.201152586844</v>
      </c>
      <c r="F51" s="3"/>
      <c r="G51" s="28"/>
      <c r="H51" s="10"/>
      <c r="I51" s="10">
        <f t="shared" si="8"/>
        <v>1060</v>
      </c>
      <c r="J51" s="10">
        <f t="shared" si="6"/>
        <v>2246323359.6120024</v>
      </c>
      <c r="K51" s="11">
        <f t="shared" si="7"/>
        <v>3.4699999999999953E-2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2048103.779613453</v>
      </c>
      <c r="D52" s="11">
        <v>3.1800000000000002E-2</v>
      </c>
      <c r="E52" s="10">
        <f t="shared" si="2"/>
        <v>63122.407629102468</v>
      </c>
      <c r="F52" s="3"/>
      <c r="G52" s="28"/>
      <c r="H52" s="10"/>
      <c r="I52" s="10">
        <f t="shared" si="8"/>
        <v>1060</v>
      </c>
      <c r="J52" s="10">
        <f t="shared" si="6"/>
        <v>2170990006.3902602</v>
      </c>
      <c r="K52" s="11">
        <f t="shared" si="7"/>
        <v>3.180000000000005E-2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1984981.3719843505</v>
      </c>
      <c r="D53" s="11">
        <v>2.9000000000000001E-2</v>
      </c>
      <c r="E53" s="10">
        <f t="shared" si="2"/>
        <v>55942.137791589834</v>
      </c>
      <c r="F53" s="3"/>
      <c r="G53" s="28"/>
      <c r="H53" s="10"/>
      <c r="I53" s="10">
        <f t="shared" si="8"/>
        <v>1060</v>
      </c>
      <c r="J53" s="10">
        <f t="shared" si="6"/>
        <v>2104080254.3034115</v>
      </c>
      <c r="K53" s="11">
        <f t="shared" si="7"/>
        <v>2.8999999999999915E-2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1929039.2341927607</v>
      </c>
      <c r="D54" s="11">
        <v>2.6800000000000001E-2</v>
      </c>
      <c r="E54" s="10">
        <f t="shared" si="2"/>
        <v>50348.900931404205</v>
      </c>
      <c r="F54" s="3"/>
      <c r="G54" s="28"/>
      <c r="H54" s="10"/>
      <c r="I54" s="10">
        <f t="shared" si="8"/>
        <v>1060</v>
      </c>
      <c r="J54" s="10">
        <f t="shared" si="6"/>
        <v>2044781588.2443264</v>
      </c>
      <c r="K54" s="11">
        <f t="shared" si="7"/>
        <v>2.6799999999999935E-2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1878690.3332613565</v>
      </c>
      <c r="D55" s="11">
        <v>2.5700000000000001E-2</v>
      </c>
      <c r="E55" s="10">
        <f t="shared" si="2"/>
        <v>47072.576352556236</v>
      </c>
      <c r="F55" s="3"/>
      <c r="G55" s="28"/>
      <c r="H55" s="10"/>
      <c r="I55" s="10">
        <f t="shared" si="8"/>
        <v>1060</v>
      </c>
      <c r="J55" s="10">
        <f t="shared" si="6"/>
        <v>1991411753.2570379</v>
      </c>
      <c r="K55" s="11">
        <f t="shared" si="7"/>
        <v>2.5700000000000056E-2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1831617.7569088002</v>
      </c>
      <c r="D56" s="11">
        <v>2.5899999999999999E-2</v>
      </c>
      <c r="E56" s="10">
        <f t="shared" si="2"/>
        <v>46241.25149033824</v>
      </c>
      <c r="F56" s="3"/>
      <c r="G56" s="28"/>
      <c r="H56" s="10"/>
      <c r="I56" s="10">
        <f t="shared" si="8"/>
        <v>1060</v>
      </c>
      <c r="J56" s="10">
        <f t="shared" si="6"/>
        <v>1941514822.3233283</v>
      </c>
      <c r="K56" s="11">
        <f t="shared" si="7"/>
        <v>2.5900000000000034E-2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1785376.505418462</v>
      </c>
      <c r="D57" s="11">
        <v>2.7199999999999998E-2</v>
      </c>
      <c r="E57" s="10">
        <f t="shared" si="2"/>
        <v>47276.324909834424</v>
      </c>
      <c r="F57" s="3"/>
      <c r="G57" s="28"/>
      <c r="H57" s="10"/>
      <c r="I57" s="10">
        <f t="shared" si="8"/>
        <v>1060</v>
      </c>
      <c r="J57" s="10">
        <f t="shared" si="6"/>
        <v>1892499095.7435696</v>
      </c>
      <c r="K57" s="11">
        <f t="shared" si="7"/>
        <v>2.7199999999999891E-2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1738100.1805086276</v>
      </c>
      <c r="D58" s="11">
        <v>2.93E-2</v>
      </c>
      <c r="E58" s="10">
        <f t="shared" si="2"/>
        <v>49476.668890413828</v>
      </c>
      <c r="F58" s="3"/>
      <c r="G58" s="28"/>
      <c r="H58" s="10"/>
      <c r="I58" s="10">
        <f t="shared" si="8"/>
        <v>1060</v>
      </c>
      <c r="J58" s="10">
        <f t="shared" si="6"/>
        <v>1842386191.3391452</v>
      </c>
      <c r="K58" s="11">
        <f t="shared" si="7"/>
        <v>2.9300000000000104E-2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1688623.5116182137</v>
      </c>
      <c r="D59" s="11">
        <v>3.1600000000000003E-2</v>
      </c>
      <c r="E59" s="10">
        <f t="shared" si="2"/>
        <v>51725.962550538592</v>
      </c>
      <c r="F59" s="3"/>
      <c r="G59" s="28"/>
      <c r="H59" s="10"/>
      <c r="I59" s="10">
        <f t="shared" si="8"/>
        <v>1060</v>
      </c>
      <c r="J59" s="10">
        <f t="shared" si="6"/>
        <v>1789940922.3153067</v>
      </c>
      <c r="K59" s="11">
        <f t="shared" si="7"/>
        <v>3.1600000000000072E-2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1636897.5490676751</v>
      </c>
      <c r="D60" s="11">
        <v>3.3700000000000001E-2</v>
      </c>
      <c r="E60" s="10">
        <f t="shared" si="2"/>
        <v>53365.04537446145</v>
      </c>
      <c r="F60" s="3"/>
      <c r="G60" s="28"/>
      <c r="H60" s="10"/>
      <c r="I60" s="10">
        <f t="shared" si="8"/>
        <v>1060</v>
      </c>
      <c r="J60" s="10">
        <f t="shared" si="6"/>
        <v>1735111402.0117357</v>
      </c>
      <c r="K60" s="11">
        <f t="shared" si="7"/>
        <v>3.3700000000000063E-2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1583532.5036932137</v>
      </c>
      <c r="D61" s="11">
        <v>3.5099999999999999E-2</v>
      </c>
      <c r="E61" s="10">
        <f t="shared" si="2"/>
        <v>53697.21850993298</v>
      </c>
      <c r="F61" s="3"/>
      <c r="G61" s="28"/>
      <c r="H61" s="10"/>
      <c r="I61" s="10">
        <f t="shared" si="8"/>
        <v>1060</v>
      </c>
      <c r="J61" s="10">
        <f t="shared" si="6"/>
        <v>1678544453.9148066</v>
      </c>
      <c r="K61" s="11">
        <f t="shared" si="7"/>
        <v>3.5099999999999909E-2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1529835.2851832807</v>
      </c>
      <c r="D62" s="11">
        <v>3.5700000000000003E-2</v>
      </c>
      <c r="E62" s="10">
        <f t="shared" si="2"/>
        <v>52732.567037794041</v>
      </c>
      <c r="F62" s="3"/>
      <c r="G62" s="28"/>
      <c r="H62" s="10"/>
      <c r="I62" s="10">
        <f t="shared" si="8"/>
        <v>1060</v>
      </c>
      <c r="J62" s="10">
        <f t="shared" si="6"/>
        <v>1621625402.2942777</v>
      </c>
      <c r="K62" s="11">
        <f t="shared" si="7"/>
        <v>3.5700000000000065E-2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1477102.7181454867</v>
      </c>
      <c r="D63" s="11">
        <v>3.5499999999999997E-2</v>
      </c>
      <c r="E63" s="10">
        <f t="shared" si="2"/>
        <v>50639.446155639598</v>
      </c>
      <c r="F63" s="3"/>
      <c r="G63" s="28"/>
      <c r="H63" s="10"/>
      <c r="I63" s="10">
        <f t="shared" si="8"/>
        <v>1060</v>
      </c>
      <c r="J63" s="10">
        <f t="shared" si="6"/>
        <v>1565728881.234216</v>
      </c>
      <c r="K63" s="11">
        <f t="shared" si="7"/>
        <v>3.5500000000000087E-2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1426463.2719898471</v>
      </c>
      <c r="D64" s="11">
        <v>3.4700000000000002E-2</v>
      </c>
      <c r="E64" s="10">
        <f t="shared" si="2"/>
        <v>47838.286979846889</v>
      </c>
      <c r="F64" s="3"/>
      <c r="G64" s="28"/>
      <c r="H64" s="10"/>
      <c r="I64" s="10">
        <f t="shared" si="8"/>
        <v>1060</v>
      </c>
      <c r="J64" s="10">
        <f t="shared" si="6"/>
        <v>1512051068.309238</v>
      </c>
      <c r="K64" s="11">
        <f t="shared" si="7"/>
        <v>3.4699999999999953E-2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1378624.9850100002</v>
      </c>
      <c r="D65" s="11">
        <v>3.3500000000000002E-2</v>
      </c>
      <c r="E65" s="10">
        <f t="shared" si="2"/>
        <v>44686.925010000123</v>
      </c>
      <c r="F65" s="3"/>
      <c r="G65" s="28"/>
      <c r="H65" s="10"/>
      <c r="I65" s="10">
        <f t="shared" si="8"/>
        <v>1060</v>
      </c>
      <c r="J65" s="10">
        <f t="shared" si="6"/>
        <v>1461342484.1106002</v>
      </c>
      <c r="K65" s="11">
        <f t="shared" si="7"/>
        <v>3.3500000000000085E-2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1333938.06</v>
      </c>
      <c r="D66" s="11">
        <v>3.2300000000000002E-2</v>
      </c>
      <c r="E66" s="10">
        <f t="shared" si="2"/>
        <v>41738.060000000056</v>
      </c>
      <c r="F66" s="24">
        <f>SUM(F2)</f>
        <v>7437017</v>
      </c>
      <c r="G66" s="28"/>
      <c r="H66" s="10"/>
      <c r="I66" s="10">
        <f t="shared" si="8"/>
        <v>1060</v>
      </c>
      <c r="J66" s="10">
        <f t="shared" ref="J66:J67" si="9">IF(I66="","",I66*C66)</f>
        <v>1413974343.6000001</v>
      </c>
      <c r="K66" s="11">
        <f t="shared" ref="K66" si="10">IFERROR(J66/J67-1,"")</f>
        <v>3.2299999999999995E-2</v>
      </c>
    </row>
    <row r="67" spans="1:11" ht="22.5" customHeight="1">
      <c r="A67" s="3">
        <f t="shared" si="0"/>
        <v>1950</v>
      </c>
      <c r="B67" s="3">
        <v>1700</v>
      </c>
      <c r="C67" s="10">
        <v>1292200</v>
      </c>
      <c r="D67" s="11">
        <v>3.1099999999999999E-2</v>
      </c>
      <c r="E67" s="3" t="s">
        <v>72</v>
      </c>
      <c r="F67" s="10">
        <f>SUM(C2)</f>
        <v>7437452.3362264652</v>
      </c>
      <c r="G67" s="28"/>
      <c r="H67" s="10"/>
      <c r="I67" s="10">
        <f t="shared" ref="I67" si="11">IF(H67&lt;&gt;"",H67,I66/(1+IF(G66="",0,G66)/100))</f>
        <v>1060</v>
      </c>
      <c r="J67" s="10">
        <f t="shared" si="9"/>
        <v>1369732000</v>
      </c>
      <c r="K67" s="11"/>
    </row>
  </sheetData>
  <dataValidations count="1">
    <dataValidation type="custom" allowBlank="1" showDropDown="1" sqref="D2:D67" xr:uid="{00000000-0002-0000-9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93832696.520897821</v>
      </c>
      <c r="D2" s="11">
        <v>8.8999999999999999E-3</v>
      </c>
      <c r="E2" s="10">
        <f t="shared" ref="E2:E66" si="2">SUM(C2-C3)</f>
        <v>827744.07675288618</v>
      </c>
      <c r="F2" s="15">
        <v>93832500</v>
      </c>
      <c r="G2" s="28"/>
      <c r="H2" s="10"/>
      <c r="I2" s="10">
        <f>IF(H2&lt;&gt;"",H2,10198)</f>
        <v>10198</v>
      </c>
      <c r="J2" s="10">
        <f t="shared" ref="J2:J33" si="3">IF(I2="","",I2*C2)</f>
        <v>956905839120.11597</v>
      </c>
      <c r="K2" s="11">
        <f t="shared" ref="K2:K33" si="4">IFERROR(J2/J3-1,"")</f>
        <v>8.899999999999908E-3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93004952.444144934</v>
      </c>
      <c r="D3" s="11">
        <v>9.9000000000000008E-3</v>
      </c>
      <c r="E3" s="10">
        <f t="shared" si="2"/>
        <v>911722.97177645564</v>
      </c>
      <c r="F3" s="3"/>
      <c r="G3" s="28"/>
      <c r="H3" s="10"/>
      <c r="I3" s="10">
        <f t="shared" ref="I3:I34" si="5">IF(H3&lt;&gt;"",H3,I2/(1+IF(G2="",0,G2)/100))</f>
        <v>10198</v>
      </c>
      <c r="J3" s="10">
        <f t="shared" si="3"/>
        <v>948464505025.39001</v>
      </c>
      <c r="K3" s="11">
        <f t="shared" si="4"/>
        <v>9.9000000000000199E-3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92093229.472368479</v>
      </c>
      <c r="D4" s="11">
        <v>1.11E-2</v>
      </c>
      <c r="E4" s="10">
        <f t="shared" si="2"/>
        <v>1011012.6072033495</v>
      </c>
      <c r="F4" s="3"/>
      <c r="G4" s="28"/>
      <c r="H4" s="10"/>
      <c r="I4" s="10">
        <f t="shared" si="5"/>
        <v>10198</v>
      </c>
      <c r="J4" s="10">
        <f t="shared" si="3"/>
        <v>939166754159.21375</v>
      </c>
      <c r="K4" s="11">
        <f t="shared" si="4"/>
        <v>1.110000000000011E-2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91082216.865165129</v>
      </c>
      <c r="D5" s="11">
        <v>1.23E-2</v>
      </c>
      <c r="E5" s="10">
        <f t="shared" si="2"/>
        <v>1106698.8713242412</v>
      </c>
      <c r="F5" s="3"/>
      <c r="G5" s="28"/>
      <c r="H5" s="10"/>
      <c r="I5" s="10">
        <f t="shared" si="5"/>
        <v>10198</v>
      </c>
      <c r="J5" s="10">
        <f t="shared" si="3"/>
        <v>928856447590.95398</v>
      </c>
      <c r="K5" s="11">
        <f t="shared" si="4"/>
        <v>1.2299999999999978E-2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89975517.993840888</v>
      </c>
      <c r="D6" s="11">
        <v>1.3599999999999999E-2</v>
      </c>
      <c r="E6" s="10">
        <f t="shared" si="2"/>
        <v>1207248.465584293</v>
      </c>
      <c r="F6" s="3"/>
      <c r="G6" s="28"/>
      <c r="H6" s="10"/>
      <c r="I6" s="10">
        <f t="shared" si="5"/>
        <v>10198</v>
      </c>
      <c r="J6" s="10">
        <f t="shared" si="3"/>
        <v>917570332501.18933</v>
      </c>
      <c r="K6" s="11">
        <f t="shared" si="4"/>
        <v>1.3600000000000056E-2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88768269.528256595</v>
      </c>
      <c r="D7" s="11">
        <v>1.47E-2</v>
      </c>
      <c r="E7" s="10">
        <f t="shared" si="2"/>
        <v>1285989.51617755</v>
      </c>
      <c r="F7" s="3"/>
      <c r="G7" s="28"/>
      <c r="H7" s="10"/>
      <c r="I7" s="10">
        <f t="shared" si="5"/>
        <v>10198</v>
      </c>
      <c r="J7" s="10">
        <f t="shared" si="3"/>
        <v>905258812649.16077</v>
      </c>
      <c r="K7" s="11">
        <f t="shared" si="4"/>
        <v>1.4699999999999935E-2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87482280.012079045</v>
      </c>
      <c r="D8" s="11">
        <v>1.5800000000000002E-2</v>
      </c>
      <c r="E8" s="10">
        <f t="shared" si="2"/>
        <v>1360720.6381087303</v>
      </c>
      <c r="F8" s="3"/>
      <c r="G8" s="28"/>
      <c r="H8" s="10"/>
      <c r="I8" s="10">
        <f t="shared" si="5"/>
        <v>10198</v>
      </c>
      <c r="J8" s="10">
        <f t="shared" si="3"/>
        <v>892144291563.18213</v>
      </c>
      <c r="K8" s="11">
        <f t="shared" si="4"/>
        <v>1.5800000000000036E-2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86121559.373970315</v>
      </c>
      <c r="D9" s="11">
        <v>1.67E-2</v>
      </c>
      <c r="E9" s="10">
        <f t="shared" si="2"/>
        <v>1414606.1193521172</v>
      </c>
      <c r="F9" s="3"/>
      <c r="G9" s="28"/>
      <c r="H9" s="10"/>
      <c r="I9" s="10">
        <f t="shared" si="5"/>
        <v>10198</v>
      </c>
      <c r="J9" s="10">
        <f t="shared" si="3"/>
        <v>878267662495.74927</v>
      </c>
      <c r="K9" s="11">
        <f t="shared" si="4"/>
        <v>1.6699999999999937E-2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84706953.254618198</v>
      </c>
      <c r="D10" s="11">
        <v>1.7399999999999999E-2</v>
      </c>
      <c r="E10" s="10">
        <f t="shared" si="2"/>
        <v>1448693.7159724385</v>
      </c>
      <c r="F10" s="3"/>
      <c r="G10" s="28"/>
      <c r="H10" s="10"/>
      <c r="I10" s="10">
        <f t="shared" si="5"/>
        <v>10198</v>
      </c>
      <c r="J10" s="10">
        <f t="shared" si="3"/>
        <v>863841509290.59644</v>
      </c>
      <c r="K10" s="11">
        <f t="shared" si="4"/>
        <v>1.7400000000000082E-2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83258259.538645759</v>
      </c>
      <c r="D11" s="11">
        <v>1.7999999999999999E-2</v>
      </c>
      <c r="E11" s="10">
        <f t="shared" si="2"/>
        <v>1472149.9721961021</v>
      </c>
      <c r="F11" s="3"/>
      <c r="G11" s="28"/>
      <c r="H11" s="10"/>
      <c r="I11" s="10">
        <f t="shared" si="5"/>
        <v>10198</v>
      </c>
      <c r="J11" s="10">
        <f t="shared" si="3"/>
        <v>849067730775.1095</v>
      </c>
      <c r="K11" s="11">
        <f t="shared" si="4"/>
        <v>1.8000000000000238E-2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81786109.566449657</v>
      </c>
      <c r="D12" s="11">
        <v>1.83E-2</v>
      </c>
      <c r="E12" s="10">
        <f t="shared" si="2"/>
        <v>1469788.672361806</v>
      </c>
      <c r="F12" s="3"/>
      <c r="G12" s="28"/>
      <c r="H12" s="10"/>
      <c r="I12" s="10">
        <f t="shared" si="5"/>
        <v>10198</v>
      </c>
      <c r="J12" s="10">
        <f t="shared" si="3"/>
        <v>834054745358.65356</v>
      </c>
      <c r="K12" s="11">
        <f t="shared" si="4"/>
        <v>1.8299999999999761E-2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80316320.894087851</v>
      </c>
      <c r="D13" s="11">
        <v>1.8599999999999998E-2</v>
      </c>
      <c r="E13" s="10">
        <f t="shared" si="2"/>
        <v>1466604.7208227217</v>
      </c>
      <c r="F13" s="3"/>
      <c r="G13" s="28"/>
      <c r="H13" s="10"/>
      <c r="I13" s="10">
        <f t="shared" si="5"/>
        <v>10198</v>
      </c>
      <c r="J13" s="10">
        <f t="shared" si="3"/>
        <v>819065840477.90796</v>
      </c>
      <c r="K13" s="11">
        <f t="shared" si="4"/>
        <v>1.859999999999995E-2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78849716.173265129</v>
      </c>
      <c r="D14" s="11">
        <v>1.8800000000000001E-2</v>
      </c>
      <c r="E14" s="10">
        <f t="shared" si="2"/>
        <v>1455020.2827418298</v>
      </c>
      <c r="F14" s="3"/>
      <c r="G14" s="28"/>
      <c r="H14" s="10"/>
      <c r="I14" s="10">
        <f t="shared" si="5"/>
        <v>10198</v>
      </c>
      <c r="J14" s="10">
        <f t="shared" si="3"/>
        <v>804109405534.95776</v>
      </c>
      <c r="K14" s="11">
        <f t="shared" si="4"/>
        <v>1.8799999999999928E-2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77394695.8905233</v>
      </c>
      <c r="D15" s="11">
        <v>1.9099999999999999E-2</v>
      </c>
      <c r="E15" s="10">
        <f t="shared" si="2"/>
        <v>1450533.5016278923</v>
      </c>
      <c r="F15" s="3"/>
      <c r="G15" s="28"/>
      <c r="H15" s="10"/>
      <c r="I15" s="10">
        <f t="shared" si="5"/>
        <v>10198</v>
      </c>
      <c r="J15" s="10">
        <f t="shared" si="3"/>
        <v>789271108691.55664</v>
      </c>
      <c r="K15" s="11">
        <f t="shared" si="4"/>
        <v>1.9099999999999895E-2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75944162.388895407</v>
      </c>
      <c r="D16" s="11">
        <v>1.95E-2</v>
      </c>
      <c r="E16" s="10">
        <f t="shared" si="2"/>
        <v>1452585.7445644587</v>
      </c>
      <c r="F16" s="3"/>
      <c r="G16" s="28"/>
      <c r="H16" s="10"/>
      <c r="I16" s="10">
        <f t="shared" si="5"/>
        <v>10198</v>
      </c>
      <c r="J16" s="10">
        <f t="shared" si="3"/>
        <v>774478568041.95532</v>
      </c>
      <c r="K16" s="11">
        <f t="shared" si="4"/>
        <v>1.9500000000000073E-2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74491576.644330949</v>
      </c>
      <c r="D17" s="11">
        <v>2.01E-2</v>
      </c>
      <c r="E17" s="10">
        <f t="shared" si="2"/>
        <v>1467778.3458004594</v>
      </c>
      <c r="F17" s="3"/>
      <c r="G17" s="28"/>
      <c r="H17" s="10"/>
      <c r="I17" s="10">
        <f t="shared" si="5"/>
        <v>10198</v>
      </c>
      <c r="J17" s="10">
        <f t="shared" si="3"/>
        <v>759665098618.88696</v>
      </c>
      <c r="K17" s="11">
        <f t="shared" si="4"/>
        <v>2.0099999999999785E-2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73023798.298530489</v>
      </c>
      <c r="D18" s="11">
        <v>2.1000000000000001E-2</v>
      </c>
      <c r="E18" s="10">
        <f t="shared" si="2"/>
        <v>1501958.6329766214</v>
      </c>
      <c r="F18" s="3"/>
      <c r="G18" s="28"/>
      <c r="H18" s="10"/>
      <c r="I18" s="10">
        <f t="shared" si="5"/>
        <v>10198</v>
      </c>
      <c r="J18" s="10">
        <f t="shared" si="3"/>
        <v>744696695048.41394</v>
      </c>
      <c r="K18" s="11">
        <f t="shared" si="4"/>
        <v>2.0999999999999908E-2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71521839.665553868</v>
      </c>
      <c r="D19" s="11">
        <v>2.2100000000000002E-2</v>
      </c>
      <c r="E19" s="10">
        <f t="shared" si="2"/>
        <v>1546455.9794626236</v>
      </c>
      <c r="F19" s="3"/>
      <c r="G19" s="28"/>
      <c r="H19" s="10"/>
      <c r="I19" s="10">
        <f t="shared" si="5"/>
        <v>10198</v>
      </c>
      <c r="J19" s="10">
        <f t="shared" si="3"/>
        <v>729379720909.31836</v>
      </c>
      <c r="K19" s="11">
        <f t="shared" si="4"/>
        <v>2.2100000000000009E-2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69975383.686091244</v>
      </c>
      <c r="D20" s="11">
        <v>2.3400000000000001E-2</v>
      </c>
      <c r="E20" s="10">
        <f t="shared" si="2"/>
        <v>1599984.3445911109</v>
      </c>
      <c r="F20" s="3"/>
      <c r="G20" s="28"/>
      <c r="H20" s="10"/>
      <c r="I20" s="10">
        <f t="shared" si="5"/>
        <v>10198</v>
      </c>
      <c r="J20" s="10">
        <f t="shared" si="3"/>
        <v>713608962830.75854</v>
      </c>
      <c r="K20" s="11">
        <f t="shared" si="4"/>
        <v>2.3400000000000087E-2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68375399.341500133</v>
      </c>
      <c r="D21" s="11">
        <v>2.47E-2</v>
      </c>
      <c r="E21" s="10">
        <f t="shared" si="2"/>
        <v>1648162.743959263</v>
      </c>
      <c r="F21" s="3"/>
      <c r="G21" s="28"/>
      <c r="H21" s="10"/>
      <c r="I21" s="10">
        <f t="shared" si="5"/>
        <v>10198</v>
      </c>
      <c r="J21" s="10">
        <f t="shared" si="3"/>
        <v>697292322484.61841</v>
      </c>
      <c r="K21" s="11">
        <f t="shared" si="4"/>
        <v>2.4700000000000166E-2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66727236.59754087</v>
      </c>
      <c r="D22" s="11">
        <v>2.6100000000000002E-2</v>
      </c>
      <c r="E22" s="10">
        <f t="shared" si="2"/>
        <v>1697281.8197016045</v>
      </c>
      <c r="F22" s="3"/>
      <c r="G22" s="28"/>
      <c r="H22" s="10"/>
      <c r="I22" s="10">
        <f t="shared" si="5"/>
        <v>10198</v>
      </c>
      <c r="J22" s="10">
        <f t="shared" si="3"/>
        <v>680484358821.7218</v>
      </c>
      <c r="K22" s="11">
        <f t="shared" si="4"/>
        <v>2.6100000000000012E-2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65029954.777839266</v>
      </c>
      <c r="D23" s="11">
        <v>2.7199999999999998E-2</v>
      </c>
      <c r="E23" s="10">
        <f t="shared" si="2"/>
        <v>1721976.9956748635</v>
      </c>
      <c r="F23" s="3"/>
      <c r="G23" s="28"/>
      <c r="H23" s="10"/>
      <c r="I23" s="10">
        <f t="shared" si="5"/>
        <v>10198</v>
      </c>
      <c r="J23" s="10">
        <f t="shared" si="3"/>
        <v>663175478824.40479</v>
      </c>
      <c r="K23" s="11">
        <f t="shared" si="4"/>
        <v>2.7199999999999891E-2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63307977.782164402</v>
      </c>
      <c r="D24" s="11">
        <v>2.81E-2</v>
      </c>
      <c r="E24" s="10">
        <f t="shared" si="2"/>
        <v>1730331.8506748602</v>
      </c>
      <c r="F24" s="3"/>
      <c r="G24" s="28"/>
      <c r="H24" s="10"/>
      <c r="I24" s="10">
        <f t="shared" si="5"/>
        <v>10198</v>
      </c>
      <c r="J24" s="10">
        <f t="shared" si="3"/>
        <v>645614757422.51257</v>
      </c>
      <c r="K24" s="11">
        <f t="shared" si="4"/>
        <v>2.8100000000000014E-2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61577645.931489542</v>
      </c>
      <c r="D25" s="11">
        <v>2.8799999999999999E-2</v>
      </c>
      <c r="E25" s="10">
        <f t="shared" si="2"/>
        <v>1723791.021410279</v>
      </c>
      <c r="F25" s="3"/>
      <c r="G25" s="28"/>
      <c r="H25" s="10"/>
      <c r="I25" s="10">
        <f t="shared" si="5"/>
        <v>10198</v>
      </c>
      <c r="J25" s="10">
        <f t="shared" si="3"/>
        <v>627968833209.33032</v>
      </c>
      <c r="K25" s="11">
        <f t="shared" si="4"/>
        <v>2.8799999999999937E-2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59853854.910079263</v>
      </c>
      <c r="D26" s="11">
        <v>2.9100000000000001E-2</v>
      </c>
      <c r="E26" s="10">
        <f t="shared" si="2"/>
        <v>1692495.5571696609</v>
      </c>
      <c r="F26" s="3"/>
      <c r="G26" s="28"/>
      <c r="H26" s="10"/>
      <c r="I26" s="10">
        <f t="shared" si="5"/>
        <v>10198</v>
      </c>
      <c r="J26" s="10">
        <f t="shared" si="3"/>
        <v>610389612372.98828</v>
      </c>
      <c r="K26" s="11">
        <f t="shared" si="4"/>
        <v>2.9099999999999682E-2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58161359.352909602</v>
      </c>
      <c r="D27" s="11">
        <v>2.9100000000000001E-2</v>
      </c>
      <c r="E27" s="10">
        <f t="shared" si="2"/>
        <v>1644636.6312016919</v>
      </c>
      <c r="F27" s="3"/>
      <c r="G27" s="28"/>
      <c r="H27" s="10"/>
      <c r="I27" s="10">
        <f t="shared" si="5"/>
        <v>10198</v>
      </c>
      <c r="J27" s="10">
        <f t="shared" si="3"/>
        <v>593129542680.97217</v>
      </c>
      <c r="K27" s="11">
        <f t="shared" si="4"/>
        <v>2.9099999999999904E-2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56516722.72170791</v>
      </c>
      <c r="D28" s="11">
        <v>2.8899999999999999E-2</v>
      </c>
      <c r="E28" s="10">
        <f t="shared" si="2"/>
        <v>1587455.8136430681</v>
      </c>
      <c r="F28" s="3"/>
      <c r="G28" s="28"/>
      <c r="H28" s="10"/>
      <c r="I28" s="10">
        <f t="shared" si="5"/>
        <v>10198</v>
      </c>
      <c r="J28" s="10">
        <f t="shared" si="3"/>
        <v>576357538315.97729</v>
      </c>
      <c r="K28" s="11">
        <f t="shared" si="4"/>
        <v>2.8899999999999926E-2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54929266.908064842</v>
      </c>
      <c r="D29" s="11">
        <v>2.8400000000000002E-2</v>
      </c>
      <c r="E29" s="10">
        <f t="shared" si="2"/>
        <v>1516910.910335511</v>
      </c>
      <c r="F29" s="3"/>
      <c r="G29" s="28"/>
      <c r="H29" s="10"/>
      <c r="I29" s="10">
        <f t="shared" si="5"/>
        <v>10198</v>
      </c>
      <c r="J29" s="10">
        <f t="shared" si="3"/>
        <v>560168663928.44531</v>
      </c>
      <c r="K29" s="11">
        <f t="shared" si="4"/>
        <v>2.8399999999999981E-2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53412355.997729331</v>
      </c>
      <c r="D30" s="11">
        <v>2.7799999999999998E-2</v>
      </c>
      <c r="E30" s="10">
        <f t="shared" si="2"/>
        <v>1444700.8141047657</v>
      </c>
      <c r="F30" s="3"/>
      <c r="G30" s="28"/>
      <c r="H30" s="10"/>
      <c r="I30" s="10">
        <f t="shared" si="5"/>
        <v>10198</v>
      </c>
      <c r="J30" s="10">
        <f t="shared" si="3"/>
        <v>544699206464.84375</v>
      </c>
      <c r="K30" s="11">
        <f t="shared" si="4"/>
        <v>2.7800000000000047E-2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51967655.183624566</v>
      </c>
      <c r="D31" s="11">
        <v>2.7E-2</v>
      </c>
      <c r="E31" s="10">
        <f t="shared" si="2"/>
        <v>1366238.257018365</v>
      </c>
      <c r="F31" s="3"/>
      <c r="G31" s="28"/>
      <c r="H31" s="10"/>
      <c r="I31" s="10">
        <f t="shared" si="5"/>
        <v>10198</v>
      </c>
      <c r="J31" s="10">
        <f t="shared" si="3"/>
        <v>529966147562.60333</v>
      </c>
      <c r="K31" s="11">
        <f t="shared" si="4"/>
        <v>2.6999999999999913E-2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50601416.926606201</v>
      </c>
      <c r="D32" s="11">
        <v>2.5999999999999999E-2</v>
      </c>
      <c r="E32" s="10">
        <f t="shared" si="2"/>
        <v>1282297.1150991842</v>
      </c>
      <c r="F32" s="3"/>
      <c r="G32" s="28"/>
      <c r="H32" s="10"/>
      <c r="I32" s="10">
        <f t="shared" si="5"/>
        <v>10198</v>
      </c>
      <c r="J32" s="10">
        <f t="shared" si="3"/>
        <v>516033249817.53003</v>
      </c>
      <c r="K32" s="11">
        <f t="shared" si="4"/>
        <v>2.6000000000000023E-2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49319119.811507016</v>
      </c>
      <c r="D33" s="11">
        <v>2.4899999999999999E-2</v>
      </c>
      <c r="E33" s="10">
        <f t="shared" si="2"/>
        <v>1198210.6384101063</v>
      </c>
      <c r="F33" s="3"/>
      <c r="G33" s="28"/>
      <c r="H33" s="10"/>
      <c r="I33" s="10">
        <f t="shared" si="5"/>
        <v>10198</v>
      </c>
      <c r="J33" s="10">
        <f t="shared" si="3"/>
        <v>502956383837.74854</v>
      </c>
      <c r="K33" s="11">
        <f t="shared" si="4"/>
        <v>2.48999999999997E-2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48120909.17309691</v>
      </c>
      <c r="D34" s="11">
        <v>2.3900000000000001E-2</v>
      </c>
      <c r="E34" s="10">
        <f t="shared" si="2"/>
        <v>1123244.1930237487</v>
      </c>
      <c r="F34" s="3"/>
      <c r="G34" s="28"/>
      <c r="H34" s="10"/>
      <c r="I34" s="10">
        <f t="shared" si="5"/>
        <v>10198</v>
      </c>
      <c r="J34" s="10">
        <f t="shared" ref="J34:J65" si="6">IF(I34="","",I34*C34)</f>
        <v>490737031747.24231</v>
      </c>
      <c r="K34" s="11">
        <f t="shared" ref="K34:K65" si="7">IFERROR(J34/J35-1,"")</f>
        <v>2.3900000000000032E-2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46997664.980073161</v>
      </c>
      <c r="D35" s="11">
        <v>2.29E-2</v>
      </c>
      <c r="E35" s="10">
        <f t="shared" si="2"/>
        <v>1052152.2417085469</v>
      </c>
      <c r="F35" s="3"/>
      <c r="G35" s="28"/>
      <c r="H35" s="10"/>
      <c r="I35" s="10">
        <f t="shared" ref="I35:I66" si="8">IF(H35&lt;&gt;"",H35,I34/(1+IF(G34="",0,G34)/100))</f>
        <v>10198</v>
      </c>
      <c r="J35" s="10">
        <f t="shared" si="6"/>
        <v>479282187466.78607</v>
      </c>
      <c r="K35" s="11">
        <f t="shared" si="7"/>
        <v>2.289999999999992E-2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45945512.738364615</v>
      </c>
      <c r="D36" s="11">
        <v>2.2100000000000002E-2</v>
      </c>
      <c r="E36" s="10">
        <f t="shared" si="2"/>
        <v>993440.79005758464</v>
      </c>
      <c r="F36" s="3"/>
      <c r="G36" s="28"/>
      <c r="H36" s="10"/>
      <c r="I36" s="10">
        <f t="shared" si="8"/>
        <v>10198</v>
      </c>
      <c r="J36" s="10">
        <f t="shared" si="6"/>
        <v>468552338905.84235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44952071.94830703</v>
      </c>
      <c r="D37" s="11">
        <v>2.1299999999999999E-2</v>
      </c>
      <c r="E37" s="10">
        <f t="shared" si="2"/>
        <v>937510.16596391052</v>
      </c>
      <c r="F37" s="3"/>
      <c r="G37" s="28"/>
      <c r="H37" s="10"/>
      <c r="I37" s="10">
        <f t="shared" si="8"/>
        <v>10198</v>
      </c>
      <c r="J37" s="10">
        <f t="shared" si="6"/>
        <v>458421229728.83508</v>
      </c>
      <c r="K37" s="11">
        <f t="shared" si="7"/>
        <v>2.1300000000000097E-2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44014561.782343119</v>
      </c>
      <c r="D38" s="11">
        <v>2.06E-2</v>
      </c>
      <c r="E38" s="10">
        <f t="shared" si="2"/>
        <v>888398.95425853878</v>
      </c>
      <c r="F38" s="3"/>
      <c r="G38" s="28"/>
      <c r="H38" s="10"/>
      <c r="I38" s="10">
        <f t="shared" si="8"/>
        <v>10198</v>
      </c>
      <c r="J38" s="10">
        <f t="shared" si="6"/>
        <v>448860501056.33514</v>
      </c>
      <c r="K38" s="11">
        <f t="shared" si="7"/>
        <v>2.0599999999999952E-2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43126162.828084581</v>
      </c>
      <c r="D39" s="11">
        <v>2.01E-2</v>
      </c>
      <c r="E39" s="10">
        <f t="shared" si="2"/>
        <v>849755.7816336602</v>
      </c>
      <c r="F39" s="3"/>
      <c r="G39" s="28"/>
      <c r="H39" s="10"/>
      <c r="I39" s="10">
        <f t="shared" si="8"/>
        <v>10198</v>
      </c>
      <c r="J39" s="10">
        <f t="shared" si="6"/>
        <v>439800608520.80658</v>
      </c>
      <c r="K39" s="11">
        <f t="shared" si="7"/>
        <v>2.0100000000000007E-2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42276407.04645092</v>
      </c>
      <c r="D40" s="11">
        <v>1.9599999999999999E-2</v>
      </c>
      <c r="E40" s="10">
        <f t="shared" si="2"/>
        <v>812688.87613813579</v>
      </c>
      <c r="F40" s="3"/>
      <c r="G40" s="28"/>
      <c r="H40" s="10"/>
      <c r="I40" s="10">
        <f t="shared" si="8"/>
        <v>10198</v>
      </c>
      <c r="J40" s="10">
        <f t="shared" si="6"/>
        <v>431134799059.70648</v>
      </c>
      <c r="K40" s="11">
        <f t="shared" si="7"/>
        <v>1.9600000000000062E-2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41463718.170312785</v>
      </c>
      <c r="D41" s="11">
        <v>1.9099999999999999E-2</v>
      </c>
      <c r="E41" s="10">
        <f t="shared" si="2"/>
        <v>777114.13703559339</v>
      </c>
      <c r="F41" s="3"/>
      <c r="G41" s="28"/>
      <c r="H41" s="10"/>
      <c r="I41" s="10">
        <f t="shared" si="8"/>
        <v>10198</v>
      </c>
      <c r="J41" s="10">
        <f t="shared" si="6"/>
        <v>422846997900.84979</v>
      </c>
      <c r="K41" s="11">
        <f t="shared" si="7"/>
        <v>1.9100000000000117E-2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40686604.033277191</v>
      </c>
      <c r="D42" s="11">
        <v>1.8499999999999999E-2</v>
      </c>
      <c r="E42" s="10">
        <f t="shared" si="2"/>
        <v>739030.11744293571</v>
      </c>
      <c r="F42" s="3"/>
      <c r="G42" s="28"/>
      <c r="H42" s="10"/>
      <c r="I42" s="10">
        <f t="shared" si="8"/>
        <v>10198</v>
      </c>
      <c r="J42" s="10">
        <f t="shared" si="6"/>
        <v>414921987931.36078</v>
      </c>
      <c r="K42" s="11">
        <f t="shared" si="7"/>
        <v>1.8499999999999961E-2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39947573.915834256</v>
      </c>
      <c r="D43" s="11">
        <v>1.7899999999999999E-2</v>
      </c>
      <c r="E43" s="10">
        <f t="shared" si="2"/>
        <v>702487.05481229722</v>
      </c>
      <c r="F43" s="3"/>
      <c r="G43" s="28"/>
      <c r="H43" s="10"/>
      <c r="I43" s="10">
        <f t="shared" si="8"/>
        <v>10198</v>
      </c>
      <c r="J43" s="10">
        <f t="shared" si="6"/>
        <v>407385358793.67773</v>
      </c>
      <c r="K43" s="11">
        <f t="shared" si="7"/>
        <v>1.7900000000000249E-2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39245086.861021958</v>
      </c>
      <c r="D44" s="11">
        <v>1.72E-2</v>
      </c>
      <c r="E44" s="10">
        <f t="shared" si="2"/>
        <v>663601.54739439487</v>
      </c>
      <c r="F44" s="3"/>
      <c r="G44" s="28"/>
      <c r="H44" s="10"/>
      <c r="I44" s="10">
        <f t="shared" si="8"/>
        <v>10198</v>
      </c>
      <c r="J44" s="10">
        <f t="shared" si="6"/>
        <v>400221395808.7019</v>
      </c>
      <c r="K44" s="11">
        <f t="shared" si="7"/>
        <v>1.7199999999999882E-2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38581485.313627563</v>
      </c>
      <c r="D45" s="11">
        <v>1.6400000000000001E-2</v>
      </c>
      <c r="E45" s="10">
        <f t="shared" si="2"/>
        <v>622526.91769331694</v>
      </c>
      <c r="F45" s="3"/>
      <c r="G45" s="28"/>
      <c r="H45" s="10"/>
      <c r="I45" s="10">
        <f t="shared" si="8"/>
        <v>10198</v>
      </c>
      <c r="J45" s="10">
        <f t="shared" si="6"/>
        <v>393453987228.3739</v>
      </c>
      <c r="K45" s="11">
        <f t="shared" si="7"/>
        <v>1.639999999999997E-2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37958958.395934246</v>
      </c>
      <c r="D46" s="11">
        <v>1.5599999999999999E-2</v>
      </c>
      <c r="E46" s="10">
        <f t="shared" si="2"/>
        <v>583063.95330502093</v>
      </c>
      <c r="F46" s="3"/>
      <c r="G46" s="28"/>
      <c r="H46" s="10"/>
      <c r="I46" s="10">
        <f t="shared" si="8"/>
        <v>10198</v>
      </c>
      <c r="J46" s="10">
        <f t="shared" si="6"/>
        <v>387105457721.73743</v>
      </c>
      <c r="K46" s="11">
        <f t="shared" si="7"/>
        <v>1.5600000000000058E-2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37375894.442629226</v>
      </c>
      <c r="D47" s="11">
        <v>1.49E-2</v>
      </c>
      <c r="E47" s="10">
        <f t="shared" si="2"/>
        <v>548724.82726886868</v>
      </c>
      <c r="F47" s="3"/>
      <c r="G47" s="28"/>
      <c r="H47" s="10"/>
      <c r="I47" s="10">
        <f t="shared" si="8"/>
        <v>10198</v>
      </c>
      <c r="J47" s="10">
        <f t="shared" si="6"/>
        <v>381159371525.93286</v>
      </c>
      <c r="K47" s="11">
        <f t="shared" si="7"/>
        <v>1.4899999999999913E-2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36827169.615360357</v>
      </c>
      <c r="D48" s="11">
        <v>1.4200000000000001E-2</v>
      </c>
      <c r="E48" s="10">
        <f t="shared" si="2"/>
        <v>515623.94846984744</v>
      </c>
      <c r="F48" s="3"/>
      <c r="G48" s="28"/>
      <c r="H48" s="10"/>
      <c r="I48" s="10">
        <f t="shared" si="8"/>
        <v>10198</v>
      </c>
      <c r="J48" s="10">
        <f t="shared" si="6"/>
        <v>375563475737.44495</v>
      </c>
      <c r="K48" s="11">
        <f t="shared" si="7"/>
        <v>1.4200000000000212E-2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36311545.666890509</v>
      </c>
      <c r="D49" s="11">
        <v>1.35E-2</v>
      </c>
      <c r="E49" s="10">
        <f t="shared" si="2"/>
        <v>483676.23729947954</v>
      </c>
      <c r="F49" s="3"/>
      <c r="G49" s="28"/>
      <c r="H49" s="10"/>
      <c r="I49" s="10">
        <f t="shared" si="8"/>
        <v>10198</v>
      </c>
      <c r="J49" s="10">
        <f t="shared" si="6"/>
        <v>370305142710.9494</v>
      </c>
      <c r="K49" s="11">
        <f t="shared" si="7"/>
        <v>1.3500000000000068E-2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35827869.42959103</v>
      </c>
      <c r="D50" s="11">
        <v>1.29E-2</v>
      </c>
      <c r="E50" s="10">
        <f t="shared" si="2"/>
        <v>456293.33166326582</v>
      </c>
      <c r="F50" s="3"/>
      <c r="G50" s="28"/>
      <c r="H50" s="10"/>
      <c r="I50" s="10">
        <f t="shared" si="8"/>
        <v>10198</v>
      </c>
      <c r="J50" s="10">
        <f t="shared" si="6"/>
        <v>365372612442.9693</v>
      </c>
      <c r="K50" s="11">
        <f t="shared" si="7"/>
        <v>1.2899999999999912E-2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35371576.097927764</v>
      </c>
      <c r="D51" s="11">
        <v>1.24E-2</v>
      </c>
      <c r="E51" s="10">
        <f t="shared" si="2"/>
        <v>433235.42435233295</v>
      </c>
      <c r="F51" s="3"/>
      <c r="G51" s="28"/>
      <c r="H51" s="10"/>
      <c r="I51" s="10">
        <f t="shared" si="8"/>
        <v>10198</v>
      </c>
      <c r="J51" s="10">
        <f t="shared" si="6"/>
        <v>360719333046.66736</v>
      </c>
      <c r="K51" s="11">
        <f t="shared" si="7"/>
        <v>1.2399999999999967E-2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34938340.673575431</v>
      </c>
      <c r="D52" s="11">
        <v>1.2E-2</v>
      </c>
      <c r="E52" s="10">
        <f t="shared" si="2"/>
        <v>414288.62458784878</v>
      </c>
      <c r="F52" s="3"/>
      <c r="G52" s="28"/>
      <c r="H52" s="10"/>
      <c r="I52" s="10">
        <f t="shared" si="8"/>
        <v>10198</v>
      </c>
      <c r="J52" s="10">
        <f t="shared" si="6"/>
        <v>356301198189.12225</v>
      </c>
      <c r="K52" s="11">
        <f t="shared" si="7"/>
        <v>1.2000000000000011E-2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34524052.048987582</v>
      </c>
      <c r="D53" s="11">
        <v>1.1599999999999999E-2</v>
      </c>
      <c r="E53" s="10">
        <f t="shared" si="2"/>
        <v>395886.71784129739</v>
      </c>
      <c r="F53" s="3"/>
      <c r="G53" s="28"/>
      <c r="H53" s="10"/>
      <c r="I53" s="10">
        <f t="shared" si="8"/>
        <v>10198</v>
      </c>
      <c r="J53" s="10">
        <f t="shared" si="6"/>
        <v>352076282795.57538</v>
      </c>
      <c r="K53" s="11">
        <f t="shared" si="7"/>
        <v>1.1600000000000055E-2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34128165.331146285</v>
      </c>
      <c r="D54" s="11">
        <v>1.14E-2</v>
      </c>
      <c r="E54" s="10">
        <f t="shared" si="2"/>
        <v>384675.78087311983</v>
      </c>
      <c r="F54" s="3"/>
      <c r="G54" s="28"/>
      <c r="H54" s="10"/>
      <c r="I54" s="10">
        <f t="shared" si="8"/>
        <v>10198</v>
      </c>
      <c r="J54" s="10">
        <f t="shared" si="6"/>
        <v>348039030047.02979</v>
      </c>
      <c r="K54" s="11">
        <f t="shared" si="7"/>
        <v>1.1400000000000077E-2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33743489.550273165</v>
      </c>
      <c r="D55" s="11">
        <v>1.11E-2</v>
      </c>
      <c r="E55" s="10">
        <f t="shared" si="2"/>
        <v>370440.84067652747</v>
      </c>
      <c r="F55" s="3"/>
      <c r="G55" s="28"/>
      <c r="H55" s="10"/>
      <c r="I55" s="10">
        <f t="shared" si="8"/>
        <v>10198</v>
      </c>
      <c r="J55" s="10">
        <f t="shared" si="6"/>
        <v>344116106433.68573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33373048.709596638</v>
      </c>
      <c r="D56" s="11">
        <v>1.09E-2</v>
      </c>
      <c r="E56" s="10">
        <f t="shared" si="2"/>
        <v>359843.93207498267</v>
      </c>
      <c r="F56" s="3"/>
      <c r="G56" s="28"/>
      <c r="H56" s="10"/>
      <c r="I56" s="10">
        <f t="shared" si="8"/>
        <v>10198</v>
      </c>
      <c r="J56" s="10">
        <f t="shared" si="6"/>
        <v>340338350740.46649</v>
      </c>
      <c r="K56" s="11">
        <f t="shared" si="7"/>
        <v>1.089999999999991E-2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33013204.777521655</v>
      </c>
      <c r="D57" s="11">
        <v>1.0699999999999999E-2</v>
      </c>
      <c r="E57" s="10">
        <f t="shared" si="2"/>
        <v>349501.62374540418</v>
      </c>
      <c r="F57" s="3"/>
      <c r="G57" s="28"/>
      <c r="H57" s="10"/>
      <c r="I57" s="10">
        <f t="shared" si="8"/>
        <v>10198</v>
      </c>
      <c r="J57" s="10">
        <f t="shared" si="6"/>
        <v>336668662321.16583</v>
      </c>
      <c r="K57" s="11">
        <f t="shared" si="7"/>
        <v>1.0699999999999932E-2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32663703.153776251</v>
      </c>
      <c r="D58" s="11">
        <v>1.0500000000000001E-2</v>
      </c>
      <c r="E58" s="10">
        <f t="shared" si="2"/>
        <v>339405.12925744429</v>
      </c>
      <c r="F58" s="3"/>
      <c r="G58" s="28"/>
      <c r="H58" s="10"/>
      <c r="I58" s="10">
        <f t="shared" si="8"/>
        <v>10198</v>
      </c>
      <c r="J58" s="10">
        <f t="shared" si="6"/>
        <v>333104444762.21021</v>
      </c>
      <c r="K58" s="11">
        <f t="shared" si="7"/>
        <v>1.0499999999999954E-2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32324298.024518806</v>
      </c>
      <c r="D59" s="11">
        <v>1.03E-2</v>
      </c>
      <c r="E59" s="10">
        <f t="shared" si="2"/>
        <v>329545.9464045763</v>
      </c>
      <c r="F59" s="3"/>
      <c r="G59" s="28"/>
      <c r="H59" s="10"/>
      <c r="I59" s="10">
        <f t="shared" si="8"/>
        <v>10198</v>
      </c>
      <c r="J59" s="10">
        <f t="shared" si="6"/>
        <v>329643191254.04279</v>
      </c>
      <c r="K59" s="11">
        <f t="shared" si="7"/>
        <v>1.0299999999999976E-2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31994752.07811423</v>
      </c>
      <c r="D60" s="11">
        <v>1.01E-2</v>
      </c>
      <c r="E60" s="10">
        <f t="shared" si="2"/>
        <v>319915.84594491124</v>
      </c>
      <c r="F60" s="3"/>
      <c r="G60" s="28"/>
      <c r="H60" s="10"/>
      <c r="I60" s="10">
        <f t="shared" si="8"/>
        <v>10198</v>
      </c>
      <c r="J60" s="10">
        <f t="shared" si="6"/>
        <v>326282481692.60895</v>
      </c>
      <c r="K60" s="11">
        <f t="shared" si="7"/>
        <v>1.0099999999999998E-2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31674836.232169319</v>
      </c>
      <c r="D61" s="11">
        <v>9.9000000000000008E-3</v>
      </c>
      <c r="E61" s="10">
        <f t="shared" si="2"/>
        <v>310506.86077678576</v>
      </c>
      <c r="F61" s="3"/>
      <c r="G61" s="28"/>
      <c r="H61" s="10"/>
      <c r="I61" s="10">
        <f t="shared" si="8"/>
        <v>10198</v>
      </c>
      <c r="J61" s="10">
        <f t="shared" si="6"/>
        <v>323019979895.66272</v>
      </c>
      <c r="K61" s="11">
        <f t="shared" si="7"/>
        <v>9.9000000000000199E-3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31364329.371392533</v>
      </c>
      <c r="D62" s="11">
        <v>9.7000000000000003E-3</v>
      </c>
      <c r="E62" s="10">
        <f t="shared" si="2"/>
        <v>301311.2755298689</v>
      </c>
      <c r="F62" s="3"/>
      <c r="G62" s="28"/>
      <c r="H62" s="10"/>
      <c r="I62" s="10">
        <f t="shared" si="8"/>
        <v>10198</v>
      </c>
      <c r="J62" s="10">
        <f t="shared" si="6"/>
        <v>319853430929.46106</v>
      </c>
      <c r="K62" s="11">
        <f t="shared" si="7"/>
        <v>9.7000000000000419E-3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31063018.095862664</v>
      </c>
      <c r="D63" s="11">
        <v>9.4000000000000004E-3</v>
      </c>
      <c r="E63" s="10">
        <f t="shared" si="2"/>
        <v>289273.20200229064</v>
      </c>
      <c r="F63" s="3"/>
      <c r="G63" s="28"/>
      <c r="H63" s="10"/>
      <c r="I63" s="10">
        <f t="shared" si="8"/>
        <v>10198</v>
      </c>
      <c r="J63" s="10">
        <f t="shared" si="6"/>
        <v>316780658541.60742</v>
      </c>
      <c r="K63" s="11">
        <f t="shared" si="7"/>
        <v>9.400000000000075E-3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30773744.893860374</v>
      </c>
      <c r="D64" s="11">
        <v>9.1999999999999998E-3</v>
      </c>
      <c r="E64" s="10">
        <f t="shared" si="2"/>
        <v>280537.50795037672</v>
      </c>
      <c r="F64" s="3"/>
      <c r="G64" s="28"/>
      <c r="H64" s="10"/>
      <c r="I64" s="10">
        <f t="shared" si="8"/>
        <v>10198</v>
      </c>
      <c r="J64" s="10">
        <f t="shared" si="6"/>
        <v>313830650427.58807</v>
      </c>
      <c r="K64" s="11">
        <f t="shared" si="7"/>
        <v>9.200000000000097E-3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30493207.385909997</v>
      </c>
      <c r="D65" s="11">
        <v>8.8999999999999999E-3</v>
      </c>
      <c r="E65" s="10">
        <f t="shared" si="2"/>
        <v>268995.48590999842</v>
      </c>
      <c r="F65" s="3"/>
      <c r="G65" s="28"/>
      <c r="H65" s="10"/>
      <c r="I65" s="10">
        <f t="shared" si="8"/>
        <v>10198</v>
      </c>
      <c r="J65" s="10">
        <f t="shared" si="6"/>
        <v>310969728921.51013</v>
      </c>
      <c r="K65" s="11">
        <f t="shared" si="7"/>
        <v>8.899999999999908E-3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30224211.899999999</v>
      </c>
      <c r="D66" s="11">
        <v>8.6E-3</v>
      </c>
      <c r="E66" s="10">
        <f t="shared" si="2"/>
        <v>257711.89999999851</v>
      </c>
      <c r="F66" s="24">
        <f>SUM(F2)</f>
        <v>93832500</v>
      </c>
      <c r="G66" s="28"/>
      <c r="H66" s="10"/>
      <c r="I66" s="10">
        <f t="shared" si="8"/>
        <v>10198</v>
      </c>
      <c r="J66" s="10">
        <f t="shared" ref="J66:J67" si="9">IF(I66="","",I66*C66)</f>
        <v>308226512956.20001</v>
      </c>
      <c r="K66" s="11">
        <f t="shared" ref="K66" si="10">IFERROR(J66/J67-1,"")</f>
        <v>8.599999999999941E-3</v>
      </c>
    </row>
    <row r="67" spans="1:11" ht="22.5" customHeight="1">
      <c r="A67" s="3">
        <f t="shared" si="0"/>
        <v>1950</v>
      </c>
      <c r="B67" s="3">
        <v>1700</v>
      </c>
      <c r="C67" s="10">
        <v>29966500</v>
      </c>
      <c r="D67" s="11">
        <v>8.3999999999999995E-3</v>
      </c>
      <c r="E67" s="3" t="s">
        <v>72</v>
      </c>
      <c r="F67" s="10">
        <f>SUM(C2)</f>
        <v>93832696.520897821</v>
      </c>
      <c r="G67" s="28"/>
      <c r="H67" s="10"/>
      <c r="I67" s="10">
        <f t="shared" ref="I67" si="11">IF(H67&lt;&gt;"",H67,I66/(1+IF(G66="",0,G66)/100))</f>
        <v>10198</v>
      </c>
      <c r="J67" s="10">
        <f t="shared" si="9"/>
        <v>305598367000</v>
      </c>
      <c r="K67" s="11"/>
    </row>
  </sheetData>
  <dataValidations count="1">
    <dataValidation type="custom" allowBlank="1" showDropDown="1" sqref="D2:D67" xr:uid="{00000000-0002-0000-9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33525928.242861282</v>
      </c>
      <c r="D2" s="11">
        <v>4.4000000000000003E-3</v>
      </c>
      <c r="E2" s="10">
        <f t="shared" ref="E2:E66" si="2">SUM(C2-C3)</f>
        <v>146867.86565968394</v>
      </c>
      <c r="F2" s="15">
        <v>33524353</v>
      </c>
      <c r="G2" s="28"/>
      <c r="H2" s="10"/>
      <c r="I2" s="10">
        <f>IF(H2&lt;&gt;"",H2,1655)</f>
        <v>1655</v>
      </c>
      <c r="J2" s="10">
        <f t="shared" ref="J2:J33" si="3">IF(I2="","",I2*C2)</f>
        <v>55485411241.935425</v>
      </c>
      <c r="K2" s="11">
        <f t="shared" ref="K2:K33" si="4">IFERROR(J2/J3-1,"")</f>
        <v>4.3999999999999595E-3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33379060.377201598</v>
      </c>
      <c r="D3" s="11">
        <v>5.5999999999999999E-3</v>
      </c>
      <c r="E3" s="10">
        <f t="shared" si="2"/>
        <v>185881.80003215</v>
      </c>
      <c r="F3" s="3"/>
      <c r="G3" s="28"/>
      <c r="H3" s="10"/>
      <c r="I3" s="10">
        <f t="shared" ref="I3:I34" si="5">IF(H3&lt;&gt;"",H3,I2/(1+IF(G2="",0,G2)/100))</f>
        <v>1655</v>
      </c>
      <c r="J3" s="10">
        <f t="shared" si="3"/>
        <v>55242344924.268646</v>
      </c>
      <c r="K3" s="11">
        <f t="shared" si="4"/>
        <v>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33193178.577169448</v>
      </c>
      <c r="D4" s="11">
        <v>7.1999999999999998E-3</v>
      </c>
      <c r="E4" s="10">
        <f t="shared" si="2"/>
        <v>237282.45210050046</v>
      </c>
      <c r="F4" s="3"/>
      <c r="G4" s="28"/>
      <c r="H4" s="10"/>
      <c r="I4" s="10">
        <f t="shared" si="5"/>
        <v>1655</v>
      </c>
      <c r="J4" s="10">
        <f t="shared" si="3"/>
        <v>54934710545.215439</v>
      </c>
      <c r="K4" s="11">
        <f t="shared" si="4"/>
        <v>7.2000000000003173E-3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32955896.125068948</v>
      </c>
      <c r="D5" s="11">
        <v>8.9999999999999993E-3</v>
      </c>
      <c r="E5" s="10">
        <f t="shared" si="2"/>
        <v>293957.44809278101</v>
      </c>
      <c r="F5" s="3"/>
      <c r="G5" s="28"/>
      <c r="H5" s="10"/>
      <c r="I5" s="10">
        <f t="shared" si="5"/>
        <v>1655</v>
      </c>
      <c r="J5" s="10">
        <f t="shared" si="3"/>
        <v>54542008086.989105</v>
      </c>
      <c r="K5" s="11">
        <f t="shared" si="4"/>
        <v>8.999999999999897E-3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32661938.676976167</v>
      </c>
      <c r="D6" s="11">
        <v>1.09E-2</v>
      </c>
      <c r="E6" s="10">
        <f t="shared" si="2"/>
        <v>352176.40872394666</v>
      </c>
      <c r="F6" s="3"/>
      <c r="G6" s="28"/>
      <c r="H6" s="10"/>
      <c r="I6" s="10">
        <f t="shared" si="5"/>
        <v>1655</v>
      </c>
      <c r="J6" s="10">
        <f t="shared" si="3"/>
        <v>54055508510.395554</v>
      </c>
      <c r="K6" s="11">
        <f t="shared" si="4"/>
        <v>1.089999999999991E-2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32309762.26825222</v>
      </c>
      <c r="D7" s="11">
        <v>1.2699999999999999E-2</v>
      </c>
      <c r="E7" s="10">
        <f t="shared" si="2"/>
        <v>405188.09203791991</v>
      </c>
      <c r="F7" s="3"/>
      <c r="G7" s="28"/>
      <c r="H7" s="10"/>
      <c r="I7" s="10">
        <f t="shared" si="5"/>
        <v>1655</v>
      </c>
      <c r="J7" s="10">
        <f t="shared" si="3"/>
        <v>53472656553.95742</v>
      </c>
      <c r="K7" s="11">
        <f t="shared" si="4"/>
        <v>1.2699999999999934E-2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31904574.1762143</v>
      </c>
      <c r="D8" s="11">
        <v>1.44E-2</v>
      </c>
      <c r="E8" s="10">
        <f t="shared" si="2"/>
        <v>452904.04982007667</v>
      </c>
      <c r="F8" s="3"/>
      <c r="G8" s="28"/>
      <c r="H8" s="10"/>
      <c r="I8" s="10">
        <f t="shared" si="5"/>
        <v>1655</v>
      </c>
      <c r="J8" s="10">
        <f t="shared" si="3"/>
        <v>52802070261.634666</v>
      </c>
      <c r="K8" s="11">
        <f t="shared" si="4"/>
        <v>1.4399999999999968E-2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31451670.126394223</v>
      </c>
      <c r="D9" s="11">
        <v>1.6E-2</v>
      </c>
      <c r="E9" s="10">
        <f t="shared" si="2"/>
        <v>495301.8917542398</v>
      </c>
      <c r="F9" s="3"/>
      <c r="G9" s="28"/>
      <c r="H9" s="10"/>
      <c r="I9" s="10">
        <f t="shared" si="5"/>
        <v>1655</v>
      </c>
      <c r="J9" s="10">
        <f t="shared" si="3"/>
        <v>52052514059.182442</v>
      </c>
      <c r="K9" s="11">
        <f t="shared" si="4"/>
        <v>1.6000000000000014E-2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30956368.234639984</v>
      </c>
      <c r="D10" s="11">
        <v>1.7399999999999999E-2</v>
      </c>
      <c r="E10" s="10">
        <f t="shared" si="2"/>
        <v>529428.74708348513</v>
      </c>
      <c r="F10" s="3"/>
      <c r="G10" s="28"/>
      <c r="H10" s="10"/>
      <c r="I10" s="10">
        <f t="shared" si="5"/>
        <v>1655</v>
      </c>
      <c r="J10" s="10">
        <f t="shared" si="3"/>
        <v>51232789428.32917</v>
      </c>
      <c r="K10" s="11">
        <f t="shared" si="4"/>
        <v>1.7400000000000082E-2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30426939.487556498</v>
      </c>
      <c r="D11" s="11">
        <v>1.89E-2</v>
      </c>
      <c r="E11" s="10">
        <f t="shared" si="2"/>
        <v>564401.95928434283</v>
      </c>
      <c r="F11" s="3"/>
      <c r="G11" s="28"/>
      <c r="H11" s="10"/>
      <c r="I11" s="10">
        <f t="shared" si="5"/>
        <v>1655</v>
      </c>
      <c r="J11" s="10">
        <f t="shared" si="3"/>
        <v>50356584851.906006</v>
      </c>
      <c r="K11" s="11">
        <f t="shared" si="4"/>
        <v>1.8899999999999917E-2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29862537.528272156</v>
      </c>
      <c r="D12" s="11">
        <v>2.0299999999999999E-2</v>
      </c>
      <c r="E12" s="10">
        <f t="shared" si="2"/>
        <v>594148.30130738392</v>
      </c>
      <c r="F12" s="3"/>
      <c r="G12" s="28"/>
      <c r="H12" s="10"/>
      <c r="I12" s="10">
        <f t="shared" si="5"/>
        <v>1655</v>
      </c>
      <c r="J12" s="10">
        <f t="shared" si="3"/>
        <v>49422499609.290421</v>
      </c>
      <c r="K12" s="11">
        <f t="shared" si="4"/>
        <v>2.0300000000000207E-2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29268389.226964772</v>
      </c>
      <c r="D13" s="11">
        <v>2.1700000000000001E-2</v>
      </c>
      <c r="E13" s="10">
        <f t="shared" si="2"/>
        <v>621634.57592751086</v>
      </c>
      <c r="F13" s="3"/>
      <c r="G13" s="28"/>
      <c r="H13" s="10"/>
      <c r="I13" s="10">
        <f t="shared" si="5"/>
        <v>1655</v>
      </c>
      <c r="J13" s="10">
        <f t="shared" si="3"/>
        <v>48439184170.626694</v>
      </c>
      <c r="K13" s="11">
        <f t="shared" si="4"/>
        <v>2.1700000000000053E-2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28646754.651037261</v>
      </c>
      <c r="D14" s="11">
        <v>2.3E-2</v>
      </c>
      <c r="E14" s="10">
        <f t="shared" si="2"/>
        <v>644061.93252576143</v>
      </c>
      <c r="F14" s="3"/>
      <c r="G14" s="28"/>
      <c r="H14" s="10"/>
      <c r="I14" s="10">
        <f t="shared" si="5"/>
        <v>1655</v>
      </c>
      <c r="J14" s="10">
        <f t="shared" si="3"/>
        <v>47410378947.466667</v>
      </c>
      <c r="K14" s="11">
        <f t="shared" si="4"/>
        <v>2.2999999999999909E-2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28002692.718511499</v>
      </c>
      <c r="D15" s="11">
        <v>2.4500000000000001E-2</v>
      </c>
      <c r="E15" s="10">
        <f t="shared" si="2"/>
        <v>669659.31830505654</v>
      </c>
      <c r="F15" s="3"/>
      <c r="G15" s="28"/>
      <c r="H15" s="10"/>
      <c r="I15" s="10">
        <f t="shared" si="5"/>
        <v>1655</v>
      </c>
      <c r="J15" s="10">
        <f t="shared" si="3"/>
        <v>46344456449.136528</v>
      </c>
      <c r="K15" s="11">
        <f t="shared" si="4"/>
        <v>2.4499999999999966E-2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27333033.400206443</v>
      </c>
      <c r="D16" s="11">
        <v>2.5999999999999999E-2</v>
      </c>
      <c r="E16" s="10">
        <f t="shared" si="2"/>
        <v>692649.96920601279</v>
      </c>
      <c r="F16" s="3"/>
      <c r="G16" s="28"/>
      <c r="H16" s="10"/>
      <c r="I16" s="10">
        <f t="shared" si="5"/>
        <v>1655</v>
      </c>
      <c r="J16" s="10">
        <f t="shared" si="3"/>
        <v>45236170277.34166</v>
      </c>
      <c r="K16" s="11">
        <f t="shared" si="4"/>
        <v>2.6000000000000023E-2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26640383.43100043</v>
      </c>
      <c r="D17" s="11">
        <v>2.7799999999999998E-2</v>
      </c>
      <c r="E17" s="10">
        <f t="shared" si="2"/>
        <v>720570.79138141125</v>
      </c>
      <c r="F17" s="3"/>
      <c r="G17" s="28"/>
      <c r="H17" s="10"/>
      <c r="I17" s="10">
        <f t="shared" si="5"/>
        <v>1655</v>
      </c>
      <c r="J17" s="10">
        <f t="shared" si="3"/>
        <v>44089834578.30571</v>
      </c>
      <c r="K17" s="11">
        <f t="shared" si="4"/>
        <v>2.7800000000000047E-2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25919812.639619019</v>
      </c>
      <c r="D18" s="11">
        <v>2.9700000000000001E-2</v>
      </c>
      <c r="E18" s="10">
        <f t="shared" si="2"/>
        <v>747614.29095531255</v>
      </c>
      <c r="F18" s="3"/>
      <c r="G18" s="28"/>
      <c r="H18" s="10"/>
      <c r="I18" s="10">
        <f t="shared" si="5"/>
        <v>1655</v>
      </c>
      <c r="J18" s="10">
        <f t="shared" si="3"/>
        <v>42897289918.569473</v>
      </c>
      <c r="K18" s="11">
        <f t="shared" si="4"/>
        <v>2.9699999999999838E-2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25172198.348663706</v>
      </c>
      <c r="D19" s="11">
        <v>3.1699999999999999E-2</v>
      </c>
      <c r="E19" s="10">
        <f t="shared" si="2"/>
        <v>773440.61999868229</v>
      </c>
      <c r="F19" s="3"/>
      <c r="G19" s="28"/>
      <c r="H19" s="10"/>
      <c r="I19" s="10">
        <f t="shared" si="5"/>
        <v>1655</v>
      </c>
      <c r="J19" s="10">
        <f t="shared" si="3"/>
        <v>41659988267.038437</v>
      </c>
      <c r="K19" s="11">
        <f t="shared" si="4"/>
        <v>3.1700000000000061E-2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24398757.728665024</v>
      </c>
      <c r="D20" s="11">
        <v>3.3700000000000001E-2</v>
      </c>
      <c r="E20" s="10">
        <f t="shared" si="2"/>
        <v>795432.07454388216</v>
      </c>
      <c r="F20" s="3"/>
      <c r="G20" s="28"/>
      <c r="H20" s="10"/>
      <c r="I20" s="10">
        <f t="shared" si="5"/>
        <v>1655</v>
      </c>
      <c r="J20" s="10">
        <f t="shared" si="3"/>
        <v>40379944040.940613</v>
      </c>
      <c r="K20" s="11">
        <f t="shared" si="4"/>
        <v>3.3700000000000063E-2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23603325.654121142</v>
      </c>
      <c r="D21" s="11">
        <v>3.56E-2</v>
      </c>
      <c r="E21" s="10">
        <f t="shared" si="2"/>
        <v>811392.80927647278</v>
      </c>
      <c r="F21" s="3"/>
      <c r="G21" s="28"/>
      <c r="H21" s="10"/>
      <c r="I21" s="10">
        <f t="shared" si="5"/>
        <v>1655</v>
      </c>
      <c r="J21" s="10">
        <f t="shared" si="3"/>
        <v>39063503957.570488</v>
      </c>
      <c r="K21" s="11">
        <f t="shared" si="4"/>
        <v>3.5600000000000076E-2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22791932.844844669</v>
      </c>
      <c r="D22" s="11">
        <v>3.73E-2</v>
      </c>
      <c r="E22" s="10">
        <f t="shared" si="2"/>
        <v>819569.165248923</v>
      </c>
      <c r="F22" s="3"/>
      <c r="G22" s="28"/>
      <c r="H22" s="10"/>
      <c r="I22" s="10">
        <f t="shared" si="5"/>
        <v>1655</v>
      </c>
      <c r="J22" s="10">
        <f t="shared" si="3"/>
        <v>37720648858.217926</v>
      </c>
      <c r="K22" s="11">
        <f t="shared" si="4"/>
        <v>3.7300000000000111E-2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21972363.679595746</v>
      </c>
      <c r="D23" s="11">
        <v>3.85E-2</v>
      </c>
      <c r="E23" s="10">
        <f t="shared" si="2"/>
        <v>814574.86920022592</v>
      </c>
      <c r="F23" s="3"/>
      <c r="G23" s="28"/>
      <c r="H23" s="10"/>
      <c r="I23" s="10">
        <f t="shared" si="5"/>
        <v>1655</v>
      </c>
      <c r="J23" s="10">
        <f t="shared" si="3"/>
        <v>36364261889.730957</v>
      </c>
      <c r="K23" s="11">
        <f t="shared" si="4"/>
        <v>3.8499999999999979E-2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21157788.81039552</v>
      </c>
      <c r="D24" s="11">
        <v>3.9100000000000003E-2</v>
      </c>
      <c r="E24" s="10">
        <f t="shared" si="2"/>
        <v>796140.45085791871</v>
      </c>
      <c r="F24" s="3"/>
      <c r="G24" s="28"/>
      <c r="H24" s="10"/>
      <c r="I24" s="10">
        <f t="shared" si="5"/>
        <v>1655</v>
      </c>
      <c r="J24" s="10">
        <f t="shared" si="3"/>
        <v>35016140481.204582</v>
      </c>
      <c r="K24" s="11">
        <f t="shared" si="4"/>
        <v>3.9099999999999913E-2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20361648.359537601</v>
      </c>
      <c r="D25" s="11">
        <v>3.8800000000000001E-2</v>
      </c>
      <c r="E25" s="10">
        <f t="shared" si="2"/>
        <v>760523.63915099949</v>
      </c>
      <c r="F25" s="3"/>
      <c r="G25" s="28"/>
      <c r="H25" s="10"/>
      <c r="I25" s="10">
        <f t="shared" si="5"/>
        <v>1655</v>
      </c>
      <c r="J25" s="10">
        <f t="shared" si="3"/>
        <v>33698528035.034729</v>
      </c>
      <c r="K25" s="11">
        <f t="shared" si="4"/>
        <v>3.8799999999999946E-2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19601124.720386602</v>
      </c>
      <c r="D26" s="11">
        <v>3.78E-2</v>
      </c>
      <c r="E26" s="10">
        <f t="shared" si="2"/>
        <v>713935.74333263934</v>
      </c>
      <c r="F26" s="3"/>
      <c r="G26" s="28"/>
      <c r="H26" s="10"/>
      <c r="I26" s="10">
        <f t="shared" si="5"/>
        <v>1655</v>
      </c>
      <c r="J26" s="10">
        <f t="shared" si="3"/>
        <v>32439861412.239826</v>
      </c>
      <c r="K26" s="11">
        <f t="shared" si="4"/>
        <v>3.7800000000000056E-2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18887188.977053963</v>
      </c>
      <c r="D27" s="11">
        <v>3.6200000000000003E-2</v>
      </c>
      <c r="E27" s="10">
        <f t="shared" si="2"/>
        <v>659830.38117096573</v>
      </c>
      <c r="F27" s="3"/>
      <c r="G27" s="28"/>
      <c r="H27" s="10"/>
      <c r="I27" s="10">
        <f t="shared" si="5"/>
        <v>1655</v>
      </c>
      <c r="J27" s="10">
        <f t="shared" si="3"/>
        <v>31258297757.024307</v>
      </c>
      <c r="K27" s="11">
        <f t="shared" si="4"/>
        <v>3.620000000000001E-2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18227358.595882997</v>
      </c>
      <c r="D28" s="11">
        <v>3.44E-2</v>
      </c>
      <c r="E28" s="10">
        <f t="shared" si="2"/>
        <v>606168.92468906939</v>
      </c>
      <c r="F28" s="3"/>
      <c r="G28" s="28"/>
      <c r="H28" s="10"/>
      <c r="I28" s="10">
        <f t="shared" si="5"/>
        <v>1655</v>
      </c>
      <c r="J28" s="10">
        <f t="shared" si="3"/>
        <v>30166278476.186359</v>
      </c>
      <c r="K28" s="11">
        <f t="shared" si="4"/>
        <v>3.4399999999999764E-2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17621189.671193928</v>
      </c>
      <c r="D29" s="11">
        <v>3.2599999999999997E-2</v>
      </c>
      <c r="E29" s="10">
        <f t="shared" si="2"/>
        <v>556314.91698713973</v>
      </c>
      <c r="F29" s="3"/>
      <c r="G29" s="28"/>
      <c r="H29" s="10"/>
      <c r="I29" s="10">
        <f t="shared" si="5"/>
        <v>1655</v>
      </c>
      <c r="J29" s="10">
        <f t="shared" si="3"/>
        <v>29163068905.825951</v>
      </c>
      <c r="K29" s="11">
        <f t="shared" si="4"/>
        <v>3.2599999999999962E-2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17064874.754206788</v>
      </c>
      <c r="D30" s="11">
        <v>3.1199999999999999E-2</v>
      </c>
      <c r="E30" s="10">
        <f t="shared" si="2"/>
        <v>516315.06238484383</v>
      </c>
      <c r="F30" s="3"/>
      <c r="G30" s="28"/>
      <c r="H30" s="10"/>
      <c r="I30" s="10">
        <f t="shared" si="5"/>
        <v>1655</v>
      </c>
      <c r="J30" s="10">
        <f t="shared" si="3"/>
        <v>28242367718.212234</v>
      </c>
      <c r="K30" s="11">
        <f t="shared" si="4"/>
        <v>3.1199999999999894E-2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16548559.691821944</v>
      </c>
      <c r="D31" s="11">
        <v>3.0700000000000002E-2</v>
      </c>
      <c r="E31" s="10">
        <f t="shared" si="2"/>
        <v>492908.49183946103</v>
      </c>
      <c r="F31" s="3"/>
      <c r="G31" s="28"/>
      <c r="H31" s="10"/>
      <c r="I31" s="10">
        <f t="shared" si="5"/>
        <v>1655</v>
      </c>
      <c r="J31" s="10">
        <f t="shared" si="3"/>
        <v>27387866289.965317</v>
      </c>
      <c r="K31" s="11">
        <f t="shared" si="4"/>
        <v>3.069999999999995E-2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16055651.199982483</v>
      </c>
      <c r="D32" s="11">
        <v>3.1300000000000001E-2</v>
      </c>
      <c r="E32" s="10">
        <f t="shared" si="2"/>
        <v>487289.71449573711</v>
      </c>
      <c r="F32" s="3"/>
      <c r="G32" s="28"/>
      <c r="H32" s="10"/>
      <c r="I32" s="10">
        <f t="shared" si="5"/>
        <v>1655</v>
      </c>
      <c r="J32" s="10">
        <f t="shared" si="3"/>
        <v>26572102735.971008</v>
      </c>
      <c r="K32" s="11">
        <f t="shared" si="4"/>
        <v>3.1300000000000106E-2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15568361.485486746</v>
      </c>
      <c r="D33" s="11">
        <v>3.3000000000000002E-2</v>
      </c>
      <c r="E33" s="10">
        <f t="shared" si="2"/>
        <v>497343.5905334577</v>
      </c>
      <c r="F33" s="3"/>
      <c r="G33" s="28"/>
      <c r="H33" s="10"/>
      <c r="I33" s="10">
        <f t="shared" si="5"/>
        <v>1655</v>
      </c>
      <c r="J33" s="10">
        <f t="shared" si="3"/>
        <v>25765638258.480564</v>
      </c>
      <c r="K33" s="11">
        <f t="shared" si="4"/>
        <v>3.2999999999999918E-2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15071017.894953288</v>
      </c>
      <c r="D34" s="11">
        <v>3.5299999999999998E-2</v>
      </c>
      <c r="E34" s="10">
        <f t="shared" si="2"/>
        <v>513867.41204660386</v>
      </c>
      <c r="F34" s="3"/>
      <c r="G34" s="28"/>
      <c r="H34" s="10"/>
      <c r="I34" s="10">
        <f t="shared" si="5"/>
        <v>1655</v>
      </c>
      <c r="J34" s="10">
        <f t="shared" ref="J34:J65" si="6">IF(I34="","",I34*C34)</f>
        <v>24942534616.147694</v>
      </c>
      <c r="K34" s="11">
        <f t="shared" ref="K34:K65" si="7">IFERROR(J34/J35-1,"")</f>
        <v>3.5299999999999887E-2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14557150.482906684</v>
      </c>
      <c r="D35" s="11">
        <v>3.7400000000000003E-2</v>
      </c>
      <c r="E35" s="10">
        <f t="shared" si="2"/>
        <v>524809.55085860007</v>
      </c>
      <c r="F35" s="3"/>
      <c r="G35" s="28"/>
      <c r="H35" s="10"/>
      <c r="I35" s="10">
        <f t="shared" ref="I35:I66" si="8">IF(H35&lt;&gt;"",H35,I34/(1+IF(G34="",0,G34)/100))</f>
        <v>1655</v>
      </c>
      <c r="J35" s="10">
        <f t="shared" si="6"/>
        <v>24092084049.210564</v>
      </c>
      <c r="K35" s="11">
        <f t="shared" si="7"/>
        <v>3.7400000000000322E-2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14032340.932048084</v>
      </c>
      <c r="D36" s="11">
        <v>3.8899999999999997E-2</v>
      </c>
      <c r="E36" s="10">
        <f t="shared" si="2"/>
        <v>525419.25330317579</v>
      </c>
      <c r="F36" s="3"/>
      <c r="G36" s="28"/>
      <c r="H36" s="10"/>
      <c r="I36" s="10">
        <f t="shared" si="8"/>
        <v>1655</v>
      </c>
      <c r="J36" s="10">
        <f t="shared" si="6"/>
        <v>23223524242.539577</v>
      </c>
      <c r="K36" s="11">
        <f t="shared" si="7"/>
        <v>3.8899999999999935E-2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13506921.678744908</v>
      </c>
      <c r="D37" s="11">
        <v>3.9300000000000002E-2</v>
      </c>
      <c r="E37" s="10">
        <f t="shared" si="2"/>
        <v>510749.56410533376</v>
      </c>
      <c r="F37" s="3"/>
      <c r="G37" s="28"/>
      <c r="H37" s="10"/>
      <c r="I37" s="10">
        <f t="shared" si="8"/>
        <v>1655</v>
      </c>
      <c r="J37" s="10">
        <f t="shared" si="6"/>
        <v>22353955378.322823</v>
      </c>
      <c r="K37" s="11">
        <f t="shared" si="7"/>
        <v>3.9299999999999891E-2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12996172.114639575</v>
      </c>
      <c r="D38" s="11">
        <v>3.8600000000000002E-2</v>
      </c>
      <c r="E38" s="10">
        <f t="shared" si="2"/>
        <v>483008.12981425598</v>
      </c>
      <c r="F38" s="3"/>
      <c r="G38" s="28"/>
      <c r="H38" s="10"/>
      <c r="I38" s="10">
        <f t="shared" si="8"/>
        <v>1655</v>
      </c>
      <c r="J38" s="10">
        <f t="shared" si="6"/>
        <v>21508664849.728497</v>
      </c>
      <c r="K38" s="11">
        <f t="shared" si="7"/>
        <v>3.8599999999999968E-2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12513163.984825319</v>
      </c>
      <c r="D39" s="11">
        <v>3.7199999999999997E-2</v>
      </c>
      <c r="E39" s="10">
        <f t="shared" si="2"/>
        <v>448794.54322743975</v>
      </c>
      <c r="F39" s="3"/>
      <c r="G39" s="28"/>
      <c r="H39" s="10"/>
      <c r="I39" s="10">
        <f t="shared" si="8"/>
        <v>1655</v>
      </c>
      <c r="J39" s="10">
        <f t="shared" si="6"/>
        <v>20709286394.885902</v>
      </c>
      <c r="K39" s="11">
        <f t="shared" si="7"/>
        <v>3.71999999999999E-2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12064369.441597879</v>
      </c>
      <c r="D40" s="11">
        <v>3.5099999999999999E-2</v>
      </c>
      <c r="E40" s="10">
        <f t="shared" si="2"/>
        <v>409099.9588446375</v>
      </c>
      <c r="F40" s="3"/>
      <c r="G40" s="28"/>
      <c r="H40" s="10"/>
      <c r="I40" s="10">
        <f t="shared" si="8"/>
        <v>1655</v>
      </c>
      <c r="J40" s="10">
        <f t="shared" si="6"/>
        <v>19966531425.84449</v>
      </c>
      <c r="K40" s="11">
        <f t="shared" si="7"/>
        <v>3.5099999999999909E-2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11655269.482753241</v>
      </c>
      <c r="D41" s="11">
        <v>3.27E-2</v>
      </c>
      <c r="E41" s="10">
        <f t="shared" si="2"/>
        <v>369059.08016464673</v>
      </c>
      <c r="F41" s="3"/>
      <c r="G41" s="28"/>
      <c r="H41" s="10"/>
      <c r="I41" s="10">
        <f t="shared" si="8"/>
        <v>1655</v>
      </c>
      <c r="J41" s="10">
        <f t="shared" si="6"/>
        <v>19289470993.956615</v>
      </c>
      <c r="K41" s="11">
        <f t="shared" si="7"/>
        <v>3.2700000000000173E-2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11286210.402588595</v>
      </c>
      <c r="D42" s="11">
        <v>3.0300000000000001E-2</v>
      </c>
      <c r="E42" s="10">
        <f t="shared" si="2"/>
        <v>331915.14626655728</v>
      </c>
      <c r="F42" s="3"/>
      <c r="G42" s="28"/>
      <c r="H42" s="10"/>
      <c r="I42" s="10">
        <f t="shared" si="8"/>
        <v>1655</v>
      </c>
      <c r="J42" s="10">
        <f t="shared" si="6"/>
        <v>18678678216.284122</v>
      </c>
      <c r="K42" s="11">
        <f t="shared" si="7"/>
        <v>3.0299999999999994E-2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10954295.256322037</v>
      </c>
      <c r="D43" s="11">
        <v>2.7900000000000001E-2</v>
      </c>
      <c r="E43" s="10">
        <f t="shared" si="2"/>
        <v>297329.34881932661</v>
      </c>
      <c r="F43" s="3"/>
      <c r="G43" s="28"/>
      <c r="H43" s="10"/>
      <c r="I43" s="10">
        <f t="shared" si="8"/>
        <v>1655</v>
      </c>
      <c r="J43" s="10">
        <f t="shared" si="6"/>
        <v>18129358649.212971</v>
      </c>
      <c r="K43" s="11">
        <f t="shared" si="7"/>
        <v>2.7900000000000036E-2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10656965.907502711</v>
      </c>
      <c r="D44" s="11">
        <v>2.5499999999999998E-2</v>
      </c>
      <c r="E44" s="10">
        <f t="shared" si="2"/>
        <v>264995.25172239915</v>
      </c>
      <c r="F44" s="3"/>
      <c r="G44" s="28"/>
      <c r="H44" s="10"/>
      <c r="I44" s="10">
        <f t="shared" si="8"/>
        <v>1655</v>
      </c>
      <c r="J44" s="10">
        <f t="shared" si="6"/>
        <v>17637278576.916985</v>
      </c>
      <c r="K44" s="11">
        <f t="shared" si="7"/>
        <v>2.5499999999999856E-2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10391970.655780312</v>
      </c>
      <c r="D45" s="11">
        <v>2.3300000000000001E-2</v>
      </c>
      <c r="E45" s="10">
        <f t="shared" si="2"/>
        <v>236619.67778723873</v>
      </c>
      <c r="F45" s="3"/>
      <c r="G45" s="28"/>
      <c r="H45" s="10"/>
      <c r="I45" s="10">
        <f t="shared" si="8"/>
        <v>1655</v>
      </c>
      <c r="J45" s="10">
        <f t="shared" si="6"/>
        <v>17198711435.316418</v>
      </c>
      <c r="K45" s="11">
        <f t="shared" si="7"/>
        <v>2.3300000000000098E-2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10155350.977993073</v>
      </c>
      <c r="D46" s="11">
        <v>2.1299999999999999E-2</v>
      </c>
      <c r="E46" s="10">
        <f t="shared" si="2"/>
        <v>211797.68513781764</v>
      </c>
      <c r="F46" s="3"/>
      <c r="G46" s="28"/>
      <c r="H46" s="10"/>
      <c r="I46" s="10">
        <f t="shared" si="8"/>
        <v>1655</v>
      </c>
      <c r="J46" s="10">
        <f t="shared" si="6"/>
        <v>16807105868.578535</v>
      </c>
      <c r="K46" s="11">
        <f t="shared" si="7"/>
        <v>2.1300000000000097E-2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9943553.2928552553</v>
      </c>
      <c r="D47" s="11">
        <v>1.95E-2</v>
      </c>
      <c r="E47" s="10">
        <f t="shared" si="2"/>
        <v>190190.57303646766</v>
      </c>
      <c r="F47" s="3"/>
      <c r="G47" s="28"/>
      <c r="H47" s="10"/>
      <c r="I47" s="10">
        <f t="shared" si="8"/>
        <v>1655</v>
      </c>
      <c r="J47" s="10">
        <f t="shared" si="6"/>
        <v>16456580699.675447</v>
      </c>
      <c r="K47" s="11">
        <f t="shared" si="7"/>
        <v>1.9500000000000073E-2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9753362.7198187876</v>
      </c>
      <c r="D48" s="11">
        <v>1.7899999999999999E-2</v>
      </c>
      <c r="E48" s="10">
        <f t="shared" si="2"/>
        <v>171515.07288020104</v>
      </c>
      <c r="F48" s="3"/>
      <c r="G48" s="28"/>
      <c r="H48" s="10"/>
      <c r="I48" s="10">
        <f t="shared" si="8"/>
        <v>1655</v>
      </c>
      <c r="J48" s="10">
        <f t="shared" si="6"/>
        <v>16141815301.300093</v>
      </c>
      <c r="K48" s="11">
        <f t="shared" si="7"/>
        <v>1.7900000000000027E-2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9581847.6469385866</v>
      </c>
      <c r="D49" s="11">
        <v>1.6500000000000001E-2</v>
      </c>
      <c r="E49" s="10">
        <f t="shared" si="2"/>
        <v>155534.17233102396</v>
      </c>
      <c r="F49" s="3"/>
      <c r="G49" s="28"/>
      <c r="H49" s="10"/>
      <c r="I49" s="10">
        <f t="shared" si="8"/>
        <v>1655</v>
      </c>
      <c r="J49" s="10">
        <f t="shared" si="6"/>
        <v>15857957855.683361</v>
      </c>
      <c r="K49" s="11">
        <f t="shared" si="7"/>
        <v>1.6499999999999959E-2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9426313.4746075626</v>
      </c>
      <c r="D50" s="11">
        <v>1.52E-2</v>
      </c>
      <c r="E50" s="10">
        <f t="shared" si="2"/>
        <v>141134.71711390465</v>
      </c>
      <c r="F50" s="3"/>
      <c r="G50" s="28"/>
      <c r="H50" s="10"/>
      <c r="I50" s="10">
        <f t="shared" si="8"/>
        <v>1655</v>
      </c>
      <c r="J50" s="10">
        <f t="shared" si="6"/>
        <v>15600548800.475515</v>
      </c>
      <c r="K50" s="11">
        <f t="shared" si="7"/>
        <v>1.5200000000000102E-2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9285178.757493658</v>
      </c>
      <c r="D51" s="11">
        <v>1.41E-2</v>
      </c>
      <c r="E51" s="10">
        <f t="shared" si="2"/>
        <v>129100.70060217008</v>
      </c>
      <c r="F51" s="3"/>
      <c r="G51" s="28"/>
      <c r="H51" s="10"/>
      <c r="I51" s="10">
        <f t="shared" si="8"/>
        <v>1655</v>
      </c>
      <c r="J51" s="10">
        <f t="shared" si="6"/>
        <v>15366970843.652004</v>
      </c>
      <c r="K51" s="11">
        <f t="shared" si="7"/>
        <v>1.4100000000000001E-2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9156078.0568914879</v>
      </c>
      <c r="D52" s="11">
        <v>1.3100000000000001E-2</v>
      </c>
      <c r="E52" s="10">
        <f t="shared" si="2"/>
        <v>118393.66552687809</v>
      </c>
      <c r="F52" s="3"/>
      <c r="G52" s="28"/>
      <c r="H52" s="10"/>
      <c r="I52" s="10">
        <f t="shared" si="8"/>
        <v>1655</v>
      </c>
      <c r="J52" s="10">
        <f t="shared" si="6"/>
        <v>15153309184.155413</v>
      </c>
      <c r="K52" s="11">
        <f t="shared" si="7"/>
        <v>1.3100000000000112E-2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9037684.3913646098</v>
      </c>
      <c r="D53" s="11">
        <v>1.23E-2</v>
      </c>
      <c r="E53" s="10">
        <f t="shared" si="2"/>
        <v>109812.82032380253</v>
      </c>
      <c r="F53" s="3"/>
      <c r="G53" s="28"/>
      <c r="H53" s="10"/>
      <c r="I53" s="10">
        <f t="shared" si="8"/>
        <v>1655</v>
      </c>
      <c r="J53" s="10">
        <f t="shared" si="6"/>
        <v>14957367667.708429</v>
      </c>
      <c r="K53" s="11">
        <f t="shared" si="7"/>
        <v>1.2299999999999978E-2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8927871.5710408073</v>
      </c>
      <c r="D54" s="11">
        <v>1.18E-2</v>
      </c>
      <c r="E54" s="10">
        <f t="shared" si="2"/>
        <v>104120.26540648565</v>
      </c>
      <c r="F54" s="3"/>
      <c r="G54" s="28"/>
      <c r="H54" s="10"/>
      <c r="I54" s="10">
        <f t="shared" si="8"/>
        <v>1655</v>
      </c>
      <c r="J54" s="10">
        <f t="shared" si="6"/>
        <v>14775627450.072536</v>
      </c>
      <c r="K54" s="11">
        <f t="shared" si="7"/>
        <v>1.1800000000000033E-2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8823751.3056343216</v>
      </c>
      <c r="D55" s="11">
        <v>1.1599999999999999E-2</v>
      </c>
      <c r="E55" s="10">
        <f t="shared" si="2"/>
        <v>101181.8061935138</v>
      </c>
      <c r="F55" s="3"/>
      <c r="G55" s="28"/>
      <c r="H55" s="10"/>
      <c r="I55" s="10">
        <f t="shared" si="8"/>
        <v>1655</v>
      </c>
      <c r="J55" s="10">
        <f t="shared" si="6"/>
        <v>14603308410.824802</v>
      </c>
      <c r="K55" s="11">
        <f t="shared" si="7"/>
        <v>1.1600000000000055E-2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8722569.4994408078</v>
      </c>
      <c r="D56" s="11">
        <v>1.17E-2</v>
      </c>
      <c r="E56" s="10">
        <f t="shared" si="2"/>
        <v>100873.83922453038</v>
      </c>
      <c r="F56" s="3"/>
      <c r="G56" s="28"/>
      <c r="H56" s="10"/>
      <c r="I56" s="10">
        <f t="shared" si="8"/>
        <v>1655</v>
      </c>
      <c r="J56" s="10">
        <f t="shared" si="6"/>
        <v>14435852521.574537</v>
      </c>
      <c r="K56" s="11">
        <f t="shared" si="7"/>
        <v>1.1700000000000044E-2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8621695.6602162775</v>
      </c>
      <c r="D57" s="11">
        <v>1.2E-2</v>
      </c>
      <c r="E57" s="10">
        <f t="shared" si="2"/>
        <v>102233.54537805915</v>
      </c>
      <c r="F57" s="3"/>
      <c r="G57" s="28"/>
      <c r="H57" s="10"/>
      <c r="I57" s="10">
        <f t="shared" si="8"/>
        <v>1655</v>
      </c>
      <c r="J57" s="10">
        <f t="shared" si="6"/>
        <v>14268906317.65794</v>
      </c>
      <c r="K57" s="11">
        <f t="shared" si="7"/>
        <v>1.2000000000000233E-2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8519462.1148382183</v>
      </c>
      <c r="D58" s="11">
        <v>1.23E-2</v>
      </c>
      <c r="E58" s="10">
        <f t="shared" si="2"/>
        <v>103516.13554530218</v>
      </c>
      <c r="F58" s="3"/>
      <c r="G58" s="28"/>
      <c r="H58" s="10"/>
      <c r="I58" s="10">
        <f t="shared" si="8"/>
        <v>1655</v>
      </c>
      <c r="J58" s="10">
        <f t="shared" si="6"/>
        <v>14099709800.057251</v>
      </c>
      <c r="K58" s="11">
        <f t="shared" si="7"/>
        <v>1.2299999999999978E-2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8415945.9792929161</v>
      </c>
      <c r="D59" s="11">
        <v>1.2699999999999999E-2</v>
      </c>
      <c r="E59" s="10">
        <f t="shared" si="2"/>
        <v>105542.12889998965</v>
      </c>
      <c r="F59" s="3"/>
      <c r="G59" s="28"/>
      <c r="H59" s="10"/>
      <c r="I59" s="10">
        <f t="shared" si="8"/>
        <v>1655</v>
      </c>
      <c r="J59" s="10">
        <f t="shared" si="6"/>
        <v>13928390595.729776</v>
      </c>
      <c r="K59" s="11">
        <f t="shared" si="7"/>
        <v>1.2699999999999934E-2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8310403.8503929265</v>
      </c>
      <c r="D60" s="11">
        <v>1.2999999999999999E-2</v>
      </c>
      <c r="E60" s="10">
        <f t="shared" si="2"/>
        <v>106648.8154542027</v>
      </c>
      <c r="F60" s="3"/>
      <c r="G60" s="28"/>
      <c r="H60" s="10"/>
      <c r="I60" s="10">
        <f t="shared" si="8"/>
        <v>1655</v>
      </c>
      <c r="J60" s="10">
        <f t="shared" si="6"/>
        <v>13753718372.400293</v>
      </c>
      <c r="K60" s="11">
        <f t="shared" si="7"/>
        <v>1.2999999999999901E-2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8203755.0349387238</v>
      </c>
      <c r="D61" s="11">
        <v>1.3100000000000001E-2</v>
      </c>
      <c r="E61" s="10">
        <f t="shared" si="2"/>
        <v>106079.54886753391</v>
      </c>
      <c r="F61" s="3"/>
      <c r="G61" s="28"/>
      <c r="H61" s="10"/>
      <c r="I61" s="10">
        <f t="shared" si="8"/>
        <v>1655</v>
      </c>
      <c r="J61" s="10">
        <f t="shared" si="6"/>
        <v>13577214582.823587</v>
      </c>
      <c r="K61" s="11">
        <f t="shared" si="7"/>
        <v>1.3100000000000112E-2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8097675.4860711899</v>
      </c>
      <c r="D62" s="11">
        <v>1.32E-2</v>
      </c>
      <c r="E62" s="10">
        <f t="shared" si="2"/>
        <v>105496.7591947699</v>
      </c>
      <c r="F62" s="3"/>
      <c r="G62" s="28"/>
      <c r="H62" s="10"/>
      <c r="I62" s="10">
        <f t="shared" si="8"/>
        <v>1655</v>
      </c>
      <c r="J62" s="10">
        <f t="shared" si="6"/>
        <v>13401652929.447819</v>
      </c>
      <c r="K62" s="11">
        <f t="shared" si="7"/>
        <v>1.3200000000000101E-2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7992178.72687642</v>
      </c>
      <c r="D63" s="11">
        <v>1.32E-2</v>
      </c>
      <c r="E63" s="10">
        <f t="shared" si="2"/>
        <v>104122.34425066039</v>
      </c>
      <c r="F63" s="3"/>
      <c r="G63" s="28"/>
      <c r="H63" s="10"/>
      <c r="I63" s="10">
        <f t="shared" si="8"/>
        <v>1655</v>
      </c>
      <c r="J63" s="10">
        <f t="shared" si="6"/>
        <v>13227055792.980474</v>
      </c>
      <c r="K63" s="11">
        <f t="shared" si="7"/>
        <v>1.3200000000000101E-2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7888056.3826257596</v>
      </c>
      <c r="D64" s="11">
        <v>1.3100000000000001E-2</v>
      </c>
      <c r="E64" s="10">
        <f t="shared" si="2"/>
        <v>101997.37302576099</v>
      </c>
      <c r="F64" s="3"/>
      <c r="G64" s="28"/>
      <c r="H64" s="10"/>
      <c r="I64" s="10">
        <f t="shared" si="8"/>
        <v>1655</v>
      </c>
      <c r="J64" s="10">
        <f t="shared" si="6"/>
        <v>13054733313.245632</v>
      </c>
      <c r="K64" s="11">
        <f t="shared" si="7"/>
        <v>1.3100000000000112E-2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7786059.0095999986</v>
      </c>
      <c r="D65" s="11">
        <v>1.2999999999999999E-2</v>
      </c>
      <c r="E65" s="10">
        <f t="shared" si="2"/>
        <v>99919.809599999338</v>
      </c>
      <c r="F65" s="3"/>
      <c r="G65" s="28"/>
      <c r="H65" s="10"/>
      <c r="I65" s="10">
        <f t="shared" si="8"/>
        <v>1655</v>
      </c>
      <c r="J65" s="10">
        <f t="shared" si="6"/>
        <v>12885927660.887999</v>
      </c>
      <c r="K65" s="11">
        <f t="shared" si="7"/>
        <v>1.3000000000000123E-2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7686139.1999999993</v>
      </c>
      <c r="D66" s="11">
        <v>1.2800000000000001E-2</v>
      </c>
      <c r="E66" s="10">
        <f t="shared" si="2"/>
        <v>97139.199999999255</v>
      </c>
      <c r="F66" s="24">
        <f>SUM(F2)</f>
        <v>33524353</v>
      </c>
      <c r="G66" s="28"/>
      <c r="H66" s="10"/>
      <c r="I66" s="10">
        <f t="shared" si="8"/>
        <v>1655</v>
      </c>
      <c r="J66" s="10">
        <f t="shared" ref="J66:J67" si="9">IF(I66="","",I66*C66)</f>
        <v>12720560375.999998</v>
      </c>
      <c r="K66" s="11">
        <f t="shared" ref="K66" si="10">IFERROR(J66/J67-1,"")</f>
        <v>1.2799999999999923E-2</v>
      </c>
    </row>
    <row r="67" spans="1:11" ht="22.5" customHeight="1">
      <c r="A67" s="3">
        <f t="shared" si="0"/>
        <v>1950</v>
      </c>
      <c r="B67" s="3">
        <v>1700</v>
      </c>
      <c r="C67" s="10">
        <v>7589000</v>
      </c>
      <c r="D67" s="11">
        <v>1.26E-2</v>
      </c>
      <c r="E67" s="3" t="s">
        <v>72</v>
      </c>
      <c r="F67" s="10">
        <f>SUM(C2)</f>
        <v>33525928.242861282</v>
      </c>
      <c r="G67" s="28"/>
      <c r="H67" s="10"/>
      <c r="I67" s="10">
        <f t="shared" ref="I67" si="11">IF(H67&lt;&gt;"",H67,I66/(1+IF(G66="",0,G66)/100))</f>
        <v>1655</v>
      </c>
      <c r="J67" s="10">
        <f t="shared" si="9"/>
        <v>12559795000</v>
      </c>
      <c r="K67" s="11"/>
    </row>
  </sheetData>
  <dataValidations count="1">
    <dataValidation type="custom" allowBlank="1" showDropDown="1" sqref="D2:D67" xr:uid="{00000000-0002-0000-9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1914161.3385795974</v>
      </c>
      <c r="D2" s="11">
        <v>7.0000000000000001E-3</v>
      </c>
      <c r="E2" s="10">
        <f t="shared" ref="E2:E66" si="2">SUM(C2-C3)</f>
        <v>13305.987457852112</v>
      </c>
      <c r="F2" s="15">
        <v>1914198</v>
      </c>
      <c r="G2" s="28"/>
      <c r="H2" s="10"/>
      <c r="I2" s="10">
        <f>IF(H2&lt;&gt;"",H2,1786)</f>
        <v>1786</v>
      </c>
      <c r="J2" s="10">
        <f t="shared" ref="J2:J33" si="3">IF(I2="","",I2*C2)</f>
        <v>3418692150.7031608</v>
      </c>
      <c r="K2" s="11">
        <f t="shared" ref="K2:K33" si="4">IFERROR(J2/J3-1,"")</f>
        <v>6.9999999999998952E-3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1900855.3511217453</v>
      </c>
      <c r="D3" s="11">
        <v>8.2000000000000007E-3</v>
      </c>
      <c r="E3" s="10">
        <f t="shared" si="2"/>
        <v>15460.239911920624</v>
      </c>
      <c r="F3" s="3"/>
      <c r="G3" s="28"/>
      <c r="H3" s="10"/>
      <c r="I3" s="10">
        <f t="shared" ref="I3:I34" si="5">IF(H3&lt;&gt;"",H3,I2/(1+IF(G2="",0,G2)/100))</f>
        <v>1786</v>
      </c>
      <c r="J3" s="10">
        <f t="shared" si="3"/>
        <v>3394927657.1034369</v>
      </c>
      <c r="K3" s="11">
        <f t="shared" si="4"/>
        <v>8.1999999999999851E-3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1885395.1112098247</v>
      </c>
      <c r="D4" s="11">
        <v>9.5999999999999992E-3</v>
      </c>
      <c r="E4" s="10">
        <f t="shared" si="2"/>
        <v>17927.687269824091</v>
      </c>
      <c r="F4" s="3"/>
      <c r="G4" s="28"/>
      <c r="H4" s="10"/>
      <c r="I4" s="10">
        <f t="shared" si="5"/>
        <v>1786</v>
      </c>
      <c r="J4" s="10">
        <f t="shared" si="3"/>
        <v>3367315668.6207471</v>
      </c>
      <c r="K4" s="11">
        <f t="shared" si="4"/>
        <v>9.6000000000000529E-3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1867467.4239400006</v>
      </c>
      <c r="D5" s="11">
        <v>1.11E-2</v>
      </c>
      <c r="E5" s="10">
        <f t="shared" si="2"/>
        <v>20501.323712525191</v>
      </c>
      <c r="F5" s="3"/>
      <c r="G5" s="28"/>
      <c r="H5" s="10"/>
      <c r="I5" s="10">
        <f t="shared" si="5"/>
        <v>1786</v>
      </c>
      <c r="J5" s="10">
        <f t="shared" si="3"/>
        <v>3335296819.1568413</v>
      </c>
      <c r="K5" s="11">
        <f t="shared" si="4"/>
        <v>1.1100000000000332E-2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1846966.1002274754</v>
      </c>
      <c r="D6" s="11">
        <v>1.2699999999999999E-2</v>
      </c>
      <c r="E6" s="10">
        <f t="shared" si="2"/>
        <v>23162.308159266133</v>
      </c>
      <c r="F6" s="3"/>
      <c r="G6" s="28"/>
      <c r="H6" s="10"/>
      <c r="I6" s="10">
        <f t="shared" si="5"/>
        <v>1786</v>
      </c>
      <c r="J6" s="10">
        <f t="shared" si="3"/>
        <v>3298681455.0062709</v>
      </c>
      <c r="K6" s="11">
        <f t="shared" si="4"/>
        <v>1.2699999999999712E-2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1823803.7920682093</v>
      </c>
      <c r="D7" s="11">
        <v>1.4200000000000001E-2</v>
      </c>
      <c r="E7" s="10">
        <f t="shared" si="2"/>
        <v>25535.411011012271</v>
      </c>
      <c r="F7" s="3"/>
      <c r="G7" s="28"/>
      <c r="H7" s="10"/>
      <c r="I7" s="10">
        <f t="shared" si="5"/>
        <v>1786</v>
      </c>
      <c r="J7" s="10">
        <f t="shared" si="3"/>
        <v>3257313572.633822</v>
      </c>
      <c r="K7" s="11">
        <f t="shared" si="4"/>
        <v>1.419999999999999E-2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1798268.381057197</v>
      </c>
      <c r="D8" s="11">
        <v>1.55E-2</v>
      </c>
      <c r="E8" s="10">
        <f t="shared" si="2"/>
        <v>27447.720242626034</v>
      </c>
      <c r="F8" s="3"/>
      <c r="G8" s="28"/>
      <c r="H8" s="10"/>
      <c r="I8" s="10">
        <f t="shared" si="5"/>
        <v>1786</v>
      </c>
      <c r="J8" s="10">
        <f t="shared" si="3"/>
        <v>3211707328.5681539</v>
      </c>
      <c r="K8" s="11">
        <f t="shared" si="4"/>
        <v>1.5500000000000069E-2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1770820.660814571</v>
      </c>
      <c r="D9" s="11">
        <v>1.67E-2</v>
      </c>
      <c r="E9" s="10">
        <f t="shared" si="2"/>
        <v>29086.95292180893</v>
      </c>
      <c r="F9" s="3"/>
      <c r="G9" s="28"/>
      <c r="H9" s="10"/>
      <c r="I9" s="10">
        <f t="shared" si="5"/>
        <v>1786</v>
      </c>
      <c r="J9" s="10">
        <f t="shared" si="3"/>
        <v>3162685700.2148237</v>
      </c>
      <c r="K9" s="11">
        <f t="shared" si="4"/>
        <v>1.6699999999999937E-2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1741733.707892762</v>
      </c>
      <c r="D10" s="11">
        <v>1.77E-2</v>
      </c>
      <c r="E10" s="10">
        <f t="shared" si="2"/>
        <v>30292.509216568666</v>
      </c>
      <c r="F10" s="3"/>
      <c r="G10" s="28"/>
      <c r="H10" s="10"/>
      <c r="I10" s="10">
        <f t="shared" si="5"/>
        <v>1786</v>
      </c>
      <c r="J10" s="10">
        <f t="shared" si="3"/>
        <v>3110736402.296473</v>
      </c>
      <c r="K10" s="11">
        <f t="shared" si="4"/>
        <v>1.7700000000000049E-2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1711441.1986761934</v>
      </c>
      <c r="D11" s="11">
        <v>1.84E-2</v>
      </c>
      <c r="E11" s="10">
        <f t="shared" si="2"/>
        <v>30921.561327221105</v>
      </c>
      <c r="F11" s="3"/>
      <c r="G11" s="28"/>
      <c r="H11" s="10"/>
      <c r="I11" s="10">
        <f t="shared" si="5"/>
        <v>1786</v>
      </c>
      <c r="J11" s="10">
        <f t="shared" si="3"/>
        <v>3056633980.8356814</v>
      </c>
      <c r="K11" s="11">
        <f t="shared" si="4"/>
        <v>1.8399999999999972E-2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1680519.6373489723</v>
      </c>
      <c r="D12" s="11">
        <v>1.8800000000000001E-2</v>
      </c>
      <c r="E12" s="10">
        <f t="shared" si="2"/>
        <v>31010.766766942106</v>
      </c>
      <c r="F12" s="3"/>
      <c r="G12" s="28"/>
      <c r="H12" s="10"/>
      <c r="I12" s="10">
        <f t="shared" si="5"/>
        <v>1786</v>
      </c>
      <c r="J12" s="10">
        <f t="shared" si="3"/>
        <v>3001408072.3052645</v>
      </c>
      <c r="K12" s="11">
        <f t="shared" si="4"/>
        <v>1.8799999999999928E-2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1649508.8705820302</v>
      </c>
      <c r="D13" s="11">
        <v>1.9099999999999999E-2</v>
      </c>
      <c r="E13" s="10">
        <f t="shared" si="2"/>
        <v>30915.140249353833</v>
      </c>
      <c r="F13" s="3"/>
      <c r="G13" s="28"/>
      <c r="H13" s="10"/>
      <c r="I13" s="10">
        <f t="shared" si="5"/>
        <v>1786</v>
      </c>
      <c r="J13" s="10">
        <f t="shared" si="3"/>
        <v>2946022842.8595057</v>
      </c>
      <c r="K13" s="11">
        <f t="shared" si="4"/>
        <v>1.9099999999999895E-2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1618593.7303326763</v>
      </c>
      <c r="D14" s="11">
        <v>1.95E-2</v>
      </c>
      <c r="E14" s="10">
        <f t="shared" si="2"/>
        <v>30958.879589492222</v>
      </c>
      <c r="F14" s="3"/>
      <c r="G14" s="28"/>
      <c r="H14" s="10"/>
      <c r="I14" s="10">
        <f t="shared" si="5"/>
        <v>1786</v>
      </c>
      <c r="J14" s="10">
        <f t="shared" si="3"/>
        <v>2890808402.3741598</v>
      </c>
      <c r="K14" s="11">
        <f t="shared" si="4"/>
        <v>1.9500000000000073E-2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1587634.8507431841</v>
      </c>
      <c r="D15" s="11">
        <v>2.01E-2</v>
      </c>
      <c r="E15" s="10">
        <f t="shared" si="2"/>
        <v>31282.678658894263</v>
      </c>
      <c r="F15" s="3"/>
      <c r="G15" s="28"/>
      <c r="H15" s="10"/>
      <c r="I15" s="10">
        <f t="shared" si="5"/>
        <v>1786</v>
      </c>
      <c r="J15" s="10">
        <f t="shared" si="3"/>
        <v>2835515843.4273267</v>
      </c>
      <c r="K15" s="11">
        <f t="shared" si="4"/>
        <v>2.0100000000000007E-2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1556352.1720842898</v>
      </c>
      <c r="D16" s="11">
        <v>2.12E-2</v>
      </c>
      <c r="E16" s="10">
        <f t="shared" si="2"/>
        <v>32309.700399713125</v>
      </c>
      <c r="F16" s="3"/>
      <c r="G16" s="28"/>
      <c r="H16" s="10"/>
      <c r="I16" s="10">
        <f t="shared" si="5"/>
        <v>1786</v>
      </c>
      <c r="J16" s="10">
        <f t="shared" si="3"/>
        <v>2779644979.3425417</v>
      </c>
      <c r="K16" s="11">
        <f t="shared" si="4"/>
        <v>2.1200000000000108E-2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1524042.4716845767</v>
      </c>
      <c r="D17" s="11">
        <v>2.2599999999999999E-2</v>
      </c>
      <c r="E17" s="10">
        <f t="shared" si="2"/>
        <v>33682.143418806372</v>
      </c>
      <c r="F17" s="3"/>
      <c r="G17" s="28"/>
      <c r="H17" s="10"/>
      <c r="I17" s="10">
        <f t="shared" si="5"/>
        <v>1786</v>
      </c>
      <c r="J17" s="10">
        <f t="shared" si="3"/>
        <v>2721939854.4286542</v>
      </c>
      <c r="K17" s="11">
        <f t="shared" si="4"/>
        <v>2.2600000000000176E-2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1490360.3282657703</v>
      </c>
      <c r="D18" s="11">
        <v>2.4500000000000001E-2</v>
      </c>
      <c r="E18" s="10">
        <f t="shared" si="2"/>
        <v>35640.632545155007</v>
      </c>
      <c r="F18" s="3"/>
      <c r="G18" s="28"/>
      <c r="H18" s="10"/>
      <c r="I18" s="10">
        <f t="shared" si="5"/>
        <v>1786</v>
      </c>
      <c r="J18" s="10">
        <f t="shared" si="3"/>
        <v>2661783546.2826657</v>
      </c>
      <c r="K18" s="11">
        <f t="shared" si="4"/>
        <v>2.4499999999999966E-2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1454719.6957206153</v>
      </c>
      <c r="D19" s="11">
        <v>2.64E-2</v>
      </c>
      <c r="E19" s="10">
        <f t="shared" si="2"/>
        <v>37416.796538410243</v>
      </c>
      <c r="F19" s="3"/>
      <c r="G19" s="28"/>
      <c r="H19" s="10"/>
      <c r="I19" s="10">
        <f t="shared" si="5"/>
        <v>1786</v>
      </c>
      <c r="J19" s="10">
        <f t="shared" si="3"/>
        <v>2598129376.5570188</v>
      </c>
      <c r="K19" s="11">
        <f t="shared" si="4"/>
        <v>2.6399999999999979E-2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1417302.8991822051</v>
      </c>
      <c r="D20" s="11">
        <v>2.8400000000000002E-2</v>
      </c>
      <c r="E20" s="10">
        <f t="shared" si="2"/>
        <v>39139.831132608466</v>
      </c>
      <c r="F20" s="3"/>
      <c r="G20" s="28"/>
      <c r="H20" s="10"/>
      <c r="I20" s="10">
        <f t="shared" si="5"/>
        <v>1786</v>
      </c>
      <c r="J20" s="10">
        <f t="shared" si="3"/>
        <v>2531302977.9394183</v>
      </c>
      <c r="K20" s="11">
        <f t="shared" si="4"/>
        <v>2.8399999999999981E-2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1378163.0680495966</v>
      </c>
      <c r="D21" s="11">
        <v>3.0099999999999998E-2</v>
      </c>
      <c r="E21" s="10">
        <f t="shared" si="2"/>
        <v>40270.564361026045</v>
      </c>
      <c r="F21" s="3"/>
      <c r="G21" s="28"/>
      <c r="H21" s="10"/>
      <c r="I21" s="10">
        <f t="shared" si="5"/>
        <v>1786</v>
      </c>
      <c r="J21" s="10">
        <f t="shared" si="3"/>
        <v>2461399239.5365796</v>
      </c>
      <c r="K21" s="11">
        <f t="shared" si="4"/>
        <v>3.0100000000000016E-2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1337892.5036885706</v>
      </c>
      <c r="D22" s="11">
        <v>3.1600000000000003E-2</v>
      </c>
      <c r="E22" s="10">
        <f t="shared" si="2"/>
        <v>40982.3605240006</v>
      </c>
      <c r="F22" s="3"/>
      <c r="G22" s="28"/>
      <c r="H22" s="10"/>
      <c r="I22" s="10">
        <f t="shared" si="5"/>
        <v>1786</v>
      </c>
      <c r="J22" s="10">
        <f t="shared" si="3"/>
        <v>2389476011.5877872</v>
      </c>
      <c r="K22" s="11">
        <f t="shared" si="4"/>
        <v>3.1600000000000072E-2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1296910.14316457</v>
      </c>
      <c r="D23" s="11">
        <v>3.27E-2</v>
      </c>
      <c r="E23" s="10">
        <f t="shared" si="2"/>
        <v>41066.100204784889</v>
      </c>
      <c r="F23" s="3"/>
      <c r="G23" s="28"/>
      <c r="H23" s="10"/>
      <c r="I23" s="10">
        <f t="shared" si="5"/>
        <v>1786</v>
      </c>
      <c r="J23" s="10">
        <f t="shared" si="3"/>
        <v>2316281515.6919222</v>
      </c>
      <c r="K23" s="11">
        <f t="shared" si="4"/>
        <v>3.2699999999999951E-2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1255844.0429597851</v>
      </c>
      <c r="D24" s="11">
        <v>3.3500000000000002E-2</v>
      </c>
      <c r="E24" s="10">
        <f t="shared" si="2"/>
        <v>40707.087991439737</v>
      </c>
      <c r="F24" s="3"/>
      <c r="G24" s="28"/>
      <c r="H24" s="10"/>
      <c r="I24" s="10">
        <f t="shared" si="5"/>
        <v>1786</v>
      </c>
      <c r="J24" s="10">
        <f t="shared" si="3"/>
        <v>2242937460.7261763</v>
      </c>
      <c r="K24" s="11">
        <f t="shared" si="4"/>
        <v>3.3500000000000085E-2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1215136.9549683454</v>
      </c>
      <c r="D25" s="11">
        <v>3.4099999999999998E-2</v>
      </c>
      <c r="E25" s="10">
        <f t="shared" si="2"/>
        <v>40069.790314689744</v>
      </c>
      <c r="F25" s="3"/>
      <c r="G25" s="28"/>
      <c r="H25" s="10"/>
      <c r="I25" s="10">
        <f t="shared" si="5"/>
        <v>1786</v>
      </c>
      <c r="J25" s="10">
        <f t="shared" si="3"/>
        <v>2170234601.5734649</v>
      </c>
      <c r="K25" s="11">
        <f t="shared" si="4"/>
        <v>3.4100000000000019E-2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1175067.1646536556</v>
      </c>
      <c r="D26" s="11">
        <v>3.4500000000000003E-2</v>
      </c>
      <c r="E26" s="10">
        <f t="shared" si="2"/>
        <v>39187.83681058581</v>
      </c>
      <c r="F26" s="3"/>
      <c r="G26" s="28"/>
      <c r="H26" s="10"/>
      <c r="I26" s="10">
        <f t="shared" si="5"/>
        <v>1786</v>
      </c>
      <c r="J26" s="10">
        <f t="shared" si="3"/>
        <v>2098669956.071429</v>
      </c>
      <c r="K26" s="11">
        <f t="shared" si="4"/>
        <v>3.4499999999999975E-2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1135879.3278430698</v>
      </c>
      <c r="D27" s="11">
        <v>3.4799999999999998E-2</v>
      </c>
      <c r="E27" s="10">
        <f t="shared" si="2"/>
        <v>38199.266147022368</v>
      </c>
      <c r="F27" s="3"/>
      <c r="G27" s="28"/>
      <c r="H27" s="10"/>
      <c r="I27" s="10">
        <f t="shared" si="5"/>
        <v>1786</v>
      </c>
      <c r="J27" s="10">
        <f t="shared" si="3"/>
        <v>2028680479.5277226</v>
      </c>
      <c r="K27" s="11">
        <f t="shared" si="4"/>
        <v>3.4799999999999942E-2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1097680.0616960474</v>
      </c>
      <c r="D28" s="11">
        <v>3.5000000000000003E-2</v>
      </c>
      <c r="E28" s="10">
        <f t="shared" si="2"/>
        <v>37119.615612909663</v>
      </c>
      <c r="F28" s="3"/>
      <c r="G28" s="28"/>
      <c r="H28" s="10"/>
      <c r="I28" s="10">
        <f t="shared" si="5"/>
        <v>1786</v>
      </c>
      <c r="J28" s="10">
        <f t="shared" si="3"/>
        <v>1960456590.1891408</v>
      </c>
      <c r="K28" s="11">
        <f t="shared" si="4"/>
        <v>3.499999999999992E-2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1060560.4460831378</v>
      </c>
      <c r="D29" s="11">
        <v>3.5099999999999999E-2</v>
      </c>
      <c r="E29" s="10">
        <f t="shared" si="2"/>
        <v>35963.35779878078</v>
      </c>
      <c r="F29" s="3"/>
      <c r="G29" s="28"/>
      <c r="H29" s="10"/>
      <c r="I29" s="10">
        <f t="shared" si="5"/>
        <v>1786</v>
      </c>
      <c r="J29" s="10">
        <f t="shared" si="3"/>
        <v>1894160956.704484</v>
      </c>
      <c r="K29" s="11">
        <f t="shared" si="4"/>
        <v>3.5099999999999909E-2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1024597.088284357</v>
      </c>
      <c r="D30" s="11">
        <v>3.5299999999999998E-2</v>
      </c>
      <c r="E30" s="10">
        <f t="shared" si="2"/>
        <v>34935.069271165528</v>
      </c>
      <c r="F30" s="3"/>
      <c r="G30" s="28"/>
      <c r="H30" s="10"/>
      <c r="I30" s="10">
        <f t="shared" si="5"/>
        <v>1786</v>
      </c>
      <c r="J30" s="10">
        <f t="shared" si="3"/>
        <v>1829930399.6758616</v>
      </c>
      <c r="K30" s="11">
        <f t="shared" si="4"/>
        <v>3.5299999999999887E-2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989662.01901319146</v>
      </c>
      <c r="D31" s="11">
        <v>3.5499999999999997E-2</v>
      </c>
      <c r="E31" s="10">
        <f t="shared" si="2"/>
        <v>33928.538556222455</v>
      </c>
      <c r="F31" s="3"/>
      <c r="G31" s="28"/>
      <c r="H31" s="10"/>
      <c r="I31" s="10">
        <f t="shared" si="5"/>
        <v>1786</v>
      </c>
      <c r="J31" s="10">
        <f t="shared" si="3"/>
        <v>1767536365.9575598</v>
      </c>
      <c r="K31" s="11">
        <f t="shared" si="4"/>
        <v>3.5500000000000087E-2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955733.480456969</v>
      </c>
      <c r="D32" s="11">
        <v>3.5999999999999997E-2</v>
      </c>
      <c r="E32" s="10">
        <f t="shared" si="2"/>
        <v>33210.815923215123</v>
      </c>
      <c r="F32" s="3"/>
      <c r="G32" s="28"/>
      <c r="H32" s="10"/>
      <c r="I32" s="10">
        <f t="shared" si="5"/>
        <v>1786</v>
      </c>
      <c r="J32" s="10">
        <f t="shared" si="3"/>
        <v>1706939996.0961466</v>
      </c>
      <c r="K32" s="11">
        <f t="shared" si="4"/>
        <v>3.599999999999981E-2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922522.66453375388</v>
      </c>
      <c r="D33" s="11">
        <v>3.6900000000000002E-2</v>
      </c>
      <c r="E33" s="10">
        <f t="shared" si="2"/>
        <v>32829.671444975887</v>
      </c>
      <c r="F33" s="3"/>
      <c r="G33" s="28"/>
      <c r="H33" s="10"/>
      <c r="I33" s="10">
        <f t="shared" si="5"/>
        <v>1786</v>
      </c>
      <c r="J33" s="10">
        <f t="shared" si="3"/>
        <v>1647625478.8572845</v>
      </c>
      <c r="K33" s="11">
        <f t="shared" si="4"/>
        <v>3.6899999999999933E-2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889692.99308877799</v>
      </c>
      <c r="D34" s="11">
        <v>3.8100000000000002E-2</v>
      </c>
      <c r="E34" s="10">
        <f t="shared" si="2"/>
        <v>32653.215525173349</v>
      </c>
      <c r="F34" s="3"/>
      <c r="G34" s="28"/>
      <c r="H34" s="10"/>
      <c r="I34" s="10">
        <f t="shared" si="5"/>
        <v>1786</v>
      </c>
      <c r="J34" s="10">
        <f t="shared" ref="J34:J65" si="6">IF(I34="","",I34*C34)</f>
        <v>1588991685.6565576</v>
      </c>
      <c r="K34" s="11">
        <f t="shared" ref="K34:K65" si="7">IFERROR(J34/J35-1,"")</f>
        <v>3.8100000000000023E-2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857039.77756360464</v>
      </c>
      <c r="D35" s="11">
        <v>3.9399999999999998E-2</v>
      </c>
      <c r="E35" s="10">
        <f t="shared" si="2"/>
        <v>32487.365052920999</v>
      </c>
      <c r="F35" s="3"/>
      <c r="G35" s="28"/>
      <c r="H35" s="10"/>
      <c r="I35" s="10">
        <f t="shared" ref="I35:I66" si="8">IF(H35&lt;&gt;"",H35,I34/(1+IF(G34="",0,G34)/100))</f>
        <v>1786</v>
      </c>
      <c r="J35" s="10">
        <f t="shared" si="6"/>
        <v>1530673042.7285979</v>
      </c>
      <c r="K35" s="11">
        <f t="shared" si="7"/>
        <v>3.9400000000000102E-2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824552.41251068364</v>
      </c>
      <c r="D36" s="11">
        <v>4.07E-2</v>
      </c>
      <c r="E36" s="10">
        <f t="shared" si="2"/>
        <v>32246.836926284945</v>
      </c>
      <c r="F36" s="3"/>
      <c r="G36" s="28"/>
      <c r="H36" s="10"/>
      <c r="I36" s="10">
        <f t="shared" si="8"/>
        <v>1786</v>
      </c>
      <c r="J36" s="10">
        <f t="shared" si="6"/>
        <v>1472650608.744081</v>
      </c>
      <c r="K36" s="11">
        <f t="shared" si="7"/>
        <v>4.0699999999999958E-2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792305.5755843987</v>
      </c>
      <c r="D37" s="11">
        <v>4.1700000000000001E-2</v>
      </c>
      <c r="E37" s="10">
        <f t="shared" si="2"/>
        <v>31716.561871814774</v>
      </c>
      <c r="F37" s="3"/>
      <c r="G37" s="28"/>
      <c r="H37" s="10"/>
      <c r="I37" s="10">
        <f t="shared" si="8"/>
        <v>1786</v>
      </c>
      <c r="J37" s="10">
        <f t="shared" si="6"/>
        <v>1415057757.993736</v>
      </c>
      <c r="K37" s="11">
        <f t="shared" si="7"/>
        <v>4.1699999999999848E-2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760589.01371258392</v>
      </c>
      <c r="D38" s="11">
        <v>4.2200000000000001E-2</v>
      </c>
      <c r="E38" s="10">
        <f t="shared" si="2"/>
        <v>30797.213949981844</v>
      </c>
      <c r="F38" s="3"/>
      <c r="G38" s="28"/>
      <c r="H38" s="10"/>
      <c r="I38" s="10">
        <f t="shared" si="8"/>
        <v>1786</v>
      </c>
      <c r="J38" s="10">
        <f t="shared" si="6"/>
        <v>1358411978.490675</v>
      </c>
      <c r="K38" s="11">
        <f t="shared" si="7"/>
        <v>4.2200000000000015E-2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729791.79976260208</v>
      </c>
      <c r="D39" s="11">
        <v>4.2099999999999999E-2</v>
      </c>
      <c r="E39" s="10">
        <f t="shared" si="2"/>
        <v>29483.000451017753</v>
      </c>
      <c r="F39" s="3"/>
      <c r="G39" s="28"/>
      <c r="H39" s="10"/>
      <c r="I39" s="10">
        <f t="shared" si="8"/>
        <v>1786</v>
      </c>
      <c r="J39" s="10">
        <f t="shared" si="6"/>
        <v>1303408154.3760073</v>
      </c>
      <c r="K39" s="11">
        <f t="shared" si="7"/>
        <v>4.2100000000000026E-2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700308.79931158433</v>
      </c>
      <c r="D40" s="11">
        <v>4.1399999999999999E-2</v>
      </c>
      <c r="E40" s="10">
        <f t="shared" si="2"/>
        <v>27840.200011042529</v>
      </c>
      <c r="F40" s="3"/>
      <c r="G40" s="28"/>
      <c r="H40" s="10"/>
      <c r="I40" s="10">
        <f t="shared" si="8"/>
        <v>1786</v>
      </c>
      <c r="J40" s="10">
        <f t="shared" si="6"/>
        <v>1250751515.5704896</v>
      </c>
      <c r="K40" s="11">
        <f t="shared" si="7"/>
        <v>4.1400000000000103E-2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672468.5993005418</v>
      </c>
      <c r="D41" s="11">
        <v>0.04</v>
      </c>
      <c r="E41" s="10">
        <f t="shared" si="2"/>
        <v>25864.176896174671</v>
      </c>
      <c r="F41" s="3"/>
      <c r="G41" s="28"/>
      <c r="H41" s="10"/>
      <c r="I41" s="10">
        <f t="shared" si="8"/>
        <v>1786</v>
      </c>
      <c r="J41" s="10">
        <f t="shared" si="6"/>
        <v>1201028918.3507676</v>
      </c>
      <c r="K41" s="11">
        <f t="shared" si="7"/>
        <v>4.0000000000000036E-2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646604.42240436713</v>
      </c>
      <c r="D42" s="11">
        <v>3.8199999999999998E-2</v>
      </c>
      <c r="E42" s="10">
        <f t="shared" si="2"/>
        <v>23791.455341790454</v>
      </c>
      <c r="F42" s="3"/>
      <c r="G42" s="28"/>
      <c r="H42" s="10"/>
      <c r="I42" s="10">
        <f t="shared" si="8"/>
        <v>1786</v>
      </c>
      <c r="J42" s="10">
        <f t="shared" si="6"/>
        <v>1154835498.4141996</v>
      </c>
      <c r="K42" s="11">
        <f t="shared" si="7"/>
        <v>3.8200000000000012E-2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622812.96706257667</v>
      </c>
      <c r="D43" s="11">
        <v>3.61E-2</v>
      </c>
      <c r="E43" s="10">
        <f t="shared" si="2"/>
        <v>21700.171905181953</v>
      </c>
      <c r="F43" s="3"/>
      <c r="G43" s="28"/>
      <c r="H43" s="10"/>
      <c r="I43" s="10">
        <f t="shared" si="8"/>
        <v>1786</v>
      </c>
      <c r="J43" s="10">
        <f t="shared" si="6"/>
        <v>1112343959.1737618</v>
      </c>
      <c r="K43" s="11">
        <f t="shared" si="7"/>
        <v>3.6100000000000021E-2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601112.79515739472</v>
      </c>
      <c r="D44" s="11">
        <v>3.39E-2</v>
      </c>
      <c r="E44" s="10">
        <f t="shared" si="2"/>
        <v>19709.569354710984</v>
      </c>
      <c r="F44" s="3"/>
      <c r="G44" s="28"/>
      <c r="H44" s="10"/>
      <c r="I44" s="10">
        <f t="shared" si="8"/>
        <v>1786</v>
      </c>
      <c r="J44" s="10">
        <f t="shared" si="6"/>
        <v>1073587452.151107</v>
      </c>
      <c r="K44" s="11">
        <f t="shared" si="7"/>
        <v>3.3900000000000041E-2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581403.22580268374</v>
      </c>
      <c r="D45" s="11">
        <v>3.1699999999999999E-2</v>
      </c>
      <c r="E45" s="10">
        <f t="shared" si="2"/>
        <v>17864.187513758894</v>
      </c>
      <c r="F45" s="3"/>
      <c r="G45" s="28"/>
      <c r="H45" s="10"/>
      <c r="I45" s="10">
        <f t="shared" si="8"/>
        <v>1786</v>
      </c>
      <c r="J45" s="10">
        <f t="shared" si="6"/>
        <v>1038386161.2835932</v>
      </c>
      <c r="K45" s="11">
        <f t="shared" si="7"/>
        <v>3.1700000000000061E-2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563539.03828892484</v>
      </c>
      <c r="D46" s="11">
        <v>2.9700000000000001E-2</v>
      </c>
      <c r="E46" s="10">
        <f t="shared" si="2"/>
        <v>16254.355090979021</v>
      </c>
      <c r="F46" s="3"/>
      <c r="G46" s="28"/>
      <c r="H46" s="10"/>
      <c r="I46" s="10">
        <f t="shared" si="8"/>
        <v>1786</v>
      </c>
      <c r="J46" s="10">
        <f t="shared" si="6"/>
        <v>1006480722.3840197</v>
      </c>
      <c r="K46" s="11">
        <f t="shared" si="7"/>
        <v>2.970000000000006E-2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547284.68319794582</v>
      </c>
      <c r="D47" s="11">
        <v>2.81E-2</v>
      </c>
      <c r="E47" s="10">
        <f t="shared" si="2"/>
        <v>14958.369417237933</v>
      </c>
      <c r="F47" s="3"/>
      <c r="G47" s="28"/>
      <c r="H47" s="10"/>
      <c r="I47" s="10">
        <f t="shared" si="8"/>
        <v>1786</v>
      </c>
      <c r="J47" s="10">
        <f t="shared" si="6"/>
        <v>977450444.19153118</v>
      </c>
      <c r="K47" s="11">
        <f t="shared" si="7"/>
        <v>2.8100000000000014E-2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532326.31378070789</v>
      </c>
      <c r="D48" s="11">
        <v>2.7099999999999999E-2</v>
      </c>
      <c r="E48" s="10">
        <f t="shared" si="2"/>
        <v>14045.412426693714</v>
      </c>
      <c r="F48" s="3"/>
      <c r="G48" s="28"/>
      <c r="H48" s="10"/>
      <c r="I48" s="10">
        <f t="shared" si="8"/>
        <v>1786</v>
      </c>
      <c r="J48" s="10">
        <f t="shared" si="6"/>
        <v>950734796.41234434</v>
      </c>
      <c r="K48" s="11">
        <f t="shared" si="7"/>
        <v>2.7099999999999902E-2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518280.90135401418</v>
      </c>
      <c r="D49" s="11">
        <v>2.6599999999999999E-2</v>
      </c>
      <c r="E49" s="10">
        <f t="shared" si="2"/>
        <v>13429.059006445284</v>
      </c>
      <c r="F49" s="3"/>
      <c r="G49" s="28"/>
      <c r="H49" s="10"/>
      <c r="I49" s="10">
        <f t="shared" si="8"/>
        <v>1786</v>
      </c>
      <c r="J49" s="10">
        <f t="shared" si="6"/>
        <v>925649689.81826937</v>
      </c>
      <c r="K49" s="11">
        <f t="shared" si="7"/>
        <v>2.6599999999999957E-2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504851.84234756889</v>
      </c>
      <c r="D50" s="11">
        <v>2.6700000000000002E-2</v>
      </c>
      <c r="E50" s="10">
        <f t="shared" si="2"/>
        <v>13128.999893522996</v>
      </c>
      <c r="F50" s="3"/>
      <c r="G50" s="28"/>
      <c r="H50" s="10"/>
      <c r="I50" s="10">
        <f t="shared" si="8"/>
        <v>1786</v>
      </c>
      <c r="J50" s="10">
        <f t="shared" si="6"/>
        <v>901665390.43275809</v>
      </c>
      <c r="K50" s="11">
        <f t="shared" si="7"/>
        <v>2.6699999999999946E-2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491722.84245404589</v>
      </c>
      <c r="D51" s="11">
        <v>2.7300000000000001E-2</v>
      </c>
      <c r="E51" s="10">
        <f t="shared" si="2"/>
        <v>13067.296407082176</v>
      </c>
      <c r="F51" s="3"/>
      <c r="G51" s="28"/>
      <c r="H51" s="10"/>
      <c r="I51" s="10">
        <f t="shared" si="8"/>
        <v>1786</v>
      </c>
      <c r="J51" s="10">
        <f t="shared" si="6"/>
        <v>878216996.622926</v>
      </c>
      <c r="K51" s="11">
        <f t="shared" si="7"/>
        <v>2.7300000000000102E-2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478655.54604696372</v>
      </c>
      <c r="D52" s="11">
        <v>2.8400000000000002E-2</v>
      </c>
      <c r="E52" s="10">
        <f t="shared" si="2"/>
        <v>13218.414534941432</v>
      </c>
      <c r="F52" s="3"/>
      <c r="G52" s="28"/>
      <c r="H52" s="10"/>
      <c r="I52" s="10">
        <f t="shared" si="8"/>
        <v>1786</v>
      </c>
      <c r="J52" s="10">
        <f t="shared" si="6"/>
        <v>854878805.23987722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465437.13151202229</v>
      </c>
      <c r="D53" s="11">
        <v>2.9700000000000001E-2</v>
      </c>
      <c r="E53" s="10">
        <f t="shared" si="2"/>
        <v>13424.767219488276</v>
      </c>
      <c r="F53" s="3"/>
      <c r="G53" s="28"/>
      <c r="H53" s="10"/>
      <c r="I53" s="10">
        <f t="shared" si="8"/>
        <v>1786</v>
      </c>
      <c r="J53" s="10">
        <f t="shared" si="6"/>
        <v>831270716.88047183</v>
      </c>
      <c r="K53" s="11">
        <f t="shared" si="7"/>
        <v>2.970000000000006E-2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452012.36429253401</v>
      </c>
      <c r="D54" s="11">
        <v>3.09E-2</v>
      </c>
      <c r="E54" s="10">
        <f t="shared" si="2"/>
        <v>13548.532405315025</v>
      </c>
      <c r="F54" s="3"/>
      <c r="G54" s="28"/>
      <c r="H54" s="10"/>
      <c r="I54" s="10">
        <f t="shared" si="8"/>
        <v>1786</v>
      </c>
      <c r="J54" s="10">
        <f t="shared" si="6"/>
        <v>807294082.6264658</v>
      </c>
      <c r="K54" s="11">
        <f t="shared" si="7"/>
        <v>3.0899999999999928E-2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438463.83188721898</v>
      </c>
      <c r="D55" s="11">
        <v>3.2099999999999997E-2</v>
      </c>
      <c r="E55" s="10">
        <f t="shared" si="2"/>
        <v>13636.943129134539</v>
      </c>
      <c r="F55" s="3"/>
      <c r="G55" s="28"/>
      <c r="H55" s="10"/>
      <c r="I55" s="10">
        <f t="shared" si="8"/>
        <v>1786</v>
      </c>
      <c r="J55" s="10">
        <f t="shared" si="6"/>
        <v>783096403.75057316</v>
      </c>
      <c r="K55" s="11">
        <f t="shared" si="7"/>
        <v>3.2100000000000017E-2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424826.88875808445</v>
      </c>
      <c r="D56" s="11">
        <v>3.2800000000000003E-2</v>
      </c>
      <c r="E56" s="10">
        <f t="shared" si="2"/>
        <v>13491.791199908184</v>
      </c>
      <c r="F56" s="3"/>
      <c r="G56" s="28"/>
      <c r="H56" s="10"/>
      <c r="I56" s="10">
        <f t="shared" si="8"/>
        <v>1786</v>
      </c>
      <c r="J56" s="10">
        <f t="shared" si="6"/>
        <v>758740823.32193887</v>
      </c>
      <c r="K56" s="11">
        <f t="shared" si="7"/>
        <v>3.2800000000000162E-2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411335.09755817626</v>
      </c>
      <c r="D57" s="11">
        <v>3.2899999999999999E-2</v>
      </c>
      <c r="E57" s="10">
        <f t="shared" si="2"/>
        <v>13101.873085162137</v>
      </c>
      <c r="F57" s="3"/>
      <c r="G57" s="28"/>
      <c r="H57" s="10"/>
      <c r="I57" s="10">
        <f t="shared" si="8"/>
        <v>1786</v>
      </c>
      <c r="J57" s="10">
        <f t="shared" si="6"/>
        <v>734644484.23890281</v>
      </c>
      <c r="K57" s="11">
        <f t="shared" si="7"/>
        <v>3.2899999999999929E-2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398233.22447301412</v>
      </c>
      <c r="D58" s="11">
        <v>3.2300000000000002E-2</v>
      </c>
      <c r="E58" s="10">
        <f t="shared" si="2"/>
        <v>12460.460283326916</v>
      </c>
      <c r="F58" s="3"/>
      <c r="G58" s="28"/>
      <c r="H58" s="10"/>
      <c r="I58" s="10">
        <f t="shared" si="8"/>
        <v>1786</v>
      </c>
      <c r="J58" s="10">
        <f t="shared" si="6"/>
        <v>711244538.90880322</v>
      </c>
      <c r="K58" s="11">
        <f t="shared" si="7"/>
        <v>3.2300000000000217E-2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385772.76418968721</v>
      </c>
      <c r="D59" s="11">
        <v>3.1099999999999999E-2</v>
      </c>
      <c r="E59" s="10">
        <f t="shared" si="2"/>
        <v>11635.663821452064</v>
      </c>
      <c r="F59" s="3"/>
      <c r="G59" s="28"/>
      <c r="H59" s="10"/>
      <c r="I59" s="10">
        <f t="shared" si="8"/>
        <v>1786</v>
      </c>
      <c r="J59" s="10">
        <f t="shared" si="6"/>
        <v>688990156.84278131</v>
      </c>
      <c r="K59" s="11">
        <f t="shared" si="7"/>
        <v>3.1099999999999683E-2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374137.10036823514</v>
      </c>
      <c r="D60" s="11">
        <v>2.92E-2</v>
      </c>
      <c r="E60" s="10">
        <f t="shared" si="2"/>
        <v>10614.849718958838</v>
      </c>
      <c r="F60" s="3"/>
      <c r="G60" s="28"/>
      <c r="H60" s="10"/>
      <c r="I60" s="10">
        <f t="shared" si="8"/>
        <v>1786</v>
      </c>
      <c r="J60" s="10">
        <f t="shared" si="6"/>
        <v>668208861.25766802</v>
      </c>
      <c r="K60" s="11">
        <f t="shared" si="7"/>
        <v>2.9199999999999893E-2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363522.25064927631</v>
      </c>
      <c r="D61" s="11">
        <v>2.7199999999999998E-2</v>
      </c>
      <c r="E61" s="10">
        <f t="shared" si="2"/>
        <v>9625.9785997471772</v>
      </c>
      <c r="F61" s="3"/>
      <c r="G61" s="28"/>
      <c r="H61" s="10"/>
      <c r="I61" s="10">
        <f t="shared" si="8"/>
        <v>1786</v>
      </c>
      <c r="J61" s="10">
        <f t="shared" si="6"/>
        <v>649250739.65960753</v>
      </c>
      <c r="K61" s="11">
        <f t="shared" si="7"/>
        <v>2.7199999999999891E-2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353896.27204952913</v>
      </c>
      <c r="D62" s="11">
        <v>2.5399999999999999E-2</v>
      </c>
      <c r="E62" s="10">
        <f t="shared" si="2"/>
        <v>8766.3012581022922</v>
      </c>
      <c r="F62" s="3"/>
      <c r="G62" s="28"/>
      <c r="H62" s="10"/>
      <c r="I62" s="10">
        <f t="shared" si="8"/>
        <v>1786</v>
      </c>
      <c r="J62" s="10">
        <f t="shared" si="6"/>
        <v>632058741.88045907</v>
      </c>
      <c r="K62" s="11">
        <f t="shared" si="7"/>
        <v>2.5400000000000089E-2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345129.97079142684</v>
      </c>
      <c r="D63" s="11">
        <v>2.41E-2</v>
      </c>
      <c r="E63" s="10">
        <f t="shared" si="2"/>
        <v>8121.8946353612118</v>
      </c>
      <c r="F63" s="3"/>
      <c r="G63" s="28"/>
      <c r="H63" s="10"/>
      <c r="I63" s="10">
        <f t="shared" si="8"/>
        <v>1786</v>
      </c>
      <c r="J63" s="10">
        <f t="shared" si="6"/>
        <v>616402127.83348835</v>
      </c>
      <c r="K63" s="11">
        <f t="shared" si="7"/>
        <v>2.4100000000000232E-2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337008.07615606562</v>
      </c>
      <c r="D64" s="11">
        <v>2.3300000000000001E-2</v>
      </c>
      <c r="E64" s="10">
        <f t="shared" si="2"/>
        <v>7673.4957240656368</v>
      </c>
      <c r="F64" s="3"/>
      <c r="G64" s="28"/>
      <c r="H64" s="10"/>
      <c r="I64" s="10">
        <f t="shared" si="8"/>
        <v>1786</v>
      </c>
      <c r="J64" s="10">
        <f t="shared" si="6"/>
        <v>601896424.0147332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329334.58043199999</v>
      </c>
      <c r="D65" s="11">
        <v>2.3099999999999999E-2</v>
      </c>
      <c r="E65" s="10">
        <f t="shared" si="2"/>
        <v>7435.8604319999577</v>
      </c>
      <c r="F65" s="3"/>
      <c r="G65" s="28"/>
      <c r="H65" s="10"/>
      <c r="I65" s="10">
        <f t="shared" si="8"/>
        <v>1786</v>
      </c>
      <c r="J65" s="10">
        <f t="shared" si="6"/>
        <v>588191560.65155196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321898.72000000003</v>
      </c>
      <c r="D66" s="11">
        <v>2.3199999999999998E-2</v>
      </c>
      <c r="E66" s="10">
        <f t="shared" si="2"/>
        <v>7298.7200000000303</v>
      </c>
      <c r="F66" s="24">
        <f>SUM(F2)</f>
        <v>1914198</v>
      </c>
      <c r="G66" s="28"/>
      <c r="H66" s="10"/>
      <c r="I66" s="10">
        <f t="shared" si="8"/>
        <v>1786</v>
      </c>
      <c r="J66" s="10">
        <f t="shared" ref="J66:J67" si="9">IF(I66="","",I66*C66)</f>
        <v>574911113.92000008</v>
      </c>
      <c r="K66" s="11">
        <f t="shared" ref="K66" si="10">IFERROR(J66/J67-1,"")</f>
        <v>2.3200000000000109E-2</v>
      </c>
    </row>
    <row r="67" spans="1:11" ht="22.5" customHeight="1">
      <c r="A67" s="3">
        <f t="shared" si="0"/>
        <v>1950</v>
      </c>
      <c r="B67" s="3">
        <v>1700</v>
      </c>
      <c r="C67" s="10">
        <v>314600</v>
      </c>
      <c r="D67" s="11">
        <v>2.35E-2</v>
      </c>
      <c r="E67" s="3" t="s">
        <v>72</v>
      </c>
      <c r="F67" s="10">
        <f>SUM(C2)</f>
        <v>1914161.3385795974</v>
      </c>
      <c r="G67" s="28"/>
      <c r="H67" s="10"/>
      <c r="I67" s="10">
        <f t="shared" ref="I67" si="11">IF(H67&lt;&gt;"",H67,I66/(1+IF(G66="",0,G66)/100))</f>
        <v>1786</v>
      </c>
      <c r="J67" s="10">
        <f t="shared" si="9"/>
        <v>561875600</v>
      </c>
      <c r="K67" s="11"/>
    </row>
  </sheetData>
  <dataValidations count="1">
    <dataValidation type="custom" allowBlank="1" showDropDown="1" sqref="D2:D67" xr:uid="{00000000-0002-0000-9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131.11195797523743</v>
      </c>
      <c r="D2" s="11">
        <v>-5.3E-3</v>
      </c>
      <c r="E2" s="10">
        <f t="shared" ref="E2:E66" si="2">SUM(C2-C3)</f>
        <v>-0.69859593572812173</v>
      </c>
      <c r="F2" s="15">
        <v>5001934</v>
      </c>
      <c r="G2" s="28"/>
      <c r="H2" s="10"/>
      <c r="I2" s="10">
        <f>IF(H2&lt;&gt;"",H2,7302)</f>
        <v>7302</v>
      </c>
      <c r="J2" s="10">
        <f t="shared" ref="J2:J33" si="3">IF(I2="","",I2*C2)</f>
        <v>957379.51713518368</v>
      </c>
      <c r="K2" s="11">
        <f t="shared" ref="K2:K33" si="4">IFERROR(J2/J3-1,"")</f>
        <v>-5.3000000000000824E-3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131.81055391096555</v>
      </c>
      <c r="D3" s="11">
        <v>-5.5999999999999999E-3</v>
      </c>
      <c r="E3" s="10">
        <f t="shared" si="2"/>
        <v>-0.74229595927334913</v>
      </c>
      <c r="F3" s="3"/>
      <c r="G3" s="28"/>
      <c r="H3" s="10"/>
      <c r="I3" s="10">
        <f t="shared" ref="I3:I34" si="5">IF(H3&lt;&gt;"",H3,I2/(1+IF(G2="",0,G2)/100))</f>
        <v>7302</v>
      </c>
      <c r="J3" s="10">
        <f t="shared" si="3"/>
        <v>962480.66465787042</v>
      </c>
      <c r="K3" s="11">
        <f t="shared" si="4"/>
        <v>-5.6000000000000494E-3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132.5528498702389</v>
      </c>
      <c r="D4" s="11">
        <v>-6.4999999999999997E-3</v>
      </c>
      <c r="E4" s="10">
        <f t="shared" si="2"/>
        <v>-0.86723052255314315</v>
      </c>
      <c r="F4" s="3"/>
      <c r="G4" s="28"/>
      <c r="H4" s="10"/>
      <c r="I4" s="10">
        <f t="shared" si="5"/>
        <v>7302</v>
      </c>
      <c r="J4" s="10">
        <f t="shared" si="3"/>
        <v>967900.90975248441</v>
      </c>
      <c r="K4" s="11">
        <f t="shared" si="4"/>
        <v>-6.5000000000000613E-3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133.42008039279204</v>
      </c>
      <c r="D5" s="11">
        <v>-7.7999999999999996E-3</v>
      </c>
      <c r="E5" s="10">
        <f t="shared" si="2"/>
        <v>-1.0488577172583859</v>
      </c>
      <c r="F5" s="3"/>
      <c r="G5" s="28"/>
      <c r="H5" s="10"/>
      <c r="I5" s="10">
        <f t="shared" si="5"/>
        <v>7302</v>
      </c>
      <c r="J5" s="10">
        <f t="shared" si="3"/>
        <v>974233.42702816753</v>
      </c>
      <c r="K5" s="11">
        <f t="shared" si="4"/>
        <v>-7.7999999999999181E-3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134.46893811005043</v>
      </c>
      <c r="D6" s="11">
        <v>-6.8999999999999999E-3</v>
      </c>
      <c r="E6" s="10">
        <f t="shared" si="2"/>
        <v>-0.93428222027927177</v>
      </c>
      <c r="F6" s="3"/>
      <c r="G6" s="28"/>
      <c r="H6" s="10"/>
      <c r="I6" s="10">
        <f t="shared" si="5"/>
        <v>7302</v>
      </c>
      <c r="J6" s="10">
        <f t="shared" si="3"/>
        <v>981892.18607958825</v>
      </c>
      <c r="K6" s="11">
        <f t="shared" si="4"/>
        <v>-6.9000000000000172E-3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135.4032203303297</v>
      </c>
      <c r="D7" s="11">
        <v>-7.1000000000000004E-3</v>
      </c>
      <c r="E7" s="10">
        <f t="shared" si="2"/>
        <v>-0.96823734952698715</v>
      </c>
      <c r="F7" s="3"/>
      <c r="G7" s="28"/>
      <c r="H7" s="10"/>
      <c r="I7" s="10">
        <f t="shared" si="5"/>
        <v>7302</v>
      </c>
      <c r="J7" s="10">
        <f t="shared" si="3"/>
        <v>988714.3148520675</v>
      </c>
      <c r="K7" s="11">
        <f t="shared" si="4"/>
        <v>-7.0999999999999952E-3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136.37145767985669</v>
      </c>
      <c r="D8" s="11">
        <v>-6.1000000000000004E-3</v>
      </c>
      <c r="E8" s="10">
        <f t="shared" si="2"/>
        <v>-0.83697141749382808</v>
      </c>
      <c r="F8" s="3"/>
      <c r="G8" s="28"/>
      <c r="H8" s="10"/>
      <c r="I8" s="10">
        <f t="shared" si="5"/>
        <v>7302</v>
      </c>
      <c r="J8" s="10">
        <f t="shared" si="3"/>
        <v>995784.38397831353</v>
      </c>
      <c r="K8" s="11">
        <f t="shared" si="4"/>
        <v>-6.0999999999999943E-3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137.20842909735052</v>
      </c>
      <c r="D9" s="11">
        <v>-4.4999999999999997E-3</v>
      </c>
      <c r="E9" s="10">
        <f t="shared" si="2"/>
        <v>-0.62022896126376281</v>
      </c>
      <c r="F9" s="3"/>
      <c r="G9" s="28"/>
      <c r="H9" s="10"/>
      <c r="I9" s="10">
        <f t="shared" si="5"/>
        <v>7302</v>
      </c>
      <c r="J9" s="10">
        <f t="shared" si="3"/>
        <v>1001895.9492688535</v>
      </c>
      <c r="K9" s="11">
        <f t="shared" si="4"/>
        <v>-4.4999999999999485E-3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137.82865805861428</v>
      </c>
      <c r="D10" s="11">
        <v>-3.3999999999999998E-3</v>
      </c>
      <c r="E10" s="10">
        <f t="shared" si="2"/>
        <v>-0.47021617238539193</v>
      </c>
      <c r="F10" s="3"/>
      <c r="G10" s="28"/>
      <c r="H10" s="10"/>
      <c r="I10" s="10">
        <f t="shared" si="5"/>
        <v>7302</v>
      </c>
      <c r="J10" s="10">
        <f t="shared" si="3"/>
        <v>1006424.8611440015</v>
      </c>
      <c r="K10" s="11">
        <f t="shared" si="4"/>
        <v>-3.3999999999999586E-3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138.29887423099967</v>
      </c>
      <c r="D11" s="11">
        <v>-2.8999999999999998E-3</v>
      </c>
      <c r="E11" s="10">
        <f t="shared" si="2"/>
        <v>-0.402233211583507</v>
      </c>
      <c r="F11" s="3"/>
      <c r="G11" s="28"/>
      <c r="H11" s="10"/>
      <c r="I11" s="10">
        <f t="shared" si="5"/>
        <v>7302</v>
      </c>
      <c r="J11" s="10">
        <f t="shared" si="3"/>
        <v>1009858.3796347596</v>
      </c>
      <c r="K11" s="11">
        <f t="shared" si="4"/>
        <v>-2.9000000000001247E-3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138.70110744258318</v>
      </c>
      <c r="D12" s="11">
        <v>-3.3999999999999998E-3</v>
      </c>
      <c r="E12" s="10">
        <f t="shared" si="2"/>
        <v>-0.47319262021349573</v>
      </c>
      <c r="F12" s="3"/>
      <c r="G12" s="28"/>
      <c r="H12" s="10"/>
      <c r="I12" s="10">
        <f t="shared" si="5"/>
        <v>7302</v>
      </c>
      <c r="J12" s="10">
        <f t="shared" si="3"/>
        <v>1012795.4865457424</v>
      </c>
      <c r="K12" s="11">
        <f t="shared" si="4"/>
        <v>-3.3999999999999586E-3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139.17430006279668</v>
      </c>
      <c r="D13" s="11">
        <v>-1.8100000000000002E-2</v>
      </c>
      <c r="E13" s="10">
        <f t="shared" si="2"/>
        <v>-2.565490203825874</v>
      </c>
      <c r="F13" s="3"/>
      <c r="G13" s="28"/>
      <c r="H13" s="10"/>
      <c r="I13" s="10">
        <f t="shared" si="5"/>
        <v>7302</v>
      </c>
      <c r="J13" s="10">
        <f t="shared" si="3"/>
        <v>1016250.7390585414</v>
      </c>
      <c r="K13" s="11">
        <f t="shared" si="4"/>
        <v>-1.8100000000000005E-2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141.73979026662255</v>
      </c>
      <c r="D14" s="11">
        <v>-1.34E-2</v>
      </c>
      <c r="E14" s="10">
        <f t="shared" si="2"/>
        <v>-1.9251096590033967</v>
      </c>
      <c r="F14" s="3"/>
      <c r="G14" s="28"/>
      <c r="H14" s="10"/>
      <c r="I14" s="10">
        <f t="shared" si="5"/>
        <v>7302</v>
      </c>
      <c r="J14" s="10">
        <f t="shared" si="3"/>
        <v>1034983.9485268779</v>
      </c>
      <c r="K14" s="11">
        <f t="shared" si="4"/>
        <v>-1.3399999999999967E-2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143.66489992562595</v>
      </c>
      <c r="D15" s="11">
        <v>-8.9999999999999993E-3</v>
      </c>
      <c r="E15" s="10">
        <f t="shared" si="2"/>
        <v>-1.3047266390823893</v>
      </c>
      <c r="F15" s="3"/>
      <c r="G15" s="28"/>
      <c r="H15" s="10"/>
      <c r="I15" s="10">
        <f t="shared" si="5"/>
        <v>7302</v>
      </c>
      <c r="J15" s="10">
        <f t="shared" si="3"/>
        <v>1049041.0992569206</v>
      </c>
      <c r="K15" s="11">
        <f t="shared" si="4"/>
        <v>-9.000000000000119E-3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144.96962656470834</v>
      </c>
      <c r="D16" s="11">
        <v>-6.7999999999999996E-3</v>
      </c>
      <c r="E16" s="10">
        <f t="shared" si="2"/>
        <v>-0.99254275134919112</v>
      </c>
      <c r="F16" s="3"/>
      <c r="G16" s="28"/>
      <c r="H16" s="10"/>
      <c r="I16" s="10">
        <f t="shared" si="5"/>
        <v>7302</v>
      </c>
      <c r="J16" s="10">
        <f t="shared" si="3"/>
        <v>1058568.2131755003</v>
      </c>
      <c r="K16" s="11">
        <f t="shared" si="4"/>
        <v>-6.7999999999999172E-3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145.96216931605753</v>
      </c>
      <c r="D17" s="11">
        <v>-5.7000000000000002E-3</v>
      </c>
      <c r="E17" s="10">
        <f t="shared" si="2"/>
        <v>-0.83675386211558589</v>
      </c>
      <c r="F17" s="3"/>
      <c r="G17" s="28"/>
      <c r="H17" s="10"/>
      <c r="I17" s="10">
        <f t="shared" si="5"/>
        <v>7302</v>
      </c>
      <c r="J17" s="10">
        <f t="shared" si="3"/>
        <v>1065815.760345852</v>
      </c>
      <c r="K17" s="11">
        <f t="shared" si="4"/>
        <v>-5.7000000000000384E-3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146.79892317817311</v>
      </c>
      <c r="D18" s="11">
        <v>-5.1000000000000004E-3</v>
      </c>
      <c r="E18" s="10">
        <f t="shared" si="2"/>
        <v>-0.7525123210460265</v>
      </c>
      <c r="F18" s="3"/>
      <c r="G18" s="28"/>
      <c r="H18" s="10"/>
      <c r="I18" s="10">
        <f t="shared" si="5"/>
        <v>7302</v>
      </c>
      <c r="J18" s="10">
        <f t="shared" si="3"/>
        <v>1071925.7370470201</v>
      </c>
      <c r="K18" s="11">
        <f t="shared" si="4"/>
        <v>-5.0999999999999934E-3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147.55143549921914</v>
      </c>
      <c r="D19" s="11">
        <v>-4.8999999999999998E-3</v>
      </c>
      <c r="E19" s="10">
        <f t="shared" si="2"/>
        <v>-0.72656218867066968</v>
      </c>
      <c r="F19" s="3"/>
      <c r="G19" s="28"/>
      <c r="H19" s="10"/>
      <c r="I19" s="10">
        <f t="shared" si="5"/>
        <v>7302</v>
      </c>
      <c r="J19" s="10">
        <f t="shared" si="3"/>
        <v>1077420.5820152981</v>
      </c>
      <c r="K19" s="11">
        <f t="shared" si="4"/>
        <v>-4.9000000000001265E-3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148.27799768788981</v>
      </c>
      <c r="D20" s="11">
        <v>-4.7000000000000002E-3</v>
      </c>
      <c r="E20" s="10">
        <f t="shared" si="2"/>
        <v>-0.70019751746517045</v>
      </c>
      <c r="F20" s="3"/>
      <c r="G20" s="28"/>
      <c r="H20" s="10"/>
      <c r="I20" s="10">
        <f t="shared" si="5"/>
        <v>7302</v>
      </c>
      <c r="J20" s="10">
        <f t="shared" si="3"/>
        <v>1082725.9391169713</v>
      </c>
      <c r="K20" s="11">
        <f t="shared" si="4"/>
        <v>-4.7000000000001485E-3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148.97819520535498</v>
      </c>
      <c r="D21" s="11">
        <v>-4.4999999999999997E-3</v>
      </c>
      <c r="E21" s="10">
        <f t="shared" si="2"/>
        <v>-0.67343232388157048</v>
      </c>
      <c r="F21" s="3"/>
      <c r="G21" s="28"/>
      <c r="H21" s="10"/>
      <c r="I21" s="10">
        <f t="shared" si="5"/>
        <v>7302</v>
      </c>
      <c r="J21" s="10">
        <f t="shared" si="3"/>
        <v>1087838.7813895021</v>
      </c>
      <c r="K21" s="11">
        <f t="shared" si="4"/>
        <v>-4.5000000000000595E-3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149.65162752923655</v>
      </c>
      <c r="D22" s="11">
        <v>-4.1000000000000003E-3</v>
      </c>
      <c r="E22" s="10">
        <f t="shared" si="2"/>
        <v>-0.61609767333052901</v>
      </c>
      <c r="F22" s="3"/>
      <c r="G22" s="28"/>
      <c r="H22" s="10"/>
      <c r="I22" s="10">
        <f t="shared" si="5"/>
        <v>7302</v>
      </c>
      <c r="J22" s="10">
        <f t="shared" si="3"/>
        <v>1092756.1842184854</v>
      </c>
      <c r="K22" s="11">
        <f t="shared" si="4"/>
        <v>-4.0999999999999925E-3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150.26772520256708</v>
      </c>
      <c r="D23" s="11">
        <v>-3.2000000000000002E-3</v>
      </c>
      <c r="E23" s="10">
        <f t="shared" si="2"/>
        <v>-0.48240040193439881</v>
      </c>
      <c r="F23" s="3"/>
      <c r="G23" s="28"/>
      <c r="H23" s="10"/>
      <c r="I23" s="10">
        <f t="shared" si="5"/>
        <v>7302</v>
      </c>
      <c r="J23" s="10">
        <f t="shared" si="3"/>
        <v>1097254.9294291448</v>
      </c>
      <c r="K23" s="11">
        <f t="shared" si="4"/>
        <v>-3.1999999999999806E-3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150.75012560450148</v>
      </c>
      <c r="D24" s="11">
        <v>-2.3E-3</v>
      </c>
      <c r="E24" s="10">
        <f t="shared" si="2"/>
        <v>-0.34752459545990178</v>
      </c>
      <c r="F24" s="3"/>
      <c r="G24" s="28"/>
      <c r="H24" s="10"/>
      <c r="I24" s="10">
        <f t="shared" si="5"/>
        <v>7302</v>
      </c>
      <c r="J24" s="10">
        <f t="shared" si="3"/>
        <v>1100777.4171640698</v>
      </c>
      <c r="K24" s="11">
        <f t="shared" si="4"/>
        <v>-2.2999999999998577E-3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151.09765019996138</v>
      </c>
      <c r="D25" s="11">
        <v>1.6000000000000001E-3</v>
      </c>
      <c r="E25" s="10">
        <f t="shared" si="2"/>
        <v>0.241370048242743</v>
      </c>
      <c r="F25" s="3"/>
      <c r="G25" s="28"/>
      <c r="H25" s="10"/>
      <c r="I25" s="10">
        <f t="shared" si="5"/>
        <v>7302</v>
      </c>
      <c r="J25" s="10">
        <f t="shared" si="3"/>
        <v>1103315.041760118</v>
      </c>
      <c r="K25" s="11">
        <f t="shared" si="4"/>
        <v>1.5999999999998238E-3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150.85628015171864</v>
      </c>
      <c r="D26" s="11">
        <v>3.3999999999999998E-3</v>
      </c>
      <c r="E26" s="10">
        <f t="shared" si="2"/>
        <v>0.51117336308138306</v>
      </c>
      <c r="F26" s="3"/>
      <c r="G26" s="28"/>
      <c r="H26" s="10"/>
      <c r="I26" s="10">
        <f t="shared" si="5"/>
        <v>7302</v>
      </c>
      <c r="J26" s="10">
        <f t="shared" si="3"/>
        <v>1101552.5576678496</v>
      </c>
      <c r="K26" s="11">
        <f t="shared" si="4"/>
        <v>3.4000000000002917E-3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150.34510678863725</v>
      </c>
      <c r="D27" s="11">
        <v>3.8E-3</v>
      </c>
      <c r="E27" s="10">
        <f t="shared" si="2"/>
        <v>0.56914864096117412</v>
      </c>
      <c r="F27" s="3"/>
      <c r="G27" s="28"/>
      <c r="H27" s="10"/>
      <c r="I27" s="10">
        <f t="shared" si="5"/>
        <v>7302</v>
      </c>
      <c r="J27" s="10">
        <f t="shared" si="3"/>
        <v>1097819.9697706292</v>
      </c>
      <c r="K27" s="11">
        <f t="shared" si="4"/>
        <v>3.8000000000000256E-3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149.77595814767608</v>
      </c>
      <c r="D28" s="11">
        <v>3.8E-3</v>
      </c>
      <c r="E28" s="10">
        <f t="shared" si="2"/>
        <v>0.5669940635197861</v>
      </c>
      <c r="F28" s="3"/>
      <c r="G28" s="28"/>
      <c r="H28" s="10"/>
      <c r="I28" s="10">
        <f t="shared" si="5"/>
        <v>7302</v>
      </c>
      <c r="J28" s="10">
        <f t="shared" si="3"/>
        <v>1093664.0463943307</v>
      </c>
      <c r="K28" s="11">
        <f t="shared" si="4"/>
        <v>3.7999999999998035E-3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149.20896408415629</v>
      </c>
      <c r="D29" s="11">
        <v>4.1000000000000003E-3</v>
      </c>
      <c r="E29" s="10">
        <f t="shared" si="2"/>
        <v>0.60925879169906239</v>
      </c>
      <c r="F29" s="3"/>
      <c r="G29" s="28"/>
      <c r="H29" s="10"/>
      <c r="I29" s="10">
        <f t="shared" si="5"/>
        <v>7302</v>
      </c>
      <c r="J29" s="10">
        <f t="shared" si="3"/>
        <v>1089523.8557425092</v>
      </c>
      <c r="K29" s="11">
        <f t="shared" si="4"/>
        <v>4.0999999999997705E-3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148.59970529245723</v>
      </c>
      <c r="D30" s="11">
        <v>4.7999999999999996E-3</v>
      </c>
      <c r="E30" s="10">
        <f t="shared" si="2"/>
        <v>0.70987120362636347</v>
      </c>
      <c r="F30" s="3"/>
      <c r="G30" s="28"/>
      <c r="H30" s="10"/>
      <c r="I30" s="10">
        <f t="shared" si="5"/>
        <v>7302</v>
      </c>
      <c r="J30" s="10">
        <f t="shared" si="3"/>
        <v>1085075.0480455228</v>
      </c>
      <c r="K30" s="11">
        <f t="shared" si="4"/>
        <v>4.7999999999999154E-3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147.88983408883087</v>
      </c>
      <c r="D31" s="11">
        <v>5.7999999999999996E-3</v>
      </c>
      <c r="E31" s="10">
        <f t="shared" si="2"/>
        <v>0.852814712383406</v>
      </c>
      <c r="F31" s="3"/>
      <c r="G31" s="28"/>
      <c r="H31" s="10"/>
      <c r="I31" s="10">
        <f t="shared" si="5"/>
        <v>7302</v>
      </c>
      <c r="J31" s="10">
        <f t="shared" si="3"/>
        <v>1079891.568516643</v>
      </c>
      <c r="K31" s="11">
        <f t="shared" si="4"/>
        <v>5.8000000000002494E-3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147.03701937644746</v>
      </c>
      <c r="D32" s="11">
        <v>7.1999999999999998E-3</v>
      </c>
      <c r="E32" s="10">
        <f t="shared" si="2"/>
        <v>1.0510986293789131</v>
      </c>
      <c r="F32" s="3"/>
      <c r="G32" s="28"/>
      <c r="H32" s="10"/>
      <c r="I32" s="10">
        <f t="shared" si="5"/>
        <v>7302</v>
      </c>
      <c r="J32" s="10">
        <f t="shared" si="3"/>
        <v>1073664.3154868193</v>
      </c>
      <c r="K32" s="11">
        <f t="shared" si="4"/>
        <v>7.1999999999998732E-3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145.98592074706855</v>
      </c>
      <c r="D33" s="11">
        <v>8.3999999999999995E-3</v>
      </c>
      <c r="E33" s="10">
        <f t="shared" si="2"/>
        <v>1.2160667733789978</v>
      </c>
      <c r="F33" s="3"/>
      <c r="G33" s="28"/>
      <c r="H33" s="10"/>
      <c r="I33" s="10">
        <f t="shared" si="5"/>
        <v>7302</v>
      </c>
      <c r="J33" s="10">
        <f t="shared" si="3"/>
        <v>1065989.1932950947</v>
      </c>
      <c r="K33" s="11">
        <f t="shared" si="4"/>
        <v>8.4000000000001851E-3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144.76985397368955</v>
      </c>
      <c r="D34" s="11">
        <v>9.2999999999999992E-3</v>
      </c>
      <c r="E34" s="10">
        <f t="shared" si="2"/>
        <v>1.3339538709554404</v>
      </c>
      <c r="F34" s="3"/>
      <c r="G34" s="28"/>
      <c r="H34" s="10"/>
      <c r="I34" s="10">
        <f t="shared" si="5"/>
        <v>7302</v>
      </c>
      <c r="J34" s="10">
        <f t="shared" ref="J34:J65" si="6">IF(I34="","",I34*C34)</f>
        <v>1057109.4737158811</v>
      </c>
      <c r="K34" s="11">
        <f t="shared" ref="K34:K65" si="7">IFERROR(J34/J35-1,"")</f>
        <v>9.300000000000086E-3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143.43590010273411</v>
      </c>
      <c r="D35" s="11">
        <v>9.2999999999999992E-3</v>
      </c>
      <c r="E35" s="10">
        <f t="shared" si="2"/>
        <v>1.3216624105374422</v>
      </c>
      <c r="F35" s="3"/>
      <c r="G35" s="28"/>
      <c r="H35" s="10"/>
      <c r="I35" s="10">
        <f t="shared" ref="I35:I66" si="8">IF(H35&lt;&gt;"",H35,I34/(1+IF(G34="",0,G34)/100))</f>
        <v>7302</v>
      </c>
      <c r="J35" s="10">
        <f t="shared" si="6"/>
        <v>1047368.9425501644</v>
      </c>
      <c r="K35" s="11">
        <f t="shared" si="7"/>
        <v>9.300000000000086E-3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142.11423769219667</v>
      </c>
      <c r="D36" s="11">
        <v>8.8999999999999999E-3</v>
      </c>
      <c r="E36" s="10">
        <f t="shared" si="2"/>
        <v>1.2536591490341209</v>
      </c>
      <c r="F36" s="3"/>
      <c r="G36" s="28"/>
      <c r="H36" s="10"/>
      <c r="I36" s="10">
        <f t="shared" si="8"/>
        <v>7302</v>
      </c>
      <c r="J36" s="10">
        <f t="shared" si="6"/>
        <v>1037718.1636284201</v>
      </c>
      <c r="K36" s="11">
        <f t="shared" si="7"/>
        <v>8.899999999999908E-3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140.86057854316255</v>
      </c>
      <c r="D37" s="11">
        <v>8.6E-3</v>
      </c>
      <c r="E37" s="10">
        <f t="shared" si="2"/>
        <v>1.2010717583493715</v>
      </c>
      <c r="F37" s="3"/>
      <c r="G37" s="28"/>
      <c r="H37" s="10"/>
      <c r="I37" s="10">
        <f t="shared" si="8"/>
        <v>7302</v>
      </c>
      <c r="J37" s="10">
        <f t="shared" si="6"/>
        <v>1028563.9445221729</v>
      </c>
      <c r="K37" s="11">
        <f t="shared" si="7"/>
        <v>8.599999999999941E-3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139.65950678481317</v>
      </c>
      <c r="D38" s="11">
        <v>9.2999999999999992E-3</v>
      </c>
      <c r="E38" s="10">
        <f t="shared" si="2"/>
        <v>1.2868655633595267</v>
      </c>
      <c r="F38" s="3"/>
      <c r="G38" s="28"/>
      <c r="H38" s="10"/>
      <c r="I38" s="10">
        <f t="shared" si="8"/>
        <v>7302</v>
      </c>
      <c r="J38" s="10">
        <f t="shared" si="6"/>
        <v>1019793.7185427058</v>
      </c>
      <c r="K38" s="11">
        <f t="shared" si="7"/>
        <v>9.300000000000086E-3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138.37264122145365</v>
      </c>
      <c r="D39" s="11">
        <v>1.09E-2</v>
      </c>
      <c r="E39" s="10">
        <f t="shared" si="2"/>
        <v>1.4919990002115355</v>
      </c>
      <c r="F39" s="3"/>
      <c r="G39" s="28"/>
      <c r="H39" s="10"/>
      <c r="I39" s="10">
        <f t="shared" si="8"/>
        <v>7302</v>
      </c>
      <c r="J39" s="10">
        <f t="shared" si="6"/>
        <v>1010397.0261990546</v>
      </c>
      <c r="K39" s="11">
        <f t="shared" si="7"/>
        <v>1.089999999999991E-2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136.88064222124211</v>
      </c>
      <c r="D40" s="11">
        <v>1.23E-2</v>
      </c>
      <c r="E40" s="10">
        <f t="shared" si="2"/>
        <v>1.6631748486824733</v>
      </c>
      <c r="F40" s="3"/>
      <c r="G40" s="28"/>
      <c r="H40" s="10"/>
      <c r="I40" s="10">
        <f t="shared" si="8"/>
        <v>7302</v>
      </c>
      <c r="J40" s="10">
        <f t="shared" si="6"/>
        <v>999502.44949950988</v>
      </c>
      <c r="K40" s="11">
        <f t="shared" si="7"/>
        <v>1.2299999999999756E-2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135.21746737255964</v>
      </c>
      <c r="D41" s="11">
        <v>1.2800000000000001E-2</v>
      </c>
      <c r="E41" s="10">
        <f t="shared" si="2"/>
        <v>1.7089095402535008</v>
      </c>
      <c r="F41" s="3"/>
      <c r="G41" s="28"/>
      <c r="H41" s="10"/>
      <c r="I41" s="10">
        <f t="shared" si="8"/>
        <v>7302</v>
      </c>
      <c r="J41" s="10">
        <f t="shared" si="6"/>
        <v>987357.94675443054</v>
      </c>
      <c r="K41" s="11">
        <f t="shared" si="7"/>
        <v>1.2799999999999923E-2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133.50855783230614</v>
      </c>
      <c r="D42" s="11">
        <v>1.14E-2</v>
      </c>
      <c r="E42" s="10">
        <f t="shared" si="2"/>
        <v>1.5048423564250584</v>
      </c>
      <c r="F42" s="3"/>
      <c r="G42" s="28"/>
      <c r="H42" s="10"/>
      <c r="I42" s="10">
        <f t="shared" si="8"/>
        <v>7302</v>
      </c>
      <c r="J42" s="10">
        <f t="shared" si="6"/>
        <v>974879.48929149937</v>
      </c>
      <c r="K42" s="11">
        <f t="shared" si="7"/>
        <v>1.1400000000000077E-2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132.00371547588108</v>
      </c>
      <c r="D43" s="11">
        <v>1.11E-2</v>
      </c>
      <c r="E43" s="10">
        <f t="shared" si="2"/>
        <v>1.4491556144617732</v>
      </c>
      <c r="F43" s="3"/>
      <c r="G43" s="28"/>
      <c r="H43" s="10"/>
      <c r="I43" s="10">
        <f t="shared" si="8"/>
        <v>7302</v>
      </c>
      <c r="J43" s="10">
        <f t="shared" si="6"/>
        <v>963891.13040488365</v>
      </c>
      <c r="K43" s="11">
        <f t="shared" si="7"/>
        <v>1.110000000000011E-2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130.55455986141931</v>
      </c>
      <c r="D44" s="11">
        <v>1.1599999999999999E-2</v>
      </c>
      <c r="E44" s="10">
        <f t="shared" si="2"/>
        <v>1.4970669181420249</v>
      </c>
      <c r="F44" s="3"/>
      <c r="G44" s="28"/>
      <c r="H44" s="10"/>
      <c r="I44" s="10">
        <f t="shared" si="8"/>
        <v>7302</v>
      </c>
      <c r="J44" s="10">
        <f t="shared" si="6"/>
        <v>953309.39610808378</v>
      </c>
      <c r="K44" s="11">
        <f t="shared" si="7"/>
        <v>1.1600000000000055E-2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129.05749294327728</v>
      </c>
      <c r="D45" s="11">
        <v>1.2699999999999999E-2</v>
      </c>
      <c r="E45" s="10">
        <f t="shared" si="2"/>
        <v>1.6184755212596258</v>
      </c>
      <c r="F45" s="3"/>
      <c r="G45" s="28"/>
      <c r="H45" s="10"/>
      <c r="I45" s="10">
        <f t="shared" si="8"/>
        <v>7302</v>
      </c>
      <c r="J45" s="10">
        <f t="shared" si="6"/>
        <v>942377.81347181066</v>
      </c>
      <c r="K45" s="11">
        <f t="shared" si="7"/>
        <v>1.2699999999999934E-2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127.43901742201766</v>
      </c>
      <c r="D46" s="11">
        <v>1.66E-2</v>
      </c>
      <c r="E46" s="10">
        <f t="shared" si="2"/>
        <v>2.080944018498414</v>
      </c>
      <c r="F46" s="3"/>
      <c r="G46" s="28"/>
      <c r="H46" s="10"/>
      <c r="I46" s="10">
        <f t="shared" si="8"/>
        <v>7302</v>
      </c>
      <c r="J46" s="10">
        <f t="shared" si="6"/>
        <v>930559.70521557296</v>
      </c>
      <c r="K46" s="11">
        <f t="shared" si="7"/>
        <v>1.6599999999999948E-2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125.35807340351924</v>
      </c>
      <c r="D47" s="11">
        <v>3.0999999999999999E-3</v>
      </c>
      <c r="E47" s="10">
        <f t="shared" si="2"/>
        <v>0.38740905946657733</v>
      </c>
      <c r="F47" s="3"/>
      <c r="G47" s="28"/>
      <c r="H47" s="10"/>
      <c r="I47" s="10">
        <f t="shared" si="8"/>
        <v>7302</v>
      </c>
      <c r="J47" s="10">
        <f t="shared" si="6"/>
        <v>915364.6519924975</v>
      </c>
      <c r="K47" s="11">
        <f t="shared" si="7"/>
        <v>3.1000000000001027E-3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124.97066434405266</v>
      </c>
      <c r="D48" s="11">
        <v>3.7000000000000002E-3</v>
      </c>
      <c r="E48" s="10">
        <f t="shared" si="2"/>
        <v>0.4606869164820182</v>
      </c>
      <c r="F48" s="3"/>
      <c r="G48" s="28"/>
      <c r="H48" s="10"/>
      <c r="I48" s="10">
        <f t="shared" si="8"/>
        <v>7302</v>
      </c>
      <c r="J48" s="10">
        <f t="shared" si="6"/>
        <v>912535.79104027257</v>
      </c>
      <c r="K48" s="11">
        <f t="shared" si="7"/>
        <v>3.7000000000000366E-3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124.50997742757065</v>
      </c>
      <c r="D49" s="11">
        <v>4.1000000000000003E-3</v>
      </c>
      <c r="E49" s="10">
        <f t="shared" si="2"/>
        <v>0.5084064410447553</v>
      </c>
      <c r="F49" s="3"/>
      <c r="G49" s="28"/>
      <c r="H49" s="10"/>
      <c r="I49" s="10">
        <f t="shared" si="8"/>
        <v>7302</v>
      </c>
      <c r="J49" s="10">
        <f t="shared" si="6"/>
        <v>909171.85517612088</v>
      </c>
      <c r="K49" s="11">
        <f t="shared" si="7"/>
        <v>4.0999999999999925E-3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124.00157098652589</v>
      </c>
      <c r="D50" s="11">
        <v>4.7999999999999996E-3</v>
      </c>
      <c r="E50" s="10">
        <f t="shared" si="2"/>
        <v>0.59236419261078765</v>
      </c>
      <c r="F50" s="3"/>
      <c r="G50" s="28"/>
      <c r="H50" s="10"/>
      <c r="I50" s="10">
        <f t="shared" si="8"/>
        <v>7302</v>
      </c>
      <c r="J50" s="10">
        <f t="shared" si="6"/>
        <v>905459.47134361207</v>
      </c>
      <c r="K50" s="11">
        <f t="shared" si="7"/>
        <v>4.7999999999999154E-3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123.4092067939151</v>
      </c>
      <c r="D51" s="11">
        <v>6.0000000000000001E-3</v>
      </c>
      <c r="E51" s="10">
        <f t="shared" si="2"/>
        <v>0.73603900672314637</v>
      </c>
      <c r="F51" s="3"/>
      <c r="G51" s="28"/>
      <c r="H51" s="10"/>
      <c r="I51" s="10">
        <f t="shared" si="8"/>
        <v>7302</v>
      </c>
      <c r="J51" s="10">
        <f t="shared" si="6"/>
        <v>901134.02800916811</v>
      </c>
      <c r="K51" s="11">
        <f t="shared" si="7"/>
        <v>6.0000000000000053E-3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122.67316778719196</v>
      </c>
      <c r="D52" s="11">
        <v>6.8999999999999999E-3</v>
      </c>
      <c r="E52" s="10">
        <f t="shared" si="2"/>
        <v>0.84064441129368106</v>
      </c>
      <c r="F52" s="3"/>
      <c r="G52" s="28"/>
      <c r="H52" s="10"/>
      <c r="I52" s="10">
        <f t="shared" si="8"/>
        <v>7302</v>
      </c>
      <c r="J52" s="10">
        <f t="shared" si="6"/>
        <v>895759.47118207568</v>
      </c>
      <c r="K52" s="11">
        <f t="shared" si="7"/>
        <v>6.8999999999999062E-3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121.83252337589828</v>
      </c>
      <c r="D53" s="11">
        <v>7.7999999999999996E-3</v>
      </c>
      <c r="E53" s="10">
        <f t="shared" si="2"/>
        <v>0.94293876000398313</v>
      </c>
      <c r="F53" s="3"/>
      <c r="G53" s="28"/>
      <c r="H53" s="10"/>
      <c r="I53" s="10">
        <f t="shared" si="8"/>
        <v>7302</v>
      </c>
      <c r="J53" s="10">
        <f t="shared" si="6"/>
        <v>889621.08569080918</v>
      </c>
      <c r="K53" s="11">
        <f t="shared" si="7"/>
        <v>7.8000000000000291E-3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120.88958461589429</v>
      </c>
      <c r="D54" s="11">
        <v>8.8999999999999999E-3</v>
      </c>
      <c r="E54" s="10">
        <f t="shared" si="2"/>
        <v>1.0664261106962556</v>
      </c>
      <c r="F54" s="3"/>
      <c r="G54" s="28"/>
      <c r="H54" s="10"/>
      <c r="I54" s="10">
        <f t="shared" si="8"/>
        <v>7302</v>
      </c>
      <c r="J54" s="10">
        <f t="shared" si="6"/>
        <v>882735.74686526018</v>
      </c>
      <c r="K54" s="11">
        <f t="shared" si="7"/>
        <v>8.90000000000013E-3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119.82315850519804</v>
      </c>
      <c r="D55" s="11">
        <v>1.11E-2</v>
      </c>
      <c r="E55" s="10">
        <f t="shared" si="2"/>
        <v>1.3154357228837057</v>
      </c>
      <c r="F55" s="3"/>
      <c r="G55" s="28"/>
      <c r="H55" s="10"/>
      <c r="I55" s="10">
        <f t="shared" si="8"/>
        <v>7302</v>
      </c>
      <c r="J55" s="10">
        <f t="shared" si="6"/>
        <v>874948.70340495603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118.50772278231433</v>
      </c>
      <c r="D56" s="11">
        <v>1.24E-2</v>
      </c>
      <c r="E56" s="10">
        <f t="shared" si="2"/>
        <v>1.4514971972547386</v>
      </c>
      <c r="F56" s="3"/>
      <c r="G56" s="28"/>
      <c r="H56" s="10"/>
      <c r="I56" s="10">
        <f t="shared" si="8"/>
        <v>7302</v>
      </c>
      <c r="J56" s="10">
        <f t="shared" si="6"/>
        <v>865343.39175645926</v>
      </c>
      <c r="K56" s="11">
        <f t="shared" si="7"/>
        <v>1.2399999999999967E-2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117.05622558505959</v>
      </c>
      <c r="D57" s="11">
        <v>1.21E-2</v>
      </c>
      <c r="E57" s="10">
        <f t="shared" si="2"/>
        <v>1.3994470206296086</v>
      </c>
      <c r="F57" s="3"/>
      <c r="G57" s="28"/>
      <c r="H57" s="10"/>
      <c r="I57" s="10">
        <f t="shared" si="8"/>
        <v>7302</v>
      </c>
      <c r="J57" s="10">
        <f t="shared" si="6"/>
        <v>854744.55922210519</v>
      </c>
      <c r="K57" s="11">
        <f t="shared" si="7"/>
        <v>1.21E-2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115.65677856442998</v>
      </c>
      <c r="D58" s="11">
        <v>1.23E-2</v>
      </c>
      <c r="E58" s="10">
        <f t="shared" si="2"/>
        <v>1.4052932691321587</v>
      </c>
      <c r="F58" s="3"/>
      <c r="G58" s="28"/>
      <c r="H58" s="10"/>
      <c r="I58" s="10">
        <f t="shared" si="8"/>
        <v>7302</v>
      </c>
      <c r="J58" s="10">
        <f t="shared" si="6"/>
        <v>844525.79707746778</v>
      </c>
      <c r="K58" s="11">
        <f t="shared" si="7"/>
        <v>1.2299999999999978E-2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114.25148529529783</v>
      </c>
      <c r="D59" s="11">
        <v>1.26E-2</v>
      </c>
      <c r="E59" s="10">
        <f t="shared" si="2"/>
        <v>1.4216558509981638</v>
      </c>
      <c r="F59" s="3"/>
      <c r="G59" s="28"/>
      <c r="H59" s="10"/>
      <c r="I59" s="10">
        <f t="shared" si="8"/>
        <v>7302</v>
      </c>
      <c r="J59" s="10">
        <f t="shared" si="6"/>
        <v>834264.34562626469</v>
      </c>
      <c r="K59" s="11">
        <f t="shared" si="7"/>
        <v>1.2599999999999723E-2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112.82982944429966</v>
      </c>
      <c r="D60" s="11">
        <v>1.3299999999999999E-2</v>
      </c>
      <c r="E60" s="10">
        <f t="shared" si="2"/>
        <v>1.4809402265954787</v>
      </c>
      <c r="F60" s="3"/>
      <c r="G60" s="28"/>
      <c r="H60" s="10"/>
      <c r="I60" s="10">
        <f t="shared" si="8"/>
        <v>7302</v>
      </c>
      <c r="J60" s="10">
        <f t="shared" si="6"/>
        <v>823883.41460227617</v>
      </c>
      <c r="K60" s="11">
        <f t="shared" si="7"/>
        <v>1.330000000000009E-2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111.34888921770418</v>
      </c>
      <c r="D61" s="11">
        <v>1.3899999999999999E-2</v>
      </c>
      <c r="E61" s="10">
        <f t="shared" si="2"/>
        <v>1.5265307822527774</v>
      </c>
      <c r="F61" s="3"/>
      <c r="G61" s="28"/>
      <c r="H61" s="10"/>
      <c r="I61" s="10">
        <f t="shared" si="8"/>
        <v>7302</v>
      </c>
      <c r="J61" s="10">
        <f t="shared" si="6"/>
        <v>813069.58906767599</v>
      </c>
      <c r="K61" s="11">
        <f t="shared" si="7"/>
        <v>1.3900000000000023E-2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109.82235843545141</v>
      </c>
      <c r="D62" s="11">
        <v>2.2800000000000001E-2</v>
      </c>
      <c r="E62" s="10">
        <f t="shared" si="2"/>
        <v>2.4481323546424392</v>
      </c>
      <c r="F62" s="3"/>
      <c r="G62" s="28"/>
      <c r="H62" s="10"/>
      <c r="I62" s="10">
        <f t="shared" si="8"/>
        <v>7302</v>
      </c>
      <c r="J62" s="10">
        <f t="shared" si="6"/>
        <v>801922.8612956662</v>
      </c>
      <c r="K62" s="11">
        <f t="shared" si="7"/>
        <v>2.2799999999999931E-2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107.37422608080897</v>
      </c>
      <c r="D63" s="11">
        <v>2.1399999999999999E-2</v>
      </c>
      <c r="E63" s="10">
        <f t="shared" si="2"/>
        <v>2.2496655944089667</v>
      </c>
      <c r="F63" s="3"/>
      <c r="G63" s="28"/>
      <c r="H63" s="10"/>
      <c r="I63" s="10">
        <f t="shared" si="8"/>
        <v>7302</v>
      </c>
      <c r="J63" s="10">
        <f t="shared" si="6"/>
        <v>784046.59884206706</v>
      </c>
      <c r="K63" s="11">
        <f t="shared" si="7"/>
        <v>2.1400000000000086E-2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105.1245604864</v>
      </c>
      <c r="D64" s="11">
        <v>1.9199999999999998E-2</v>
      </c>
      <c r="E64" s="10">
        <f t="shared" si="2"/>
        <v>1.9803684864000104</v>
      </c>
      <c r="F64" s="3"/>
      <c r="G64" s="28"/>
      <c r="H64" s="10"/>
      <c r="I64" s="10">
        <f t="shared" si="8"/>
        <v>7302</v>
      </c>
      <c r="J64" s="10">
        <f t="shared" si="6"/>
        <v>767619.54067169281</v>
      </c>
      <c r="K64" s="11">
        <f t="shared" si="7"/>
        <v>1.9200000000000106E-2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103.14419199999999</v>
      </c>
      <c r="D65" s="11">
        <v>1.6799999999999999E-2</v>
      </c>
      <c r="E65" s="10">
        <f t="shared" si="2"/>
        <v>1.7041919999999919</v>
      </c>
      <c r="F65" s="3"/>
      <c r="G65" s="28"/>
      <c r="H65" s="10"/>
      <c r="I65" s="10">
        <f t="shared" si="8"/>
        <v>7302</v>
      </c>
      <c r="J65" s="10">
        <f t="shared" si="6"/>
        <v>753158.88998399989</v>
      </c>
      <c r="K65" s="11">
        <f t="shared" si="7"/>
        <v>1.6799999999999926E-2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101.44</v>
      </c>
      <c r="D66" s="11">
        <v>1.44E-2</v>
      </c>
      <c r="E66" s="10">
        <f t="shared" si="2"/>
        <v>1.4399999999999977</v>
      </c>
      <c r="F66" s="24">
        <f>SUM(F2)</f>
        <v>5001934</v>
      </c>
      <c r="G66" s="28"/>
      <c r="H66" s="10"/>
      <c r="I66" s="10">
        <f t="shared" si="8"/>
        <v>7302</v>
      </c>
      <c r="J66" s="10">
        <f t="shared" ref="J66:J67" si="9">IF(I66="","",I66*C66)</f>
        <v>740714.88</v>
      </c>
      <c r="K66" s="11">
        <f t="shared" ref="K66" si="10">IFERROR(J66/J67-1,"")</f>
        <v>1.4399999999999968E-2</v>
      </c>
    </row>
    <row r="67" spans="1:11" ht="22.5" customHeight="1">
      <c r="A67" s="3">
        <f t="shared" si="0"/>
        <v>1950</v>
      </c>
      <c r="B67" s="3">
        <v>1700</v>
      </c>
      <c r="C67" s="10">
        <v>100</v>
      </c>
      <c r="D67" s="11">
        <v>1.23E-2</v>
      </c>
      <c r="E67" s="3" t="s">
        <v>72</v>
      </c>
      <c r="F67" s="10">
        <f>SUM(C2)</f>
        <v>131.11195797523743</v>
      </c>
      <c r="G67" s="28"/>
      <c r="H67" s="10"/>
      <c r="I67" s="10">
        <f t="shared" ref="I67" si="11">IF(H67&lt;&gt;"",H67,I66/(1+IF(G66="",0,G66)/100))</f>
        <v>7302</v>
      </c>
      <c r="J67" s="10">
        <f t="shared" si="9"/>
        <v>730200</v>
      </c>
      <c r="K67" s="11"/>
    </row>
  </sheetData>
  <dataValidations count="1">
    <dataValidation type="custom" allowBlank="1" showDropDown="1" sqref="D2:D67" xr:uid="{00000000-0002-0000-9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74437644.715154484</v>
      </c>
      <c r="D2" s="11">
        <v>1.9099999999999999E-2</v>
      </c>
      <c r="E2" s="10">
        <f t="shared" ref="E2:E66" si="2">SUM(C2-C3)</f>
        <v>1395112.367833823</v>
      </c>
      <c r="F2" s="15">
        <v>74436761</v>
      </c>
      <c r="G2" s="28"/>
      <c r="H2" s="10"/>
      <c r="I2" s="10">
        <f>IF(H2&lt;&gt;"",H2,8770)</f>
        <v>8770</v>
      </c>
      <c r="J2" s="10">
        <f t="shared" ref="J2:J33" si="3">IF(I2="","",I2*C2)</f>
        <v>652818144151.90479</v>
      </c>
      <c r="K2" s="11">
        <f t="shared" ref="K2:K33" si="4">IFERROR(J2/J3-1,"")</f>
        <v>1.9099999999999895E-2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73042532.347320661</v>
      </c>
      <c r="D3" s="11">
        <v>2.01E-2</v>
      </c>
      <c r="E3" s="10">
        <f t="shared" si="2"/>
        <v>1439226.4485649914</v>
      </c>
      <c r="F3" s="3"/>
      <c r="G3" s="28"/>
      <c r="H3" s="10"/>
      <c r="I3" s="10">
        <f t="shared" ref="I3:I34" si="5">IF(H3&lt;&gt;"",H3,I2/(1+IF(G2="",0,G2)/100))</f>
        <v>8770</v>
      </c>
      <c r="J3" s="10">
        <f t="shared" si="3"/>
        <v>640583008686.0022</v>
      </c>
      <c r="K3" s="11">
        <f t="shared" si="4"/>
        <v>2.0100000000000007E-2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71603305.89875567</v>
      </c>
      <c r="D4" s="11">
        <v>2.0799999999999999E-2</v>
      </c>
      <c r="E4" s="10">
        <f t="shared" si="2"/>
        <v>1459001.5308523774</v>
      </c>
      <c r="F4" s="3"/>
      <c r="G4" s="28"/>
      <c r="H4" s="10"/>
      <c r="I4" s="10">
        <f t="shared" si="5"/>
        <v>8770</v>
      </c>
      <c r="J4" s="10">
        <f t="shared" si="3"/>
        <v>627960992732.08728</v>
      </c>
      <c r="K4" s="11">
        <f t="shared" si="4"/>
        <v>2.079999999999993E-2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70144304.367903292</v>
      </c>
      <c r="D5" s="11">
        <v>2.0400000000000001E-2</v>
      </c>
      <c r="E5" s="10">
        <f t="shared" si="2"/>
        <v>1402336.1516123265</v>
      </c>
      <c r="F5" s="3"/>
      <c r="G5" s="28"/>
      <c r="H5" s="10"/>
      <c r="I5" s="10">
        <f t="shared" si="5"/>
        <v>8770</v>
      </c>
      <c r="J5" s="10">
        <f t="shared" si="3"/>
        <v>615165549306.51184</v>
      </c>
      <c r="K5" s="11">
        <f t="shared" si="4"/>
        <v>2.0399999999999752E-2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68741968.216290966</v>
      </c>
      <c r="D6" s="11">
        <v>2.0500000000000001E-2</v>
      </c>
      <c r="E6" s="10">
        <f t="shared" si="2"/>
        <v>1380901.8602978587</v>
      </c>
      <c r="F6" s="3"/>
      <c r="G6" s="28"/>
      <c r="H6" s="10"/>
      <c r="I6" s="10">
        <f t="shared" si="5"/>
        <v>8770</v>
      </c>
      <c r="J6" s="10">
        <f t="shared" si="3"/>
        <v>602867061256.87183</v>
      </c>
      <c r="K6" s="11">
        <f t="shared" si="4"/>
        <v>2.0499999999999963E-2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67361066.355993107</v>
      </c>
      <c r="D7" s="11">
        <v>2.0299999999999999E-2</v>
      </c>
      <c r="E7" s="10">
        <f t="shared" si="2"/>
        <v>1340223.1177366003</v>
      </c>
      <c r="F7" s="3"/>
      <c r="G7" s="28"/>
      <c r="H7" s="10"/>
      <c r="I7" s="10">
        <f t="shared" si="5"/>
        <v>8770</v>
      </c>
      <c r="J7" s="10">
        <f t="shared" si="3"/>
        <v>590756551942.05957</v>
      </c>
      <c r="K7" s="11">
        <f t="shared" si="4"/>
        <v>2.0299999999999985E-2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66020843.238256507</v>
      </c>
      <c r="D8" s="11">
        <v>1.9800000000000002E-2</v>
      </c>
      <c r="E8" s="10">
        <f t="shared" si="2"/>
        <v>1281832.4143140614</v>
      </c>
      <c r="F8" s="3"/>
      <c r="G8" s="28"/>
      <c r="H8" s="10"/>
      <c r="I8" s="10">
        <f t="shared" si="5"/>
        <v>8770</v>
      </c>
      <c r="J8" s="10">
        <f t="shared" si="3"/>
        <v>579002795199.50952</v>
      </c>
      <c r="K8" s="11">
        <f t="shared" si="4"/>
        <v>1.980000000000004E-2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64739010.823942445</v>
      </c>
      <c r="D9" s="11">
        <v>1.8499999999999999E-2</v>
      </c>
      <c r="E9" s="10">
        <f t="shared" si="2"/>
        <v>1175917.2314609066</v>
      </c>
      <c r="F9" s="3"/>
      <c r="G9" s="28"/>
      <c r="H9" s="10"/>
      <c r="I9" s="10">
        <f t="shared" si="5"/>
        <v>8770</v>
      </c>
      <c r="J9" s="10">
        <f t="shared" si="3"/>
        <v>567761124925.97522</v>
      </c>
      <c r="K9" s="11">
        <f t="shared" si="4"/>
        <v>1.8499999999999961E-2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63563093.592481539</v>
      </c>
      <c r="D10" s="11">
        <v>1.6799999999999999E-2</v>
      </c>
      <c r="E10" s="10">
        <f t="shared" si="2"/>
        <v>1050216.3378773481</v>
      </c>
      <c r="F10" s="3"/>
      <c r="G10" s="28"/>
      <c r="H10" s="10"/>
      <c r="I10" s="10">
        <f t="shared" si="5"/>
        <v>8770</v>
      </c>
      <c r="J10" s="10">
        <f t="shared" si="3"/>
        <v>557448330806.06311</v>
      </c>
      <c r="K10" s="11">
        <f t="shared" si="4"/>
        <v>1.6800000000000148E-2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62512877.254604191</v>
      </c>
      <c r="D11" s="11">
        <v>1.52E-2</v>
      </c>
      <c r="E11" s="10">
        <f t="shared" si="2"/>
        <v>935969.00538808852</v>
      </c>
      <c r="F11" s="3"/>
      <c r="G11" s="28"/>
      <c r="H11" s="10"/>
      <c r="I11" s="10">
        <f t="shared" si="5"/>
        <v>8770</v>
      </c>
      <c r="J11" s="10">
        <f t="shared" si="3"/>
        <v>548237933522.87872</v>
      </c>
      <c r="K11" s="11">
        <f t="shared" si="4"/>
        <v>1.519999999999988E-2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61576908.249216102</v>
      </c>
      <c r="D12" s="11">
        <v>1.3899999999999999E-2</v>
      </c>
      <c r="E12" s="10">
        <f t="shared" si="2"/>
        <v>844184.85517714173</v>
      </c>
      <c r="F12" s="3"/>
      <c r="G12" s="28"/>
      <c r="H12" s="10"/>
      <c r="I12" s="10">
        <f t="shared" si="5"/>
        <v>8770</v>
      </c>
      <c r="J12" s="10">
        <f t="shared" si="3"/>
        <v>540029485345.62524</v>
      </c>
      <c r="K12" s="11">
        <f t="shared" si="4"/>
        <v>1.3900000000000023E-2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60732723.39403896</v>
      </c>
      <c r="D13" s="11">
        <v>1.2800000000000001E-2</v>
      </c>
      <c r="E13" s="10">
        <f t="shared" si="2"/>
        <v>767554.16611739248</v>
      </c>
      <c r="F13" s="3"/>
      <c r="G13" s="28"/>
      <c r="H13" s="10"/>
      <c r="I13" s="10">
        <f t="shared" si="5"/>
        <v>8770</v>
      </c>
      <c r="J13" s="10">
        <f t="shared" si="3"/>
        <v>532625984165.72168</v>
      </c>
      <c r="K13" s="11">
        <f t="shared" si="4"/>
        <v>1.2799999999999923E-2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59965169.227921568</v>
      </c>
      <c r="D14" s="11">
        <v>1.2500000000000001E-2</v>
      </c>
      <c r="E14" s="10">
        <f t="shared" si="2"/>
        <v>740310.73120890558</v>
      </c>
      <c r="F14" s="3"/>
      <c r="G14" s="28"/>
      <c r="H14" s="10"/>
      <c r="I14" s="10">
        <f t="shared" si="5"/>
        <v>8770</v>
      </c>
      <c r="J14" s="10">
        <f t="shared" si="3"/>
        <v>525894534128.87213</v>
      </c>
      <c r="K14" s="11">
        <f t="shared" si="4"/>
        <v>1.2499999999999956E-2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59224858.496712662</v>
      </c>
      <c r="D15" s="11">
        <v>1.26E-2</v>
      </c>
      <c r="E15" s="10">
        <f t="shared" si="2"/>
        <v>736947.67633673549</v>
      </c>
      <c r="F15" s="3"/>
      <c r="G15" s="28"/>
      <c r="H15" s="10"/>
      <c r="I15" s="10">
        <f t="shared" si="5"/>
        <v>8770</v>
      </c>
      <c r="J15" s="10">
        <f t="shared" si="3"/>
        <v>519402009016.17004</v>
      </c>
      <c r="K15" s="11">
        <f t="shared" si="4"/>
        <v>1.2599999999999945E-2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58487910.820375927</v>
      </c>
      <c r="D16" s="11">
        <v>1.3100000000000001E-2</v>
      </c>
      <c r="E16" s="10">
        <f t="shared" si="2"/>
        <v>756284.30732102692</v>
      </c>
      <c r="F16" s="3"/>
      <c r="G16" s="28"/>
      <c r="H16" s="10"/>
      <c r="I16" s="10">
        <f t="shared" si="5"/>
        <v>8770</v>
      </c>
      <c r="J16" s="10">
        <f t="shared" si="3"/>
        <v>512938977894.6969</v>
      </c>
      <c r="K16" s="11">
        <f t="shared" si="4"/>
        <v>1.3100000000000112E-2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57731626.5130549</v>
      </c>
      <c r="D17" s="11">
        <v>1.35E-2</v>
      </c>
      <c r="E17" s="10">
        <f t="shared" si="2"/>
        <v>768995.51842747629</v>
      </c>
      <c r="F17" s="3"/>
      <c r="G17" s="28"/>
      <c r="H17" s="10"/>
      <c r="I17" s="10">
        <f t="shared" si="5"/>
        <v>8770</v>
      </c>
      <c r="J17" s="10">
        <f t="shared" si="3"/>
        <v>506306364519.49146</v>
      </c>
      <c r="K17" s="11">
        <f t="shared" si="4"/>
        <v>1.3500000000000068E-2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56962630.994627424</v>
      </c>
      <c r="D18" s="11">
        <v>1.35E-2</v>
      </c>
      <c r="E18" s="10">
        <f t="shared" si="2"/>
        <v>758752.36154659837</v>
      </c>
      <c r="F18" s="3"/>
      <c r="G18" s="28"/>
      <c r="H18" s="10"/>
      <c r="I18" s="10">
        <f t="shared" si="5"/>
        <v>8770</v>
      </c>
      <c r="J18" s="10">
        <f t="shared" si="3"/>
        <v>499562273822.88251</v>
      </c>
      <c r="K18" s="11">
        <f t="shared" si="4"/>
        <v>1.3500000000000068E-2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56203878.633080825</v>
      </c>
      <c r="D19" s="11">
        <v>1.37E-2</v>
      </c>
      <c r="E19" s="10">
        <f t="shared" si="2"/>
        <v>759586.79813870788</v>
      </c>
      <c r="F19" s="3"/>
      <c r="G19" s="28"/>
      <c r="H19" s="10"/>
      <c r="I19" s="10">
        <f t="shared" si="5"/>
        <v>8770</v>
      </c>
      <c r="J19" s="10">
        <f t="shared" si="3"/>
        <v>492908015612.11884</v>
      </c>
      <c r="K19" s="11">
        <f t="shared" si="4"/>
        <v>1.3700000000000045E-2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55444291.834942117</v>
      </c>
      <c r="D20" s="11">
        <v>1.47E-2</v>
      </c>
      <c r="E20" s="10">
        <f t="shared" si="2"/>
        <v>803223.7015607059</v>
      </c>
      <c r="F20" s="3"/>
      <c r="G20" s="28"/>
      <c r="H20" s="10"/>
      <c r="I20" s="10">
        <f t="shared" si="5"/>
        <v>8770</v>
      </c>
      <c r="J20" s="10">
        <f t="shared" si="3"/>
        <v>486246439392.44238</v>
      </c>
      <c r="K20" s="11">
        <f t="shared" si="4"/>
        <v>1.4699999999999935E-2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54641068.133381411</v>
      </c>
      <c r="D21" s="11">
        <v>1.6799999999999999E-2</v>
      </c>
      <c r="E21" s="10">
        <f t="shared" si="2"/>
        <v>902802.85664910078</v>
      </c>
      <c r="F21" s="3"/>
      <c r="G21" s="28"/>
      <c r="H21" s="10"/>
      <c r="I21" s="10">
        <f t="shared" si="5"/>
        <v>8770</v>
      </c>
      <c r="J21" s="10">
        <f t="shared" si="3"/>
        <v>479202167529.755</v>
      </c>
      <c r="K21" s="11">
        <f t="shared" si="4"/>
        <v>1.6799999999999926E-2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53738265.276732311</v>
      </c>
      <c r="D22" s="11">
        <v>1.95E-2</v>
      </c>
      <c r="E22" s="10">
        <f t="shared" si="2"/>
        <v>1027853.0386427492</v>
      </c>
      <c r="F22" s="3"/>
      <c r="G22" s="28"/>
      <c r="H22" s="10"/>
      <c r="I22" s="10">
        <f t="shared" si="5"/>
        <v>8770</v>
      </c>
      <c r="J22" s="10">
        <f t="shared" si="3"/>
        <v>471284586476.94238</v>
      </c>
      <c r="K22" s="11">
        <f t="shared" si="4"/>
        <v>1.9500000000000073E-2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52710412.238089561</v>
      </c>
      <c r="D23" s="11">
        <v>2.24E-2</v>
      </c>
      <c r="E23" s="10">
        <f t="shared" si="2"/>
        <v>1154844.7125715986</v>
      </c>
      <c r="F23" s="3"/>
      <c r="G23" s="28"/>
      <c r="H23" s="10"/>
      <c r="I23" s="10">
        <f t="shared" si="5"/>
        <v>8770</v>
      </c>
      <c r="J23" s="10">
        <f t="shared" si="3"/>
        <v>462270315328.04547</v>
      </c>
      <c r="K23" s="11">
        <f t="shared" si="4"/>
        <v>2.2399999999999975E-2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51555567.525517963</v>
      </c>
      <c r="D24" s="11">
        <v>2.5100000000000001E-2</v>
      </c>
      <c r="E24" s="10">
        <f t="shared" si="2"/>
        <v>1262359.5209155157</v>
      </c>
      <c r="F24" s="3"/>
      <c r="G24" s="28"/>
      <c r="H24" s="10"/>
      <c r="I24" s="10">
        <f t="shared" si="5"/>
        <v>8770</v>
      </c>
      <c r="J24" s="10">
        <f t="shared" si="3"/>
        <v>452142327198.79254</v>
      </c>
      <c r="K24" s="11">
        <f t="shared" si="4"/>
        <v>2.50999999999999E-2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50293208.004602447</v>
      </c>
      <c r="D25" s="11">
        <v>2.7199999999999998E-2</v>
      </c>
      <c r="E25" s="10">
        <f t="shared" si="2"/>
        <v>1331751.6138290316</v>
      </c>
      <c r="F25" s="3"/>
      <c r="G25" s="28"/>
      <c r="H25" s="10"/>
      <c r="I25" s="10">
        <f t="shared" si="5"/>
        <v>8770</v>
      </c>
      <c r="J25" s="10">
        <f t="shared" si="3"/>
        <v>441071434200.36346</v>
      </c>
      <c r="K25" s="11">
        <f t="shared" si="4"/>
        <v>2.7199999999999891E-2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48961456.390773416</v>
      </c>
      <c r="D26" s="11">
        <v>2.87E-2</v>
      </c>
      <c r="E26" s="10">
        <f t="shared" si="2"/>
        <v>1365989.8886120319</v>
      </c>
      <c r="F26" s="3"/>
      <c r="G26" s="28"/>
      <c r="H26" s="10"/>
      <c r="I26" s="10">
        <f t="shared" si="5"/>
        <v>8770</v>
      </c>
      <c r="J26" s="10">
        <f t="shared" si="3"/>
        <v>429391972547.08282</v>
      </c>
      <c r="K26" s="11">
        <f t="shared" si="4"/>
        <v>2.8699999999999948E-2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47595466.502161384</v>
      </c>
      <c r="D27" s="11">
        <v>0.03</v>
      </c>
      <c r="E27" s="10">
        <f t="shared" si="2"/>
        <v>1386275.7233639285</v>
      </c>
      <c r="F27" s="3"/>
      <c r="G27" s="28"/>
      <c r="H27" s="10"/>
      <c r="I27" s="10">
        <f t="shared" si="5"/>
        <v>8770</v>
      </c>
      <c r="J27" s="10">
        <f t="shared" si="3"/>
        <v>417412241223.95532</v>
      </c>
      <c r="K27" s="11">
        <f t="shared" si="4"/>
        <v>3.0000000000000027E-2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46209190.778797455</v>
      </c>
      <c r="D28" s="11">
        <v>3.0800000000000001E-2</v>
      </c>
      <c r="E28" s="10">
        <f t="shared" si="2"/>
        <v>1380716.9926144332</v>
      </c>
      <c r="F28" s="3"/>
      <c r="G28" s="28"/>
      <c r="H28" s="10"/>
      <c r="I28" s="10">
        <f t="shared" si="5"/>
        <v>8770</v>
      </c>
      <c r="J28" s="10">
        <f t="shared" si="3"/>
        <v>405254603130.05371</v>
      </c>
      <c r="K28" s="11">
        <f t="shared" si="4"/>
        <v>3.0800000000000161E-2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44828473.786183022</v>
      </c>
      <c r="D29" s="11">
        <v>3.1300000000000001E-2</v>
      </c>
      <c r="E29" s="10">
        <f t="shared" si="2"/>
        <v>1360546.1354674026</v>
      </c>
      <c r="F29" s="3"/>
      <c r="G29" s="28"/>
      <c r="H29" s="10"/>
      <c r="I29" s="10">
        <f t="shared" si="5"/>
        <v>8770</v>
      </c>
      <c r="J29" s="10">
        <f t="shared" si="3"/>
        <v>393145715104.82507</v>
      </c>
      <c r="K29" s="11">
        <f t="shared" si="4"/>
        <v>3.1299999999999883E-2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43467927.650715619</v>
      </c>
      <c r="D30" s="11">
        <v>3.1600000000000003E-2</v>
      </c>
      <c r="E30" s="10">
        <f t="shared" si="2"/>
        <v>1331510.7733255327</v>
      </c>
      <c r="F30" s="3"/>
      <c r="G30" s="28"/>
      <c r="H30" s="10"/>
      <c r="I30" s="10">
        <f t="shared" si="5"/>
        <v>8770</v>
      </c>
      <c r="J30" s="10">
        <f t="shared" si="3"/>
        <v>381213725496.776</v>
      </c>
      <c r="K30" s="11">
        <f t="shared" si="4"/>
        <v>3.1600000000000295E-2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42136416.877390087</v>
      </c>
      <c r="D31" s="11">
        <v>3.2099999999999997E-2</v>
      </c>
      <c r="E31" s="10">
        <f t="shared" si="2"/>
        <v>1310511.5606668144</v>
      </c>
      <c r="F31" s="3"/>
      <c r="G31" s="28"/>
      <c r="H31" s="10"/>
      <c r="I31" s="10">
        <f t="shared" si="5"/>
        <v>8770</v>
      </c>
      <c r="J31" s="10">
        <f t="shared" si="3"/>
        <v>369536376014.71106</v>
      </c>
      <c r="K31" s="11">
        <f t="shared" si="4"/>
        <v>3.2100000000000017E-2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40825905.316723272</v>
      </c>
      <c r="D32" s="11">
        <v>3.2199999999999999E-2</v>
      </c>
      <c r="E32" s="10">
        <f t="shared" si="2"/>
        <v>1273584.7231142148</v>
      </c>
      <c r="F32" s="3"/>
      <c r="G32" s="28"/>
      <c r="H32" s="10"/>
      <c r="I32" s="10">
        <f t="shared" si="5"/>
        <v>8770</v>
      </c>
      <c r="J32" s="10">
        <f t="shared" si="3"/>
        <v>358043189627.66309</v>
      </c>
      <c r="K32" s="11">
        <f t="shared" si="4"/>
        <v>3.2200000000000006E-2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39552320.593609057</v>
      </c>
      <c r="D33" s="11">
        <v>3.2000000000000001E-2</v>
      </c>
      <c r="E33" s="10">
        <f t="shared" si="2"/>
        <v>1226428.545538269</v>
      </c>
      <c r="F33" s="3"/>
      <c r="G33" s="28"/>
      <c r="H33" s="10"/>
      <c r="I33" s="10">
        <f t="shared" si="5"/>
        <v>8770</v>
      </c>
      <c r="J33" s="10">
        <f t="shared" si="3"/>
        <v>346873851605.95142</v>
      </c>
      <c r="K33" s="11">
        <f t="shared" si="4"/>
        <v>3.2000000000000028E-2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38325892.048070788</v>
      </c>
      <c r="D34" s="11">
        <v>3.1600000000000003E-2</v>
      </c>
      <c r="E34" s="10">
        <f t="shared" si="2"/>
        <v>1173999.7951910049</v>
      </c>
      <c r="F34" s="3"/>
      <c r="G34" s="28"/>
      <c r="H34" s="10"/>
      <c r="I34" s="10">
        <f t="shared" si="5"/>
        <v>8770</v>
      </c>
      <c r="J34" s="10">
        <f t="shared" ref="J34:J65" si="6">IF(I34="","",I34*C34)</f>
        <v>336118073261.58081</v>
      </c>
      <c r="K34" s="11">
        <f t="shared" ref="K34:K65" si="7">IFERROR(J34/J35-1,"")</f>
        <v>3.1600000000000072E-2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37151892.252879784</v>
      </c>
      <c r="D35" s="11">
        <v>3.1300000000000001E-2</v>
      </c>
      <c r="E35" s="10">
        <f t="shared" si="2"/>
        <v>1127561.5509697869</v>
      </c>
      <c r="F35" s="3"/>
      <c r="G35" s="28"/>
      <c r="H35" s="10"/>
      <c r="I35" s="10">
        <f t="shared" ref="I35:I66" si="8">IF(H35&lt;&gt;"",H35,I34/(1+IF(G34="",0,G34)/100))</f>
        <v>8770</v>
      </c>
      <c r="J35" s="10">
        <f t="shared" si="6"/>
        <v>325822095057.75568</v>
      </c>
      <c r="K35" s="11">
        <f t="shared" si="7"/>
        <v>3.1300000000000106E-2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36024330.701909997</v>
      </c>
      <c r="D36" s="11">
        <v>3.1399999999999997E-2</v>
      </c>
      <c r="E36" s="10">
        <f t="shared" si="2"/>
        <v>1096726.7636610195</v>
      </c>
      <c r="F36" s="3"/>
      <c r="G36" s="28"/>
      <c r="H36" s="10"/>
      <c r="I36" s="10">
        <f t="shared" si="8"/>
        <v>8770</v>
      </c>
      <c r="J36" s="10">
        <f t="shared" si="6"/>
        <v>315933380255.75067</v>
      </c>
      <c r="K36" s="11">
        <f t="shared" si="7"/>
        <v>3.1400000000000095E-2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34927603.938248977</v>
      </c>
      <c r="D37" s="11">
        <v>3.1699999999999999E-2</v>
      </c>
      <c r="E37" s="10">
        <f t="shared" si="2"/>
        <v>1073185.0778738931</v>
      </c>
      <c r="F37" s="3"/>
      <c r="G37" s="28"/>
      <c r="H37" s="10"/>
      <c r="I37" s="10">
        <f t="shared" si="8"/>
        <v>8770</v>
      </c>
      <c r="J37" s="10">
        <f t="shared" si="6"/>
        <v>306315086538.44354</v>
      </c>
      <c r="K37" s="11">
        <f t="shared" si="7"/>
        <v>3.1700000000000061E-2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33854418.860375084</v>
      </c>
      <c r="D38" s="11">
        <v>3.1800000000000002E-2</v>
      </c>
      <c r="E38" s="10">
        <f t="shared" si="2"/>
        <v>1043390.6956386231</v>
      </c>
      <c r="F38" s="3"/>
      <c r="G38" s="28"/>
      <c r="H38" s="10"/>
      <c r="I38" s="10">
        <f t="shared" si="8"/>
        <v>8770</v>
      </c>
      <c r="J38" s="10">
        <f t="shared" si="6"/>
        <v>296903253405.4895</v>
      </c>
      <c r="K38" s="11">
        <f t="shared" si="7"/>
        <v>3.180000000000005E-2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32811028.164736461</v>
      </c>
      <c r="D39" s="11">
        <v>3.1300000000000001E-2</v>
      </c>
      <c r="E39" s="10">
        <f t="shared" si="2"/>
        <v>995816.13648429513</v>
      </c>
      <c r="F39" s="3"/>
      <c r="G39" s="28"/>
      <c r="H39" s="10"/>
      <c r="I39" s="10">
        <f t="shared" si="8"/>
        <v>8770</v>
      </c>
      <c r="J39" s="10">
        <f t="shared" si="6"/>
        <v>287752717004.73877</v>
      </c>
      <c r="K39" s="11">
        <f t="shared" si="7"/>
        <v>3.1300000000000106E-2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31815212.028252166</v>
      </c>
      <c r="D40" s="11">
        <v>3.0200000000000001E-2</v>
      </c>
      <c r="E40" s="10">
        <f t="shared" si="2"/>
        <v>932653.27436732128</v>
      </c>
      <c r="F40" s="3"/>
      <c r="G40" s="28"/>
      <c r="H40" s="10"/>
      <c r="I40" s="10">
        <f t="shared" si="8"/>
        <v>8770</v>
      </c>
      <c r="J40" s="10">
        <f t="shared" si="6"/>
        <v>279019409487.77148</v>
      </c>
      <c r="K40" s="11">
        <f t="shared" si="7"/>
        <v>3.0199999999999783E-2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30882558.753884844</v>
      </c>
      <c r="D41" s="11">
        <v>2.92E-2</v>
      </c>
      <c r="E41" s="10">
        <f t="shared" si="2"/>
        <v>876186.08201849461</v>
      </c>
      <c r="F41" s="3"/>
      <c r="G41" s="28"/>
      <c r="H41" s="10"/>
      <c r="I41" s="10">
        <f t="shared" si="8"/>
        <v>8770</v>
      </c>
      <c r="J41" s="10">
        <f t="shared" si="6"/>
        <v>270840040271.5701</v>
      </c>
      <c r="K41" s="11">
        <f t="shared" si="7"/>
        <v>2.9199999999999893E-2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30006372.67186635</v>
      </c>
      <c r="D42" s="11">
        <v>2.86E-2</v>
      </c>
      <c r="E42" s="10">
        <f t="shared" si="2"/>
        <v>834320.68677365035</v>
      </c>
      <c r="F42" s="3"/>
      <c r="G42" s="28"/>
      <c r="H42" s="10"/>
      <c r="I42" s="10">
        <f t="shared" si="8"/>
        <v>8770</v>
      </c>
      <c r="J42" s="10">
        <f t="shared" si="6"/>
        <v>263155888332.26788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29172051.9850927</v>
      </c>
      <c r="D43" s="11">
        <v>2.8299999999999999E-2</v>
      </c>
      <c r="E43" s="10">
        <f t="shared" si="2"/>
        <v>802848.45976672322</v>
      </c>
      <c r="F43" s="3"/>
      <c r="G43" s="28"/>
      <c r="H43" s="10"/>
      <c r="I43" s="10">
        <f t="shared" si="8"/>
        <v>8770</v>
      </c>
      <c r="J43" s="10">
        <f t="shared" si="6"/>
        <v>255838895909.26297</v>
      </c>
      <c r="K43" s="11">
        <f t="shared" si="7"/>
        <v>2.829999999999977E-2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28369203.525325976</v>
      </c>
      <c r="D44" s="11">
        <v>2.8000000000000001E-2</v>
      </c>
      <c r="E44" s="10">
        <f t="shared" si="2"/>
        <v>772702.04154584557</v>
      </c>
      <c r="F44" s="3"/>
      <c r="G44" s="28"/>
      <c r="H44" s="10"/>
      <c r="I44" s="10">
        <f t="shared" si="8"/>
        <v>8770</v>
      </c>
      <c r="J44" s="10">
        <f t="shared" si="6"/>
        <v>248797914917.10883</v>
      </c>
      <c r="K44" s="11">
        <f t="shared" si="7"/>
        <v>2.8000000000000247E-2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27596501.483780131</v>
      </c>
      <c r="D45" s="11">
        <v>2.7400000000000001E-2</v>
      </c>
      <c r="E45" s="10">
        <f t="shared" si="2"/>
        <v>735978.3342958726</v>
      </c>
      <c r="F45" s="3"/>
      <c r="G45" s="28"/>
      <c r="H45" s="10"/>
      <c r="I45" s="10">
        <f t="shared" si="8"/>
        <v>8770</v>
      </c>
      <c r="J45" s="10">
        <f t="shared" si="6"/>
        <v>242021318012.75174</v>
      </c>
      <c r="K45" s="11">
        <f t="shared" si="7"/>
        <v>2.7400000000000091E-2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26860523.149484258</v>
      </c>
      <c r="D46" s="11">
        <v>2.6800000000000001E-2</v>
      </c>
      <c r="E46" s="10">
        <f t="shared" si="2"/>
        <v>701073.25711548328</v>
      </c>
      <c r="F46" s="3"/>
      <c r="G46" s="28"/>
      <c r="H46" s="10"/>
      <c r="I46" s="10">
        <f t="shared" si="8"/>
        <v>8770</v>
      </c>
      <c r="J46" s="10">
        <f t="shared" si="6"/>
        <v>235566788020.97693</v>
      </c>
      <c r="K46" s="11">
        <f t="shared" si="7"/>
        <v>2.6799999999999935E-2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26159449.892368775</v>
      </c>
      <c r="D47" s="11">
        <v>2.5999999999999999E-2</v>
      </c>
      <c r="E47" s="10">
        <f t="shared" si="2"/>
        <v>662910.0362588577</v>
      </c>
      <c r="F47" s="3"/>
      <c r="G47" s="28"/>
      <c r="H47" s="10"/>
      <c r="I47" s="10">
        <f t="shared" si="8"/>
        <v>8770</v>
      </c>
      <c r="J47" s="10">
        <f t="shared" si="6"/>
        <v>229418375556.07416</v>
      </c>
      <c r="K47" s="11">
        <f t="shared" si="7"/>
        <v>2.6000000000000023E-2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25496539.856109917</v>
      </c>
      <c r="D48" s="11">
        <v>2.5399999999999999E-2</v>
      </c>
      <c r="E48" s="10">
        <f t="shared" si="2"/>
        <v>631570.22854027152</v>
      </c>
      <c r="F48" s="3"/>
      <c r="G48" s="28"/>
      <c r="H48" s="10"/>
      <c r="I48" s="10">
        <f t="shared" si="8"/>
        <v>8770</v>
      </c>
      <c r="J48" s="10">
        <f t="shared" si="6"/>
        <v>223604654538.08398</v>
      </c>
      <c r="K48" s="11">
        <f t="shared" si="7"/>
        <v>2.5400000000000089E-2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24864969.627569646</v>
      </c>
      <c r="D49" s="11">
        <v>2.5399999999999999E-2</v>
      </c>
      <c r="E49" s="10">
        <f t="shared" si="2"/>
        <v>615925.71536987647</v>
      </c>
      <c r="F49" s="3"/>
      <c r="G49" s="28"/>
      <c r="H49" s="10"/>
      <c r="I49" s="10">
        <f t="shared" si="8"/>
        <v>8770</v>
      </c>
      <c r="J49" s="10">
        <f t="shared" si="6"/>
        <v>218065783633.7858</v>
      </c>
      <c r="K49" s="11">
        <f t="shared" si="7"/>
        <v>2.5400000000000089E-2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24249043.912199769</v>
      </c>
      <c r="D50" s="11">
        <v>2.53E-2</v>
      </c>
      <c r="E50" s="10">
        <f t="shared" si="2"/>
        <v>598362.24615103379</v>
      </c>
      <c r="F50" s="3"/>
      <c r="G50" s="28"/>
      <c r="H50" s="10"/>
      <c r="I50" s="10">
        <f t="shared" si="8"/>
        <v>8770</v>
      </c>
      <c r="J50" s="10">
        <f t="shared" si="6"/>
        <v>212664115109.99197</v>
      </c>
      <c r="K50" s="11">
        <f t="shared" si="7"/>
        <v>2.53000000000001E-2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23650681.666048735</v>
      </c>
      <c r="D51" s="11">
        <v>2.53E-2</v>
      </c>
      <c r="E51" s="10">
        <f t="shared" si="2"/>
        <v>583597.23607825488</v>
      </c>
      <c r="F51" s="3"/>
      <c r="G51" s="28"/>
      <c r="H51" s="10"/>
      <c r="I51" s="10">
        <f t="shared" si="8"/>
        <v>8770</v>
      </c>
      <c r="J51" s="10">
        <f t="shared" si="6"/>
        <v>207416478211.24741</v>
      </c>
      <c r="K51" s="11">
        <f t="shared" si="7"/>
        <v>2.53000000000001E-2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23067084.429970481</v>
      </c>
      <c r="D52" s="11">
        <v>2.1499999999999998E-2</v>
      </c>
      <c r="E52" s="10">
        <f t="shared" si="2"/>
        <v>485503.97968121991</v>
      </c>
      <c r="F52" s="3"/>
      <c r="G52" s="28"/>
      <c r="H52" s="10"/>
      <c r="I52" s="10">
        <f t="shared" si="8"/>
        <v>8770</v>
      </c>
      <c r="J52" s="10">
        <f t="shared" si="6"/>
        <v>202298330450.84113</v>
      </c>
      <c r="K52" s="11">
        <f t="shared" si="7"/>
        <v>2.1500000000000075E-2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22581580.450289261</v>
      </c>
      <c r="D53" s="11">
        <v>1.4999999999999999E-2</v>
      </c>
      <c r="E53" s="10">
        <f t="shared" si="2"/>
        <v>333717.9376890026</v>
      </c>
      <c r="F53" s="3"/>
      <c r="G53" s="28"/>
      <c r="H53" s="10"/>
      <c r="I53" s="10">
        <f t="shared" si="8"/>
        <v>8770</v>
      </c>
      <c r="J53" s="10">
        <f t="shared" si="6"/>
        <v>198040460549.0368</v>
      </c>
      <c r="K53" s="11">
        <f t="shared" si="7"/>
        <v>1.4999999999999902E-2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22247862.512600258</v>
      </c>
      <c r="D54" s="11">
        <v>1.23E-2</v>
      </c>
      <c r="E54" s="10">
        <f t="shared" si="2"/>
        <v>270323.72706211731</v>
      </c>
      <c r="F54" s="3"/>
      <c r="G54" s="28"/>
      <c r="H54" s="10"/>
      <c r="I54" s="10">
        <f t="shared" si="8"/>
        <v>8770</v>
      </c>
      <c r="J54" s="10">
        <f t="shared" si="6"/>
        <v>195113754235.50427</v>
      </c>
      <c r="K54" s="11">
        <f t="shared" si="7"/>
        <v>1.2299999999999978E-2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21977538.785538141</v>
      </c>
      <c r="D55" s="11">
        <v>1.6400000000000001E-2</v>
      </c>
      <c r="E55" s="10">
        <f t="shared" si="2"/>
        <v>354615.9347528778</v>
      </c>
      <c r="F55" s="3"/>
      <c r="G55" s="28"/>
      <c r="H55" s="10"/>
      <c r="I55" s="10">
        <f t="shared" si="8"/>
        <v>8770</v>
      </c>
      <c r="J55" s="10">
        <f t="shared" si="6"/>
        <v>192743015149.16949</v>
      </c>
      <c r="K55" s="11">
        <f t="shared" si="7"/>
        <v>1.639999999999997E-2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21622922.850785263</v>
      </c>
      <c r="D56" s="11">
        <v>2.23E-2</v>
      </c>
      <c r="E56" s="10">
        <f t="shared" si="2"/>
        <v>471672.87447179109</v>
      </c>
      <c r="F56" s="3"/>
      <c r="G56" s="28"/>
      <c r="H56" s="10"/>
      <c r="I56" s="10">
        <f t="shared" si="8"/>
        <v>8770</v>
      </c>
      <c r="J56" s="10">
        <f t="shared" si="6"/>
        <v>189633033401.38675</v>
      </c>
      <c r="K56" s="11">
        <f t="shared" si="7"/>
        <v>2.2299999999999986E-2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21151249.976313472</v>
      </c>
      <c r="D57" s="11">
        <v>2.3400000000000001E-2</v>
      </c>
      <c r="E57" s="10">
        <f t="shared" si="2"/>
        <v>483622.48333568126</v>
      </c>
      <c r="F57" s="3"/>
      <c r="G57" s="28"/>
      <c r="H57" s="10"/>
      <c r="I57" s="10">
        <f t="shared" si="8"/>
        <v>8770</v>
      </c>
      <c r="J57" s="10">
        <f t="shared" si="6"/>
        <v>185496462292.26913</v>
      </c>
      <c r="K57" s="11">
        <f t="shared" si="7"/>
        <v>2.3400000000000087E-2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20667627.492977791</v>
      </c>
      <c r="D58" s="11">
        <v>2.4500000000000001E-2</v>
      </c>
      <c r="E58" s="10">
        <f t="shared" si="2"/>
        <v>494247.80241869763</v>
      </c>
      <c r="F58" s="3"/>
      <c r="G58" s="28"/>
      <c r="H58" s="10"/>
      <c r="I58" s="10">
        <f t="shared" si="8"/>
        <v>8770</v>
      </c>
      <c r="J58" s="10">
        <f t="shared" si="6"/>
        <v>181255093113.41522</v>
      </c>
      <c r="K58" s="11">
        <f t="shared" si="7"/>
        <v>2.4499999999999966E-2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20173379.690559093</v>
      </c>
      <c r="D59" s="11">
        <v>2.5499999999999998E-2</v>
      </c>
      <c r="E59" s="10">
        <f t="shared" si="2"/>
        <v>501629.62663018703</v>
      </c>
      <c r="F59" s="3"/>
      <c r="G59" s="28"/>
      <c r="H59" s="10"/>
      <c r="I59" s="10">
        <f t="shared" si="8"/>
        <v>8770</v>
      </c>
      <c r="J59" s="10">
        <f t="shared" si="6"/>
        <v>176920539886.20325</v>
      </c>
      <c r="K59" s="11">
        <f t="shared" si="7"/>
        <v>2.5500000000000078E-2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19671750.063928906</v>
      </c>
      <c r="D60" s="11">
        <v>2.6200000000000001E-2</v>
      </c>
      <c r="E60" s="10">
        <f t="shared" si="2"/>
        <v>502241.13396505266</v>
      </c>
      <c r="F60" s="3"/>
      <c r="G60" s="28"/>
      <c r="H60" s="10"/>
      <c r="I60" s="10">
        <f t="shared" si="8"/>
        <v>8770</v>
      </c>
      <c r="J60" s="10">
        <f t="shared" si="6"/>
        <v>172521248060.65649</v>
      </c>
      <c r="K60" s="11">
        <f t="shared" si="7"/>
        <v>2.6200000000000001E-2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19169508.929963853</v>
      </c>
      <c r="D61" s="11">
        <v>2.6700000000000002E-2</v>
      </c>
      <c r="E61" s="10">
        <f t="shared" si="2"/>
        <v>498515.5239408128</v>
      </c>
      <c r="F61" s="3"/>
      <c r="G61" s="28"/>
      <c r="H61" s="10"/>
      <c r="I61" s="10">
        <f t="shared" si="8"/>
        <v>8770</v>
      </c>
      <c r="J61" s="10">
        <f t="shared" si="6"/>
        <v>168116593315.78299</v>
      </c>
      <c r="K61" s="11">
        <f t="shared" si="7"/>
        <v>2.6699999999999946E-2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18670993.40602304</v>
      </c>
      <c r="D62" s="11">
        <v>2.6499999999999999E-2</v>
      </c>
      <c r="E62" s="10">
        <f t="shared" si="2"/>
        <v>482008.11033571512</v>
      </c>
      <c r="F62" s="3"/>
      <c r="G62" s="28"/>
      <c r="H62" s="10"/>
      <c r="I62" s="10">
        <f t="shared" si="8"/>
        <v>8770</v>
      </c>
      <c r="J62" s="10">
        <f t="shared" si="6"/>
        <v>163744612170.82205</v>
      </c>
      <c r="K62" s="11">
        <f t="shared" si="7"/>
        <v>2.6499999999999968E-2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18188985.295687325</v>
      </c>
      <c r="D63" s="11">
        <v>2.5600000000000001E-2</v>
      </c>
      <c r="E63" s="10">
        <f t="shared" si="2"/>
        <v>454015.23358970135</v>
      </c>
      <c r="F63" s="3"/>
      <c r="G63" s="28"/>
      <c r="H63" s="10"/>
      <c r="I63" s="10">
        <f t="shared" si="8"/>
        <v>8770</v>
      </c>
      <c r="J63" s="10">
        <f t="shared" si="6"/>
        <v>159517401043.17786</v>
      </c>
      <c r="K63" s="11">
        <f t="shared" si="7"/>
        <v>2.5600000000000289E-2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17734970.062097624</v>
      </c>
      <c r="D64" s="11">
        <v>2.46E-2</v>
      </c>
      <c r="E64" s="10">
        <f t="shared" si="2"/>
        <v>425805.44947062433</v>
      </c>
      <c r="F64" s="3"/>
      <c r="G64" s="28"/>
      <c r="H64" s="10"/>
      <c r="I64" s="10">
        <f t="shared" si="8"/>
        <v>8770</v>
      </c>
      <c r="J64" s="10">
        <f t="shared" si="6"/>
        <v>155535687444.59616</v>
      </c>
      <c r="K64" s="11">
        <f t="shared" si="7"/>
        <v>2.4599999999999955E-2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17309164.612627</v>
      </c>
      <c r="D65" s="11">
        <v>2.3699999999999999E-2</v>
      </c>
      <c r="E65" s="10">
        <f t="shared" si="2"/>
        <v>400729.90262700245</v>
      </c>
      <c r="F65" s="3"/>
      <c r="G65" s="28"/>
      <c r="H65" s="10"/>
      <c r="I65" s="10">
        <f t="shared" si="8"/>
        <v>8770</v>
      </c>
      <c r="J65" s="10">
        <f t="shared" si="6"/>
        <v>151801373652.7388</v>
      </c>
      <c r="K65" s="11">
        <f t="shared" si="7"/>
        <v>2.3700000000000276E-2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16908434.709999997</v>
      </c>
      <c r="D66" s="11">
        <v>2.29E-2</v>
      </c>
      <c r="E66" s="10">
        <f t="shared" si="2"/>
        <v>378534.70999999717</v>
      </c>
      <c r="F66" s="24">
        <f>SUM(F2)</f>
        <v>74436761</v>
      </c>
      <c r="G66" s="28"/>
      <c r="H66" s="10"/>
      <c r="I66" s="10">
        <f t="shared" si="8"/>
        <v>8770</v>
      </c>
      <c r="J66" s="10">
        <f t="shared" ref="J66:J67" si="9">IF(I66="","",I66*C66)</f>
        <v>148286972406.69998</v>
      </c>
      <c r="K66" s="11">
        <f t="shared" ref="K66" si="10">IFERROR(J66/J67-1,"")</f>
        <v>2.289999999999992E-2</v>
      </c>
    </row>
    <row r="67" spans="1:11" ht="22.5" customHeight="1">
      <c r="A67" s="3">
        <f t="shared" si="0"/>
        <v>1950</v>
      </c>
      <c r="B67" s="3">
        <v>1700</v>
      </c>
      <c r="C67" s="10">
        <v>16529900</v>
      </c>
      <c r="D67" s="11">
        <v>2.2100000000000002E-2</v>
      </c>
      <c r="E67" s="3" t="s">
        <v>72</v>
      </c>
      <c r="F67" s="10">
        <f>SUM(C2)</f>
        <v>74437644.715154484</v>
      </c>
      <c r="G67" s="28"/>
      <c r="H67" s="10"/>
      <c r="I67" s="10">
        <f t="shared" ref="I67" si="11">IF(H67&lt;&gt;"",H67,I66/(1+IF(G66="",0,G66)/100))</f>
        <v>8770</v>
      </c>
      <c r="J67" s="10">
        <f t="shared" si="9"/>
        <v>144967223000</v>
      </c>
      <c r="K67" s="11"/>
    </row>
  </sheetData>
  <dataValidations count="1">
    <dataValidation type="custom" allowBlank="1" showDropDown="1" sqref="D2:D67" xr:uid="{00000000-0002-0000-9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828524.87043991906</v>
      </c>
      <c r="D2" s="11">
        <v>5.5999999999999999E-3</v>
      </c>
      <c r="E2" s="10">
        <f t="shared" ref="E2:E66" si="2">SUM(C2-C3)</f>
        <v>4613.9014264753787</v>
      </c>
      <c r="F2" s="15">
        <v>828597</v>
      </c>
      <c r="G2" s="28"/>
      <c r="H2" s="10"/>
      <c r="I2" s="10">
        <f>IF(H2&lt;&gt;"",H2,1702)</f>
        <v>1702</v>
      </c>
      <c r="J2" s="10">
        <f t="shared" ref="J2:J33" si="3">IF(I2="","",I2*C2)</f>
        <v>1410149329.4887424</v>
      </c>
      <c r="K2" s="11">
        <f t="shared" ref="K2:K33" si="4">IFERROR(J2/J3-1,"")</f>
        <v>5.6000000000002714E-3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823910.96901344368</v>
      </c>
      <c r="D3" s="11">
        <v>5.7999999999999996E-3</v>
      </c>
      <c r="E3" s="10">
        <f t="shared" si="2"/>
        <v>4751.1270831954898</v>
      </c>
      <c r="F3" s="3"/>
      <c r="G3" s="28"/>
      <c r="H3" s="10"/>
      <c r="I3" s="10">
        <f t="shared" ref="I3:I34" si="5">IF(H3&lt;&gt;"",H3,I2/(1+IF(G2="",0,G2)/100))</f>
        <v>1702</v>
      </c>
      <c r="J3" s="10">
        <f t="shared" si="3"/>
        <v>1402296469.2608812</v>
      </c>
      <c r="K3" s="11">
        <f t="shared" si="4"/>
        <v>5.8000000000000274E-3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819159.84193024819</v>
      </c>
      <c r="D4" s="11">
        <v>6.0000000000000001E-3</v>
      </c>
      <c r="E4" s="10">
        <f t="shared" si="2"/>
        <v>4885.6451804984827</v>
      </c>
      <c r="F4" s="3"/>
      <c r="G4" s="28"/>
      <c r="H4" s="10"/>
      <c r="I4" s="10">
        <f t="shared" si="5"/>
        <v>1702</v>
      </c>
      <c r="J4" s="10">
        <f t="shared" si="3"/>
        <v>1394210050.9652824</v>
      </c>
      <c r="K4" s="11">
        <f t="shared" si="4"/>
        <v>6.0000000000000053E-3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814274.19674974971</v>
      </c>
      <c r="D5" s="11">
        <v>6.1000000000000004E-3</v>
      </c>
      <c r="E5" s="10">
        <f t="shared" si="2"/>
        <v>4936.9571614883607</v>
      </c>
      <c r="F5" s="3"/>
      <c r="G5" s="28"/>
      <c r="H5" s="10"/>
      <c r="I5" s="10">
        <f t="shared" si="5"/>
        <v>1702</v>
      </c>
      <c r="J5" s="10">
        <f t="shared" si="3"/>
        <v>1385894682.8680739</v>
      </c>
      <c r="K5" s="11">
        <f t="shared" si="4"/>
        <v>6.0999999999999943E-3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809337.23958826135</v>
      </c>
      <c r="D6" s="11">
        <v>6.0000000000000001E-3</v>
      </c>
      <c r="E6" s="10">
        <f t="shared" si="2"/>
        <v>4827.0610711029731</v>
      </c>
      <c r="F6" s="3"/>
      <c r="G6" s="28"/>
      <c r="H6" s="10"/>
      <c r="I6" s="10">
        <f t="shared" si="5"/>
        <v>1702</v>
      </c>
      <c r="J6" s="10">
        <f t="shared" si="3"/>
        <v>1377491981.7792208</v>
      </c>
      <c r="K6" s="11">
        <f t="shared" si="4"/>
        <v>6.0000000000000053E-3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804510.17851715838</v>
      </c>
      <c r="D7" s="11">
        <v>5.7000000000000002E-3</v>
      </c>
      <c r="E7" s="10">
        <f t="shared" si="2"/>
        <v>4559.7176270735217</v>
      </c>
      <c r="F7" s="3"/>
      <c r="G7" s="28"/>
      <c r="H7" s="10"/>
      <c r="I7" s="10">
        <f t="shared" si="5"/>
        <v>1702</v>
      </c>
      <c r="J7" s="10">
        <f t="shared" si="3"/>
        <v>1369276323.8362036</v>
      </c>
      <c r="K7" s="11">
        <f t="shared" si="4"/>
        <v>5.7000000000000384E-3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799950.46089008485</v>
      </c>
      <c r="D8" s="11">
        <v>5.1000000000000004E-3</v>
      </c>
      <c r="E8" s="10">
        <f t="shared" si="2"/>
        <v>4059.0462148438673</v>
      </c>
      <c r="F8" s="3"/>
      <c r="G8" s="28"/>
      <c r="H8" s="10"/>
      <c r="I8" s="10">
        <f t="shared" si="5"/>
        <v>1702</v>
      </c>
      <c r="J8" s="10">
        <f t="shared" si="3"/>
        <v>1361515684.4349244</v>
      </c>
      <c r="K8" s="11">
        <f t="shared" si="4"/>
        <v>5.1000000000001044E-3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795891.41467524099</v>
      </c>
      <c r="D9" s="11">
        <v>4.4999999999999997E-3</v>
      </c>
      <c r="E9" s="10">
        <f t="shared" si="2"/>
        <v>3565.4667655933881</v>
      </c>
      <c r="F9" s="3"/>
      <c r="G9" s="28"/>
      <c r="H9" s="10"/>
      <c r="I9" s="10">
        <f t="shared" si="5"/>
        <v>1702</v>
      </c>
      <c r="J9" s="10">
        <f t="shared" si="3"/>
        <v>1354607187.7772601</v>
      </c>
      <c r="K9" s="11">
        <f t="shared" si="4"/>
        <v>4.4999999999997264E-3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792325.9479096476</v>
      </c>
      <c r="D10" s="11">
        <v>3.8999999999999998E-3</v>
      </c>
      <c r="E10" s="10">
        <f t="shared" si="2"/>
        <v>3078.0667365749832</v>
      </c>
      <c r="F10" s="3"/>
      <c r="G10" s="28"/>
      <c r="H10" s="10"/>
      <c r="I10" s="10">
        <f t="shared" si="5"/>
        <v>1702</v>
      </c>
      <c r="J10" s="10">
        <f t="shared" si="3"/>
        <v>1348538763.3422203</v>
      </c>
      <c r="K10" s="11">
        <f t="shared" si="4"/>
        <v>3.9000000000000146E-3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789247.88117307262</v>
      </c>
      <c r="D11" s="11">
        <v>3.5999999999999999E-3</v>
      </c>
      <c r="E11" s="10">
        <f t="shared" si="2"/>
        <v>2831.1004107444314</v>
      </c>
      <c r="F11" s="3"/>
      <c r="G11" s="28"/>
      <c r="H11" s="10"/>
      <c r="I11" s="10">
        <f t="shared" si="5"/>
        <v>1702</v>
      </c>
      <c r="J11" s="10">
        <f t="shared" si="3"/>
        <v>1343299893.7565696</v>
      </c>
      <c r="K11" s="11">
        <f t="shared" si="4"/>
        <v>3.6000000000000476E-3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786416.78076232818</v>
      </c>
      <c r="D12" s="11">
        <v>3.7000000000000002E-3</v>
      </c>
      <c r="E12" s="10">
        <f t="shared" si="2"/>
        <v>2899.0157306173351</v>
      </c>
      <c r="F12" s="3"/>
      <c r="G12" s="28"/>
      <c r="H12" s="10"/>
      <c r="I12" s="10">
        <f t="shared" si="5"/>
        <v>1702</v>
      </c>
      <c r="J12" s="10">
        <f t="shared" si="3"/>
        <v>1338481360.8574827</v>
      </c>
      <c r="K12" s="11">
        <f t="shared" si="4"/>
        <v>3.7000000000000366E-3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783517.76503171085</v>
      </c>
      <c r="D13" s="11">
        <v>4.0000000000000001E-3</v>
      </c>
      <c r="E13" s="10">
        <f t="shared" si="2"/>
        <v>3121.5847212418448</v>
      </c>
      <c r="F13" s="3"/>
      <c r="G13" s="28"/>
      <c r="H13" s="10"/>
      <c r="I13" s="10">
        <f t="shared" si="5"/>
        <v>1702</v>
      </c>
      <c r="J13" s="10">
        <f t="shared" si="3"/>
        <v>1333547236.083972</v>
      </c>
      <c r="K13" s="11">
        <f t="shared" si="4"/>
        <v>4.0000000000000036E-3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780396.180310469</v>
      </c>
      <c r="D14" s="11">
        <v>4.3E-3</v>
      </c>
      <c r="E14" s="10">
        <f t="shared" si="2"/>
        <v>3341.3358312605415</v>
      </c>
      <c r="F14" s="3"/>
      <c r="G14" s="28"/>
      <c r="H14" s="10"/>
      <c r="I14" s="10">
        <f t="shared" si="5"/>
        <v>1702</v>
      </c>
      <c r="J14" s="10">
        <f t="shared" si="3"/>
        <v>1328234298.8884182</v>
      </c>
      <c r="K14" s="11">
        <f t="shared" si="4"/>
        <v>4.2999999999999705E-3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777054.84447920846</v>
      </c>
      <c r="D15" s="11">
        <v>4.3E-3</v>
      </c>
      <c r="E15" s="10">
        <f t="shared" si="2"/>
        <v>3327.029603963485</v>
      </c>
      <c r="F15" s="3"/>
      <c r="G15" s="28"/>
      <c r="H15" s="10"/>
      <c r="I15" s="10">
        <f t="shared" si="5"/>
        <v>1702</v>
      </c>
      <c r="J15" s="10">
        <f t="shared" si="3"/>
        <v>1322547345.3036127</v>
      </c>
      <c r="K15" s="11">
        <f t="shared" si="4"/>
        <v>4.2999999999999705E-3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773727.81487524498</v>
      </c>
      <c r="D16" s="11">
        <v>3.8999999999999998E-3</v>
      </c>
      <c r="E16" s="10">
        <f t="shared" si="2"/>
        <v>3005.8157964075217</v>
      </c>
      <c r="F16" s="3"/>
      <c r="G16" s="28"/>
      <c r="H16" s="10"/>
      <c r="I16" s="10">
        <f t="shared" si="5"/>
        <v>1702</v>
      </c>
      <c r="J16" s="10">
        <f t="shared" si="3"/>
        <v>1316884740.9176669</v>
      </c>
      <c r="K16" s="11">
        <f t="shared" si="4"/>
        <v>3.9000000000000146E-3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770721.99907883746</v>
      </c>
      <c r="D17" s="11">
        <v>3.3E-3</v>
      </c>
      <c r="E17" s="10">
        <f t="shared" si="2"/>
        <v>2535.0170407257974</v>
      </c>
      <c r="F17" s="3"/>
      <c r="G17" s="28"/>
      <c r="H17" s="10"/>
      <c r="I17" s="10">
        <f t="shared" si="5"/>
        <v>1702</v>
      </c>
      <c r="J17" s="10">
        <f t="shared" si="3"/>
        <v>1311768842.4321814</v>
      </c>
      <c r="K17" s="11">
        <f t="shared" si="4"/>
        <v>3.2999999999998586E-3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768186.98203811166</v>
      </c>
      <c r="D18" s="11">
        <v>2.3999999999999998E-3</v>
      </c>
      <c r="E18" s="10">
        <f t="shared" si="2"/>
        <v>1839.2345938661601</v>
      </c>
      <c r="F18" s="3"/>
      <c r="G18" s="28"/>
      <c r="H18" s="10"/>
      <c r="I18" s="10">
        <f t="shared" si="5"/>
        <v>1702</v>
      </c>
      <c r="J18" s="10">
        <f t="shared" si="3"/>
        <v>1307454243.4288661</v>
      </c>
      <c r="K18" s="11">
        <f t="shared" si="4"/>
        <v>2.3999999999999577E-3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766347.7474442455</v>
      </c>
      <c r="D19" s="11">
        <v>1.6999999999999999E-3</v>
      </c>
      <c r="E19" s="10">
        <f t="shared" si="2"/>
        <v>1300.580184341874</v>
      </c>
      <c r="F19" s="3"/>
      <c r="G19" s="28"/>
      <c r="H19" s="10"/>
      <c r="I19" s="10">
        <f t="shared" si="5"/>
        <v>1702</v>
      </c>
      <c r="J19" s="10">
        <f t="shared" si="3"/>
        <v>1304323866.150106</v>
      </c>
      <c r="K19" s="11">
        <f t="shared" si="4"/>
        <v>1.7000000000000348E-3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765047.16725990362</v>
      </c>
      <c r="D20" s="11">
        <v>1.2999999999999999E-3</v>
      </c>
      <c r="E20" s="10">
        <f t="shared" si="2"/>
        <v>993.27006635162979</v>
      </c>
      <c r="F20" s="3"/>
      <c r="G20" s="28"/>
      <c r="H20" s="10"/>
      <c r="I20" s="10">
        <f t="shared" si="5"/>
        <v>1702</v>
      </c>
      <c r="J20" s="10">
        <f t="shared" si="3"/>
        <v>1302110278.6763561</v>
      </c>
      <c r="K20" s="11">
        <f t="shared" si="4"/>
        <v>1.3000000000000789E-3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764053.89719355199</v>
      </c>
      <c r="D21" s="11">
        <v>1.5E-3</v>
      </c>
      <c r="E21" s="10">
        <f t="shared" si="2"/>
        <v>1144.3642993413378</v>
      </c>
      <c r="F21" s="3"/>
      <c r="G21" s="28"/>
      <c r="H21" s="10"/>
      <c r="I21" s="10">
        <f t="shared" si="5"/>
        <v>1702</v>
      </c>
      <c r="J21" s="10">
        <f t="shared" si="3"/>
        <v>1300419733.0234256</v>
      </c>
      <c r="K21" s="11">
        <f t="shared" si="4"/>
        <v>1.5000000000000568E-3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762909.53289421066</v>
      </c>
      <c r="D22" s="11">
        <v>2.0999999999999999E-3</v>
      </c>
      <c r="E22" s="10">
        <f t="shared" si="2"/>
        <v>1598.7526385368546</v>
      </c>
      <c r="F22" s="3"/>
      <c r="G22" s="28"/>
      <c r="H22" s="10"/>
      <c r="I22" s="10">
        <f t="shared" si="5"/>
        <v>1702</v>
      </c>
      <c r="J22" s="10">
        <f t="shared" si="3"/>
        <v>1298472024.9859467</v>
      </c>
      <c r="K22" s="11">
        <f t="shared" si="4"/>
        <v>2.0999999999999908E-3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761310.7802556738</v>
      </c>
      <c r="D23" s="11">
        <v>3.2000000000000002E-3</v>
      </c>
      <c r="E23" s="10">
        <f t="shared" si="2"/>
        <v>2428.4235414854484</v>
      </c>
      <c r="F23" s="3"/>
      <c r="G23" s="28"/>
      <c r="H23" s="10"/>
      <c r="I23" s="10">
        <f t="shared" si="5"/>
        <v>1702</v>
      </c>
      <c r="J23" s="10">
        <f t="shared" si="3"/>
        <v>1295750947.9951568</v>
      </c>
      <c r="K23" s="11">
        <f t="shared" si="4"/>
        <v>3.1999999999998696E-3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758882.35671418835</v>
      </c>
      <c r="D24" s="11">
        <v>4.1999999999999997E-3</v>
      </c>
      <c r="E24" s="10">
        <f t="shared" si="2"/>
        <v>3173.9752023497131</v>
      </c>
      <c r="F24" s="3"/>
      <c r="G24" s="28"/>
      <c r="H24" s="10"/>
      <c r="I24" s="10">
        <f t="shared" si="5"/>
        <v>1702</v>
      </c>
      <c r="J24" s="10">
        <f t="shared" si="3"/>
        <v>1291617771.1275487</v>
      </c>
      <c r="K24" s="11">
        <f t="shared" si="4"/>
        <v>4.1999999999999815E-3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755708.38151183864</v>
      </c>
      <c r="D25" s="11">
        <v>5.0000000000000001E-3</v>
      </c>
      <c r="E25" s="10">
        <f t="shared" si="2"/>
        <v>3759.7431916011265</v>
      </c>
      <c r="F25" s="3"/>
      <c r="G25" s="28"/>
      <c r="H25" s="10"/>
      <c r="I25" s="10">
        <f t="shared" si="5"/>
        <v>1702</v>
      </c>
      <c r="J25" s="10">
        <f t="shared" si="3"/>
        <v>1286215665.3331494</v>
      </c>
      <c r="K25" s="11">
        <f t="shared" si="4"/>
        <v>4.9999999999998934E-3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751948.63832023751</v>
      </c>
      <c r="D26" s="11">
        <v>5.1000000000000004E-3</v>
      </c>
      <c r="E26" s="10">
        <f t="shared" si="2"/>
        <v>3815.4791119622532</v>
      </c>
      <c r="F26" s="3"/>
      <c r="G26" s="28"/>
      <c r="H26" s="10"/>
      <c r="I26" s="10">
        <f t="shared" si="5"/>
        <v>1702</v>
      </c>
      <c r="J26" s="10">
        <f t="shared" si="3"/>
        <v>1279816582.4210443</v>
      </c>
      <c r="K26" s="11">
        <f t="shared" si="4"/>
        <v>5.1000000000001044E-3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748133.15920827526</v>
      </c>
      <c r="D27" s="11">
        <v>4.4999999999999997E-3</v>
      </c>
      <c r="E27" s="10">
        <f t="shared" si="2"/>
        <v>3351.5173881903756</v>
      </c>
      <c r="F27" s="3"/>
      <c r="G27" s="28"/>
      <c r="H27" s="10"/>
      <c r="I27" s="10">
        <f t="shared" si="5"/>
        <v>1702</v>
      </c>
      <c r="J27" s="10">
        <f t="shared" si="3"/>
        <v>1273322636.9724846</v>
      </c>
      <c r="K27" s="11">
        <f t="shared" si="4"/>
        <v>4.4999999999999485E-3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744781.64182008489</v>
      </c>
      <c r="D28" s="11">
        <v>3.3E-3</v>
      </c>
      <c r="E28" s="10">
        <f t="shared" si="2"/>
        <v>2449.695423110039</v>
      </c>
      <c r="F28" s="3"/>
      <c r="G28" s="28"/>
      <c r="H28" s="10"/>
      <c r="I28" s="10">
        <f t="shared" si="5"/>
        <v>1702</v>
      </c>
      <c r="J28" s="10">
        <f t="shared" si="3"/>
        <v>1267618354.3777845</v>
      </c>
      <c r="K28" s="11">
        <f t="shared" si="4"/>
        <v>3.3000000000000806E-3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742331.94639697485</v>
      </c>
      <c r="D29" s="11">
        <v>1.8E-3</v>
      </c>
      <c r="E29" s="10">
        <f t="shared" si="2"/>
        <v>1333.7966695094947</v>
      </c>
      <c r="F29" s="3"/>
      <c r="G29" s="28"/>
      <c r="H29" s="10"/>
      <c r="I29" s="10">
        <f t="shared" si="5"/>
        <v>1702</v>
      </c>
      <c r="J29" s="10">
        <f t="shared" si="3"/>
        <v>1263448972.7676511</v>
      </c>
      <c r="K29" s="11">
        <f t="shared" si="4"/>
        <v>1.8000000000000238E-3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740998.14972746535</v>
      </c>
      <c r="D30" s="11">
        <v>2.9999999999999997E-4</v>
      </c>
      <c r="E30" s="10">
        <f t="shared" si="2"/>
        <v>222.2327750857221</v>
      </c>
      <c r="F30" s="3"/>
      <c r="G30" s="28"/>
      <c r="H30" s="10"/>
      <c r="I30" s="10">
        <f t="shared" si="5"/>
        <v>1702</v>
      </c>
      <c r="J30" s="10">
        <f t="shared" si="3"/>
        <v>1261178850.8361461</v>
      </c>
      <c r="K30" s="11">
        <f t="shared" si="4"/>
        <v>3.00000000000189E-4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740775.91695237963</v>
      </c>
      <c r="D31" s="11">
        <v>-1.1999999999999999E-3</v>
      </c>
      <c r="E31" s="10">
        <f t="shared" si="2"/>
        <v>-889.99909926194232</v>
      </c>
      <c r="F31" s="3"/>
      <c r="G31" s="28"/>
      <c r="H31" s="10"/>
      <c r="I31" s="10">
        <f t="shared" si="5"/>
        <v>1702</v>
      </c>
      <c r="J31" s="10">
        <f t="shared" si="3"/>
        <v>1260800610.65295</v>
      </c>
      <c r="K31" s="11">
        <f t="shared" si="4"/>
        <v>-1.2000000000000899E-3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741665.91605164157</v>
      </c>
      <c r="D32" s="11">
        <v>-2.3999999999999998E-3</v>
      </c>
      <c r="E32" s="10">
        <f t="shared" si="2"/>
        <v>-1784.2804716558894</v>
      </c>
      <c r="F32" s="3"/>
      <c r="G32" s="28"/>
      <c r="H32" s="10"/>
      <c r="I32" s="10">
        <f t="shared" si="5"/>
        <v>1702</v>
      </c>
      <c r="J32" s="10">
        <f t="shared" si="3"/>
        <v>1262315389.119894</v>
      </c>
      <c r="K32" s="11">
        <f t="shared" si="4"/>
        <v>-2.3999999999998467E-3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743450.19652329746</v>
      </c>
      <c r="D33" s="11">
        <v>-3.3999999999999998E-3</v>
      </c>
      <c r="E33" s="10">
        <f t="shared" si="2"/>
        <v>-2536.3542727064341</v>
      </c>
      <c r="F33" s="3"/>
      <c r="G33" s="28"/>
      <c r="H33" s="10"/>
      <c r="I33" s="10">
        <f t="shared" si="5"/>
        <v>1702</v>
      </c>
      <c r="J33" s="10">
        <f t="shared" si="3"/>
        <v>1265352234.4826522</v>
      </c>
      <c r="K33" s="11">
        <f t="shared" si="4"/>
        <v>-3.4000000000001807E-3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745986.5507960039</v>
      </c>
      <c r="D34" s="11">
        <v>-3.8999999999999998E-3</v>
      </c>
      <c r="E34" s="10">
        <f t="shared" si="2"/>
        <v>-2920.7384279734688</v>
      </c>
      <c r="F34" s="3"/>
      <c r="G34" s="28"/>
      <c r="H34" s="10"/>
      <c r="I34" s="10">
        <f t="shared" si="5"/>
        <v>1702</v>
      </c>
      <c r="J34" s="10">
        <f t="shared" ref="J34:J65" si="6">IF(I34="","",I34*C34)</f>
        <v>1269669109.4547987</v>
      </c>
      <c r="K34" s="11">
        <f t="shared" ref="K34:K65" si="7">IFERROR(J34/J35-1,"")</f>
        <v>-3.8999999999997925E-3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748907.28922397736</v>
      </c>
      <c r="D35" s="11">
        <v>-3.8999999999999998E-3</v>
      </c>
      <c r="E35" s="10">
        <f t="shared" si="2"/>
        <v>-2932.1739062077831</v>
      </c>
      <c r="F35" s="3"/>
      <c r="G35" s="28"/>
      <c r="H35" s="10"/>
      <c r="I35" s="10">
        <f t="shared" ref="I35:I66" si="8">IF(H35&lt;&gt;"",H35,I34/(1+IF(G34="",0,G34)/100))</f>
        <v>1702</v>
      </c>
      <c r="J35" s="10">
        <f t="shared" si="6"/>
        <v>1274640206.2592094</v>
      </c>
      <c r="K35" s="11">
        <f t="shared" si="7"/>
        <v>-3.9000000000001256E-3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751839.46313018515</v>
      </c>
      <c r="D36" s="11">
        <v>-3.3E-3</v>
      </c>
      <c r="E36" s="10">
        <f t="shared" si="2"/>
        <v>-2489.2848683953052</v>
      </c>
      <c r="F36" s="3"/>
      <c r="G36" s="28"/>
      <c r="H36" s="10"/>
      <c r="I36" s="10">
        <f t="shared" si="8"/>
        <v>1702</v>
      </c>
      <c r="J36" s="10">
        <f t="shared" si="6"/>
        <v>1279630766.247575</v>
      </c>
      <c r="K36" s="11">
        <f t="shared" si="7"/>
        <v>-3.2999999999999696E-3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754328.74799858045</v>
      </c>
      <c r="D37" s="11">
        <v>-2.3999999999999998E-3</v>
      </c>
      <c r="E37" s="10">
        <f t="shared" si="2"/>
        <v>-1814.7443817126332</v>
      </c>
      <c r="F37" s="3"/>
      <c r="G37" s="28"/>
      <c r="H37" s="10"/>
      <c r="I37" s="10">
        <f t="shared" si="8"/>
        <v>1702</v>
      </c>
      <c r="J37" s="10">
        <f t="shared" si="6"/>
        <v>1283867529.0935838</v>
      </c>
      <c r="K37" s="11">
        <f t="shared" si="7"/>
        <v>-2.3999999999999577E-3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756143.49238029309</v>
      </c>
      <c r="D38" s="11">
        <v>-8.9999999999999998E-4</v>
      </c>
      <c r="E38" s="10">
        <f t="shared" si="2"/>
        <v>-681.14217109628953</v>
      </c>
      <c r="F38" s="3"/>
      <c r="G38" s="28"/>
      <c r="H38" s="10"/>
      <c r="I38" s="10">
        <f t="shared" si="8"/>
        <v>1702</v>
      </c>
      <c r="J38" s="10">
        <f t="shared" si="6"/>
        <v>1286956224.0312588</v>
      </c>
      <c r="K38" s="11">
        <f t="shared" si="7"/>
        <v>-9.000000000000119E-4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756824.63455138938</v>
      </c>
      <c r="D39" s="11">
        <v>1E-3</v>
      </c>
      <c r="E39" s="10">
        <f t="shared" si="2"/>
        <v>756.0685659853043</v>
      </c>
      <c r="F39" s="3"/>
      <c r="G39" s="28"/>
      <c r="H39" s="10"/>
      <c r="I39" s="10">
        <f t="shared" si="8"/>
        <v>1702</v>
      </c>
      <c r="J39" s="10">
        <f t="shared" si="6"/>
        <v>1288115528.0064647</v>
      </c>
      <c r="K39" s="11">
        <f t="shared" si="7"/>
        <v>9.9999999999988987E-4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756068.56598540407</v>
      </c>
      <c r="D40" s="11">
        <v>3.3E-3</v>
      </c>
      <c r="E40" s="10">
        <f t="shared" si="2"/>
        <v>2486.8197625355097</v>
      </c>
      <c r="F40" s="3"/>
      <c r="G40" s="28"/>
      <c r="H40" s="10"/>
      <c r="I40" s="10">
        <f t="shared" si="8"/>
        <v>1702</v>
      </c>
      <c r="J40" s="10">
        <f t="shared" si="6"/>
        <v>1286828699.3071578</v>
      </c>
      <c r="K40" s="11">
        <f t="shared" si="7"/>
        <v>3.3000000000000806E-3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753581.74622286856</v>
      </c>
      <c r="D41" s="11">
        <v>5.8999999999999999E-3</v>
      </c>
      <c r="E41" s="10">
        <f t="shared" si="2"/>
        <v>4420.0539842081489</v>
      </c>
      <c r="F41" s="3"/>
      <c r="G41" s="28"/>
      <c r="H41" s="10"/>
      <c r="I41" s="10">
        <f t="shared" si="8"/>
        <v>1702</v>
      </c>
      <c r="J41" s="10">
        <f t="shared" si="6"/>
        <v>1282596132.0713222</v>
      </c>
      <c r="K41" s="11">
        <f t="shared" si="7"/>
        <v>5.9000000000000163E-3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749161.69223866041</v>
      </c>
      <c r="D42" s="11">
        <v>8.3999999999999995E-3</v>
      </c>
      <c r="E42" s="10">
        <f t="shared" si="2"/>
        <v>6240.5376981403679</v>
      </c>
      <c r="F42" s="3"/>
      <c r="G42" s="28"/>
      <c r="H42" s="10"/>
      <c r="I42" s="10">
        <f t="shared" si="8"/>
        <v>1702</v>
      </c>
      <c r="J42" s="10">
        <f t="shared" si="6"/>
        <v>1275073200.1902001</v>
      </c>
      <c r="K42" s="11">
        <f t="shared" si="7"/>
        <v>8.4000000000001851E-3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742921.15454052004</v>
      </c>
      <c r="D43" s="11">
        <v>1.09E-2</v>
      </c>
      <c r="E43" s="10">
        <f t="shared" si="2"/>
        <v>8010.5258526972029</v>
      </c>
      <c r="F43" s="3"/>
      <c r="G43" s="28"/>
      <c r="H43" s="10"/>
      <c r="I43" s="10">
        <f t="shared" si="8"/>
        <v>1702</v>
      </c>
      <c r="J43" s="10">
        <f t="shared" si="6"/>
        <v>1264451805.0279651</v>
      </c>
      <c r="K43" s="11">
        <f t="shared" si="7"/>
        <v>1.089999999999991E-2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734910.62868782284</v>
      </c>
      <c r="D44" s="11">
        <v>1.34E-2</v>
      </c>
      <c r="E44" s="10">
        <f t="shared" si="2"/>
        <v>9717.5867618086049</v>
      </c>
      <c r="F44" s="3"/>
      <c r="G44" s="28"/>
      <c r="H44" s="10"/>
      <c r="I44" s="10">
        <f t="shared" si="8"/>
        <v>1702</v>
      </c>
      <c r="J44" s="10">
        <f t="shared" si="6"/>
        <v>1250817890.0266745</v>
      </c>
      <c r="K44" s="11">
        <f t="shared" si="7"/>
        <v>1.3399999999999856E-2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725193.04192601424</v>
      </c>
      <c r="D45" s="11">
        <v>1.5800000000000002E-2</v>
      </c>
      <c r="E45" s="10">
        <f t="shared" si="2"/>
        <v>11279.82876789826</v>
      </c>
      <c r="F45" s="3"/>
      <c r="G45" s="28"/>
      <c r="H45" s="10"/>
      <c r="I45" s="10">
        <f t="shared" si="8"/>
        <v>1702</v>
      </c>
      <c r="J45" s="10">
        <f t="shared" si="6"/>
        <v>1234278557.3580763</v>
      </c>
      <c r="K45" s="11">
        <f t="shared" si="7"/>
        <v>1.5800000000000258E-2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713913.21315811598</v>
      </c>
      <c r="D46" s="11">
        <v>1.84E-2</v>
      </c>
      <c r="E46" s="10">
        <f t="shared" si="2"/>
        <v>12898.667637577862</v>
      </c>
      <c r="F46" s="3"/>
      <c r="G46" s="28"/>
      <c r="H46" s="10"/>
      <c r="I46" s="10">
        <f t="shared" si="8"/>
        <v>1702</v>
      </c>
      <c r="J46" s="10">
        <f t="shared" si="6"/>
        <v>1215080288.7951133</v>
      </c>
      <c r="K46" s="11">
        <f t="shared" si="7"/>
        <v>1.839999999999975E-2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701014.54552053811</v>
      </c>
      <c r="D47" s="11">
        <v>2.1000000000000001E-2</v>
      </c>
      <c r="E47" s="10">
        <f t="shared" si="2"/>
        <v>14418.516607180471</v>
      </c>
      <c r="F47" s="3"/>
      <c r="G47" s="28"/>
      <c r="H47" s="10"/>
      <c r="I47" s="10">
        <f t="shared" si="8"/>
        <v>1702</v>
      </c>
      <c r="J47" s="10">
        <f t="shared" si="6"/>
        <v>1193126756.475956</v>
      </c>
      <c r="K47" s="11">
        <f t="shared" si="7"/>
        <v>2.0999999999999908E-2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686596.02891335764</v>
      </c>
      <c r="D48" s="11">
        <v>2.3300000000000001E-2</v>
      </c>
      <c r="E48" s="10">
        <f t="shared" si="2"/>
        <v>15633.428587590461</v>
      </c>
      <c r="F48" s="3"/>
      <c r="G48" s="28"/>
      <c r="H48" s="10"/>
      <c r="I48" s="10">
        <f t="shared" si="8"/>
        <v>1702</v>
      </c>
      <c r="J48" s="10">
        <f t="shared" si="6"/>
        <v>1168586441.2105348</v>
      </c>
      <c r="K48" s="11">
        <f t="shared" si="7"/>
        <v>2.3300000000000098E-2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670962.60032576718</v>
      </c>
      <c r="D49" s="11">
        <v>2.5100000000000001E-2</v>
      </c>
      <c r="E49" s="10">
        <f t="shared" si="2"/>
        <v>16428.798427642905</v>
      </c>
      <c r="F49" s="3"/>
      <c r="G49" s="28"/>
      <c r="H49" s="10"/>
      <c r="I49" s="10">
        <f t="shared" si="8"/>
        <v>1702</v>
      </c>
      <c r="J49" s="10">
        <f t="shared" si="6"/>
        <v>1141978345.7544558</v>
      </c>
      <c r="K49" s="11">
        <f t="shared" si="7"/>
        <v>2.5100000000000122E-2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654533.80189812428</v>
      </c>
      <c r="D50" s="11">
        <v>2.64E-2</v>
      </c>
      <c r="E50" s="10">
        <f t="shared" si="2"/>
        <v>16835.241981791216</v>
      </c>
      <c r="F50" s="3"/>
      <c r="G50" s="28"/>
      <c r="H50" s="10"/>
      <c r="I50" s="10">
        <f t="shared" si="8"/>
        <v>1702</v>
      </c>
      <c r="J50" s="10">
        <f t="shared" si="6"/>
        <v>1114016530.8306074</v>
      </c>
      <c r="K50" s="11">
        <f t="shared" si="7"/>
        <v>2.6399999999999979E-2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637698.55991633306</v>
      </c>
      <c r="D51" s="11">
        <v>2.7199999999999998E-2</v>
      </c>
      <c r="E51" s="10">
        <f t="shared" si="2"/>
        <v>16886.098938594456</v>
      </c>
      <c r="F51" s="3"/>
      <c r="G51" s="28"/>
      <c r="H51" s="10"/>
      <c r="I51" s="10">
        <f t="shared" si="8"/>
        <v>1702</v>
      </c>
      <c r="J51" s="10">
        <f t="shared" si="6"/>
        <v>1085362948.9775989</v>
      </c>
      <c r="K51" s="11">
        <f t="shared" si="7"/>
        <v>2.7199999999999891E-2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620812.46097773861</v>
      </c>
      <c r="D52" s="11">
        <v>2.7400000000000001E-2</v>
      </c>
      <c r="E52" s="10">
        <f t="shared" si="2"/>
        <v>16556.610308341566</v>
      </c>
      <c r="F52" s="3"/>
      <c r="G52" s="28"/>
      <c r="H52" s="10"/>
      <c r="I52" s="10">
        <f t="shared" si="8"/>
        <v>1702</v>
      </c>
      <c r="J52" s="10">
        <f t="shared" si="6"/>
        <v>1056622808.5841111</v>
      </c>
      <c r="K52" s="11">
        <f t="shared" si="7"/>
        <v>2.7400000000000091E-2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604255.85066939704</v>
      </c>
      <c r="D53" s="11">
        <v>2.7199999999999998E-2</v>
      </c>
      <c r="E53" s="10">
        <f t="shared" si="2"/>
        <v>16000.544332367135</v>
      </c>
      <c r="F53" s="3"/>
      <c r="G53" s="28"/>
      <c r="H53" s="10"/>
      <c r="I53" s="10">
        <f t="shared" si="8"/>
        <v>1702</v>
      </c>
      <c r="J53" s="10">
        <f t="shared" si="6"/>
        <v>1028443457.8393137</v>
      </c>
      <c r="K53" s="11">
        <f t="shared" si="7"/>
        <v>2.7199999999999891E-2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588255.30633702991</v>
      </c>
      <c r="D54" s="11">
        <v>2.69E-2</v>
      </c>
      <c r="E54" s="10">
        <f t="shared" si="2"/>
        <v>15409.550823318772</v>
      </c>
      <c r="F54" s="3"/>
      <c r="G54" s="28"/>
      <c r="H54" s="10"/>
      <c r="I54" s="10">
        <f t="shared" si="8"/>
        <v>1702</v>
      </c>
      <c r="J54" s="10">
        <f t="shared" si="6"/>
        <v>1001210531.3856249</v>
      </c>
      <c r="K54" s="11">
        <f t="shared" si="7"/>
        <v>2.6899999999999924E-2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572845.75551371113</v>
      </c>
      <c r="D55" s="11">
        <v>2.6599999999999999E-2</v>
      </c>
      <c r="E55" s="10">
        <f t="shared" si="2"/>
        <v>14842.876579646138</v>
      </c>
      <c r="F55" s="3"/>
      <c r="G55" s="28"/>
      <c r="H55" s="10"/>
      <c r="I55" s="10">
        <f t="shared" si="8"/>
        <v>1702</v>
      </c>
      <c r="J55" s="10">
        <f t="shared" si="6"/>
        <v>974983475.88433635</v>
      </c>
      <c r="K55" s="11">
        <f t="shared" si="7"/>
        <v>2.6599999999999957E-2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558002.878934065</v>
      </c>
      <c r="D56" s="11">
        <v>2.6499999999999999E-2</v>
      </c>
      <c r="E56" s="10">
        <f t="shared" si="2"/>
        <v>14405.334916466381</v>
      </c>
      <c r="F56" s="3"/>
      <c r="G56" s="28"/>
      <c r="H56" s="10"/>
      <c r="I56" s="10">
        <f t="shared" si="8"/>
        <v>1702</v>
      </c>
      <c r="J56" s="10">
        <f t="shared" si="6"/>
        <v>949720899.94577861</v>
      </c>
      <c r="K56" s="11">
        <f t="shared" si="7"/>
        <v>2.6499999999999968E-2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543597.54401759862</v>
      </c>
      <c r="D57" s="11">
        <v>2.6599999999999999E-2</v>
      </c>
      <c r="E57" s="10">
        <f t="shared" si="2"/>
        <v>14085.032798429835</v>
      </c>
      <c r="F57" s="3"/>
      <c r="G57" s="28"/>
      <c r="H57" s="10"/>
      <c r="I57" s="10">
        <f t="shared" si="8"/>
        <v>1702</v>
      </c>
      <c r="J57" s="10">
        <f t="shared" si="6"/>
        <v>925203019.9179529</v>
      </c>
      <c r="K57" s="11">
        <f t="shared" si="7"/>
        <v>2.6599999999999957E-2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529512.51121916878</v>
      </c>
      <c r="D58" s="11">
        <v>2.7099999999999999E-2</v>
      </c>
      <c r="E58" s="10">
        <f t="shared" si="2"/>
        <v>13971.170337882824</v>
      </c>
      <c r="F58" s="3"/>
      <c r="G58" s="28"/>
      <c r="H58" s="10"/>
      <c r="I58" s="10">
        <f t="shared" si="8"/>
        <v>1702</v>
      </c>
      <c r="J58" s="10">
        <f t="shared" si="6"/>
        <v>901230294.0950253</v>
      </c>
      <c r="K58" s="11">
        <f t="shared" si="7"/>
        <v>2.7099999999999902E-2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515541.34088128596</v>
      </c>
      <c r="D59" s="11">
        <v>2.7900000000000001E-2</v>
      </c>
      <c r="E59" s="10">
        <f t="shared" si="2"/>
        <v>13993.193317042431</v>
      </c>
      <c r="F59" s="3"/>
      <c r="G59" s="28"/>
      <c r="H59" s="10"/>
      <c r="I59" s="10">
        <f t="shared" si="8"/>
        <v>1702</v>
      </c>
      <c r="J59" s="10">
        <f t="shared" si="6"/>
        <v>877451362.17994869</v>
      </c>
      <c r="K59" s="11">
        <f t="shared" si="7"/>
        <v>2.7900000000000036E-2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501548.14756424353</v>
      </c>
      <c r="D60" s="11">
        <v>2.9000000000000001E-2</v>
      </c>
      <c r="E60" s="10">
        <f t="shared" si="2"/>
        <v>14134.981806961121</v>
      </c>
      <c r="F60" s="3"/>
      <c r="G60" s="28"/>
      <c r="H60" s="10"/>
      <c r="I60" s="10">
        <f t="shared" si="8"/>
        <v>1702</v>
      </c>
      <c r="J60" s="10">
        <f t="shared" si="6"/>
        <v>853634947.15434253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487413.1657572824</v>
      </c>
      <c r="D61" s="11">
        <v>3.0300000000000001E-2</v>
      </c>
      <c r="E61" s="10">
        <f t="shared" si="2"/>
        <v>14334.289937344147</v>
      </c>
      <c r="F61" s="3"/>
      <c r="G61" s="28"/>
      <c r="H61" s="10"/>
      <c r="I61" s="10">
        <f t="shared" si="8"/>
        <v>1702</v>
      </c>
      <c r="J61" s="10">
        <f t="shared" si="6"/>
        <v>829577208.1188947</v>
      </c>
      <c r="K61" s="11">
        <f t="shared" si="7"/>
        <v>3.0300000000000216E-2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473078.87581993826</v>
      </c>
      <c r="D62" s="11">
        <v>3.1699999999999999E-2</v>
      </c>
      <c r="E62" s="10">
        <f t="shared" si="2"/>
        <v>14535.81502713199</v>
      </c>
      <c r="F62" s="3"/>
      <c r="G62" s="28"/>
      <c r="H62" s="10"/>
      <c r="I62" s="10">
        <f t="shared" si="8"/>
        <v>1702</v>
      </c>
      <c r="J62" s="10">
        <f t="shared" si="6"/>
        <v>805180246.64553487</v>
      </c>
      <c r="K62" s="11">
        <f t="shared" si="7"/>
        <v>3.1700000000000061E-2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458543.06079280627</v>
      </c>
      <c r="D63" s="11">
        <v>3.2599999999999997E-2</v>
      </c>
      <c r="E63" s="10">
        <f t="shared" si="2"/>
        <v>14476.567675620259</v>
      </c>
      <c r="F63" s="3"/>
      <c r="G63" s="28"/>
      <c r="H63" s="10"/>
      <c r="I63" s="10">
        <f t="shared" si="8"/>
        <v>1702</v>
      </c>
      <c r="J63" s="10">
        <f t="shared" si="6"/>
        <v>780440289.4693563</v>
      </c>
      <c r="K63" s="11">
        <f t="shared" si="7"/>
        <v>3.2599999999999962E-2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444066.49311718601</v>
      </c>
      <c r="D64" s="11">
        <v>3.3000000000000002E-2</v>
      </c>
      <c r="E64" s="10">
        <f t="shared" si="2"/>
        <v>14186.054475185985</v>
      </c>
      <c r="F64" s="3"/>
      <c r="G64" s="28"/>
      <c r="H64" s="10"/>
      <c r="I64" s="10">
        <f t="shared" si="8"/>
        <v>1702</v>
      </c>
      <c r="J64" s="10">
        <f t="shared" si="6"/>
        <v>755801171.28545058</v>
      </c>
      <c r="K64" s="11">
        <f t="shared" si="7"/>
        <v>3.300000000000014E-2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429880.43864200002</v>
      </c>
      <c r="D65" s="11">
        <v>3.27E-2</v>
      </c>
      <c r="E65" s="10">
        <f t="shared" si="2"/>
        <v>13611.978642000002</v>
      </c>
      <c r="F65" s="3"/>
      <c r="G65" s="28"/>
      <c r="H65" s="10"/>
      <c r="I65" s="10">
        <f t="shared" si="8"/>
        <v>1702</v>
      </c>
      <c r="J65" s="10">
        <f t="shared" si="6"/>
        <v>731656506.56868398</v>
      </c>
      <c r="K65" s="11">
        <f t="shared" si="7"/>
        <v>3.2699999999999951E-2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416268.46</v>
      </c>
      <c r="D66" s="11">
        <v>3.1899999999999998E-2</v>
      </c>
      <c r="E66" s="10">
        <f t="shared" si="2"/>
        <v>12868.460000000021</v>
      </c>
      <c r="F66" s="24">
        <f>SUM(F2)</f>
        <v>828597</v>
      </c>
      <c r="G66" s="28"/>
      <c r="H66" s="10"/>
      <c r="I66" s="10">
        <f t="shared" si="8"/>
        <v>1702</v>
      </c>
      <c r="J66" s="10">
        <f t="shared" ref="J66:J67" si="9">IF(I66="","",I66*C66)</f>
        <v>708488918.92000008</v>
      </c>
      <c r="K66" s="11">
        <f t="shared" ref="K66" si="10">IFERROR(J66/J67-1,"")</f>
        <v>3.1900000000000039E-2</v>
      </c>
    </row>
    <row r="67" spans="1:11" ht="22.5" customHeight="1">
      <c r="A67" s="3">
        <f t="shared" si="0"/>
        <v>1950</v>
      </c>
      <c r="B67" s="3">
        <v>1700</v>
      </c>
      <c r="C67" s="10">
        <v>403400</v>
      </c>
      <c r="D67" s="11">
        <v>3.0700000000000002E-2</v>
      </c>
      <c r="E67" s="3" t="s">
        <v>72</v>
      </c>
      <c r="F67" s="10">
        <f>SUM(C2)</f>
        <v>828524.87043991906</v>
      </c>
      <c r="G67" s="28"/>
      <c r="H67" s="10"/>
      <c r="I67" s="10">
        <f t="shared" ref="I67" si="11">IF(H67&lt;&gt;"",H67,I66/(1+IF(G66="",0,G66)/100))</f>
        <v>1702</v>
      </c>
      <c r="J67" s="10">
        <f t="shared" si="9"/>
        <v>686586800</v>
      </c>
      <c r="K67" s="11"/>
    </row>
  </sheetData>
  <dataValidations count="1">
    <dataValidation type="custom" allowBlank="1" showDropDown="1" sqref="D2:D67" xr:uid="{00000000-0002-0000-9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53303587.228047103</v>
      </c>
      <c r="D2" s="11">
        <v>9.1000000000000004E-3</v>
      </c>
      <c r="E2" s="10">
        <f t="shared" ref="E2:E66" si="2">SUM(C2-C3)</f>
        <v>480688.379521586</v>
      </c>
      <c r="F2" s="15">
        <v>53302916</v>
      </c>
      <c r="G2" s="28"/>
      <c r="H2" s="10"/>
      <c r="I2" s="10">
        <f>IF(H2&lt;&gt;"",H2,10119)</f>
        <v>10119</v>
      </c>
      <c r="J2" s="10">
        <f t="shared" ref="J2:J33" si="3">IF(I2="","",I2*C2)</f>
        <v>539378999160.60864</v>
      </c>
      <c r="K2" s="11">
        <f t="shared" ref="K2:K33" si="4">IFERROR(J2/J3-1,"")</f>
        <v>9.100000000000108E-3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52822898.848525517</v>
      </c>
      <c r="D3" s="11">
        <v>9.5999999999999992E-3</v>
      </c>
      <c r="E3" s="10">
        <f t="shared" si="2"/>
        <v>502277.96052481234</v>
      </c>
      <c r="F3" s="3"/>
      <c r="G3" s="28"/>
      <c r="H3" s="10"/>
      <c r="I3" s="10">
        <f t="shared" ref="I3:I34" si="5">IF(H3&lt;&gt;"",H3,I2/(1+IF(G2="",0,G2)/100))</f>
        <v>10119</v>
      </c>
      <c r="J3" s="10">
        <f t="shared" si="3"/>
        <v>534514913448.22968</v>
      </c>
      <c r="K3" s="11">
        <f t="shared" si="4"/>
        <v>9.6000000000000529E-3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52320620.888000704</v>
      </c>
      <c r="D4" s="11">
        <v>1.0200000000000001E-2</v>
      </c>
      <c r="E4" s="10">
        <f t="shared" si="2"/>
        <v>528281.85810493678</v>
      </c>
      <c r="F4" s="3"/>
      <c r="G4" s="28"/>
      <c r="H4" s="10"/>
      <c r="I4" s="10">
        <f t="shared" si="5"/>
        <v>10119</v>
      </c>
      <c r="J4" s="10">
        <f t="shared" si="3"/>
        <v>529432362765.67914</v>
      </c>
      <c r="K4" s="11">
        <f t="shared" si="4"/>
        <v>1.0199999999999987E-2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51792339.029895768</v>
      </c>
      <c r="D5" s="11">
        <v>1.09E-2</v>
      </c>
      <c r="E5" s="10">
        <f t="shared" si="2"/>
        <v>558449.39699857682</v>
      </c>
      <c r="F5" s="3"/>
      <c r="G5" s="28"/>
      <c r="H5" s="10"/>
      <c r="I5" s="10">
        <f t="shared" si="5"/>
        <v>10119</v>
      </c>
      <c r="J5" s="10">
        <f t="shared" si="3"/>
        <v>524086678643.51526</v>
      </c>
      <c r="K5" s="11">
        <f t="shared" si="4"/>
        <v>1.089999999999991E-2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51233889.632897191</v>
      </c>
      <c r="D6" s="11">
        <v>1.1599999999999999E-2</v>
      </c>
      <c r="E6" s="10">
        <f t="shared" si="2"/>
        <v>587498.14130250365</v>
      </c>
      <c r="F6" s="3"/>
      <c r="G6" s="28"/>
      <c r="H6" s="10"/>
      <c r="I6" s="10">
        <f t="shared" si="5"/>
        <v>10119</v>
      </c>
      <c r="J6" s="10">
        <f t="shared" si="3"/>
        <v>518435729195.28668</v>
      </c>
      <c r="K6" s="11">
        <f t="shared" si="4"/>
        <v>1.1600000000000055E-2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50646391.491594687</v>
      </c>
      <c r="D7" s="11">
        <v>1.23E-2</v>
      </c>
      <c r="E7" s="10">
        <f t="shared" si="2"/>
        <v>615381.42383345962</v>
      </c>
      <c r="F7" s="3"/>
      <c r="G7" s="28"/>
      <c r="H7" s="10"/>
      <c r="I7" s="10">
        <f t="shared" si="5"/>
        <v>10119</v>
      </c>
      <c r="J7" s="10">
        <f t="shared" si="3"/>
        <v>512490835503.44666</v>
      </c>
      <c r="K7" s="11">
        <f t="shared" si="4"/>
        <v>1.2299999999999978E-2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50031010.067761227</v>
      </c>
      <c r="D8" s="11">
        <v>1.2500000000000001E-2</v>
      </c>
      <c r="E8" s="10">
        <f t="shared" si="2"/>
        <v>617666.79096001387</v>
      </c>
      <c r="F8" s="3"/>
      <c r="G8" s="28"/>
      <c r="H8" s="10"/>
      <c r="I8" s="10">
        <f t="shared" si="5"/>
        <v>10119</v>
      </c>
      <c r="J8" s="10">
        <f t="shared" si="3"/>
        <v>506263790875.67584</v>
      </c>
      <c r="K8" s="11">
        <f t="shared" si="4"/>
        <v>1.2499999999999956E-2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49413343.276801214</v>
      </c>
      <c r="D9" s="11">
        <v>1.2200000000000001E-2</v>
      </c>
      <c r="E9" s="10">
        <f t="shared" si="2"/>
        <v>595576.75160736591</v>
      </c>
      <c r="F9" s="3"/>
      <c r="G9" s="28"/>
      <c r="H9" s="10"/>
      <c r="I9" s="10">
        <f t="shared" si="5"/>
        <v>10119</v>
      </c>
      <c r="J9" s="10">
        <f t="shared" si="3"/>
        <v>500013620617.95148</v>
      </c>
      <c r="K9" s="11">
        <f t="shared" si="4"/>
        <v>1.2199999999999989E-2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48817766.525193848</v>
      </c>
      <c r="D10" s="11">
        <v>1.18E-2</v>
      </c>
      <c r="E10" s="10">
        <f t="shared" si="2"/>
        <v>569331.53290896118</v>
      </c>
      <c r="F10" s="3"/>
      <c r="G10" s="28"/>
      <c r="H10" s="10"/>
      <c r="I10" s="10">
        <f t="shared" si="5"/>
        <v>10119</v>
      </c>
      <c r="J10" s="10">
        <f t="shared" si="3"/>
        <v>493986979468.43652</v>
      </c>
      <c r="K10" s="11">
        <f t="shared" si="4"/>
        <v>1.1799999999999811E-2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48248434.992284887</v>
      </c>
      <c r="D11" s="11">
        <v>1.15E-2</v>
      </c>
      <c r="E11" s="10">
        <f t="shared" si="2"/>
        <v>548548.69244812429</v>
      </c>
      <c r="F11" s="3"/>
      <c r="G11" s="28"/>
      <c r="H11" s="10"/>
      <c r="I11" s="10">
        <f t="shared" si="5"/>
        <v>10119</v>
      </c>
      <c r="J11" s="10">
        <f t="shared" si="3"/>
        <v>488225913686.93079</v>
      </c>
      <c r="K11" s="11">
        <f t="shared" si="4"/>
        <v>1.1500000000000066E-2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47699886.299836762</v>
      </c>
      <c r="D12" s="11">
        <v>1.1599999999999999E-2</v>
      </c>
      <c r="E12" s="10">
        <f t="shared" si="2"/>
        <v>546973.78517013788</v>
      </c>
      <c r="F12" s="3"/>
      <c r="G12" s="28"/>
      <c r="H12" s="10"/>
      <c r="I12" s="10">
        <f t="shared" si="5"/>
        <v>10119</v>
      </c>
      <c r="J12" s="10">
        <f t="shared" si="3"/>
        <v>482675149468.04822</v>
      </c>
      <c r="K12" s="11">
        <f t="shared" si="4"/>
        <v>1.1600000000000277E-2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47152912.514666624</v>
      </c>
      <c r="D13" s="11">
        <v>1.2E-2</v>
      </c>
      <c r="E13" s="10">
        <f t="shared" si="2"/>
        <v>559125.44483794272</v>
      </c>
      <c r="F13" s="3"/>
      <c r="G13" s="28"/>
      <c r="H13" s="10"/>
      <c r="I13" s="10">
        <f t="shared" si="5"/>
        <v>10119</v>
      </c>
      <c r="J13" s="10">
        <f t="shared" si="3"/>
        <v>477140321735.91156</v>
      </c>
      <c r="K13" s="11">
        <f t="shared" si="4"/>
        <v>1.2000000000000011E-2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46593787.069828682</v>
      </c>
      <c r="D14" s="11">
        <v>1.24E-2</v>
      </c>
      <c r="E14" s="10">
        <f t="shared" si="2"/>
        <v>570686.44771421701</v>
      </c>
      <c r="F14" s="3"/>
      <c r="G14" s="28"/>
      <c r="H14" s="10"/>
      <c r="I14" s="10">
        <f t="shared" si="5"/>
        <v>10119</v>
      </c>
      <c r="J14" s="10">
        <f t="shared" si="3"/>
        <v>471482531359.59644</v>
      </c>
      <c r="K14" s="11">
        <f t="shared" si="4"/>
        <v>1.2399999999999967E-2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46023100.622114465</v>
      </c>
      <c r="D15" s="11">
        <v>1.29E-2</v>
      </c>
      <c r="E15" s="10">
        <f t="shared" si="2"/>
        <v>586136.83288110793</v>
      </c>
      <c r="F15" s="3"/>
      <c r="G15" s="28"/>
      <c r="H15" s="10"/>
      <c r="I15" s="10">
        <f t="shared" si="5"/>
        <v>10119</v>
      </c>
      <c r="J15" s="10">
        <f t="shared" si="3"/>
        <v>465707755195.17627</v>
      </c>
      <c r="K15" s="11">
        <f t="shared" si="4"/>
        <v>1.2899999999999912E-2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45436963.789233357</v>
      </c>
      <c r="D16" s="11">
        <v>1.38E-2</v>
      </c>
      <c r="E16" s="10">
        <f t="shared" si="2"/>
        <v>618494.87107064575</v>
      </c>
      <c r="F16" s="3"/>
      <c r="G16" s="28"/>
      <c r="H16" s="10"/>
      <c r="I16" s="10">
        <f t="shared" si="5"/>
        <v>10119</v>
      </c>
      <c r="J16" s="10">
        <f t="shared" si="3"/>
        <v>459776636583.25232</v>
      </c>
      <c r="K16" s="11">
        <f t="shared" si="4"/>
        <v>1.3800000000000034E-2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44818468.918162711</v>
      </c>
      <c r="D17" s="11">
        <v>1.52E-2</v>
      </c>
      <c r="E17" s="10">
        <f t="shared" si="2"/>
        <v>671040.90578810126</v>
      </c>
      <c r="F17" s="3"/>
      <c r="G17" s="28"/>
      <c r="H17" s="10"/>
      <c r="I17" s="10">
        <f t="shared" si="5"/>
        <v>10119</v>
      </c>
      <c r="J17" s="10">
        <f t="shared" si="3"/>
        <v>453518086982.88849</v>
      </c>
      <c r="K17" s="11">
        <f t="shared" si="4"/>
        <v>1.5200000000000102E-2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44147428.01237461</v>
      </c>
      <c r="D18" s="11">
        <v>1.6899999999999998E-2</v>
      </c>
      <c r="E18" s="10">
        <f t="shared" si="2"/>
        <v>733692.13630556315</v>
      </c>
      <c r="F18" s="3"/>
      <c r="G18" s="28"/>
      <c r="H18" s="10"/>
      <c r="I18" s="10">
        <f t="shared" si="5"/>
        <v>10119</v>
      </c>
      <c r="J18" s="10">
        <f t="shared" si="3"/>
        <v>446727824057.21869</v>
      </c>
      <c r="K18" s="11">
        <f t="shared" si="4"/>
        <v>1.6899999999999915E-2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43413735.876069047</v>
      </c>
      <c r="D19" s="11">
        <v>1.84E-2</v>
      </c>
      <c r="E19" s="10">
        <f t="shared" si="2"/>
        <v>784380.14544350654</v>
      </c>
      <c r="F19" s="3"/>
      <c r="G19" s="28"/>
      <c r="H19" s="10"/>
      <c r="I19" s="10">
        <f t="shared" si="5"/>
        <v>10119</v>
      </c>
      <c r="J19" s="10">
        <f t="shared" si="3"/>
        <v>439303593329.94269</v>
      </c>
      <c r="K19" s="11">
        <f t="shared" si="4"/>
        <v>1.8399999999999972E-2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42629355.73062554</v>
      </c>
      <c r="D20" s="11">
        <v>1.9300000000000001E-2</v>
      </c>
      <c r="E20" s="10">
        <f t="shared" si="2"/>
        <v>807168.21897485852</v>
      </c>
      <c r="F20" s="3"/>
      <c r="G20" s="28"/>
      <c r="H20" s="10"/>
      <c r="I20" s="10">
        <f t="shared" si="5"/>
        <v>10119</v>
      </c>
      <c r="J20" s="10">
        <f t="shared" si="3"/>
        <v>431366450638.19983</v>
      </c>
      <c r="K20" s="11">
        <f t="shared" si="4"/>
        <v>1.9299999999999873E-2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41822187.511650681</v>
      </c>
      <c r="D21" s="11">
        <v>1.95E-2</v>
      </c>
      <c r="E21" s="10">
        <f t="shared" si="2"/>
        <v>799933.94455830753</v>
      </c>
      <c r="F21" s="3"/>
      <c r="G21" s="28"/>
      <c r="H21" s="10"/>
      <c r="I21" s="10">
        <f t="shared" si="5"/>
        <v>10119</v>
      </c>
      <c r="J21" s="10">
        <f t="shared" si="3"/>
        <v>423198715430.39325</v>
      </c>
      <c r="K21" s="11">
        <f t="shared" si="4"/>
        <v>1.9500000000000295E-2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41022253.567092374</v>
      </c>
      <c r="D22" s="11">
        <v>1.9599999999999999E-2</v>
      </c>
      <c r="E22" s="10">
        <f t="shared" si="2"/>
        <v>788580.00187820196</v>
      </c>
      <c r="F22" s="3"/>
      <c r="G22" s="28"/>
      <c r="H22" s="10"/>
      <c r="I22" s="10">
        <f t="shared" si="5"/>
        <v>10119</v>
      </c>
      <c r="J22" s="10">
        <f t="shared" si="3"/>
        <v>415104183845.40771</v>
      </c>
      <c r="K22" s="11">
        <f t="shared" si="4"/>
        <v>1.9600000000000062E-2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40233673.565214172</v>
      </c>
      <c r="D23" s="11">
        <v>1.9900000000000001E-2</v>
      </c>
      <c r="E23" s="10">
        <f t="shared" si="2"/>
        <v>785028.04583563656</v>
      </c>
      <c r="F23" s="3"/>
      <c r="G23" s="28"/>
      <c r="H23" s="10"/>
      <c r="I23" s="10">
        <f t="shared" si="5"/>
        <v>10119</v>
      </c>
      <c r="J23" s="10">
        <f t="shared" si="3"/>
        <v>407124542806.40222</v>
      </c>
      <c r="K23" s="11">
        <f t="shared" si="4"/>
        <v>1.9900000000000029E-2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39448645.519378535</v>
      </c>
      <c r="D24" s="11">
        <v>2.0299999999999999E-2</v>
      </c>
      <c r="E24" s="10">
        <f t="shared" si="2"/>
        <v>784874.55066488683</v>
      </c>
      <c r="F24" s="3"/>
      <c r="G24" s="28"/>
      <c r="H24" s="10"/>
      <c r="I24" s="10">
        <f t="shared" si="5"/>
        <v>10119</v>
      </c>
      <c r="J24" s="10">
        <f t="shared" si="3"/>
        <v>399180844010.59143</v>
      </c>
      <c r="K24" s="11">
        <f t="shared" si="4"/>
        <v>2.0300000000000207E-2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38663770.968713649</v>
      </c>
      <c r="D25" s="11">
        <v>2.06E-2</v>
      </c>
      <c r="E25" s="10">
        <f t="shared" si="2"/>
        <v>780397.4935875982</v>
      </c>
      <c r="F25" s="3"/>
      <c r="G25" s="28"/>
      <c r="H25" s="10"/>
      <c r="I25" s="10">
        <f t="shared" si="5"/>
        <v>10119</v>
      </c>
      <c r="J25" s="10">
        <f t="shared" si="3"/>
        <v>391238698432.41339</v>
      </c>
      <c r="K25" s="11">
        <f t="shared" si="4"/>
        <v>2.0600000000000174E-2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37883373.47512605</v>
      </c>
      <c r="D26" s="11">
        <v>2.0799999999999999E-2</v>
      </c>
      <c r="E26" s="10">
        <f t="shared" si="2"/>
        <v>771918.26830194145</v>
      </c>
      <c r="F26" s="3"/>
      <c r="G26" s="28"/>
      <c r="H26" s="10"/>
      <c r="I26" s="10">
        <f t="shared" si="5"/>
        <v>10119</v>
      </c>
      <c r="J26" s="10">
        <f t="shared" si="3"/>
        <v>383341856194.80048</v>
      </c>
      <c r="K26" s="11">
        <f t="shared" si="4"/>
        <v>2.079999999999993E-2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37111455.206824109</v>
      </c>
      <c r="D27" s="11">
        <v>2.0899999999999998E-2</v>
      </c>
      <c r="E27" s="10">
        <f t="shared" si="2"/>
        <v>759750.62574455887</v>
      </c>
      <c r="F27" s="3"/>
      <c r="G27" s="28"/>
      <c r="H27" s="10"/>
      <c r="I27" s="10">
        <f t="shared" si="5"/>
        <v>10119</v>
      </c>
      <c r="J27" s="10">
        <f t="shared" si="3"/>
        <v>375530815237.85315</v>
      </c>
      <c r="K27" s="11">
        <f t="shared" si="4"/>
        <v>2.0899999999999919E-2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36351704.58107955</v>
      </c>
      <c r="D28" s="11">
        <v>2.1000000000000001E-2</v>
      </c>
      <c r="E28" s="10">
        <f t="shared" si="2"/>
        <v>747684.42331308872</v>
      </c>
      <c r="F28" s="3"/>
      <c r="G28" s="28"/>
      <c r="H28" s="10"/>
      <c r="I28" s="10">
        <f t="shared" si="5"/>
        <v>10119</v>
      </c>
      <c r="J28" s="10">
        <f t="shared" si="3"/>
        <v>367842898655.94397</v>
      </c>
      <c r="K28" s="11">
        <f t="shared" si="4"/>
        <v>2.0999999999999686E-2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35604020.157766461</v>
      </c>
      <c r="D29" s="11">
        <v>2.12E-2</v>
      </c>
      <c r="E29" s="10">
        <f t="shared" si="2"/>
        <v>739135.55360815674</v>
      </c>
      <c r="F29" s="3"/>
      <c r="G29" s="28"/>
      <c r="H29" s="10"/>
      <c r="I29" s="10">
        <f t="shared" si="5"/>
        <v>10119</v>
      </c>
      <c r="J29" s="10">
        <f t="shared" si="3"/>
        <v>360277079976.43884</v>
      </c>
      <c r="K29" s="11">
        <f t="shared" si="4"/>
        <v>2.1200000000000108E-2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34864884.604158305</v>
      </c>
      <c r="D30" s="11">
        <v>2.1299999999999999E-2</v>
      </c>
      <c r="E30" s="10">
        <f t="shared" si="2"/>
        <v>727134.08603601158</v>
      </c>
      <c r="F30" s="3"/>
      <c r="G30" s="28"/>
      <c r="H30" s="10"/>
      <c r="I30" s="10">
        <f t="shared" si="5"/>
        <v>10119</v>
      </c>
      <c r="J30" s="10">
        <f t="shared" si="3"/>
        <v>352797767309.47791</v>
      </c>
      <c r="K30" s="11">
        <f t="shared" si="4"/>
        <v>2.1300000000000319E-2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34137750.518122293</v>
      </c>
      <c r="D31" s="11">
        <v>2.1299999999999999E-2</v>
      </c>
      <c r="E31" s="10">
        <f t="shared" si="2"/>
        <v>711969.14328405634</v>
      </c>
      <c r="F31" s="3"/>
      <c r="G31" s="28"/>
      <c r="H31" s="10"/>
      <c r="I31" s="10">
        <f t="shared" si="5"/>
        <v>10119</v>
      </c>
      <c r="J31" s="10">
        <f t="shared" si="3"/>
        <v>345439897492.87946</v>
      </c>
      <c r="K31" s="11">
        <f t="shared" si="4"/>
        <v>2.1300000000000097E-2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33425781.374838237</v>
      </c>
      <c r="D32" s="11">
        <v>2.12E-2</v>
      </c>
      <c r="E32" s="10">
        <f t="shared" si="2"/>
        <v>693915.55537267402</v>
      </c>
      <c r="F32" s="3"/>
      <c r="G32" s="28"/>
      <c r="H32" s="10"/>
      <c r="I32" s="10">
        <f t="shared" si="5"/>
        <v>10119</v>
      </c>
      <c r="J32" s="10">
        <f t="shared" si="3"/>
        <v>338235481731.9881</v>
      </c>
      <c r="K32" s="11">
        <f t="shared" si="4"/>
        <v>2.1199999999999886E-2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32731865.819465563</v>
      </c>
      <c r="D33" s="11">
        <v>2.1100000000000001E-2</v>
      </c>
      <c r="E33" s="10">
        <f t="shared" si="2"/>
        <v>676370.94191628695</v>
      </c>
      <c r="F33" s="3"/>
      <c r="G33" s="28"/>
      <c r="H33" s="10"/>
      <c r="I33" s="10">
        <f t="shared" si="5"/>
        <v>10119</v>
      </c>
      <c r="J33" s="10">
        <f t="shared" si="3"/>
        <v>331213750227.17206</v>
      </c>
      <c r="K33" s="11">
        <f t="shared" si="4"/>
        <v>2.1099999999999897E-2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32055494.877549276</v>
      </c>
      <c r="D34" s="11">
        <v>2.12E-2</v>
      </c>
      <c r="E34" s="10">
        <f t="shared" si="2"/>
        <v>665468.55797497928</v>
      </c>
      <c r="F34" s="3"/>
      <c r="G34" s="28"/>
      <c r="H34" s="10"/>
      <c r="I34" s="10">
        <f t="shared" si="5"/>
        <v>10119</v>
      </c>
      <c r="J34" s="10">
        <f t="shared" ref="J34:J65" si="6">IF(I34="","",I34*C34)</f>
        <v>324369552665.92114</v>
      </c>
      <c r="K34" s="11">
        <f t="shared" ref="K34:K65" si="7">IFERROR(J34/J35-1,"")</f>
        <v>2.120000000000033E-2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31390026.319574296</v>
      </c>
      <c r="D35" s="11">
        <v>2.18E-2</v>
      </c>
      <c r="E35" s="10">
        <f t="shared" si="2"/>
        <v>669703.04733482003</v>
      </c>
      <c r="F35" s="3"/>
      <c r="G35" s="28"/>
      <c r="H35" s="10"/>
      <c r="I35" s="10">
        <f t="shared" ref="I35:I66" si="8">IF(H35&lt;&gt;"",H35,I34/(1+IF(G34="",0,G34)/100))</f>
        <v>10119</v>
      </c>
      <c r="J35" s="10">
        <f t="shared" si="6"/>
        <v>317635676327.77228</v>
      </c>
      <c r="K35" s="11">
        <f t="shared" si="7"/>
        <v>2.179999999999982E-2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30720323.272239476</v>
      </c>
      <c r="D36" s="11">
        <v>2.2800000000000001E-2</v>
      </c>
      <c r="E36" s="10">
        <f t="shared" si="2"/>
        <v>684809.70923646539</v>
      </c>
      <c r="F36" s="3"/>
      <c r="G36" s="28"/>
      <c r="H36" s="10"/>
      <c r="I36" s="10">
        <f t="shared" si="8"/>
        <v>10119</v>
      </c>
      <c r="J36" s="10">
        <f t="shared" si="6"/>
        <v>310858951191.79126</v>
      </c>
      <c r="K36" s="11">
        <f t="shared" si="7"/>
        <v>2.2799999999999931E-2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30035513.563003011</v>
      </c>
      <c r="D37" s="11">
        <v>2.3900000000000001E-2</v>
      </c>
      <c r="E37" s="10">
        <f t="shared" si="2"/>
        <v>701092.65959153697</v>
      </c>
      <c r="F37" s="3"/>
      <c r="G37" s="28"/>
      <c r="H37" s="10"/>
      <c r="I37" s="10">
        <f t="shared" si="8"/>
        <v>10119</v>
      </c>
      <c r="J37" s="10">
        <f t="shared" si="6"/>
        <v>303929361744.02747</v>
      </c>
      <c r="K37" s="11">
        <f t="shared" si="7"/>
        <v>2.3900000000000032E-2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29334420.903411474</v>
      </c>
      <c r="D38" s="11">
        <v>2.5000000000000001E-2</v>
      </c>
      <c r="E38" s="10">
        <f t="shared" si="2"/>
        <v>715473.68057100847</v>
      </c>
      <c r="F38" s="3"/>
      <c r="G38" s="28"/>
      <c r="H38" s="10"/>
      <c r="I38" s="10">
        <f t="shared" si="8"/>
        <v>10119</v>
      </c>
      <c r="J38" s="10">
        <f t="shared" si="6"/>
        <v>296835005121.62073</v>
      </c>
      <c r="K38" s="11">
        <f t="shared" si="7"/>
        <v>2.4999999999999911E-2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28618947.222840466</v>
      </c>
      <c r="D39" s="11">
        <v>2.5899999999999999E-2</v>
      </c>
      <c r="E39" s="10">
        <f t="shared" si="2"/>
        <v>722517.52906868979</v>
      </c>
      <c r="F39" s="3"/>
      <c r="G39" s="28"/>
      <c r="H39" s="10"/>
      <c r="I39" s="10">
        <f t="shared" si="8"/>
        <v>10119</v>
      </c>
      <c r="J39" s="10">
        <f t="shared" si="6"/>
        <v>289595126947.92267</v>
      </c>
      <c r="K39" s="11">
        <f t="shared" si="7"/>
        <v>2.5900000000000034E-2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27896429.693771776</v>
      </c>
      <c r="D40" s="11">
        <v>2.6800000000000001E-2</v>
      </c>
      <c r="E40" s="10">
        <f t="shared" si="2"/>
        <v>728110.94253319129</v>
      </c>
      <c r="F40" s="3"/>
      <c r="G40" s="28"/>
      <c r="H40" s="10"/>
      <c r="I40" s="10">
        <f t="shared" si="8"/>
        <v>10119</v>
      </c>
      <c r="J40" s="10">
        <f t="shared" si="6"/>
        <v>282283972071.27661</v>
      </c>
      <c r="K40" s="11">
        <f t="shared" si="7"/>
        <v>2.6799999999999935E-2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27168318.751238585</v>
      </c>
      <c r="D41" s="11">
        <v>2.7799999999999998E-2</v>
      </c>
      <c r="E41" s="10">
        <f t="shared" si="2"/>
        <v>734850.4196190238</v>
      </c>
      <c r="F41" s="3"/>
      <c r="G41" s="28"/>
      <c r="H41" s="10"/>
      <c r="I41" s="10">
        <f t="shared" si="8"/>
        <v>10119</v>
      </c>
      <c r="J41" s="10">
        <f t="shared" si="6"/>
        <v>274916217443.78326</v>
      </c>
      <c r="K41" s="11">
        <f t="shared" si="7"/>
        <v>2.7800000000000047E-2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26433468.331619561</v>
      </c>
      <c r="D42" s="11">
        <v>2.86E-2</v>
      </c>
      <c r="E42" s="10">
        <f t="shared" si="2"/>
        <v>734976.85619708151</v>
      </c>
      <c r="F42" s="3"/>
      <c r="G42" s="28"/>
      <c r="H42" s="10"/>
      <c r="I42" s="10">
        <f t="shared" si="8"/>
        <v>10119</v>
      </c>
      <c r="J42" s="10">
        <f t="shared" si="6"/>
        <v>267480266047.65833</v>
      </c>
      <c r="K42" s="11">
        <f t="shared" si="7"/>
        <v>2.8599999999999959E-2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25698491.475422479</v>
      </c>
      <c r="D43" s="11">
        <v>2.93E-2</v>
      </c>
      <c r="E43" s="10">
        <f t="shared" si="2"/>
        <v>731531.91511695459</v>
      </c>
      <c r="F43" s="3"/>
      <c r="G43" s="28"/>
      <c r="H43" s="10"/>
      <c r="I43" s="10">
        <f t="shared" si="8"/>
        <v>10119</v>
      </c>
      <c r="J43" s="10">
        <f t="shared" si="6"/>
        <v>260043035239.80008</v>
      </c>
      <c r="K43" s="11">
        <f t="shared" si="7"/>
        <v>2.9300000000000104E-2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24966959.560305525</v>
      </c>
      <c r="D44" s="11">
        <v>2.9899999999999999E-2</v>
      </c>
      <c r="E44" s="10">
        <f t="shared" si="2"/>
        <v>724839.39300236478</v>
      </c>
      <c r="F44" s="3"/>
      <c r="G44" s="28"/>
      <c r="H44" s="10"/>
      <c r="I44" s="10">
        <f t="shared" si="8"/>
        <v>10119</v>
      </c>
      <c r="J44" s="10">
        <f t="shared" si="6"/>
        <v>252640663790.7316</v>
      </c>
      <c r="K44" s="11">
        <f t="shared" si="7"/>
        <v>2.9900000000000038E-2</v>
      </c>
      <c r="L44" t="s">
        <v>145</v>
      </c>
      <c r="M44" t="s">
        <v>146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24242120.16730316</v>
      </c>
      <c r="D45" s="11">
        <v>3.0300000000000001E-2</v>
      </c>
      <c r="E45" s="10">
        <f t="shared" si="2"/>
        <v>712934.33084469289</v>
      </c>
      <c r="F45" s="3"/>
      <c r="G45" s="28"/>
      <c r="H45" s="10"/>
      <c r="I45" s="10">
        <f t="shared" si="8"/>
        <v>10119</v>
      </c>
      <c r="J45" s="10">
        <f t="shared" si="6"/>
        <v>245306013972.94067</v>
      </c>
      <c r="K45" s="11">
        <f t="shared" si="7"/>
        <v>3.0299999999999994E-2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23529185.836458467</v>
      </c>
      <c r="D46" s="11">
        <v>3.0700000000000002E-2</v>
      </c>
      <c r="E46" s="10">
        <f t="shared" si="2"/>
        <v>700830.50856629014</v>
      </c>
      <c r="F46" s="3"/>
      <c r="G46" s="28"/>
      <c r="H46" s="10"/>
      <c r="I46" s="10">
        <f t="shared" si="8"/>
        <v>10119</v>
      </c>
      <c r="J46" s="10">
        <f t="shared" si="6"/>
        <v>238091831479.12323</v>
      </c>
      <c r="K46" s="11">
        <f t="shared" si="7"/>
        <v>3.069999999999995E-2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22828355.327892177</v>
      </c>
      <c r="D47" s="11">
        <v>3.1099999999999999E-2</v>
      </c>
      <c r="E47" s="10">
        <f t="shared" si="2"/>
        <v>688548.00765924156</v>
      </c>
      <c r="F47" s="3"/>
      <c r="G47" s="28"/>
      <c r="H47" s="10"/>
      <c r="I47" s="10">
        <f t="shared" si="8"/>
        <v>10119</v>
      </c>
      <c r="J47" s="10">
        <f t="shared" si="6"/>
        <v>231000127562.94095</v>
      </c>
      <c r="K47" s="11">
        <f t="shared" si="7"/>
        <v>3.1099999999999905E-2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22139807.320232935</v>
      </c>
      <c r="D48" s="11">
        <v>3.1600000000000003E-2</v>
      </c>
      <c r="E48" s="10">
        <f t="shared" si="2"/>
        <v>678187.19592803717</v>
      </c>
      <c r="F48" s="3"/>
      <c r="G48" s="28"/>
      <c r="H48" s="10"/>
      <c r="I48" s="10">
        <f t="shared" si="8"/>
        <v>10119</v>
      </c>
      <c r="J48" s="10">
        <f t="shared" si="6"/>
        <v>224032710273.43707</v>
      </c>
      <c r="K48" s="11">
        <f t="shared" si="7"/>
        <v>3.1600000000000072E-2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21461620.124304898</v>
      </c>
      <c r="D49" s="11">
        <v>3.2099999999999997E-2</v>
      </c>
      <c r="E49" s="10">
        <f t="shared" si="2"/>
        <v>667491.52794320881</v>
      </c>
      <c r="F49" s="3"/>
      <c r="G49" s="28"/>
      <c r="H49" s="10"/>
      <c r="I49" s="10">
        <f t="shared" si="8"/>
        <v>10119</v>
      </c>
      <c r="J49" s="10">
        <f t="shared" si="6"/>
        <v>217170134037.84128</v>
      </c>
      <c r="K49" s="11">
        <f t="shared" si="7"/>
        <v>3.2100000000000017E-2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20794128.596361689</v>
      </c>
      <c r="D50" s="11">
        <v>3.2500000000000001E-2</v>
      </c>
      <c r="E50" s="10">
        <f t="shared" si="2"/>
        <v>654536.73547869548</v>
      </c>
      <c r="F50" s="3"/>
      <c r="G50" s="28"/>
      <c r="H50" s="10"/>
      <c r="I50" s="10">
        <f t="shared" si="8"/>
        <v>10119</v>
      </c>
      <c r="J50" s="10">
        <f t="shared" si="6"/>
        <v>210415787266.58392</v>
      </c>
      <c r="K50" s="11">
        <f t="shared" si="7"/>
        <v>3.2499999999999751E-2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20139591.860882994</v>
      </c>
      <c r="D51" s="11">
        <v>3.2599999999999997E-2</v>
      </c>
      <c r="E51" s="10">
        <f t="shared" si="2"/>
        <v>635822.86913111061</v>
      </c>
      <c r="F51" s="3"/>
      <c r="G51" s="28"/>
      <c r="H51" s="10"/>
      <c r="I51" s="10">
        <f t="shared" si="8"/>
        <v>10119</v>
      </c>
      <c r="J51" s="10">
        <f t="shared" si="6"/>
        <v>203792530040.27502</v>
      </c>
      <c r="K51" s="11">
        <f t="shared" si="7"/>
        <v>3.2600000000000184E-2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19503768.991751883</v>
      </c>
      <c r="D52" s="11">
        <v>3.2300000000000002E-2</v>
      </c>
      <c r="E52" s="10">
        <f t="shared" si="2"/>
        <v>610260.32978164032</v>
      </c>
      <c r="F52" s="3"/>
      <c r="G52" s="28"/>
      <c r="H52" s="10"/>
      <c r="I52" s="10">
        <f t="shared" si="8"/>
        <v>10119</v>
      </c>
      <c r="J52" s="10">
        <f t="shared" si="6"/>
        <v>197358638427.53729</v>
      </c>
      <c r="K52" s="11">
        <f t="shared" si="7"/>
        <v>3.2299999999999995E-2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18893508.661970243</v>
      </c>
      <c r="D53" s="11">
        <v>3.1600000000000003E-2</v>
      </c>
      <c r="E53" s="10">
        <f t="shared" si="2"/>
        <v>578746.48479862511</v>
      </c>
      <c r="F53" s="3"/>
      <c r="G53" s="28"/>
      <c r="H53" s="10"/>
      <c r="I53" s="10">
        <f t="shared" si="8"/>
        <v>10119</v>
      </c>
      <c r="J53" s="10">
        <f t="shared" si="6"/>
        <v>191183414150.4769</v>
      </c>
      <c r="K53" s="11">
        <f t="shared" si="7"/>
        <v>3.1600000000000295E-2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18314762.177171618</v>
      </c>
      <c r="D54" s="11">
        <v>3.0700000000000002E-2</v>
      </c>
      <c r="E54" s="10">
        <f t="shared" si="2"/>
        <v>545515.86187946796</v>
      </c>
      <c r="F54" s="3"/>
      <c r="G54" s="28"/>
      <c r="H54" s="10"/>
      <c r="I54" s="10">
        <f t="shared" si="8"/>
        <v>10119</v>
      </c>
      <c r="J54" s="10">
        <f t="shared" si="6"/>
        <v>185327078470.79959</v>
      </c>
      <c r="K54" s="11">
        <f t="shared" si="7"/>
        <v>3.069999999999995E-2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17769246.31529215</v>
      </c>
      <c r="D55" s="11">
        <v>2.98E-2</v>
      </c>
      <c r="E55" s="10">
        <f t="shared" si="2"/>
        <v>514200.36919373274</v>
      </c>
      <c r="F55" s="3"/>
      <c r="G55" s="28"/>
      <c r="H55" s="10"/>
      <c r="I55" s="10">
        <f t="shared" si="8"/>
        <v>10119</v>
      </c>
      <c r="J55" s="10">
        <f t="shared" si="6"/>
        <v>179807003464.44125</v>
      </c>
      <c r="K55" s="11">
        <f t="shared" si="7"/>
        <v>2.9799999999999827E-2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17255045.946098417</v>
      </c>
      <c r="D56" s="11">
        <v>2.8899999999999999E-2</v>
      </c>
      <c r="E56" s="10">
        <f t="shared" si="2"/>
        <v>484664.03716808558</v>
      </c>
      <c r="F56" s="3"/>
      <c r="G56" s="28"/>
      <c r="H56" s="10"/>
      <c r="I56" s="10">
        <f t="shared" si="8"/>
        <v>10119</v>
      </c>
      <c r="J56" s="10">
        <f t="shared" si="6"/>
        <v>174603809928.56989</v>
      </c>
      <c r="K56" s="11">
        <f t="shared" si="7"/>
        <v>2.8899999999999926E-2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16770381.908930331</v>
      </c>
      <c r="D57" s="11">
        <v>2.8299999999999999E-2</v>
      </c>
      <c r="E57" s="10">
        <f t="shared" si="2"/>
        <v>461540.21980232187</v>
      </c>
      <c r="F57" s="3"/>
      <c r="G57" s="28"/>
      <c r="H57" s="10"/>
      <c r="I57" s="10">
        <f t="shared" si="8"/>
        <v>10119</v>
      </c>
      <c r="J57" s="10">
        <f t="shared" si="6"/>
        <v>169699494536.46603</v>
      </c>
      <c r="K57" s="11">
        <f t="shared" si="7"/>
        <v>2.8299999999999992E-2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16308841.68912801</v>
      </c>
      <c r="D58" s="11">
        <v>2.7900000000000001E-2</v>
      </c>
      <c r="E58" s="10">
        <f t="shared" si="2"/>
        <v>442666.29353699088</v>
      </c>
      <c r="F58" s="3"/>
      <c r="G58" s="28"/>
      <c r="H58" s="10"/>
      <c r="I58" s="10">
        <f t="shared" si="8"/>
        <v>10119</v>
      </c>
      <c r="J58" s="10">
        <f t="shared" si="6"/>
        <v>165029169052.28632</v>
      </c>
      <c r="K58" s="11">
        <f t="shared" si="7"/>
        <v>2.7900000000000036E-2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15866175.395591019</v>
      </c>
      <c r="D59" s="11">
        <v>2.7699999999999999E-2</v>
      </c>
      <c r="E59" s="10">
        <f t="shared" si="2"/>
        <v>427647.23018183559</v>
      </c>
      <c r="F59" s="3"/>
      <c r="G59" s="28"/>
      <c r="H59" s="10"/>
      <c r="I59" s="10">
        <f t="shared" si="8"/>
        <v>10119</v>
      </c>
      <c r="J59" s="10">
        <f t="shared" si="6"/>
        <v>160549828827.9855</v>
      </c>
      <c r="K59" s="11">
        <f t="shared" si="7"/>
        <v>2.7700000000000058E-2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15438528.165409183</v>
      </c>
      <c r="D60" s="11">
        <v>2.75E-2</v>
      </c>
      <c r="E60" s="10">
        <f t="shared" si="2"/>
        <v>413196.61756569706</v>
      </c>
      <c r="F60" s="3"/>
      <c r="G60" s="28"/>
      <c r="H60" s="10"/>
      <c r="I60" s="10">
        <f t="shared" si="8"/>
        <v>10119</v>
      </c>
      <c r="J60" s="10">
        <f t="shared" si="6"/>
        <v>156222466505.77551</v>
      </c>
      <c r="K60" s="11">
        <f t="shared" si="7"/>
        <v>2.750000000000008E-2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15025331.547843486</v>
      </c>
      <c r="D61" s="11">
        <v>2.7199999999999998E-2</v>
      </c>
      <c r="E61" s="10">
        <f t="shared" si="2"/>
        <v>397867.03475597873</v>
      </c>
      <c r="F61" s="3"/>
      <c r="G61" s="28"/>
      <c r="H61" s="10"/>
      <c r="I61" s="10">
        <f t="shared" si="8"/>
        <v>10119</v>
      </c>
      <c r="J61" s="10">
        <f t="shared" si="6"/>
        <v>152041329932.62823</v>
      </c>
      <c r="K61" s="11">
        <f t="shared" si="7"/>
        <v>2.7199999999999891E-2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14627464.513087507</v>
      </c>
      <c r="D62" s="11">
        <v>2.6800000000000001E-2</v>
      </c>
      <c r="E62" s="10">
        <f t="shared" si="2"/>
        <v>381784.23154532909</v>
      </c>
      <c r="F62" s="3"/>
      <c r="G62" s="28"/>
      <c r="H62" s="10"/>
      <c r="I62" s="10">
        <f t="shared" si="8"/>
        <v>10119</v>
      </c>
      <c r="J62" s="10">
        <f t="shared" si="6"/>
        <v>148015313407.9325</v>
      </c>
      <c r="K62" s="11">
        <f t="shared" si="7"/>
        <v>2.6799999999999935E-2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14245680.281542178</v>
      </c>
      <c r="D63" s="11">
        <v>2.64E-2</v>
      </c>
      <c r="E63" s="10">
        <f t="shared" si="2"/>
        <v>366412.66507473961</v>
      </c>
      <c r="F63" s="3"/>
      <c r="G63" s="28"/>
      <c r="H63" s="10"/>
      <c r="I63" s="10">
        <f t="shared" si="8"/>
        <v>10119</v>
      </c>
      <c r="J63" s="10">
        <f t="shared" si="6"/>
        <v>144152038768.92529</v>
      </c>
      <c r="K63" s="11">
        <f t="shared" si="7"/>
        <v>2.6399999999999979E-2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13879267.616467439</v>
      </c>
      <c r="D64" s="11">
        <v>2.58E-2</v>
      </c>
      <c r="E64" s="10">
        <f t="shared" si="2"/>
        <v>349078.86966744065</v>
      </c>
      <c r="F64" s="3"/>
      <c r="G64" s="28"/>
      <c r="H64" s="10"/>
      <c r="I64" s="10">
        <f t="shared" si="8"/>
        <v>10119</v>
      </c>
      <c r="J64" s="10">
        <f t="shared" si="6"/>
        <v>140444309011.034</v>
      </c>
      <c r="K64" s="11">
        <f t="shared" si="7"/>
        <v>2.5799999999999823E-2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13530188.746799998</v>
      </c>
      <c r="D65" s="11">
        <v>2.52E-2</v>
      </c>
      <c r="E65" s="10">
        <f t="shared" si="2"/>
        <v>332579.74679999799</v>
      </c>
      <c r="F65" s="3"/>
      <c r="G65" s="28"/>
      <c r="H65" s="10"/>
      <c r="I65" s="10">
        <f t="shared" si="8"/>
        <v>10119</v>
      </c>
      <c r="J65" s="10">
        <f t="shared" si="6"/>
        <v>136911979928.86919</v>
      </c>
      <c r="K65" s="11">
        <f t="shared" si="7"/>
        <v>2.5199999999999889E-2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13197609</v>
      </c>
      <c r="D66" s="11">
        <v>2.4500000000000001E-2</v>
      </c>
      <c r="E66" s="10">
        <f t="shared" si="2"/>
        <v>315609</v>
      </c>
      <c r="F66" s="24">
        <f>SUM(F2)</f>
        <v>53302916</v>
      </c>
      <c r="G66" s="28"/>
      <c r="H66" s="10"/>
      <c r="I66" s="10">
        <f t="shared" si="8"/>
        <v>10119</v>
      </c>
      <c r="J66" s="10">
        <f t="shared" ref="J66:J67" si="9">IF(I66="","",I66*C66)</f>
        <v>133546605471</v>
      </c>
      <c r="K66" s="11">
        <f t="shared" ref="K66" si="10">IFERROR(J66/J67-1,"")</f>
        <v>2.4499999999999966E-2</v>
      </c>
    </row>
    <row r="67" spans="1:11" ht="22.5" customHeight="1">
      <c r="A67" s="3">
        <f t="shared" si="0"/>
        <v>1950</v>
      </c>
      <c r="B67" s="3">
        <v>1700</v>
      </c>
      <c r="C67" s="10">
        <v>12882000</v>
      </c>
      <c r="D67" s="11">
        <v>2.3900000000000001E-2</v>
      </c>
      <c r="E67" s="3" t="s">
        <v>72</v>
      </c>
      <c r="F67" s="10">
        <f>SUM(C2)</f>
        <v>53303587.228047103</v>
      </c>
      <c r="G67" s="28"/>
      <c r="H67" s="10"/>
      <c r="I67" s="10">
        <f t="shared" ref="I67" si="11">IF(H67&lt;&gt;"",H67,I66/(1+IF(G66="",0,G66)/100))</f>
        <v>10119</v>
      </c>
      <c r="J67" s="10">
        <f t="shared" si="9"/>
        <v>130352958000</v>
      </c>
      <c r="K67" s="11"/>
    </row>
  </sheetData>
  <dataValidations count="1">
    <dataValidation type="custom" allowBlank="1" showDropDown="1" sqref="D2:D67" xr:uid="{00000000-0002-0000-9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69480800.687140256</v>
      </c>
      <c r="D2" s="11">
        <v>4.5999999999999999E-3</v>
      </c>
      <c r="E2" s="10">
        <f t="shared" ref="E2:E66" si="2">SUM(C2-C3)</f>
        <v>318148.20143423975</v>
      </c>
      <c r="F2" s="15">
        <v>69480631</v>
      </c>
      <c r="G2" s="28"/>
      <c r="H2" s="10"/>
      <c r="I2" s="10">
        <f>IF(H2&lt;&gt;"",H2,22302)</f>
        <v>22302</v>
      </c>
      <c r="J2" s="10">
        <f t="shared" ref="J2:J33" si="3">IF(I2="","",I2*C2)</f>
        <v>1549560816924.6021</v>
      </c>
      <c r="K2" s="11">
        <f t="shared" ref="K2:K33" si="4">IFERROR(J2/J3-1,"")</f>
        <v>4.5999999999999375E-3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69162652.485706016</v>
      </c>
      <c r="D3" s="11">
        <v>4.4000000000000003E-3</v>
      </c>
      <c r="E3" s="10">
        <f t="shared" si="2"/>
        <v>302982.547727108</v>
      </c>
      <c r="F3" s="3"/>
      <c r="G3" s="28"/>
      <c r="H3" s="10"/>
      <c r="I3" s="10">
        <f t="shared" ref="I3:I34" si="5">IF(H3&lt;&gt;"",H3,I2/(1+IF(G2="",0,G2)/100))</f>
        <v>22302</v>
      </c>
      <c r="J3" s="10">
        <f t="shared" si="3"/>
        <v>1542465475736.2156</v>
      </c>
      <c r="K3" s="11">
        <f t="shared" si="4"/>
        <v>4.3999999999999595E-3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68859669.937978908</v>
      </c>
      <c r="D4" s="11">
        <v>3.0999999999999999E-3</v>
      </c>
      <c r="E4" s="10">
        <f t="shared" si="2"/>
        <v>212805.28043837845</v>
      </c>
      <c r="F4" s="3"/>
      <c r="G4" s="28"/>
      <c r="H4" s="10"/>
      <c r="I4" s="10">
        <f t="shared" si="5"/>
        <v>22302</v>
      </c>
      <c r="J4" s="10">
        <f t="shared" si="3"/>
        <v>1535708358956.8057</v>
      </c>
      <c r="K4" s="11">
        <f t="shared" si="4"/>
        <v>3.1000000000001027E-3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68646864.65754053</v>
      </c>
      <c r="D5" s="11">
        <v>3.0999999999999999E-3</v>
      </c>
      <c r="E5" s="10">
        <f t="shared" si="2"/>
        <v>212147.62280768156</v>
      </c>
      <c r="F5" s="3"/>
      <c r="G5" s="28"/>
      <c r="H5" s="10"/>
      <c r="I5" s="10">
        <f t="shared" si="5"/>
        <v>22302</v>
      </c>
      <c r="J5" s="10">
        <f t="shared" si="3"/>
        <v>1530962375592.469</v>
      </c>
      <c r="K5" s="11">
        <f t="shared" si="4"/>
        <v>3.1000000000001027E-3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68434717.034732848</v>
      </c>
      <c r="D6" s="11">
        <v>4.7000000000000002E-3</v>
      </c>
      <c r="E6" s="10">
        <f t="shared" si="2"/>
        <v>320138.51902382076</v>
      </c>
      <c r="F6" s="3"/>
      <c r="G6" s="28"/>
      <c r="H6" s="10"/>
      <c r="I6" s="10">
        <f t="shared" si="5"/>
        <v>22302</v>
      </c>
      <c r="J6" s="10">
        <f t="shared" si="3"/>
        <v>1526231059308.6121</v>
      </c>
      <c r="K6" s="11">
        <f t="shared" si="4"/>
        <v>4.6999999999999265E-3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68114578.515709028</v>
      </c>
      <c r="D7" s="11">
        <v>4.7999999999999996E-3</v>
      </c>
      <c r="E7" s="10">
        <f t="shared" si="2"/>
        <v>325388.11392854154</v>
      </c>
      <c r="F7" s="3"/>
      <c r="G7" s="28"/>
      <c r="H7" s="10"/>
      <c r="I7" s="10">
        <f t="shared" si="5"/>
        <v>22302</v>
      </c>
      <c r="J7" s="10">
        <f t="shared" si="3"/>
        <v>1519091330057.3428</v>
      </c>
      <c r="K7" s="11">
        <f t="shared" si="4"/>
        <v>4.7999999999999154E-3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67789190.401780486</v>
      </c>
      <c r="D8" s="11">
        <v>4.5999999999999999E-3</v>
      </c>
      <c r="E8" s="10">
        <f t="shared" si="2"/>
        <v>310402.42469459772</v>
      </c>
      <c r="F8" s="3"/>
      <c r="G8" s="28"/>
      <c r="H8" s="10"/>
      <c r="I8" s="10">
        <f t="shared" si="5"/>
        <v>22302</v>
      </c>
      <c r="J8" s="10">
        <f t="shared" si="3"/>
        <v>1511834524340.5083</v>
      </c>
      <c r="K8" s="11">
        <f t="shared" si="4"/>
        <v>4.5999999999999375E-3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67478787.977085888</v>
      </c>
      <c r="D9" s="11">
        <v>4.3E-3</v>
      </c>
      <c r="E9" s="10">
        <f t="shared" si="2"/>
        <v>288916.44757688046</v>
      </c>
      <c r="F9" s="3"/>
      <c r="G9" s="28"/>
      <c r="H9" s="10"/>
      <c r="I9" s="10">
        <f t="shared" si="5"/>
        <v>22302</v>
      </c>
      <c r="J9" s="10">
        <f t="shared" si="3"/>
        <v>1504911929464.9695</v>
      </c>
      <c r="K9" s="11">
        <f t="shared" si="4"/>
        <v>4.2999999999999705E-3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67189871.529509008</v>
      </c>
      <c r="D10" s="11">
        <v>1.6000000000000001E-3</v>
      </c>
      <c r="E10" s="10">
        <f t="shared" si="2"/>
        <v>107332.0631461814</v>
      </c>
      <c r="F10" s="3"/>
      <c r="G10" s="28"/>
      <c r="H10" s="10"/>
      <c r="I10" s="10">
        <f t="shared" si="5"/>
        <v>22302</v>
      </c>
      <c r="J10" s="10">
        <f t="shared" si="3"/>
        <v>1498468514851.1099</v>
      </c>
      <c r="K10" s="11">
        <f t="shared" si="4"/>
        <v>1.6000000000000458E-3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67082539.466362827</v>
      </c>
      <c r="D11" s="11">
        <v>2.0999999999999999E-3</v>
      </c>
      <c r="E11" s="10">
        <f t="shared" si="2"/>
        <v>140578.11882981658</v>
      </c>
      <c r="F11" s="3"/>
      <c r="G11" s="28"/>
      <c r="H11" s="10"/>
      <c r="I11" s="10">
        <f t="shared" si="5"/>
        <v>22302</v>
      </c>
      <c r="J11" s="10">
        <f t="shared" si="3"/>
        <v>1496074795178.8237</v>
      </c>
      <c r="K11" s="11">
        <f t="shared" si="4"/>
        <v>2.0999999999999908E-3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66941961.34753301</v>
      </c>
      <c r="D12" s="11">
        <v>3.0000000000000001E-3</v>
      </c>
      <c r="E12" s="10">
        <f t="shared" si="2"/>
        <v>200225.20841734111</v>
      </c>
      <c r="F12" s="3"/>
      <c r="G12" s="28"/>
      <c r="H12" s="10"/>
      <c r="I12" s="10">
        <f t="shared" si="5"/>
        <v>22302</v>
      </c>
      <c r="J12" s="10">
        <f t="shared" si="3"/>
        <v>1492939621972.6812</v>
      </c>
      <c r="K12" s="11">
        <f t="shared" si="4"/>
        <v>2.9999999999998916E-3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66741736.139115669</v>
      </c>
      <c r="D13" s="11">
        <v>3.8E-3</v>
      </c>
      <c r="E13" s="10">
        <f t="shared" si="2"/>
        <v>252658.49504745752</v>
      </c>
      <c r="F13" s="3"/>
      <c r="G13" s="28"/>
      <c r="H13" s="10"/>
      <c r="I13" s="10">
        <f t="shared" si="5"/>
        <v>22302</v>
      </c>
      <c r="J13" s="10">
        <f t="shared" si="3"/>
        <v>1488474199374.5576</v>
      </c>
      <c r="K13" s="11">
        <f t="shared" si="4"/>
        <v>3.8000000000000256E-3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66489077.644068211</v>
      </c>
      <c r="D14" s="11">
        <v>4.5999999999999999E-3</v>
      </c>
      <c r="E14" s="10">
        <f t="shared" si="2"/>
        <v>304449.29042674601</v>
      </c>
      <c r="F14" s="3"/>
      <c r="G14" s="28"/>
      <c r="H14" s="10"/>
      <c r="I14" s="10">
        <f t="shared" si="5"/>
        <v>22302</v>
      </c>
      <c r="J14" s="10">
        <f t="shared" si="3"/>
        <v>1482839409618.0093</v>
      </c>
      <c r="K14" s="11">
        <f t="shared" si="4"/>
        <v>4.5999999999999375E-3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66184628.353641465</v>
      </c>
      <c r="D15" s="11">
        <v>6.0000000000000001E-3</v>
      </c>
      <c r="E15" s="10">
        <f t="shared" si="2"/>
        <v>394739.33411714435</v>
      </c>
      <c r="F15" s="3"/>
      <c r="G15" s="28"/>
      <c r="H15" s="10"/>
      <c r="I15" s="10">
        <f t="shared" si="5"/>
        <v>22302</v>
      </c>
      <c r="J15" s="10">
        <f t="shared" si="3"/>
        <v>1476049581542.9119</v>
      </c>
      <c r="K15" s="11">
        <f t="shared" si="4"/>
        <v>6.0000000000000053E-3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65789889.019524321</v>
      </c>
      <c r="D16" s="11">
        <v>7.1999999999999998E-3</v>
      </c>
      <c r="E16" s="10">
        <f t="shared" si="2"/>
        <v>470301.03349938244</v>
      </c>
      <c r="F16" s="3"/>
      <c r="G16" s="28"/>
      <c r="H16" s="10"/>
      <c r="I16" s="10">
        <f t="shared" si="5"/>
        <v>22302</v>
      </c>
      <c r="J16" s="10">
        <f t="shared" si="3"/>
        <v>1467246104913.4314</v>
      </c>
      <c r="K16" s="11">
        <f t="shared" si="4"/>
        <v>7.2000000000000952E-3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65319587.986024939</v>
      </c>
      <c r="D17" s="11">
        <v>6.1000000000000004E-3</v>
      </c>
      <c r="E17" s="10">
        <f t="shared" si="2"/>
        <v>396033.68125907332</v>
      </c>
      <c r="F17" s="3"/>
      <c r="G17" s="28"/>
      <c r="H17" s="10"/>
      <c r="I17" s="10">
        <f t="shared" si="5"/>
        <v>22302</v>
      </c>
      <c r="J17" s="10">
        <f t="shared" si="3"/>
        <v>1456757451264.3281</v>
      </c>
      <c r="K17" s="11">
        <f t="shared" si="4"/>
        <v>6.0999999999999943E-3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64923554.304765865</v>
      </c>
      <c r="D18" s="11">
        <v>6.4999999999999997E-3</v>
      </c>
      <c r="E18" s="10">
        <f t="shared" si="2"/>
        <v>419277.7972985357</v>
      </c>
      <c r="F18" s="3"/>
      <c r="G18" s="28"/>
      <c r="H18" s="10"/>
      <c r="I18" s="10">
        <f t="shared" si="5"/>
        <v>22302</v>
      </c>
      <c r="J18" s="10">
        <f t="shared" si="3"/>
        <v>1447925108104.8884</v>
      </c>
      <c r="K18" s="11">
        <f t="shared" si="4"/>
        <v>6.4999999999999503E-3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64504276.50746733</v>
      </c>
      <c r="D19" s="11">
        <v>7.1000000000000004E-3</v>
      </c>
      <c r="E19" s="10">
        <f t="shared" si="2"/>
        <v>454751.62665378302</v>
      </c>
      <c r="F19" s="3"/>
      <c r="G19" s="28"/>
      <c r="H19" s="10"/>
      <c r="I19" s="10">
        <f t="shared" si="5"/>
        <v>22302</v>
      </c>
      <c r="J19" s="10">
        <f t="shared" si="3"/>
        <v>1438574374669.5364</v>
      </c>
      <c r="K19" s="11">
        <f t="shared" si="4"/>
        <v>7.1000000000001062E-3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64049524.880813546</v>
      </c>
      <c r="D20" s="11">
        <v>7.7000000000000002E-3</v>
      </c>
      <c r="E20" s="10">
        <f t="shared" si="2"/>
        <v>489412.86254070699</v>
      </c>
      <c r="F20" s="3"/>
      <c r="G20" s="28"/>
      <c r="H20" s="10"/>
      <c r="I20" s="10">
        <f t="shared" si="5"/>
        <v>22302</v>
      </c>
      <c r="J20" s="10">
        <f t="shared" si="3"/>
        <v>1428432503891.9038</v>
      </c>
      <c r="K20" s="11">
        <f t="shared" si="4"/>
        <v>7.7000000000002622E-3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63560112.018272839</v>
      </c>
      <c r="D21" s="11">
        <v>8.2000000000000007E-3</v>
      </c>
      <c r="E21" s="10">
        <f t="shared" si="2"/>
        <v>516953.89659773558</v>
      </c>
      <c r="F21" s="3"/>
      <c r="G21" s="28"/>
      <c r="H21" s="10"/>
      <c r="I21" s="10">
        <f t="shared" si="5"/>
        <v>22302</v>
      </c>
      <c r="J21" s="10">
        <f t="shared" si="3"/>
        <v>1417517618231.5208</v>
      </c>
      <c r="K21" s="11">
        <f t="shared" si="4"/>
        <v>8.1999999999999851E-3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63043158.121675104</v>
      </c>
      <c r="D22" s="11">
        <v>8.3999999999999995E-3</v>
      </c>
      <c r="E22" s="10">
        <f t="shared" si="2"/>
        <v>525151.25765774399</v>
      </c>
      <c r="F22" s="3"/>
      <c r="G22" s="28"/>
      <c r="H22" s="10"/>
      <c r="I22" s="10">
        <f t="shared" si="5"/>
        <v>22302</v>
      </c>
      <c r="J22" s="10">
        <f t="shared" si="3"/>
        <v>1405988512429.5981</v>
      </c>
      <c r="K22" s="11">
        <f t="shared" si="4"/>
        <v>8.3999999999999631E-3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62518006.86401736</v>
      </c>
      <c r="D23" s="11">
        <v>7.6E-3</v>
      </c>
      <c r="E23" s="10">
        <f t="shared" si="2"/>
        <v>471553.04899417609</v>
      </c>
      <c r="F23" s="3"/>
      <c r="G23" s="28"/>
      <c r="H23" s="10"/>
      <c r="I23" s="10">
        <f t="shared" si="5"/>
        <v>22302</v>
      </c>
      <c r="J23" s="10">
        <f t="shared" si="3"/>
        <v>1394276589081.3152</v>
      </c>
      <c r="K23" s="11">
        <f t="shared" si="4"/>
        <v>7.6000000000000512E-3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62046453.815023184</v>
      </c>
      <c r="D24" s="11">
        <v>7.1000000000000004E-3</v>
      </c>
      <c r="E24" s="10">
        <f t="shared" si="2"/>
        <v>437424.11089928448</v>
      </c>
      <c r="F24" s="3"/>
      <c r="G24" s="28"/>
      <c r="H24" s="10"/>
      <c r="I24" s="10">
        <f t="shared" si="5"/>
        <v>22302</v>
      </c>
      <c r="J24" s="10">
        <f t="shared" si="3"/>
        <v>1383760012982.647</v>
      </c>
      <c r="K24" s="11">
        <f t="shared" si="4"/>
        <v>7.1000000000001062E-3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61609029.704123899</v>
      </c>
      <c r="D25" s="11">
        <v>6.8999999999999999E-3</v>
      </c>
      <c r="E25" s="10">
        <f t="shared" si="2"/>
        <v>422189.19948202372</v>
      </c>
      <c r="F25" s="3"/>
      <c r="G25" s="28"/>
      <c r="H25" s="10"/>
      <c r="I25" s="10">
        <f t="shared" si="5"/>
        <v>22302</v>
      </c>
      <c r="J25" s="10">
        <f t="shared" si="3"/>
        <v>1374004580461.3711</v>
      </c>
      <c r="K25" s="11">
        <f t="shared" si="4"/>
        <v>6.8999999999996842E-3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61186840.504641876</v>
      </c>
      <c r="D26" s="11">
        <v>6.1000000000000004E-3</v>
      </c>
      <c r="E26" s="10">
        <f t="shared" si="2"/>
        <v>370976.76878870279</v>
      </c>
      <c r="F26" s="3"/>
      <c r="G26" s="28"/>
      <c r="H26" s="10"/>
      <c r="I26" s="10">
        <f t="shared" si="5"/>
        <v>22302</v>
      </c>
      <c r="J26" s="10">
        <f t="shared" si="3"/>
        <v>1364588916934.5232</v>
      </c>
      <c r="K26" s="11">
        <f t="shared" si="4"/>
        <v>6.0999999999999943E-3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60815863.735853173</v>
      </c>
      <c r="D27" s="11">
        <v>5.1999999999999998E-3</v>
      </c>
      <c r="E27" s="10">
        <f t="shared" si="2"/>
        <v>314606.53743179888</v>
      </c>
      <c r="F27" s="3"/>
      <c r="G27" s="28"/>
      <c r="H27" s="10"/>
      <c r="I27" s="10">
        <f t="shared" si="5"/>
        <v>22302</v>
      </c>
      <c r="J27" s="10">
        <f t="shared" si="3"/>
        <v>1356315393036.9976</v>
      </c>
      <c r="K27" s="11">
        <f t="shared" si="4"/>
        <v>5.2000000000000934E-3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60501257.198421374</v>
      </c>
      <c r="D28" s="11">
        <v>5.0000000000000001E-3</v>
      </c>
      <c r="E28" s="10">
        <f t="shared" si="2"/>
        <v>301001.27959413081</v>
      </c>
      <c r="F28" s="3"/>
      <c r="G28" s="28"/>
      <c r="H28" s="10"/>
      <c r="I28" s="10">
        <f t="shared" si="5"/>
        <v>22302</v>
      </c>
      <c r="J28" s="10">
        <f t="shared" si="3"/>
        <v>1349299038039.1936</v>
      </c>
      <c r="K28" s="11">
        <f t="shared" si="4"/>
        <v>5.0000000000001155E-3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60200255.918827243</v>
      </c>
      <c r="D29" s="11">
        <v>4.4999999999999997E-3</v>
      </c>
      <c r="E29" s="10">
        <f t="shared" si="2"/>
        <v>269687.55762540549</v>
      </c>
      <c r="F29" s="3"/>
      <c r="G29" s="28"/>
      <c r="H29" s="10"/>
      <c r="I29" s="10">
        <f t="shared" si="5"/>
        <v>22302</v>
      </c>
      <c r="J29" s="10">
        <f t="shared" si="3"/>
        <v>1342586107501.6851</v>
      </c>
      <c r="K29" s="11">
        <f t="shared" si="4"/>
        <v>4.4999999999997264E-3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59930568.361201838</v>
      </c>
      <c r="D30" s="11">
        <v>4.3E-3</v>
      </c>
      <c r="E30" s="10">
        <f t="shared" si="2"/>
        <v>256598.07224252075</v>
      </c>
      <c r="F30" s="3"/>
      <c r="G30" s="28"/>
      <c r="H30" s="10"/>
      <c r="I30" s="10">
        <f t="shared" si="5"/>
        <v>22302</v>
      </c>
      <c r="J30" s="10">
        <f t="shared" si="3"/>
        <v>1336571535591.5234</v>
      </c>
      <c r="K30" s="11">
        <f t="shared" si="4"/>
        <v>4.2999999999999705E-3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59673970.288959317</v>
      </c>
      <c r="D31" s="11">
        <v>4.7999999999999996E-3</v>
      </c>
      <c r="E31" s="10">
        <f t="shared" si="2"/>
        <v>285066.73704916239</v>
      </c>
      <c r="F31" s="3"/>
      <c r="G31" s="28"/>
      <c r="H31" s="10"/>
      <c r="I31" s="10">
        <f t="shared" si="5"/>
        <v>22302</v>
      </c>
      <c r="J31" s="10">
        <f t="shared" si="3"/>
        <v>1330848885384.3706</v>
      </c>
      <c r="K31" s="11">
        <f t="shared" si="4"/>
        <v>4.7999999999999154E-3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59388903.551910155</v>
      </c>
      <c r="D32" s="11">
        <v>5.7000000000000002E-3</v>
      </c>
      <c r="E32" s="10">
        <f t="shared" si="2"/>
        <v>336598.14084308594</v>
      </c>
      <c r="F32" s="3"/>
      <c r="G32" s="28"/>
      <c r="H32" s="10"/>
      <c r="I32" s="10">
        <f t="shared" si="5"/>
        <v>22302</v>
      </c>
      <c r="J32" s="10">
        <f t="shared" si="3"/>
        <v>1324491327014.7002</v>
      </c>
      <c r="K32" s="11">
        <f t="shared" si="4"/>
        <v>5.7000000000000384E-3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59052305.411067069</v>
      </c>
      <c r="D33" s="11">
        <v>6.4999999999999997E-3</v>
      </c>
      <c r="E33" s="10">
        <f t="shared" si="2"/>
        <v>381361.13777638972</v>
      </c>
      <c r="F33" s="3"/>
      <c r="G33" s="28"/>
      <c r="H33" s="10"/>
      <c r="I33" s="10">
        <f t="shared" si="5"/>
        <v>22302</v>
      </c>
      <c r="J33" s="10">
        <f t="shared" si="3"/>
        <v>1316984515277.6177</v>
      </c>
      <c r="K33" s="11">
        <f t="shared" si="4"/>
        <v>6.4999999999999503E-3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58670944.273290679</v>
      </c>
      <c r="D34" s="11">
        <v>7.4000000000000003E-3</v>
      </c>
      <c r="E34" s="10">
        <f t="shared" si="2"/>
        <v>430975.76694694906</v>
      </c>
      <c r="F34" s="3"/>
      <c r="G34" s="28"/>
      <c r="H34" s="10"/>
      <c r="I34" s="10">
        <f t="shared" si="5"/>
        <v>22302</v>
      </c>
      <c r="J34" s="10">
        <f t="shared" ref="J34:J65" si="6">IF(I34="","",I34*C34)</f>
        <v>1308479399182.9287</v>
      </c>
      <c r="K34" s="11">
        <f t="shared" ref="K34:K65" si="7">IFERROR(J34/J35-1,"")</f>
        <v>7.4000000000000732E-3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58239968.50634373</v>
      </c>
      <c r="D35" s="11">
        <v>8.3000000000000001E-3</v>
      </c>
      <c r="E35" s="10">
        <f t="shared" si="2"/>
        <v>479412.61390721798</v>
      </c>
      <c r="F35" s="3"/>
      <c r="G35" s="28"/>
      <c r="H35" s="10"/>
      <c r="I35" s="10">
        <f t="shared" ref="I35:I66" si="8">IF(H35&lt;&gt;"",H35,I34/(1+IF(G34="",0,G34)/100))</f>
        <v>22302</v>
      </c>
      <c r="J35" s="10">
        <f t="shared" si="6"/>
        <v>1298867777628.4778</v>
      </c>
      <c r="K35" s="11">
        <f t="shared" si="7"/>
        <v>8.299999999999752E-3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57760555.892436512</v>
      </c>
      <c r="D36" s="11">
        <v>8.9999999999999993E-3</v>
      </c>
      <c r="E36" s="10">
        <f t="shared" si="2"/>
        <v>515208.12986315787</v>
      </c>
      <c r="F36" s="3"/>
      <c r="G36" s="28"/>
      <c r="H36" s="10"/>
      <c r="I36" s="10">
        <f t="shared" si="8"/>
        <v>22302</v>
      </c>
      <c r="J36" s="10">
        <f t="shared" si="6"/>
        <v>1288175917513.1191</v>
      </c>
      <c r="K36" s="11">
        <f t="shared" si="7"/>
        <v>9.000000000000119E-3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57245347.762573354</v>
      </c>
      <c r="D37" s="11">
        <v>9.4000000000000004E-3</v>
      </c>
      <c r="E37" s="10">
        <f t="shared" si="2"/>
        <v>533095.17432949692</v>
      </c>
      <c r="F37" s="3"/>
      <c r="G37" s="28"/>
      <c r="H37" s="10"/>
      <c r="I37" s="10">
        <f t="shared" si="8"/>
        <v>22302</v>
      </c>
      <c r="J37" s="10">
        <f t="shared" si="6"/>
        <v>1276685745800.9109</v>
      </c>
      <c r="K37" s="11">
        <f t="shared" si="7"/>
        <v>9.400000000000075E-3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56712252.588243857</v>
      </c>
      <c r="D38" s="11">
        <v>1.0200000000000001E-2</v>
      </c>
      <c r="E38" s="10">
        <f t="shared" si="2"/>
        <v>572624.20946355909</v>
      </c>
      <c r="F38" s="3"/>
      <c r="G38" s="28"/>
      <c r="H38" s="10"/>
      <c r="I38" s="10">
        <f t="shared" si="8"/>
        <v>22302</v>
      </c>
      <c r="J38" s="10">
        <f t="shared" si="6"/>
        <v>1264796657223.0144</v>
      </c>
      <c r="K38" s="11">
        <f t="shared" si="7"/>
        <v>1.0199999999999987E-2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56139628.378780298</v>
      </c>
      <c r="D39" s="11">
        <v>1.11E-2</v>
      </c>
      <c r="E39" s="10">
        <f t="shared" si="2"/>
        <v>616308.84680493176</v>
      </c>
      <c r="F39" s="3"/>
      <c r="G39" s="28"/>
      <c r="H39" s="10"/>
      <c r="I39" s="10">
        <f t="shared" si="8"/>
        <v>22302</v>
      </c>
      <c r="J39" s="10">
        <f t="shared" si="6"/>
        <v>1252025992103.5581</v>
      </c>
      <c r="K39" s="11">
        <f t="shared" si="7"/>
        <v>1.110000000000011E-2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55523319.531975366</v>
      </c>
      <c r="D40" s="11">
        <v>1.17E-2</v>
      </c>
      <c r="E40" s="10">
        <f t="shared" si="2"/>
        <v>642110.14977178723</v>
      </c>
      <c r="F40" s="3"/>
      <c r="G40" s="28"/>
      <c r="H40" s="10"/>
      <c r="I40" s="10">
        <f t="shared" si="8"/>
        <v>22302</v>
      </c>
      <c r="J40" s="10">
        <f t="shared" si="6"/>
        <v>1238281072202.1145</v>
      </c>
      <c r="K40" s="11">
        <f t="shared" si="7"/>
        <v>1.1700000000000044E-2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54881209.382203579</v>
      </c>
      <c r="D41" s="11">
        <v>1.17E-2</v>
      </c>
      <c r="E41" s="10">
        <f t="shared" si="2"/>
        <v>634684.34295916557</v>
      </c>
      <c r="F41" s="3"/>
      <c r="G41" s="28"/>
      <c r="H41" s="10"/>
      <c r="I41" s="10">
        <f t="shared" si="8"/>
        <v>22302</v>
      </c>
      <c r="J41" s="10">
        <f t="shared" si="6"/>
        <v>1223960731641.9043</v>
      </c>
      <c r="K41" s="11">
        <f t="shared" si="7"/>
        <v>1.1700000000000044E-2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54246525.039244413</v>
      </c>
      <c r="D42" s="11">
        <v>1.1299999999999999E-2</v>
      </c>
      <c r="E42" s="10">
        <f t="shared" si="2"/>
        <v>606136.3917170614</v>
      </c>
      <c r="F42" s="3"/>
      <c r="G42" s="28"/>
      <c r="H42" s="10"/>
      <c r="I42" s="10">
        <f t="shared" si="8"/>
        <v>22302</v>
      </c>
      <c r="J42" s="10">
        <f t="shared" si="6"/>
        <v>1209806001425.229</v>
      </c>
      <c r="K42" s="11">
        <f t="shared" si="7"/>
        <v>1.1300000000000088E-2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53640388.647527352</v>
      </c>
      <c r="D43" s="11">
        <v>1.23E-2</v>
      </c>
      <c r="E43" s="10">
        <f t="shared" si="2"/>
        <v>651760.13075628132</v>
      </c>
      <c r="F43" s="3"/>
      <c r="G43" s="28"/>
      <c r="H43" s="10"/>
      <c r="I43" s="10">
        <f t="shared" si="8"/>
        <v>22302</v>
      </c>
      <c r="J43" s="10">
        <f t="shared" si="6"/>
        <v>1196287947617.155</v>
      </c>
      <c r="K43" s="11">
        <f t="shared" si="7"/>
        <v>1.2299999999999978E-2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52988628.516771071</v>
      </c>
      <c r="D44" s="11">
        <v>1.34E-2</v>
      </c>
      <c r="E44" s="10">
        <f t="shared" si="2"/>
        <v>700658.79428136349</v>
      </c>
      <c r="F44" s="3"/>
      <c r="G44" s="28"/>
      <c r="H44" s="10"/>
      <c r="I44" s="10">
        <f t="shared" si="8"/>
        <v>22302</v>
      </c>
      <c r="J44" s="10">
        <f t="shared" si="6"/>
        <v>1181752393181.0283</v>
      </c>
      <c r="K44" s="11">
        <f t="shared" si="7"/>
        <v>1.3400000000000079E-2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52287969.722489707</v>
      </c>
      <c r="D45" s="11">
        <v>1.47E-2</v>
      </c>
      <c r="E45" s="10">
        <f t="shared" si="2"/>
        <v>757497.93527209759</v>
      </c>
      <c r="F45" s="3"/>
      <c r="G45" s="28"/>
      <c r="H45" s="10"/>
      <c r="I45" s="10">
        <f t="shared" si="8"/>
        <v>22302</v>
      </c>
      <c r="J45" s="10">
        <f t="shared" si="6"/>
        <v>1166126300750.9653</v>
      </c>
      <c r="K45" s="11">
        <f t="shared" si="7"/>
        <v>1.4699999999999935E-2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51530471.78721761</v>
      </c>
      <c r="D46" s="11">
        <v>1.46E-2</v>
      </c>
      <c r="E46" s="10">
        <f t="shared" si="2"/>
        <v>741518.71485646814</v>
      </c>
      <c r="F46" s="3"/>
      <c r="G46" s="28"/>
      <c r="H46" s="10"/>
      <c r="I46" s="10">
        <f t="shared" si="8"/>
        <v>22302</v>
      </c>
      <c r="J46" s="10">
        <f t="shared" si="6"/>
        <v>1149232581798.5271</v>
      </c>
      <c r="K46" s="11">
        <f t="shared" si="7"/>
        <v>1.4599999999999946E-2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50788953.072361141</v>
      </c>
      <c r="D47" s="11">
        <v>1.3299999999999999E-2</v>
      </c>
      <c r="E47" s="10">
        <f t="shared" si="2"/>
        <v>666626.9375924319</v>
      </c>
      <c r="F47" s="3"/>
      <c r="G47" s="28"/>
      <c r="H47" s="10"/>
      <c r="I47" s="10">
        <f t="shared" si="8"/>
        <v>22302</v>
      </c>
      <c r="J47" s="10">
        <f t="shared" si="6"/>
        <v>1132695231419.7981</v>
      </c>
      <c r="K47" s="11">
        <f t="shared" si="7"/>
        <v>1.330000000000009E-2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50122326.13476871</v>
      </c>
      <c r="D48" s="11">
        <v>1.26E-2</v>
      </c>
      <c r="E48" s="10">
        <f t="shared" si="2"/>
        <v>623682.90469887853</v>
      </c>
      <c r="F48" s="3"/>
      <c r="G48" s="28"/>
      <c r="H48" s="10"/>
      <c r="I48" s="10">
        <f t="shared" si="8"/>
        <v>22302</v>
      </c>
      <c r="J48" s="10">
        <f t="shared" si="6"/>
        <v>1117828117457.6118</v>
      </c>
      <c r="K48" s="11">
        <f t="shared" si="7"/>
        <v>1.2600000000000167E-2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49498643.230069831</v>
      </c>
      <c r="D49" s="11">
        <v>1.2800000000000001E-2</v>
      </c>
      <c r="E49" s="10">
        <f t="shared" si="2"/>
        <v>625575.26989029348</v>
      </c>
      <c r="F49" s="3"/>
      <c r="G49" s="28"/>
      <c r="H49" s="10"/>
      <c r="I49" s="10">
        <f t="shared" si="8"/>
        <v>22302</v>
      </c>
      <c r="J49" s="10">
        <f t="shared" si="6"/>
        <v>1103918741317.0173</v>
      </c>
      <c r="K49" s="11">
        <f t="shared" si="7"/>
        <v>1.2799999999999923E-2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48873067.960179538</v>
      </c>
      <c r="D50" s="11">
        <v>1.32E-2</v>
      </c>
      <c r="E50" s="10">
        <f t="shared" si="2"/>
        <v>636719.79577020556</v>
      </c>
      <c r="F50" s="3"/>
      <c r="G50" s="28"/>
      <c r="H50" s="10"/>
      <c r="I50" s="10">
        <f t="shared" si="8"/>
        <v>22302</v>
      </c>
      <c r="J50" s="10">
        <f t="shared" si="6"/>
        <v>1089967161647.9241</v>
      </c>
      <c r="K50" s="11">
        <f t="shared" si="7"/>
        <v>1.3200000000000101E-2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48236348.164409332</v>
      </c>
      <c r="D51" s="11">
        <v>1.2800000000000001E-2</v>
      </c>
      <c r="E51" s="10">
        <f t="shared" si="2"/>
        <v>609622.09370501339</v>
      </c>
      <c r="F51" s="3"/>
      <c r="G51" s="28"/>
      <c r="H51" s="10"/>
      <c r="I51" s="10">
        <f t="shared" si="8"/>
        <v>22302</v>
      </c>
      <c r="J51" s="10">
        <f t="shared" si="6"/>
        <v>1075767036762.657</v>
      </c>
      <c r="K51" s="11">
        <f t="shared" si="7"/>
        <v>1.2800000000000145E-2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47626726.070704319</v>
      </c>
      <c r="D52" s="11">
        <v>1.15E-2</v>
      </c>
      <c r="E52" s="10">
        <f t="shared" si="2"/>
        <v>541480.32606337219</v>
      </c>
      <c r="F52" s="3"/>
      <c r="G52" s="28"/>
      <c r="H52" s="10"/>
      <c r="I52" s="10">
        <f t="shared" si="8"/>
        <v>22302</v>
      </c>
      <c r="J52" s="10">
        <f t="shared" si="6"/>
        <v>1062171244828.8477</v>
      </c>
      <c r="K52" s="11">
        <f t="shared" si="7"/>
        <v>1.1499999999999844E-2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47085245.744640946</v>
      </c>
      <c r="D53" s="11">
        <v>1.3100000000000001E-2</v>
      </c>
      <c r="E53" s="10">
        <f t="shared" si="2"/>
        <v>608840.90342000127</v>
      </c>
      <c r="F53" s="3"/>
      <c r="G53" s="28"/>
      <c r="H53" s="10"/>
      <c r="I53" s="10">
        <f t="shared" si="8"/>
        <v>22302</v>
      </c>
      <c r="J53" s="10">
        <f t="shared" si="6"/>
        <v>1050095150596.9824</v>
      </c>
      <c r="K53" s="11">
        <f t="shared" si="7"/>
        <v>1.3100000000000112E-2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46476404.841220945</v>
      </c>
      <c r="D54" s="11">
        <v>1.37E-2</v>
      </c>
      <c r="E54" s="10">
        <f t="shared" si="2"/>
        <v>628121.48202104121</v>
      </c>
      <c r="F54" s="3"/>
      <c r="G54" s="28"/>
      <c r="H54" s="10"/>
      <c r="I54" s="10">
        <f t="shared" si="8"/>
        <v>22302</v>
      </c>
      <c r="J54" s="10">
        <f t="shared" si="6"/>
        <v>1036516780768.9095</v>
      </c>
      <c r="K54" s="11">
        <f t="shared" si="7"/>
        <v>1.3700000000000045E-2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45848283.359199904</v>
      </c>
      <c r="D55" s="11">
        <v>1.44E-2</v>
      </c>
      <c r="E55" s="10">
        <f t="shared" si="2"/>
        <v>650843.13916844875</v>
      </c>
      <c r="F55" s="3"/>
      <c r="G55" s="28"/>
      <c r="H55" s="10"/>
      <c r="I55" s="10">
        <f t="shared" si="8"/>
        <v>22302</v>
      </c>
      <c r="J55" s="10">
        <f t="shared" si="6"/>
        <v>1022508415476.8762</v>
      </c>
      <c r="K55" s="11">
        <f t="shared" si="7"/>
        <v>1.4399999999999968E-2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45197440.220031455</v>
      </c>
      <c r="D56" s="11">
        <v>1.52E-2</v>
      </c>
      <c r="E56" s="10">
        <f t="shared" si="2"/>
        <v>676715.02299495786</v>
      </c>
      <c r="F56" s="3"/>
      <c r="G56" s="28"/>
      <c r="H56" s="10"/>
      <c r="I56" s="10">
        <f t="shared" si="8"/>
        <v>22302</v>
      </c>
      <c r="J56" s="10">
        <f t="shared" si="6"/>
        <v>1007993311787.1415</v>
      </c>
      <c r="K56" s="11">
        <f t="shared" si="7"/>
        <v>1.5200000000000102E-2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44520725.197036497</v>
      </c>
      <c r="D57" s="11">
        <v>1.4800000000000001E-2</v>
      </c>
      <c r="E57" s="10">
        <f t="shared" si="2"/>
        <v>649297.13531349599</v>
      </c>
      <c r="F57" s="3"/>
      <c r="G57" s="28"/>
      <c r="H57" s="10"/>
      <c r="I57" s="10">
        <f t="shared" si="8"/>
        <v>22302</v>
      </c>
      <c r="J57" s="10">
        <f t="shared" si="6"/>
        <v>992901213344.30798</v>
      </c>
      <c r="K57" s="11">
        <f t="shared" si="7"/>
        <v>1.4799999999999924E-2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43871428.061723001</v>
      </c>
      <c r="D58" s="11">
        <v>1.3299999999999999E-2</v>
      </c>
      <c r="E58" s="10">
        <f t="shared" si="2"/>
        <v>575831.43513364345</v>
      </c>
      <c r="F58" s="3"/>
      <c r="G58" s="28"/>
      <c r="H58" s="10"/>
      <c r="I58" s="10">
        <f t="shared" si="8"/>
        <v>22302</v>
      </c>
      <c r="J58" s="10">
        <f t="shared" si="6"/>
        <v>978420588632.54639</v>
      </c>
      <c r="K58" s="11">
        <f t="shared" si="7"/>
        <v>1.330000000000009E-2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43295596.626589358</v>
      </c>
      <c r="D59" s="11">
        <v>1.2699999999999999E-2</v>
      </c>
      <c r="E59" s="10">
        <f t="shared" si="2"/>
        <v>542958.50415491313</v>
      </c>
      <c r="F59" s="3"/>
      <c r="G59" s="28"/>
      <c r="H59" s="10"/>
      <c r="I59" s="10">
        <f t="shared" si="8"/>
        <v>22302</v>
      </c>
      <c r="J59" s="10">
        <f t="shared" si="6"/>
        <v>965578395966.1958</v>
      </c>
      <c r="K59" s="11">
        <f t="shared" si="7"/>
        <v>1.2699999999999934E-2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42752638.122434445</v>
      </c>
      <c r="D60" s="11">
        <v>1.26E-2</v>
      </c>
      <c r="E60" s="10">
        <f t="shared" si="2"/>
        <v>531980.28870499134</v>
      </c>
      <c r="F60" s="3"/>
      <c r="G60" s="28"/>
      <c r="H60" s="10"/>
      <c r="I60" s="10">
        <f t="shared" si="8"/>
        <v>22302</v>
      </c>
      <c r="J60" s="10">
        <f t="shared" si="6"/>
        <v>953469335406.53296</v>
      </c>
      <c r="K60" s="11">
        <f t="shared" si="7"/>
        <v>1.2599999999999945E-2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42220657.833729453</v>
      </c>
      <c r="D61" s="11">
        <v>1.26E-2</v>
      </c>
      <c r="E61" s="10">
        <f t="shared" si="2"/>
        <v>525360.74333892018</v>
      </c>
      <c r="F61" s="3"/>
      <c r="G61" s="28"/>
      <c r="H61" s="10"/>
      <c r="I61" s="10">
        <f t="shared" si="8"/>
        <v>22302</v>
      </c>
      <c r="J61" s="10">
        <f t="shared" si="6"/>
        <v>941605111007.83423</v>
      </c>
      <c r="K61" s="11">
        <f t="shared" si="7"/>
        <v>1.2599999999999945E-2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41695297.090390533</v>
      </c>
      <c r="D62" s="11">
        <v>1.2500000000000001E-2</v>
      </c>
      <c r="E62" s="10">
        <f t="shared" si="2"/>
        <v>514756.75420235097</v>
      </c>
      <c r="F62" s="3"/>
      <c r="G62" s="28"/>
      <c r="H62" s="10"/>
      <c r="I62" s="10">
        <f t="shared" si="8"/>
        <v>22302</v>
      </c>
      <c r="J62" s="10">
        <f t="shared" si="6"/>
        <v>929888515709.88965</v>
      </c>
      <c r="K62" s="11">
        <f t="shared" si="7"/>
        <v>1.2499999999999956E-2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41180540.336188182</v>
      </c>
      <c r="D63" s="11">
        <v>1.32E-2</v>
      </c>
      <c r="E63" s="10">
        <f t="shared" si="2"/>
        <v>536501.3150786534</v>
      </c>
      <c r="F63" s="3"/>
      <c r="G63" s="28"/>
      <c r="H63" s="10"/>
      <c r="I63" s="10">
        <f t="shared" si="8"/>
        <v>22302</v>
      </c>
      <c r="J63" s="10">
        <f t="shared" si="6"/>
        <v>918408410577.66882</v>
      </c>
      <c r="K63" s="11">
        <f t="shared" si="7"/>
        <v>1.3200000000000323E-2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40644039.021109529</v>
      </c>
      <c r="D64" s="11">
        <v>1.43E-2</v>
      </c>
      <c r="E64" s="10">
        <f t="shared" si="2"/>
        <v>573015.63442952186</v>
      </c>
      <c r="F64" s="3"/>
      <c r="G64" s="28"/>
      <c r="H64" s="10"/>
      <c r="I64" s="10">
        <f t="shared" si="8"/>
        <v>22302</v>
      </c>
      <c r="J64" s="10">
        <f t="shared" si="6"/>
        <v>906443358248.78467</v>
      </c>
      <c r="K64" s="11">
        <f t="shared" si="7"/>
        <v>1.4299999999999757E-2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40071023.386680007</v>
      </c>
      <c r="D65" s="11">
        <v>1.5299999999999999E-2</v>
      </c>
      <c r="E65" s="10">
        <f t="shared" si="2"/>
        <v>603847.78668000549</v>
      </c>
      <c r="F65" s="3"/>
      <c r="G65" s="28"/>
      <c r="H65" s="10"/>
      <c r="I65" s="10">
        <f t="shared" si="8"/>
        <v>22302</v>
      </c>
      <c r="J65" s="10">
        <f t="shared" si="6"/>
        <v>893663963569.73755</v>
      </c>
      <c r="K65" s="11">
        <f t="shared" si="7"/>
        <v>1.5300000000000091E-2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39467175.600000001</v>
      </c>
      <c r="D66" s="11">
        <v>1.6199999999999999E-2</v>
      </c>
      <c r="E66" s="10">
        <f t="shared" si="2"/>
        <v>629175.60000000149</v>
      </c>
      <c r="F66" s="24">
        <f>SUM(F2)</f>
        <v>69480631</v>
      </c>
      <c r="G66" s="28"/>
      <c r="H66" s="10"/>
      <c r="I66" s="10">
        <f t="shared" si="8"/>
        <v>22302</v>
      </c>
      <c r="J66" s="10">
        <f t="shared" ref="J66:J67" si="9">IF(I66="","",I66*C66)</f>
        <v>880196950231.20007</v>
      </c>
      <c r="K66" s="11">
        <f t="shared" ref="K66" si="10">IFERROR(J66/J67-1,"")</f>
        <v>1.6199999999999992E-2</v>
      </c>
    </row>
    <row r="67" spans="1:11" ht="22.5" customHeight="1">
      <c r="A67" s="3">
        <f t="shared" si="0"/>
        <v>1950</v>
      </c>
      <c r="B67" s="3">
        <v>1700</v>
      </c>
      <c r="C67" s="10">
        <v>38838000</v>
      </c>
      <c r="D67" s="11">
        <v>1.72E-2</v>
      </c>
      <c r="E67" s="3" t="s">
        <v>72</v>
      </c>
      <c r="F67" s="10">
        <f>SUM(C2)</f>
        <v>69480800.687140256</v>
      </c>
      <c r="G67" s="28"/>
      <c r="H67" s="10"/>
      <c r="I67" s="10">
        <f t="shared" ref="I67" si="11">IF(H67&lt;&gt;"",H67,I66/(1+IF(G66="",0,G66)/100))</f>
        <v>22302</v>
      </c>
      <c r="J67" s="10">
        <f t="shared" si="9"/>
        <v>866165076000</v>
      </c>
      <c r="K67" s="11"/>
    </row>
  </sheetData>
  <dataValidations count="1">
    <dataValidation type="custom" allowBlank="1" showDropDown="1" sqref="D2:D67" xr:uid="{00000000-0002-0000-9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121753843.02982998</v>
      </c>
      <c r="D2" s="11">
        <v>2.9600000000000001E-2</v>
      </c>
      <c r="E2" s="10">
        <f t="shared" ref="E2:E66" si="2">SUM(C2-C3)</f>
        <v>3500304.733569324</v>
      </c>
      <c r="F2" s="15">
        <v>121753072</v>
      </c>
      <c r="G2" s="28"/>
      <c r="H2" s="10"/>
      <c r="I2" s="10">
        <f>IF(H2&lt;&gt;"",H2,3099)</f>
        <v>3099</v>
      </c>
      <c r="J2" s="10">
        <f t="shared" ref="J2:J33" si="3">IF(I2="","",I2*C2)</f>
        <v>377315159549.44312</v>
      </c>
      <c r="K2" s="11">
        <f t="shared" ref="K2:K33" si="4">IFERROR(J2/J3-1,"")</f>
        <v>2.9600000000000071E-2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118253538.29626065</v>
      </c>
      <c r="D3" s="11">
        <v>2.87E-2</v>
      </c>
      <c r="E3" s="10">
        <f t="shared" si="2"/>
        <v>3299189.8017912656</v>
      </c>
      <c r="F3" s="3"/>
      <c r="G3" s="28"/>
      <c r="H3" s="10"/>
      <c r="I3" s="10">
        <f t="shared" ref="I3:I34" si="5">IF(H3&lt;&gt;"",H3,I2/(1+IF(G2="",0,G2)/100))</f>
        <v>3099</v>
      </c>
      <c r="J3" s="10">
        <f t="shared" si="3"/>
        <v>366467715180.11176</v>
      </c>
      <c r="K3" s="11">
        <f t="shared" si="4"/>
        <v>2.8699999999999948E-2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114954348.49446939</v>
      </c>
      <c r="D4" s="11">
        <v>2.8000000000000001E-2</v>
      </c>
      <c r="E4" s="10">
        <f t="shared" si="2"/>
        <v>3131052.2936236858</v>
      </c>
      <c r="F4" s="3"/>
      <c r="G4" s="28"/>
      <c r="H4" s="10"/>
      <c r="I4" s="10">
        <f t="shared" si="5"/>
        <v>3099</v>
      </c>
      <c r="J4" s="10">
        <f t="shared" si="3"/>
        <v>356243525984.36066</v>
      </c>
      <c r="K4" s="11">
        <f t="shared" si="4"/>
        <v>2.8000000000000025E-2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111823296.2008457</v>
      </c>
      <c r="D5" s="11">
        <v>2.7199999999999998E-2</v>
      </c>
      <c r="E5" s="10">
        <f t="shared" si="2"/>
        <v>2961053.0146641284</v>
      </c>
      <c r="F5" s="3"/>
      <c r="G5" s="28"/>
      <c r="H5" s="10"/>
      <c r="I5" s="10">
        <f t="shared" si="5"/>
        <v>3099</v>
      </c>
      <c r="J5" s="10">
        <f t="shared" si="3"/>
        <v>346540394926.42084</v>
      </c>
      <c r="K5" s="11">
        <f t="shared" si="4"/>
        <v>2.7199999999999891E-2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108862243.18618158</v>
      </c>
      <c r="D6" s="11">
        <v>2.63E-2</v>
      </c>
      <c r="E6" s="10">
        <f t="shared" si="2"/>
        <v>2789707.6837148666</v>
      </c>
      <c r="F6" s="3"/>
      <c r="G6" s="28"/>
      <c r="H6" s="10"/>
      <c r="I6" s="10">
        <f t="shared" si="5"/>
        <v>3099</v>
      </c>
      <c r="J6" s="10">
        <f t="shared" si="3"/>
        <v>337364091633.97668</v>
      </c>
      <c r="K6" s="11">
        <f t="shared" si="4"/>
        <v>2.6299999999999768E-2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106072535.50246671</v>
      </c>
      <c r="D7" s="11">
        <v>2.5399999999999999E-2</v>
      </c>
      <c r="E7" s="10">
        <f t="shared" si="2"/>
        <v>2627503.805112794</v>
      </c>
      <c r="F7" s="3"/>
      <c r="G7" s="28"/>
      <c r="H7" s="10"/>
      <c r="I7" s="10">
        <f t="shared" si="5"/>
        <v>3099</v>
      </c>
      <c r="J7" s="10">
        <f t="shared" si="3"/>
        <v>328718787522.14435</v>
      </c>
      <c r="K7" s="11">
        <f t="shared" si="4"/>
        <v>2.5400000000000089E-2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103445031.69735391</v>
      </c>
      <c r="D8" s="11">
        <v>2.47E-2</v>
      </c>
      <c r="E8" s="10">
        <f t="shared" si="2"/>
        <v>2493502.7646380812</v>
      </c>
      <c r="F8" s="3"/>
      <c r="G8" s="28"/>
      <c r="H8" s="10"/>
      <c r="I8" s="10">
        <f t="shared" si="5"/>
        <v>3099</v>
      </c>
      <c r="J8" s="10">
        <f t="shared" si="3"/>
        <v>320576153230.09979</v>
      </c>
      <c r="K8" s="11">
        <f t="shared" si="4"/>
        <v>2.4699999999999944E-2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100951528.93271583</v>
      </c>
      <c r="D9" s="11">
        <v>2.3900000000000001E-2</v>
      </c>
      <c r="E9" s="10">
        <f t="shared" si="2"/>
        <v>2356423.0310498178</v>
      </c>
      <c r="F9" s="3"/>
      <c r="G9" s="28"/>
      <c r="H9" s="10"/>
      <c r="I9" s="10">
        <f t="shared" si="5"/>
        <v>3099</v>
      </c>
      <c r="J9" s="10">
        <f t="shared" si="3"/>
        <v>312848788162.48639</v>
      </c>
      <c r="K9" s="11">
        <f t="shared" si="4"/>
        <v>2.3900000000000032E-2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98595105.901666015</v>
      </c>
      <c r="D10" s="11">
        <v>2.35E-2</v>
      </c>
      <c r="E10" s="10">
        <f t="shared" si="2"/>
        <v>2263786.0172830075</v>
      </c>
      <c r="F10" s="3"/>
      <c r="G10" s="28"/>
      <c r="H10" s="10"/>
      <c r="I10" s="10">
        <f t="shared" si="5"/>
        <v>3099</v>
      </c>
      <c r="J10" s="10">
        <f t="shared" si="3"/>
        <v>305546233189.263</v>
      </c>
      <c r="K10" s="11">
        <f t="shared" si="4"/>
        <v>2.3500000000000076E-2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96331319.884383008</v>
      </c>
      <c r="D11" s="11">
        <v>2.35E-2</v>
      </c>
      <c r="E11" s="10">
        <f t="shared" si="2"/>
        <v>2211808.5171304494</v>
      </c>
      <c r="F11" s="3"/>
      <c r="G11" s="28"/>
      <c r="H11" s="10"/>
      <c r="I11" s="10">
        <f t="shared" si="5"/>
        <v>3099</v>
      </c>
      <c r="J11" s="10">
        <f t="shared" si="3"/>
        <v>298530760321.70294</v>
      </c>
      <c r="K11" s="11">
        <f t="shared" si="4"/>
        <v>2.3500000000000298E-2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94119511.367252558</v>
      </c>
      <c r="D12" s="11">
        <v>2.35E-2</v>
      </c>
      <c r="E12" s="10">
        <f t="shared" si="2"/>
        <v>2161024.4427263737</v>
      </c>
      <c r="F12" s="3"/>
      <c r="G12" s="28"/>
      <c r="H12" s="10"/>
      <c r="I12" s="10">
        <f t="shared" si="5"/>
        <v>3099</v>
      </c>
      <c r="J12" s="10">
        <f t="shared" si="3"/>
        <v>291676365727.11566</v>
      </c>
      <c r="K12" s="11">
        <f t="shared" si="4"/>
        <v>2.3500000000000076E-2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91958486.924526185</v>
      </c>
      <c r="D13" s="11">
        <v>2.3800000000000002E-2</v>
      </c>
      <c r="E13" s="10">
        <f t="shared" si="2"/>
        <v>2137733.9214726835</v>
      </c>
      <c r="F13" s="3"/>
      <c r="G13" s="28"/>
      <c r="H13" s="10"/>
      <c r="I13" s="10">
        <f t="shared" si="5"/>
        <v>3099</v>
      </c>
      <c r="J13" s="10">
        <f t="shared" si="3"/>
        <v>284979350979.10663</v>
      </c>
      <c r="K13" s="11">
        <f t="shared" si="4"/>
        <v>2.3800000000000043E-2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89820753.003053501</v>
      </c>
      <c r="D14" s="11">
        <v>2.4199999999999999E-2</v>
      </c>
      <c r="E14" s="10">
        <f t="shared" si="2"/>
        <v>2122302.5021225363</v>
      </c>
      <c r="F14" s="3"/>
      <c r="G14" s="28"/>
      <c r="H14" s="10"/>
      <c r="I14" s="10">
        <f t="shared" si="5"/>
        <v>3099</v>
      </c>
      <c r="J14" s="10">
        <f t="shared" si="3"/>
        <v>278354513556.46283</v>
      </c>
      <c r="K14" s="11">
        <f t="shared" si="4"/>
        <v>2.4200000000000221E-2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87698450.500930965</v>
      </c>
      <c r="D15" s="11">
        <v>2.5000000000000001E-2</v>
      </c>
      <c r="E15" s="10">
        <f t="shared" si="2"/>
        <v>2138986.5975836813</v>
      </c>
      <c r="F15" s="3"/>
      <c r="G15" s="28"/>
      <c r="H15" s="10"/>
      <c r="I15" s="10">
        <f t="shared" si="5"/>
        <v>3099</v>
      </c>
      <c r="J15" s="10">
        <f t="shared" si="3"/>
        <v>271777498102.38507</v>
      </c>
      <c r="K15" s="11">
        <f t="shared" si="4"/>
        <v>2.4999999999999911E-2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85559463.903347284</v>
      </c>
      <c r="D16" s="11">
        <v>2.5399999999999999E-2</v>
      </c>
      <c r="E16" s="10">
        <f t="shared" si="2"/>
        <v>2119378.1774380952</v>
      </c>
      <c r="F16" s="3"/>
      <c r="G16" s="28"/>
      <c r="H16" s="10"/>
      <c r="I16" s="10">
        <f t="shared" si="5"/>
        <v>3099</v>
      </c>
      <c r="J16" s="10">
        <f t="shared" si="3"/>
        <v>265148778636.47324</v>
      </c>
      <c r="K16" s="11">
        <f t="shared" si="4"/>
        <v>2.5400000000000089E-2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83440085.725909188</v>
      </c>
      <c r="D17" s="11">
        <v>2.58E-2</v>
      </c>
      <c r="E17" s="10">
        <f t="shared" si="2"/>
        <v>2098610.0718741119</v>
      </c>
      <c r="F17" s="3"/>
      <c r="G17" s="28"/>
      <c r="H17" s="10"/>
      <c r="I17" s="10">
        <f t="shared" si="5"/>
        <v>3099</v>
      </c>
      <c r="J17" s="10">
        <f t="shared" si="3"/>
        <v>258580825664.59256</v>
      </c>
      <c r="K17" s="11">
        <f t="shared" si="4"/>
        <v>2.5800000000000045E-2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81341475.654035076</v>
      </c>
      <c r="D18" s="11">
        <v>2.6200000000000001E-2</v>
      </c>
      <c r="E18" s="10">
        <f t="shared" si="2"/>
        <v>2076736.1743672937</v>
      </c>
      <c r="F18" s="3"/>
      <c r="G18" s="28"/>
      <c r="H18" s="10"/>
      <c r="I18" s="10">
        <f t="shared" si="5"/>
        <v>3099</v>
      </c>
      <c r="J18" s="10">
        <f t="shared" si="3"/>
        <v>252077233051.85471</v>
      </c>
      <c r="K18" s="11">
        <f t="shared" si="4"/>
        <v>2.6200000000000001E-2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79264739.479667783</v>
      </c>
      <c r="D19" s="11">
        <v>2.6499999999999999E-2</v>
      </c>
      <c r="E19" s="10">
        <f t="shared" si="2"/>
        <v>2046288.9393192381</v>
      </c>
      <c r="F19" s="3"/>
      <c r="G19" s="28"/>
      <c r="H19" s="10"/>
      <c r="I19" s="10">
        <f t="shared" si="5"/>
        <v>3099</v>
      </c>
      <c r="J19" s="10">
        <f t="shared" si="3"/>
        <v>245641427647.49045</v>
      </c>
      <c r="K19" s="11">
        <f t="shared" si="4"/>
        <v>2.6499999999999968E-2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77218450.540348545</v>
      </c>
      <c r="D20" s="11">
        <v>2.6700000000000002E-2</v>
      </c>
      <c r="E20" s="10">
        <f t="shared" si="2"/>
        <v>2008115.9339897782</v>
      </c>
      <c r="F20" s="3"/>
      <c r="G20" s="28"/>
      <c r="H20" s="10"/>
      <c r="I20" s="10">
        <f t="shared" si="5"/>
        <v>3099</v>
      </c>
      <c r="J20" s="10">
        <f t="shared" si="3"/>
        <v>239299978224.54013</v>
      </c>
      <c r="K20" s="11">
        <f t="shared" si="4"/>
        <v>2.6699999999999946E-2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75210334.606358767</v>
      </c>
      <c r="D21" s="11">
        <v>2.6700000000000002E-2</v>
      </c>
      <c r="E21" s="10">
        <f t="shared" si="2"/>
        <v>1955893.575523302</v>
      </c>
      <c r="F21" s="3"/>
      <c r="G21" s="28"/>
      <c r="H21" s="10"/>
      <c r="I21" s="10">
        <f t="shared" si="5"/>
        <v>3099</v>
      </c>
      <c r="J21" s="10">
        <f t="shared" si="3"/>
        <v>233076826945.1058</v>
      </c>
      <c r="K21" s="11">
        <f t="shared" si="4"/>
        <v>2.6699999999999946E-2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73254441.030835465</v>
      </c>
      <c r="D22" s="11">
        <v>2.7199999999999998E-2</v>
      </c>
      <c r="E22" s="10">
        <f t="shared" si="2"/>
        <v>1939759.3419380039</v>
      </c>
      <c r="F22" s="3"/>
      <c r="G22" s="28"/>
      <c r="H22" s="10"/>
      <c r="I22" s="10">
        <f t="shared" si="5"/>
        <v>3099</v>
      </c>
      <c r="J22" s="10">
        <f t="shared" si="3"/>
        <v>227015512754.55911</v>
      </c>
      <c r="K22" s="11">
        <f t="shared" si="4"/>
        <v>2.7199999999999891E-2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71314681.688897461</v>
      </c>
      <c r="D23" s="11">
        <v>2.8400000000000002E-2</v>
      </c>
      <c r="E23" s="10">
        <f t="shared" si="2"/>
        <v>1969405.8342713863</v>
      </c>
      <c r="F23" s="3"/>
      <c r="G23" s="28"/>
      <c r="H23" s="10"/>
      <c r="I23" s="10">
        <f t="shared" si="5"/>
        <v>3099</v>
      </c>
      <c r="J23" s="10">
        <f t="shared" si="3"/>
        <v>221004198553.89322</v>
      </c>
      <c r="K23" s="11">
        <f t="shared" si="4"/>
        <v>2.8399999999999981E-2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69345275.854626074</v>
      </c>
      <c r="D24" s="11">
        <v>2.9700000000000001E-2</v>
      </c>
      <c r="E24" s="10">
        <f t="shared" si="2"/>
        <v>2000150.2310210764</v>
      </c>
      <c r="F24" s="3"/>
      <c r="G24" s="28"/>
      <c r="H24" s="10"/>
      <c r="I24" s="10">
        <f t="shared" si="5"/>
        <v>3099</v>
      </c>
      <c r="J24" s="10">
        <f t="shared" si="3"/>
        <v>214901009873.48621</v>
      </c>
      <c r="K24" s="11">
        <f t="shared" si="4"/>
        <v>2.970000000000006E-2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67345125.623604998</v>
      </c>
      <c r="D25" s="11">
        <v>3.0300000000000001E-2</v>
      </c>
      <c r="E25" s="10">
        <f t="shared" si="2"/>
        <v>1980546.7401681393</v>
      </c>
      <c r="F25" s="3"/>
      <c r="G25" s="28"/>
      <c r="H25" s="10"/>
      <c r="I25" s="10">
        <f t="shared" si="5"/>
        <v>3099</v>
      </c>
      <c r="J25" s="10">
        <f t="shared" si="3"/>
        <v>208702544307.55188</v>
      </c>
      <c r="K25" s="11">
        <f t="shared" si="4"/>
        <v>3.0299999999999994E-2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65364578.883436859</v>
      </c>
      <c r="D26" s="11">
        <v>3.0099999999999998E-2</v>
      </c>
      <c r="E26" s="10">
        <f t="shared" si="2"/>
        <v>1909983.3262706995</v>
      </c>
      <c r="F26" s="3"/>
      <c r="G26" s="28"/>
      <c r="H26" s="10"/>
      <c r="I26" s="10">
        <f t="shared" si="5"/>
        <v>3099</v>
      </c>
      <c r="J26" s="10">
        <f t="shared" si="3"/>
        <v>202564829959.77081</v>
      </c>
      <c r="K26" s="11">
        <f t="shared" si="4"/>
        <v>3.0099999999999794E-2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63454595.557166159</v>
      </c>
      <c r="D27" s="11">
        <v>2.9399999999999999E-2</v>
      </c>
      <c r="E27" s="10">
        <f t="shared" si="2"/>
        <v>1812283.960929364</v>
      </c>
      <c r="F27" s="3"/>
      <c r="G27" s="28"/>
      <c r="H27" s="10"/>
      <c r="I27" s="10">
        <f t="shared" si="5"/>
        <v>3099</v>
      </c>
      <c r="J27" s="10">
        <f t="shared" si="3"/>
        <v>196645791631.65793</v>
      </c>
      <c r="K27" s="11">
        <f t="shared" si="4"/>
        <v>2.9400000000000093E-2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61642311.596236795</v>
      </c>
      <c r="D28" s="11">
        <v>2.9100000000000001E-2</v>
      </c>
      <c r="E28" s="10">
        <f t="shared" si="2"/>
        <v>1743067.9889714196</v>
      </c>
      <c r="F28" s="3"/>
      <c r="G28" s="28"/>
      <c r="H28" s="10"/>
      <c r="I28" s="10">
        <f t="shared" si="5"/>
        <v>3099</v>
      </c>
      <c r="J28" s="10">
        <f t="shared" si="3"/>
        <v>191029523636.73782</v>
      </c>
      <c r="K28" s="11">
        <f t="shared" si="4"/>
        <v>2.9099999999999904E-2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59899243.607265376</v>
      </c>
      <c r="D29" s="11">
        <v>2.9399999999999999E-2</v>
      </c>
      <c r="E29" s="10">
        <f t="shared" si="2"/>
        <v>1710741.9487600625</v>
      </c>
      <c r="F29" s="3"/>
      <c r="G29" s="28"/>
      <c r="H29" s="10"/>
      <c r="I29" s="10">
        <f t="shared" si="5"/>
        <v>3099</v>
      </c>
      <c r="J29" s="10">
        <f t="shared" si="3"/>
        <v>185627755938.91541</v>
      </c>
      <c r="K29" s="11">
        <f t="shared" si="4"/>
        <v>2.9400000000000093E-2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58188501.658505313</v>
      </c>
      <c r="D30" s="11">
        <v>3.0300000000000001E-2</v>
      </c>
      <c r="E30" s="10">
        <f t="shared" si="2"/>
        <v>1711260.4098347202</v>
      </c>
      <c r="F30" s="3"/>
      <c r="G30" s="28"/>
      <c r="H30" s="10"/>
      <c r="I30" s="10">
        <f t="shared" si="5"/>
        <v>3099</v>
      </c>
      <c r="J30" s="10">
        <f t="shared" si="3"/>
        <v>180326166639.70798</v>
      </c>
      <c r="K30" s="11">
        <f t="shared" si="4"/>
        <v>3.0300000000000216E-2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56477241.248670593</v>
      </c>
      <c r="D31" s="11">
        <v>3.1300000000000001E-2</v>
      </c>
      <c r="E31" s="10">
        <f t="shared" si="2"/>
        <v>1714086.7362391129</v>
      </c>
      <c r="F31" s="3"/>
      <c r="G31" s="28"/>
      <c r="H31" s="10"/>
      <c r="I31" s="10">
        <f t="shared" si="5"/>
        <v>3099</v>
      </c>
      <c r="J31" s="10">
        <f t="shared" si="3"/>
        <v>175022970629.63016</v>
      </c>
      <c r="K31" s="11">
        <f t="shared" si="4"/>
        <v>3.1300000000000106E-2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54763154.51243148</v>
      </c>
      <c r="D32" s="11">
        <v>3.1699999999999999E-2</v>
      </c>
      <c r="E32" s="10">
        <f t="shared" si="2"/>
        <v>1682651.9318058342</v>
      </c>
      <c r="F32" s="3"/>
      <c r="G32" s="28"/>
      <c r="H32" s="10"/>
      <c r="I32" s="10">
        <f t="shared" si="5"/>
        <v>3099</v>
      </c>
      <c r="J32" s="10">
        <f t="shared" si="3"/>
        <v>169711015834.02515</v>
      </c>
      <c r="K32" s="11">
        <f t="shared" si="4"/>
        <v>3.1699999999999839E-2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53080502.580625646</v>
      </c>
      <c r="D33" s="11">
        <v>3.15E-2</v>
      </c>
      <c r="E33" s="10">
        <f t="shared" si="2"/>
        <v>1620975.1151621044</v>
      </c>
      <c r="F33" s="3"/>
      <c r="G33" s="28"/>
      <c r="H33" s="10"/>
      <c r="I33" s="10">
        <f t="shared" si="5"/>
        <v>3099</v>
      </c>
      <c r="J33" s="10">
        <f t="shared" si="3"/>
        <v>164496477497.35889</v>
      </c>
      <c r="K33" s="11">
        <f t="shared" si="4"/>
        <v>3.1500000000000083E-2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51459527.465463541</v>
      </c>
      <c r="D34" s="11">
        <v>3.1199999999999999E-2</v>
      </c>
      <c r="E34" s="10">
        <f t="shared" si="2"/>
        <v>1556960.1017479226</v>
      </c>
      <c r="F34" s="3"/>
      <c r="G34" s="28"/>
      <c r="H34" s="10"/>
      <c r="I34" s="10">
        <f t="shared" si="5"/>
        <v>3099</v>
      </c>
      <c r="J34" s="10">
        <f t="shared" ref="J34:J65" si="6">IF(I34="","",I34*C34)</f>
        <v>159473075615.47153</v>
      </c>
      <c r="K34" s="11">
        <f t="shared" ref="K34:K65" si="7">IFERROR(J34/J35-1,"")</f>
        <v>3.1200000000000117E-2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49902567.363715619</v>
      </c>
      <c r="D35" s="11">
        <v>3.1099999999999999E-2</v>
      </c>
      <c r="E35" s="10">
        <f t="shared" si="2"/>
        <v>1505159.3880434036</v>
      </c>
      <c r="F35" s="3"/>
      <c r="G35" s="28"/>
      <c r="H35" s="10"/>
      <c r="I35" s="10">
        <f t="shared" ref="I35:I66" si="8">IF(H35&lt;&gt;"",H35,I34/(1+IF(G34="",0,G34)/100))</f>
        <v>3099</v>
      </c>
      <c r="J35" s="10">
        <f t="shared" si="6"/>
        <v>154648056260.15469</v>
      </c>
      <c r="K35" s="11">
        <f t="shared" si="7"/>
        <v>3.1099999999999905E-2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48397407.975672215</v>
      </c>
      <c r="D36" s="11">
        <v>3.1300000000000001E-2</v>
      </c>
      <c r="E36" s="10">
        <f t="shared" si="2"/>
        <v>1468863.4438461587</v>
      </c>
      <c r="F36" s="3"/>
      <c r="G36" s="28"/>
      <c r="H36" s="10"/>
      <c r="I36" s="10">
        <f t="shared" si="8"/>
        <v>3099</v>
      </c>
      <c r="J36" s="10">
        <f t="shared" si="6"/>
        <v>149983567316.60818</v>
      </c>
      <c r="K36" s="11">
        <f t="shared" si="7"/>
        <v>3.1300000000000106E-2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46928544.531826057</v>
      </c>
      <c r="D37" s="11">
        <v>3.1300000000000001E-2</v>
      </c>
      <c r="E37" s="10">
        <f t="shared" si="2"/>
        <v>1424283.3742326796</v>
      </c>
      <c r="F37" s="3"/>
      <c r="G37" s="28"/>
      <c r="H37" s="10"/>
      <c r="I37" s="10">
        <f t="shared" si="8"/>
        <v>3099</v>
      </c>
      <c r="J37" s="10">
        <f t="shared" si="6"/>
        <v>145431559504.12894</v>
      </c>
      <c r="K37" s="11">
        <f t="shared" si="7"/>
        <v>3.1300000000000106E-2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45504261.157593377</v>
      </c>
      <c r="D38" s="11">
        <v>3.1199999999999999E-2</v>
      </c>
      <c r="E38" s="10">
        <f t="shared" si="2"/>
        <v>1376777.4904159307</v>
      </c>
      <c r="F38" s="3"/>
      <c r="G38" s="28"/>
      <c r="H38" s="10"/>
      <c r="I38" s="10">
        <f t="shared" si="8"/>
        <v>3099</v>
      </c>
      <c r="J38" s="10">
        <f t="shared" si="6"/>
        <v>141017705327.38187</v>
      </c>
      <c r="K38" s="11">
        <f t="shared" si="7"/>
        <v>3.1199999999999894E-2</v>
      </c>
      <c r="L38" t="s">
        <v>147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44127483.667177446</v>
      </c>
      <c r="D39" s="11">
        <v>3.09E-2</v>
      </c>
      <c r="E39" s="10">
        <f t="shared" si="2"/>
        <v>1322668.7800133675</v>
      </c>
      <c r="F39" s="3"/>
      <c r="G39" s="28"/>
      <c r="H39" s="10"/>
      <c r="I39" s="10">
        <f t="shared" si="8"/>
        <v>3099</v>
      </c>
      <c r="J39" s="10">
        <f t="shared" si="6"/>
        <v>136751071884.5829</v>
      </c>
      <c r="K39" s="11">
        <f t="shared" si="7"/>
        <v>3.0899999999999928E-2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42804814.887164079</v>
      </c>
      <c r="D40" s="11">
        <v>3.0300000000000001E-2</v>
      </c>
      <c r="E40" s="10">
        <f t="shared" si="2"/>
        <v>1258842.9497050121</v>
      </c>
      <c r="F40" s="3"/>
      <c r="G40" s="28"/>
      <c r="H40" s="10"/>
      <c r="I40" s="10">
        <f t="shared" si="8"/>
        <v>3099</v>
      </c>
      <c r="J40" s="10">
        <f t="shared" si="6"/>
        <v>132652121335.32147</v>
      </c>
      <c r="K40" s="11">
        <f t="shared" si="7"/>
        <v>3.0299999999999994E-2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41545971.937459067</v>
      </c>
      <c r="D41" s="11">
        <v>2.9700000000000001E-2</v>
      </c>
      <c r="E41" s="10">
        <f t="shared" si="2"/>
        <v>1198325.1107531711</v>
      </c>
      <c r="F41" s="3"/>
      <c r="G41" s="28"/>
      <c r="H41" s="10"/>
      <c r="I41" s="10">
        <f t="shared" si="8"/>
        <v>3099</v>
      </c>
      <c r="J41" s="10">
        <f t="shared" si="6"/>
        <v>128750967034.18565</v>
      </c>
      <c r="K41" s="11">
        <f t="shared" si="7"/>
        <v>2.9700000000000282E-2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40347646.826705895</v>
      </c>
      <c r="D42" s="11">
        <v>2.9499999999999998E-2</v>
      </c>
      <c r="E42" s="10">
        <f t="shared" si="2"/>
        <v>1156149.1805612668</v>
      </c>
      <c r="F42" s="3"/>
      <c r="G42" s="28"/>
      <c r="H42" s="10"/>
      <c r="I42" s="10">
        <f t="shared" si="8"/>
        <v>3099</v>
      </c>
      <c r="J42" s="10">
        <f t="shared" si="6"/>
        <v>125037357515.96156</v>
      </c>
      <c r="K42" s="11">
        <f t="shared" si="7"/>
        <v>2.949999999999986E-2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39191497.646144629</v>
      </c>
      <c r="D43" s="11">
        <v>2.98E-2</v>
      </c>
      <c r="E43" s="10">
        <f t="shared" si="2"/>
        <v>1134110.147460781</v>
      </c>
      <c r="F43" s="3"/>
      <c r="G43" s="28"/>
      <c r="H43" s="10"/>
      <c r="I43" s="10">
        <f t="shared" si="8"/>
        <v>3099</v>
      </c>
      <c r="J43" s="10">
        <f t="shared" si="6"/>
        <v>121454451205.40221</v>
      </c>
      <c r="K43" s="11">
        <f t="shared" si="7"/>
        <v>2.9800000000000049E-2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38057387.498683847</v>
      </c>
      <c r="D44" s="11">
        <v>2.98E-2</v>
      </c>
      <c r="E44" s="10">
        <f t="shared" si="2"/>
        <v>1101291.656108737</v>
      </c>
      <c r="F44" s="3"/>
      <c r="G44" s="28"/>
      <c r="H44" s="10"/>
      <c r="I44" s="10">
        <f t="shared" si="8"/>
        <v>3099</v>
      </c>
      <c r="J44" s="10">
        <f t="shared" si="6"/>
        <v>117939843858.42125</v>
      </c>
      <c r="K44" s="11">
        <f t="shared" si="7"/>
        <v>2.9800000000000049E-2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36956095.84257511</v>
      </c>
      <c r="D45" s="11">
        <v>2.9700000000000001E-2</v>
      </c>
      <c r="E45" s="10">
        <f t="shared" si="2"/>
        <v>1065937.6969257891</v>
      </c>
      <c r="F45" s="3"/>
      <c r="G45" s="28"/>
      <c r="H45" s="10"/>
      <c r="I45" s="10">
        <f t="shared" si="8"/>
        <v>3099</v>
      </c>
      <c r="J45" s="10">
        <f t="shared" si="6"/>
        <v>114526941016.14027</v>
      </c>
      <c r="K45" s="11">
        <f t="shared" si="7"/>
        <v>2.970000000000006E-2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35890158.145649321</v>
      </c>
      <c r="D46" s="11">
        <v>2.93E-2</v>
      </c>
      <c r="E46" s="10">
        <f t="shared" si="2"/>
        <v>1021647.3658481762</v>
      </c>
      <c r="F46" s="3"/>
      <c r="G46" s="28"/>
      <c r="H46" s="10"/>
      <c r="I46" s="10">
        <f t="shared" si="8"/>
        <v>3099</v>
      </c>
      <c r="J46" s="10">
        <f t="shared" si="6"/>
        <v>111223600093.36725</v>
      </c>
      <c r="K46" s="11">
        <f t="shared" si="7"/>
        <v>2.9300000000000104E-2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34868510.779801145</v>
      </c>
      <c r="D47" s="11">
        <v>2.8799999999999999E-2</v>
      </c>
      <c r="E47" s="10">
        <f t="shared" si="2"/>
        <v>976101.39041433483</v>
      </c>
      <c r="F47" s="3"/>
      <c r="G47" s="28"/>
      <c r="H47" s="10"/>
      <c r="I47" s="10">
        <f t="shared" si="8"/>
        <v>3099</v>
      </c>
      <c r="J47" s="10">
        <f t="shared" si="6"/>
        <v>108057514906.60374</v>
      </c>
      <c r="K47" s="11">
        <f t="shared" si="7"/>
        <v>2.8799999999999715E-2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33892409.38938681</v>
      </c>
      <c r="D48" s="11">
        <v>2.86E-2</v>
      </c>
      <c r="E48" s="10">
        <f t="shared" si="2"/>
        <v>942371.09521336108</v>
      </c>
      <c r="F48" s="3"/>
      <c r="G48" s="28"/>
      <c r="H48" s="10"/>
      <c r="I48" s="10">
        <f t="shared" si="8"/>
        <v>3099</v>
      </c>
      <c r="J48" s="10">
        <f t="shared" si="6"/>
        <v>105032576697.70973</v>
      </c>
      <c r="K48" s="11">
        <f t="shared" si="7"/>
        <v>2.8599999999999959E-2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32950038.294173449</v>
      </c>
      <c r="D49" s="11">
        <v>2.86E-2</v>
      </c>
      <c r="E49" s="10">
        <f t="shared" si="2"/>
        <v>916168.67121656612</v>
      </c>
      <c r="F49" s="3"/>
      <c r="G49" s="28"/>
      <c r="H49" s="10"/>
      <c r="I49" s="10">
        <f t="shared" si="8"/>
        <v>3099</v>
      </c>
      <c r="J49" s="10">
        <f t="shared" si="6"/>
        <v>102112168673.64352</v>
      </c>
      <c r="K49" s="11">
        <f t="shared" si="7"/>
        <v>2.8599999999999959E-2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32033869.622956883</v>
      </c>
      <c r="D50" s="11">
        <v>2.86E-2</v>
      </c>
      <c r="E50" s="10">
        <f t="shared" si="2"/>
        <v>890694.79993832856</v>
      </c>
      <c r="F50" s="3"/>
      <c r="G50" s="28"/>
      <c r="H50" s="10"/>
      <c r="I50" s="10">
        <f t="shared" si="8"/>
        <v>3099</v>
      </c>
      <c r="J50" s="10">
        <f t="shared" si="6"/>
        <v>99272961961.543381</v>
      </c>
      <c r="K50" s="11">
        <f t="shared" si="7"/>
        <v>2.8599999999999959E-2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31143174.823018555</v>
      </c>
      <c r="D51" s="11">
        <v>2.8500000000000001E-2</v>
      </c>
      <c r="E51" s="10">
        <f t="shared" si="2"/>
        <v>862985.3985960409</v>
      </c>
      <c r="F51" s="3"/>
      <c r="G51" s="28"/>
      <c r="H51" s="10"/>
      <c r="I51" s="10">
        <f t="shared" si="8"/>
        <v>3099</v>
      </c>
      <c r="J51" s="10">
        <f t="shared" si="6"/>
        <v>96512698776.5345</v>
      </c>
      <c r="K51" s="11">
        <f t="shared" si="7"/>
        <v>2.849999999999997E-2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30280189.424422514</v>
      </c>
      <c r="D52" s="11">
        <v>2.8400000000000002E-2</v>
      </c>
      <c r="E52" s="10">
        <f t="shared" si="2"/>
        <v>836209.04283702746</v>
      </c>
      <c r="F52" s="3"/>
      <c r="G52" s="28"/>
      <c r="H52" s="10"/>
      <c r="I52" s="10">
        <f t="shared" si="8"/>
        <v>3099</v>
      </c>
      <c r="J52" s="10">
        <f t="shared" si="6"/>
        <v>93838307026.28537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29443980.381585486</v>
      </c>
      <c r="D53" s="11">
        <v>2.81E-2</v>
      </c>
      <c r="E53" s="10">
        <f t="shared" si="2"/>
        <v>804762.03552431986</v>
      </c>
      <c r="F53" s="3"/>
      <c r="G53" s="28"/>
      <c r="H53" s="10"/>
      <c r="I53" s="10">
        <f t="shared" si="8"/>
        <v>3099</v>
      </c>
      <c r="J53" s="10">
        <f t="shared" si="6"/>
        <v>91246895202.533417</v>
      </c>
      <c r="K53" s="11">
        <f t="shared" si="7"/>
        <v>2.8100000000000014E-2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28639218.346061166</v>
      </c>
      <c r="D54" s="11">
        <v>2.7900000000000001E-2</v>
      </c>
      <c r="E54" s="10">
        <f t="shared" si="2"/>
        <v>777346.23198278621</v>
      </c>
      <c r="F54" s="3"/>
      <c r="G54" s="28"/>
      <c r="H54" s="10"/>
      <c r="I54" s="10">
        <f t="shared" si="8"/>
        <v>3099</v>
      </c>
      <c r="J54" s="10">
        <f t="shared" si="6"/>
        <v>88752937654.443558</v>
      </c>
      <c r="K54" s="11">
        <f t="shared" si="7"/>
        <v>2.7900000000000036E-2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27861872.11407838</v>
      </c>
      <c r="D55" s="11">
        <v>2.7699999999999999E-2</v>
      </c>
      <c r="E55" s="10">
        <f t="shared" si="2"/>
        <v>750971.93496153876</v>
      </c>
      <c r="F55" s="3"/>
      <c r="G55" s="28"/>
      <c r="H55" s="10"/>
      <c r="I55" s="10">
        <f t="shared" si="8"/>
        <v>3099</v>
      </c>
      <c r="J55" s="10">
        <f t="shared" si="6"/>
        <v>86343941681.5289</v>
      </c>
      <c r="K55" s="11">
        <f t="shared" si="7"/>
        <v>2.770000000000028E-2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27110900.179116841</v>
      </c>
      <c r="D56" s="11">
        <v>2.7199999999999998E-2</v>
      </c>
      <c r="E56" s="10">
        <f t="shared" si="2"/>
        <v>717889.88013237342</v>
      </c>
      <c r="F56" s="3"/>
      <c r="G56" s="28"/>
      <c r="H56" s="10"/>
      <c r="I56" s="10">
        <f t="shared" si="8"/>
        <v>3099</v>
      </c>
      <c r="J56" s="10">
        <f t="shared" si="6"/>
        <v>84016679655.083084</v>
      </c>
      <c r="K56" s="11">
        <f t="shared" si="7"/>
        <v>2.7199999999999669E-2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26393010.298984468</v>
      </c>
      <c r="D57" s="11">
        <v>2.6800000000000001E-2</v>
      </c>
      <c r="E57" s="10">
        <f t="shared" si="2"/>
        <v>688870.934955962</v>
      </c>
      <c r="F57" s="3"/>
      <c r="G57" s="28"/>
      <c r="H57" s="10"/>
      <c r="I57" s="10">
        <f t="shared" si="8"/>
        <v>3099</v>
      </c>
      <c r="J57" s="10">
        <f t="shared" si="6"/>
        <v>81791938916.552872</v>
      </c>
      <c r="K57" s="11">
        <f t="shared" si="7"/>
        <v>2.6799999999999935E-2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25704139.364028506</v>
      </c>
      <c r="D58" s="11">
        <v>2.63E-2</v>
      </c>
      <c r="E58" s="10">
        <f t="shared" si="2"/>
        <v>658695.18198767304</v>
      </c>
      <c r="F58" s="3"/>
      <c r="G58" s="28"/>
      <c r="H58" s="10"/>
      <c r="I58" s="10">
        <f t="shared" si="8"/>
        <v>3099</v>
      </c>
      <c r="J58" s="10">
        <f t="shared" si="6"/>
        <v>79657127889.124344</v>
      </c>
      <c r="K58" s="11">
        <f t="shared" si="7"/>
        <v>2.629999999999999E-2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25045444.182040833</v>
      </c>
      <c r="D59" s="11">
        <v>2.5700000000000001E-2</v>
      </c>
      <c r="E59" s="10">
        <f t="shared" si="2"/>
        <v>627540.13403378427</v>
      </c>
      <c r="F59" s="3"/>
      <c r="G59" s="28"/>
      <c r="H59" s="10"/>
      <c r="I59" s="10">
        <f t="shared" si="8"/>
        <v>3099</v>
      </c>
      <c r="J59" s="10">
        <f t="shared" si="6"/>
        <v>77615831520.144547</v>
      </c>
      <c r="K59" s="11">
        <f t="shared" si="7"/>
        <v>2.5700000000000056E-2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24417904.048007049</v>
      </c>
      <c r="D60" s="11">
        <v>2.52E-2</v>
      </c>
      <c r="E60" s="10">
        <f t="shared" si="2"/>
        <v>600205.99103567749</v>
      </c>
      <c r="F60" s="3"/>
      <c r="G60" s="28"/>
      <c r="H60" s="10"/>
      <c r="I60" s="10">
        <f t="shared" si="8"/>
        <v>3099</v>
      </c>
      <c r="J60" s="10">
        <f t="shared" si="6"/>
        <v>75671084644.773849</v>
      </c>
      <c r="K60" s="11">
        <f t="shared" si="7"/>
        <v>2.5200000000000111E-2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23817698.056971371</v>
      </c>
      <c r="D61" s="11">
        <v>2.4899999999999999E-2</v>
      </c>
      <c r="E61" s="10">
        <f t="shared" si="2"/>
        <v>578652.24082211405</v>
      </c>
      <c r="F61" s="3"/>
      <c r="G61" s="28"/>
      <c r="H61" s="10"/>
      <c r="I61" s="10">
        <f t="shared" si="8"/>
        <v>3099</v>
      </c>
      <c r="J61" s="10">
        <f t="shared" si="6"/>
        <v>73811046278.554276</v>
      </c>
      <c r="K61" s="11">
        <f t="shared" si="7"/>
        <v>2.48999999999997E-2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23239045.816149257</v>
      </c>
      <c r="D62" s="11">
        <v>2.46E-2</v>
      </c>
      <c r="E62" s="10">
        <f t="shared" si="2"/>
        <v>557954.83806097135</v>
      </c>
      <c r="F62" s="3"/>
      <c r="G62" s="28"/>
      <c r="H62" s="10"/>
      <c r="I62" s="10">
        <f t="shared" si="8"/>
        <v>3099</v>
      </c>
      <c r="J62" s="10">
        <f t="shared" si="6"/>
        <v>72017802984.246552</v>
      </c>
      <c r="K62" s="11">
        <f t="shared" si="7"/>
        <v>2.4599999999999955E-2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22681090.978088286</v>
      </c>
      <c r="D63" s="11">
        <v>2.4400000000000002E-2</v>
      </c>
      <c r="E63" s="10">
        <f t="shared" si="2"/>
        <v>540236.84094626456</v>
      </c>
      <c r="F63" s="3"/>
      <c r="G63" s="28"/>
      <c r="H63" s="10"/>
      <c r="I63" s="10">
        <f t="shared" si="8"/>
        <v>3099</v>
      </c>
      <c r="J63" s="10">
        <f t="shared" si="6"/>
        <v>70288700941.095596</v>
      </c>
      <c r="K63" s="11">
        <f t="shared" si="7"/>
        <v>2.4399999999999977E-2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22140854.137142021</v>
      </c>
      <c r="D64" s="11">
        <v>2.4299999999999999E-2</v>
      </c>
      <c r="E64" s="10">
        <f t="shared" si="2"/>
        <v>525258.96273801848</v>
      </c>
      <c r="F64" s="3"/>
      <c r="G64" s="28"/>
      <c r="H64" s="10"/>
      <c r="I64" s="10">
        <f t="shared" si="8"/>
        <v>3099</v>
      </c>
      <c r="J64" s="10">
        <f t="shared" si="6"/>
        <v>68614506971.00312</v>
      </c>
      <c r="K64" s="11">
        <f t="shared" si="7"/>
        <v>2.4299999999999988E-2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21615595.174404003</v>
      </c>
      <c r="D65" s="11">
        <v>2.4199999999999999E-2</v>
      </c>
      <c r="E65" s="10">
        <f t="shared" si="2"/>
        <v>510737.55440400168</v>
      </c>
      <c r="F65" s="3"/>
      <c r="G65" s="28"/>
      <c r="H65" s="10"/>
      <c r="I65" s="10">
        <f t="shared" si="8"/>
        <v>3099</v>
      </c>
      <c r="J65" s="10">
        <f t="shared" si="6"/>
        <v>66986729445.478004</v>
      </c>
      <c r="K65" s="11">
        <f t="shared" si="7"/>
        <v>2.4199999999999999E-2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21104857.620000001</v>
      </c>
      <c r="D66" s="11">
        <v>2.41E-2</v>
      </c>
      <c r="E66" s="10">
        <f t="shared" si="2"/>
        <v>496657.62000000104</v>
      </c>
      <c r="F66" s="24">
        <f>SUM(F2)</f>
        <v>121753072</v>
      </c>
      <c r="G66" s="28"/>
      <c r="H66" s="10"/>
      <c r="I66" s="10">
        <f t="shared" si="8"/>
        <v>3099</v>
      </c>
      <c r="J66" s="10">
        <f t="shared" ref="J66:J67" si="9">IF(I66="","",I66*C66)</f>
        <v>65403953764.380005</v>
      </c>
      <c r="K66" s="11">
        <f t="shared" ref="K66" si="10">IFERROR(J66/J67-1,"")</f>
        <v>2.410000000000001E-2</v>
      </c>
    </row>
    <row r="67" spans="1:11" ht="22.5" customHeight="1">
      <c r="A67" s="3">
        <f t="shared" si="0"/>
        <v>1950</v>
      </c>
      <c r="B67" s="3">
        <v>1700</v>
      </c>
      <c r="C67" s="10">
        <v>20608200</v>
      </c>
      <c r="D67" s="11">
        <v>2.4E-2</v>
      </c>
      <c r="E67" s="3" t="s">
        <v>72</v>
      </c>
      <c r="F67" s="10">
        <f>SUM(C2)</f>
        <v>121753843.02982998</v>
      </c>
      <c r="G67" s="28"/>
      <c r="H67" s="10"/>
      <c r="I67" s="10">
        <f t="shared" ref="I67" si="11">IF(H67&lt;&gt;"",H67,I66/(1+IF(G66="",0,G66)/100))</f>
        <v>3099</v>
      </c>
      <c r="J67" s="10">
        <f t="shared" si="9"/>
        <v>63864811800</v>
      </c>
      <c r="K67" s="11"/>
    </row>
  </sheetData>
  <dataValidations count="1">
    <dataValidation type="custom" allowBlank="1" showDropDown="1" sqref="D2:D67" xr:uid="{00000000-0002-0000-A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17339702.033453707</v>
      </c>
      <c r="D2" s="11">
        <v>2.2800000000000001E-2</v>
      </c>
      <c r="E2" s="10">
        <f t="shared" ref="E2:E66" si="2">SUM(C2-C3)</f>
        <v>386532.27059321851</v>
      </c>
      <c r="F2" s="15">
        <v>17339111</v>
      </c>
      <c r="G2" s="28"/>
      <c r="H2" s="10"/>
      <c r="I2" s="10">
        <f>IF(H2&lt;&gt;"",H2,1337)</f>
        <v>1337</v>
      </c>
      <c r="J2" s="10">
        <f t="shared" ref="J2:J33" si="3">IF(I2="","",I2*C2)</f>
        <v>23183181618.727604</v>
      </c>
      <c r="K2" s="11">
        <f t="shared" ref="K2:K33" si="4">IFERROR(J2/J3-1,"")</f>
        <v>2.2799999999999931E-2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16953169.762860488</v>
      </c>
      <c r="D3" s="11">
        <v>2.3800000000000002E-2</v>
      </c>
      <c r="E3" s="10">
        <f t="shared" si="2"/>
        <v>394105.72412197851</v>
      </c>
      <c r="F3" s="3"/>
      <c r="G3" s="28"/>
      <c r="H3" s="10"/>
      <c r="I3" s="10">
        <f t="shared" ref="I3:I34" si="5">IF(H3&lt;&gt;"",H3,I2/(1+IF(G2="",0,G2)/100))</f>
        <v>1337</v>
      </c>
      <c r="J3" s="10">
        <f t="shared" si="3"/>
        <v>22666387972.944473</v>
      </c>
      <c r="K3" s="11">
        <f t="shared" si="4"/>
        <v>2.3800000000000043E-2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16559064.03873851</v>
      </c>
      <c r="D4" s="11">
        <v>2.4500000000000001E-2</v>
      </c>
      <c r="E4" s="10">
        <f t="shared" si="2"/>
        <v>395995.18687075935</v>
      </c>
      <c r="F4" s="3"/>
      <c r="G4" s="28"/>
      <c r="H4" s="10"/>
      <c r="I4" s="10">
        <f t="shared" si="5"/>
        <v>1337</v>
      </c>
      <c r="J4" s="10">
        <f t="shared" si="3"/>
        <v>22139468619.793388</v>
      </c>
      <c r="K4" s="11">
        <f t="shared" si="4"/>
        <v>2.4499999999999966E-2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16163068.85186775</v>
      </c>
      <c r="D5" s="11">
        <v>2.5100000000000001E-2</v>
      </c>
      <c r="E5" s="10">
        <f t="shared" si="2"/>
        <v>395759.46559543349</v>
      </c>
      <c r="F5" s="3"/>
      <c r="G5" s="28"/>
      <c r="H5" s="10"/>
      <c r="I5" s="10">
        <f t="shared" si="5"/>
        <v>1337</v>
      </c>
      <c r="J5" s="10">
        <f t="shared" si="3"/>
        <v>21610023054.947182</v>
      </c>
      <c r="K5" s="11">
        <f t="shared" si="4"/>
        <v>2.50999999999999E-2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15767309.386272317</v>
      </c>
      <c r="D6" s="11">
        <v>2.5999999999999999E-2</v>
      </c>
      <c r="E6" s="10">
        <f t="shared" si="2"/>
        <v>399561.44643575139</v>
      </c>
      <c r="F6" s="3"/>
      <c r="G6" s="28"/>
      <c r="H6" s="10"/>
      <c r="I6" s="10">
        <f t="shared" si="5"/>
        <v>1337</v>
      </c>
      <c r="J6" s="10">
        <f t="shared" si="3"/>
        <v>21080892649.446087</v>
      </c>
      <c r="K6" s="11">
        <f t="shared" si="4"/>
        <v>2.6000000000000023E-2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15367747.939836565</v>
      </c>
      <c r="D7" s="11">
        <v>2.7199999999999998E-2</v>
      </c>
      <c r="E7" s="10">
        <f t="shared" si="2"/>
        <v>406934.13547853753</v>
      </c>
      <c r="F7" s="3"/>
      <c r="G7" s="28"/>
      <c r="H7" s="10"/>
      <c r="I7" s="10">
        <f t="shared" si="5"/>
        <v>1337</v>
      </c>
      <c r="J7" s="10">
        <f t="shared" si="3"/>
        <v>20546678995.561489</v>
      </c>
      <c r="K7" s="11">
        <f t="shared" si="4"/>
        <v>2.7200000000000113E-2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14960813.804358028</v>
      </c>
      <c r="D8" s="11">
        <v>2.81E-2</v>
      </c>
      <c r="E8" s="10">
        <f t="shared" si="2"/>
        <v>408908.53798508085</v>
      </c>
      <c r="F8" s="3"/>
      <c r="G8" s="28"/>
      <c r="H8" s="10"/>
      <c r="I8" s="10">
        <f t="shared" si="5"/>
        <v>1337</v>
      </c>
      <c r="J8" s="10">
        <f t="shared" si="3"/>
        <v>20002608056.426682</v>
      </c>
      <c r="K8" s="11">
        <f t="shared" si="4"/>
        <v>2.8100000000000014E-2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14551905.266372947</v>
      </c>
      <c r="D9" s="11">
        <v>2.8000000000000001E-2</v>
      </c>
      <c r="E9" s="10">
        <f t="shared" si="2"/>
        <v>396355.39636035264</v>
      </c>
      <c r="F9" s="3"/>
      <c r="G9" s="28"/>
      <c r="H9" s="10"/>
      <c r="I9" s="10">
        <f t="shared" si="5"/>
        <v>1337</v>
      </c>
      <c r="J9" s="10">
        <f t="shared" si="3"/>
        <v>19455897341.140629</v>
      </c>
      <c r="K9" s="11">
        <f t="shared" si="4"/>
        <v>2.7999999999999803E-2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14155549.870012594</v>
      </c>
      <c r="D10" s="11">
        <v>2.7400000000000001E-2</v>
      </c>
      <c r="E10" s="10">
        <f t="shared" si="2"/>
        <v>377518.07128513418</v>
      </c>
      <c r="F10" s="3"/>
      <c r="G10" s="28"/>
      <c r="H10" s="10"/>
      <c r="I10" s="10">
        <f t="shared" si="5"/>
        <v>1337</v>
      </c>
      <c r="J10" s="10">
        <f t="shared" si="3"/>
        <v>18925970176.206841</v>
      </c>
      <c r="K10" s="11">
        <f t="shared" si="4"/>
        <v>2.7400000000000313E-2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13778031.79872746</v>
      </c>
      <c r="D11" s="11">
        <v>2.6800000000000001E-2</v>
      </c>
      <c r="E11" s="10">
        <f t="shared" si="2"/>
        <v>359613.60752424598</v>
      </c>
      <c r="F11" s="3"/>
      <c r="G11" s="28"/>
      <c r="H11" s="10"/>
      <c r="I11" s="10">
        <f t="shared" si="5"/>
        <v>1337</v>
      </c>
      <c r="J11" s="10">
        <f t="shared" si="3"/>
        <v>18421228514.898613</v>
      </c>
      <c r="K11" s="11">
        <f t="shared" si="4"/>
        <v>2.6799999999999935E-2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13418418.191203214</v>
      </c>
      <c r="D12" s="11">
        <v>2.64E-2</v>
      </c>
      <c r="E12" s="10">
        <f t="shared" si="2"/>
        <v>345134.68457498588</v>
      </c>
      <c r="F12" s="3"/>
      <c r="G12" s="28"/>
      <c r="H12" s="10"/>
      <c r="I12" s="10">
        <f t="shared" si="5"/>
        <v>1337</v>
      </c>
      <c r="J12" s="10">
        <f t="shared" si="3"/>
        <v>17940425121.638699</v>
      </c>
      <c r="K12" s="11">
        <f t="shared" si="4"/>
        <v>2.6399999999999979E-2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13073283.506628228</v>
      </c>
      <c r="D13" s="11">
        <v>2.6599999999999999E-2</v>
      </c>
      <c r="E13" s="10">
        <f t="shared" si="2"/>
        <v>338738.88688516431</v>
      </c>
      <c r="F13" s="3"/>
      <c r="G13" s="28"/>
      <c r="H13" s="10"/>
      <c r="I13" s="10">
        <f t="shared" si="5"/>
        <v>1337</v>
      </c>
      <c r="J13" s="10">
        <f t="shared" si="3"/>
        <v>17478980048.361942</v>
      </c>
      <c r="K13" s="11">
        <f t="shared" si="4"/>
        <v>2.6599999999999957E-2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12734544.619743064</v>
      </c>
      <c r="D14" s="11">
        <v>2.76E-2</v>
      </c>
      <c r="E14" s="10">
        <f t="shared" si="2"/>
        <v>342033.31209119223</v>
      </c>
      <c r="F14" s="3"/>
      <c r="G14" s="28"/>
      <c r="H14" s="10"/>
      <c r="I14" s="10">
        <f t="shared" si="5"/>
        <v>1337</v>
      </c>
      <c r="J14" s="10">
        <f t="shared" si="3"/>
        <v>17026086156.596478</v>
      </c>
      <c r="K14" s="11">
        <f t="shared" si="4"/>
        <v>2.7600000000000069E-2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12392511.307651872</v>
      </c>
      <c r="D15" s="11">
        <v>2.9000000000000001E-2</v>
      </c>
      <c r="E15" s="10">
        <f t="shared" si="2"/>
        <v>349254.44890369661</v>
      </c>
      <c r="F15" s="3"/>
      <c r="G15" s="28"/>
      <c r="H15" s="10"/>
      <c r="I15" s="10">
        <f t="shared" si="5"/>
        <v>1337</v>
      </c>
      <c r="J15" s="10">
        <f t="shared" si="3"/>
        <v>16568787618.330553</v>
      </c>
      <c r="K15" s="11">
        <f t="shared" si="4"/>
        <v>2.8999999999999915E-2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12043256.858748175</v>
      </c>
      <c r="D16" s="11">
        <v>3.0300000000000001E-2</v>
      </c>
      <c r="E16" s="10">
        <f t="shared" si="2"/>
        <v>354179.05738141201</v>
      </c>
      <c r="F16" s="3"/>
      <c r="G16" s="28"/>
      <c r="H16" s="10"/>
      <c r="I16" s="10">
        <f t="shared" si="5"/>
        <v>1337</v>
      </c>
      <c r="J16" s="10">
        <f t="shared" si="3"/>
        <v>16101834420.146311</v>
      </c>
      <c r="K16" s="11">
        <f t="shared" si="4"/>
        <v>3.0299999999999994E-2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11689077.801366763</v>
      </c>
      <c r="D17" s="11">
        <v>3.1300000000000001E-2</v>
      </c>
      <c r="E17" s="10">
        <f t="shared" si="2"/>
        <v>354764.02131560259</v>
      </c>
      <c r="F17" s="3"/>
      <c r="G17" s="28"/>
      <c r="H17" s="10"/>
      <c r="I17" s="10">
        <f t="shared" si="5"/>
        <v>1337</v>
      </c>
      <c r="J17" s="10">
        <f t="shared" si="3"/>
        <v>15628297020.427362</v>
      </c>
      <c r="K17" s="11">
        <f t="shared" si="4"/>
        <v>3.1300000000000106E-2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11334313.780051161</v>
      </c>
      <c r="D18" s="11">
        <v>3.2099999999999997E-2</v>
      </c>
      <c r="E18" s="10">
        <f t="shared" si="2"/>
        <v>352515.71779831685</v>
      </c>
      <c r="F18" s="3"/>
      <c r="G18" s="28"/>
      <c r="H18" s="10"/>
      <c r="I18" s="10">
        <f t="shared" si="5"/>
        <v>1337</v>
      </c>
      <c r="J18" s="10">
        <f t="shared" si="3"/>
        <v>15153977523.928402</v>
      </c>
      <c r="K18" s="11">
        <f t="shared" si="4"/>
        <v>3.2100000000000017E-2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10981798.062252844</v>
      </c>
      <c r="D19" s="11">
        <v>3.2899999999999999E-2</v>
      </c>
      <c r="E19" s="10">
        <f t="shared" si="2"/>
        <v>349792.96761363</v>
      </c>
      <c r="F19" s="3"/>
      <c r="G19" s="28"/>
      <c r="H19" s="10"/>
      <c r="I19" s="10">
        <f t="shared" si="5"/>
        <v>1337</v>
      </c>
      <c r="J19" s="10">
        <f t="shared" si="3"/>
        <v>14682664009.232052</v>
      </c>
      <c r="K19" s="11">
        <f t="shared" si="4"/>
        <v>3.2899999999999929E-2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10632005.094639214</v>
      </c>
      <c r="D20" s="11">
        <v>3.3099999999999997E-2</v>
      </c>
      <c r="E20" s="10">
        <f t="shared" si="2"/>
        <v>340644.0505590532</v>
      </c>
      <c r="F20" s="3"/>
      <c r="G20" s="28"/>
      <c r="H20" s="10"/>
      <c r="I20" s="10">
        <f t="shared" si="5"/>
        <v>1337</v>
      </c>
      <c r="J20" s="10">
        <f t="shared" si="3"/>
        <v>14214990811.532629</v>
      </c>
      <c r="K20" s="11">
        <f t="shared" si="4"/>
        <v>3.3099999999999907E-2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10291361.044080161</v>
      </c>
      <c r="D21" s="11">
        <v>3.2099999999999997E-2</v>
      </c>
      <c r="E21" s="10">
        <f t="shared" si="2"/>
        <v>320078.17993893288</v>
      </c>
      <c r="F21" s="3"/>
      <c r="G21" s="28"/>
      <c r="H21" s="10"/>
      <c r="I21" s="10">
        <f t="shared" si="5"/>
        <v>1337</v>
      </c>
      <c r="J21" s="10">
        <f t="shared" si="3"/>
        <v>13759549715.935175</v>
      </c>
      <c r="K21" s="11">
        <f t="shared" si="4"/>
        <v>3.2100000000000017E-2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9971282.8641412277</v>
      </c>
      <c r="D22" s="11">
        <v>3.0300000000000001E-2</v>
      </c>
      <c r="E22" s="10">
        <f t="shared" si="2"/>
        <v>293244.56059737876</v>
      </c>
      <c r="F22" s="3"/>
      <c r="G22" s="28"/>
      <c r="H22" s="10"/>
      <c r="I22" s="10">
        <f t="shared" si="5"/>
        <v>1337</v>
      </c>
      <c r="J22" s="10">
        <f t="shared" si="3"/>
        <v>13331605189.356821</v>
      </c>
      <c r="K22" s="11">
        <f t="shared" si="4"/>
        <v>3.0299999999999994E-2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9678038.3035438489</v>
      </c>
      <c r="D23" s="11">
        <v>2.7799999999999998E-2</v>
      </c>
      <c r="E23" s="10">
        <f t="shared" si="2"/>
        <v>261772.19774131104</v>
      </c>
      <c r="F23" s="3"/>
      <c r="G23" s="28"/>
      <c r="H23" s="10"/>
      <c r="I23" s="10">
        <f t="shared" si="5"/>
        <v>1337</v>
      </c>
      <c r="J23" s="10">
        <f t="shared" si="3"/>
        <v>12939537211.838125</v>
      </c>
      <c r="K23" s="11">
        <f t="shared" si="4"/>
        <v>2.7800000000000047E-2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9416266.1058025379</v>
      </c>
      <c r="D24" s="11">
        <v>2.5499999999999998E-2</v>
      </c>
      <c r="E24" s="10">
        <f t="shared" si="2"/>
        <v>234144.1108707618</v>
      </c>
      <c r="F24" s="3"/>
      <c r="G24" s="28"/>
      <c r="H24" s="10"/>
      <c r="I24" s="10">
        <f t="shared" si="5"/>
        <v>1337</v>
      </c>
      <c r="J24" s="10">
        <f t="shared" si="3"/>
        <v>12589547783.457993</v>
      </c>
      <c r="K24" s="11">
        <f t="shared" si="4"/>
        <v>2.5500000000000078E-2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9182121.9949317761</v>
      </c>
      <c r="D25" s="11">
        <v>2.3599999999999999E-2</v>
      </c>
      <c r="E25" s="10">
        <f t="shared" si="2"/>
        <v>211701.91391206533</v>
      </c>
      <c r="F25" s="3"/>
      <c r="G25" s="28"/>
      <c r="H25" s="10"/>
      <c r="I25" s="10">
        <f t="shared" si="5"/>
        <v>1337</v>
      </c>
      <c r="J25" s="10">
        <f t="shared" si="3"/>
        <v>12276497107.223785</v>
      </c>
      <c r="K25" s="11">
        <f t="shared" si="4"/>
        <v>2.3600000000000065E-2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8970420.0810197107</v>
      </c>
      <c r="D26" s="11">
        <v>2.24E-2</v>
      </c>
      <c r="E26" s="10">
        <f t="shared" si="2"/>
        <v>196535.02524925768</v>
      </c>
      <c r="F26" s="3"/>
      <c r="G26" s="28"/>
      <c r="H26" s="10"/>
      <c r="I26" s="10">
        <f t="shared" si="5"/>
        <v>1337</v>
      </c>
      <c r="J26" s="10">
        <f t="shared" si="3"/>
        <v>11993451648.323353</v>
      </c>
      <c r="K26" s="11">
        <f t="shared" si="4"/>
        <v>2.2399999999999975E-2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8773885.0557704531</v>
      </c>
      <c r="D27" s="11">
        <v>2.2200000000000001E-2</v>
      </c>
      <c r="E27" s="10">
        <f t="shared" si="2"/>
        <v>190550.03740765341</v>
      </c>
      <c r="F27" s="3"/>
      <c r="G27" s="28"/>
      <c r="H27" s="10"/>
      <c r="I27" s="10">
        <f t="shared" si="5"/>
        <v>1337</v>
      </c>
      <c r="J27" s="10">
        <f t="shared" si="3"/>
        <v>11730684319.565096</v>
      </c>
      <c r="K27" s="11">
        <f t="shared" si="4"/>
        <v>2.2199999999999998E-2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8583335.0183627997</v>
      </c>
      <c r="D28" s="11">
        <v>2.3E-2</v>
      </c>
      <c r="E28" s="10">
        <f t="shared" si="2"/>
        <v>192978.20666895807</v>
      </c>
      <c r="F28" s="3"/>
      <c r="G28" s="28"/>
      <c r="H28" s="10"/>
      <c r="I28" s="10">
        <f t="shared" si="5"/>
        <v>1337</v>
      </c>
      <c r="J28" s="10">
        <f t="shared" si="3"/>
        <v>11475918919.551064</v>
      </c>
      <c r="K28" s="11">
        <f t="shared" si="4"/>
        <v>2.2999999999999909E-2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8390356.8116938416</v>
      </c>
      <c r="D29" s="11">
        <v>2.46E-2</v>
      </c>
      <c r="E29" s="10">
        <f t="shared" si="2"/>
        <v>201447.17701314483</v>
      </c>
      <c r="F29" s="3"/>
      <c r="G29" s="28"/>
      <c r="H29" s="10"/>
      <c r="I29" s="10">
        <f t="shared" si="5"/>
        <v>1337</v>
      </c>
      <c r="J29" s="10">
        <f t="shared" si="3"/>
        <v>11217907057.234667</v>
      </c>
      <c r="K29" s="11">
        <f t="shared" si="4"/>
        <v>2.4599999999999955E-2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8188909.6346806968</v>
      </c>
      <c r="D30" s="11">
        <v>2.6700000000000002E-2</v>
      </c>
      <c r="E30" s="10">
        <f t="shared" si="2"/>
        <v>212957.91102169454</v>
      </c>
      <c r="F30" s="3"/>
      <c r="G30" s="28"/>
      <c r="H30" s="10"/>
      <c r="I30" s="10">
        <f t="shared" si="5"/>
        <v>1337</v>
      </c>
      <c r="J30" s="10">
        <f t="shared" si="3"/>
        <v>10948572181.568092</v>
      </c>
      <c r="K30" s="11">
        <f t="shared" si="4"/>
        <v>2.6699999999999946E-2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7975951.7236590022</v>
      </c>
      <c r="D31" s="11">
        <v>2.9000000000000001E-2</v>
      </c>
      <c r="E31" s="10">
        <f t="shared" si="2"/>
        <v>224783.86781934928</v>
      </c>
      <c r="F31" s="3"/>
      <c r="G31" s="28"/>
      <c r="H31" s="10"/>
      <c r="I31" s="10">
        <f t="shared" si="5"/>
        <v>1337</v>
      </c>
      <c r="J31" s="10">
        <f t="shared" si="3"/>
        <v>10663847454.532085</v>
      </c>
      <c r="K31" s="11">
        <f t="shared" si="4"/>
        <v>2.8999999999999915E-2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7751167.8558396529</v>
      </c>
      <c r="D32" s="11">
        <v>3.09E-2</v>
      </c>
      <c r="E32" s="10">
        <f t="shared" si="2"/>
        <v>232332.0271078134</v>
      </c>
      <c r="F32" s="3"/>
      <c r="G32" s="28"/>
      <c r="H32" s="10"/>
      <c r="I32" s="10">
        <f t="shared" si="5"/>
        <v>1337</v>
      </c>
      <c r="J32" s="10">
        <f t="shared" si="3"/>
        <v>10363311423.257616</v>
      </c>
      <c r="K32" s="11">
        <f t="shared" si="4"/>
        <v>3.0899999999999928E-2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7518835.8287318395</v>
      </c>
      <c r="D33" s="11">
        <v>3.2300000000000002E-2</v>
      </c>
      <c r="E33" s="10">
        <f t="shared" si="2"/>
        <v>235259.51493561827</v>
      </c>
      <c r="F33" s="3"/>
      <c r="G33" s="28"/>
      <c r="H33" s="10"/>
      <c r="I33" s="10">
        <f t="shared" si="5"/>
        <v>1337</v>
      </c>
      <c r="J33" s="10">
        <f t="shared" si="3"/>
        <v>10052683503.014469</v>
      </c>
      <c r="K33" s="11">
        <f t="shared" si="4"/>
        <v>3.2299999999999995E-2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7283576.3137962213</v>
      </c>
      <c r="D34" s="11">
        <v>3.3399999999999999E-2</v>
      </c>
      <c r="E34" s="10">
        <f t="shared" si="2"/>
        <v>235408.79512366373</v>
      </c>
      <c r="F34" s="3"/>
      <c r="G34" s="28"/>
      <c r="H34" s="10"/>
      <c r="I34" s="10">
        <f t="shared" si="5"/>
        <v>1337</v>
      </c>
      <c r="J34" s="10">
        <f t="shared" ref="J34:J65" si="6">IF(I34="","",I34*C34)</f>
        <v>9738141531.5455475</v>
      </c>
      <c r="K34" s="11">
        <f t="shared" ref="K34:K65" si="7">IFERROR(J34/J35-1,"")</f>
        <v>3.3399999999999874E-2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7048167.5186725575</v>
      </c>
      <c r="D35" s="11">
        <v>3.4000000000000002E-2</v>
      </c>
      <c r="E35" s="10">
        <f t="shared" si="2"/>
        <v>231757.92614590656</v>
      </c>
      <c r="F35" s="3"/>
      <c r="G35" s="28"/>
      <c r="H35" s="10"/>
      <c r="I35" s="10">
        <f t="shared" ref="I35:I66" si="8">IF(H35&lt;&gt;"",H35,I34/(1+IF(G34="",0,G34)/100))</f>
        <v>1337</v>
      </c>
      <c r="J35" s="10">
        <f t="shared" si="6"/>
        <v>9423399972.46521</v>
      </c>
      <c r="K35" s="11">
        <f t="shared" si="7"/>
        <v>3.4000000000000252E-2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6816409.592526651</v>
      </c>
      <c r="D36" s="11">
        <v>3.4299999999999997E-2</v>
      </c>
      <c r="E36" s="10">
        <f t="shared" si="2"/>
        <v>226049.35610912088</v>
      </c>
      <c r="F36" s="3"/>
      <c r="G36" s="28"/>
      <c r="H36" s="10"/>
      <c r="I36" s="10">
        <f t="shared" si="8"/>
        <v>1337</v>
      </c>
      <c r="J36" s="10">
        <f t="shared" si="6"/>
        <v>9113539625.2081318</v>
      </c>
      <c r="K36" s="11">
        <f t="shared" si="7"/>
        <v>3.4299999999999775E-2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6590360.2364175301</v>
      </c>
      <c r="D37" s="11">
        <v>3.39E-2</v>
      </c>
      <c r="E37" s="10">
        <f t="shared" si="2"/>
        <v>216087.83442746382</v>
      </c>
      <c r="F37" s="3"/>
      <c r="G37" s="28"/>
      <c r="H37" s="10"/>
      <c r="I37" s="10">
        <f t="shared" si="8"/>
        <v>1337</v>
      </c>
      <c r="J37" s="10">
        <f t="shared" si="6"/>
        <v>8811311636.0902386</v>
      </c>
      <c r="K37" s="11">
        <f t="shared" si="7"/>
        <v>3.3900000000000263E-2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6374272.4019900663</v>
      </c>
      <c r="D38" s="11">
        <v>3.3099999999999997E-2</v>
      </c>
      <c r="E38" s="10">
        <f t="shared" si="2"/>
        <v>204228.4546567332</v>
      </c>
      <c r="F38" s="3"/>
      <c r="G38" s="28"/>
      <c r="H38" s="10"/>
      <c r="I38" s="10">
        <f t="shared" si="8"/>
        <v>1337</v>
      </c>
      <c r="J38" s="10">
        <f t="shared" si="6"/>
        <v>8522402201.4607182</v>
      </c>
      <c r="K38" s="11">
        <f t="shared" si="7"/>
        <v>3.3099999999999907E-2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6170043.9473333331</v>
      </c>
      <c r="D39" s="11">
        <v>3.2399999999999998E-2</v>
      </c>
      <c r="E39" s="10">
        <f t="shared" si="2"/>
        <v>193635.62949786894</v>
      </c>
      <c r="F39" s="3"/>
      <c r="G39" s="28"/>
      <c r="H39" s="10"/>
      <c r="I39" s="10">
        <f t="shared" si="8"/>
        <v>1337</v>
      </c>
      <c r="J39" s="10">
        <f t="shared" si="6"/>
        <v>8249348757.5846663</v>
      </c>
      <c r="K39" s="11">
        <f t="shared" si="7"/>
        <v>3.2399999999999984E-2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5976408.3178354641</v>
      </c>
      <c r="D40" s="11">
        <v>3.2199999999999999E-2</v>
      </c>
      <c r="E40" s="10">
        <f t="shared" si="2"/>
        <v>186437.07404989563</v>
      </c>
      <c r="F40" s="3"/>
      <c r="G40" s="28"/>
      <c r="H40" s="10"/>
      <c r="I40" s="10">
        <f t="shared" si="8"/>
        <v>1337</v>
      </c>
      <c r="J40" s="10">
        <f t="shared" si="6"/>
        <v>7990457920.9460154</v>
      </c>
      <c r="K40" s="11">
        <f t="shared" si="7"/>
        <v>3.2200000000000006E-2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5789971.2437855685</v>
      </c>
      <c r="D41" s="11">
        <v>3.2500000000000001E-2</v>
      </c>
      <c r="E41" s="10">
        <f t="shared" si="2"/>
        <v>182250.91082133725</v>
      </c>
      <c r="F41" s="3"/>
      <c r="G41" s="28"/>
      <c r="H41" s="10"/>
      <c r="I41" s="10">
        <f t="shared" si="8"/>
        <v>1337</v>
      </c>
      <c r="J41" s="10">
        <f t="shared" si="6"/>
        <v>7741191552.9413052</v>
      </c>
      <c r="K41" s="11">
        <f t="shared" si="7"/>
        <v>3.2499999999999973E-2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5607720.3329642313</v>
      </c>
      <c r="D42" s="11">
        <v>3.2599999999999997E-2</v>
      </c>
      <c r="E42" s="10">
        <f t="shared" si="2"/>
        <v>177040.17320805136</v>
      </c>
      <c r="F42" s="3"/>
      <c r="G42" s="28"/>
      <c r="H42" s="10"/>
      <c r="I42" s="10">
        <f t="shared" si="8"/>
        <v>1337</v>
      </c>
      <c r="J42" s="10">
        <f t="shared" si="6"/>
        <v>7497522085.1731768</v>
      </c>
      <c r="K42" s="11">
        <f t="shared" si="7"/>
        <v>3.2599999999999962E-2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5430680.1597561799</v>
      </c>
      <c r="D43" s="11">
        <v>3.2000000000000001E-2</v>
      </c>
      <c r="E43" s="10">
        <f t="shared" si="2"/>
        <v>168393.18324825354</v>
      </c>
      <c r="F43" s="3"/>
      <c r="G43" s="28"/>
      <c r="H43" s="10"/>
      <c r="I43" s="10">
        <f t="shared" si="8"/>
        <v>1337</v>
      </c>
      <c r="J43" s="10">
        <f t="shared" si="6"/>
        <v>7260819373.5940123</v>
      </c>
      <c r="K43" s="11">
        <f t="shared" si="7"/>
        <v>3.1999999999999806E-2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5262286.9765079264</v>
      </c>
      <c r="D44" s="11">
        <v>3.0800000000000001E-2</v>
      </c>
      <c r="E44" s="10">
        <f t="shared" si="2"/>
        <v>157235.58292243257</v>
      </c>
      <c r="F44" s="3"/>
      <c r="G44" s="28"/>
      <c r="H44" s="10"/>
      <c r="I44" s="10">
        <f t="shared" si="8"/>
        <v>1337</v>
      </c>
      <c r="J44" s="10">
        <f t="shared" si="6"/>
        <v>7035677687.5910978</v>
      </c>
      <c r="K44" s="11">
        <f t="shared" si="7"/>
        <v>3.0799999999999939E-2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5105051.3935854938</v>
      </c>
      <c r="D45" s="11">
        <v>2.9399999999999999E-2</v>
      </c>
      <c r="E45" s="10">
        <f t="shared" si="2"/>
        <v>145801.93410862051</v>
      </c>
      <c r="F45" s="3"/>
      <c r="G45" s="28"/>
      <c r="H45" s="10"/>
      <c r="I45" s="10">
        <f t="shared" si="8"/>
        <v>1337</v>
      </c>
      <c r="J45" s="10">
        <f t="shared" si="6"/>
        <v>6825453713.2238054</v>
      </c>
      <c r="K45" s="11">
        <f t="shared" si="7"/>
        <v>2.9400000000000093E-2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4959249.4594768733</v>
      </c>
      <c r="D46" s="11">
        <v>2.8400000000000002E-2</v>
      </c>
      <c r="E46" s="10">
        <f t="shared" si="2"/>
        <v>136953.21338889841</v>
      </c>
      <c r="F46" s="3"/>
      <c r="G46" s="28"/>
      <c r="H46" s="10"/>
      <c r="I46" s="10">
        <f t="shared" si="8"/>
        <v>1337</v>
      </c>
      <c r="J46" s="10">
        <f t="shared" si="6"/>
        <v>6630516527.3205795</v>
      </c>
      <c r="K46" s="11">
        <f t="shared" si="7"/>
        <v>2.8399999999999981E-2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4822296.2460879749</v>
      </c>
      <c r="D47" s="11">
        <v>2.8000000000000001E-2</v>
      </c>
      <c r="E47" s="10">
        <f t="shared" si="2"/>
        <v>131346.59036037326</v>
      </c>
      <c r="F47" s="3"/>
      <c r="G47" s="28"/>
      <c r="H47" s="10"/>
      <c r="I47" s="10">
        <f t="shared" si="8"/>
        <v>1337</v>
      </c>
      <c r="J47" s="10">
        <f t="shared" si="6"/>
        <v>6447410081.0196228</v>
      </c>
      <c r="K47" s="11">
        <f t="shared" si="7"/>
        <v>2.8000000000000025E-2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4690949.6557276016</v>
      </c>
      <c r="D48" s="11">
        <v>2.8199999999999999E-2</v>
      </c>
      <c r="E48" s="10">
        <f t="shared" si="2"/>
        <v>128656.66241151374</v>
      </c>
      <c r="F48" s="3"/>
      <c r="G48" s="28"/>
      <c r="H48" s="10"/>
      <c r="I48" s="10">
        <f t="shared" si="8"/>
        <v>1337</v>
      </c>
      <c r="J48" s="10">
        <f t="shared" si="6"/>
        <v>6271799689.7078037</v>
      </c>
      <c r="K48" s="11">
        <f t="shared" si="7"/>
        <v>2.8200000000000225E-2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4562292.9933160879</v>
      </c>
      <c r="D49" s="11">
        <v>2.87E-2</v>
      </c>
      <c r="E49" s="10">
        <f t="shared" si="2"/>
        <v>127284.73695749138</v>
      </c>
      <c r="F49" s="3"/>
      <c r="G49" s="28"/>
      <c r="H49" s="10"/>
      <c r="I49" s="10">
        <f t="shared" si="8"/>
        <v>1337</v>
      </c>
      <c r="J49" s="10">
        <f t="shared" si="6"/>
        <v>6099785732.0636091</v>
      </c>
      <c r="K49" s="11">
        <f t="shared" si="7"/>
        <v>2.8699999999999726E-2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4435008.2563585965</v>
      </c>
      <c r="D50" s="11">
        <v>2.93E-2</v>
      </c>
      <c r="E50" s="10">
        <f t="shared" si="2"/>
        <v>126246.71321413293</v>
      </c>
      <c r="F50" s="3"/>
      <c r="G50" s="28"/>
      <c r="H50" s="10"/>
      <c r="I50" s="10">
        <f t="shared" si="8"/>
        <v>1337</v>
      </c>
      <c r="J50" s="10">
        <f t="shared" si="6"/>
        <v>5929606038.7514439</v>
      </c>
      <c r="K50" s="11">
        <f t="shared" si="7"/>
        <v>2.9300000000000104E-2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4308761.5431444636</v>
      </c>
      <c r="D51" s="11">
        <v>2.98E-2</v>
      </c>
      <c r="E51" s="10">
        <f t="shared" si="2"/>
        <v>124685.4670671057</v>
      </c>
      <c r="F51" s="3"/>
      <c r="G51" s="28"/>
      <c r="H51" s="10"/>
      <c r="I51" s="10">
        <f t="shared" si="8"/>
        <v>1337</v>
      </c>
      <c r="J51" s="10">
        <f t="shared" si="6"/>
        <v>5760814183.1841478</v>
      </c>
      <c r="K51" s="11">
        <f t="shared" si="7"/>
        <v>2.9800000000000049E-2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4184076.0760773579</v>
      </c>
      <c r="D52" s="11">
        <v>3.0099999999999998E-2</v>
      </c>
      <c r="E52" s="10">
        <f t="shared" si="2"/>
        <v>122260.64449075656</v>
      </c>
      <c r="F52" s="3"/>
      <c r="G52" s="28"/>
      <c r="H52" s="10"/>
      <c r="I52" s="10">
        <f t="shared" si="8"/>
        <v>1337</v>
      </c>
      <c r="J52" s="10">
        <f t="shared" si="6"/>
        <v>5594109713.7154274</v>
      </c>
      <c r="K52" s="11">
        <f t="shared" si="7"/>
        <v>3.0099999999999794E-2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4061815.4315866013</v>
      </c>
      <c r="D53" s="11">
        <v>3.0300000000000001E-2</v>
      </c>
      <c r="E53" s="10">
        <f t="shared" si="2"/>
        <v>119453.56457058527</v>
      </c>
      <c r="F53" s="3"/>
      <c r="G53" s="28"/>
      <c r="H53" s="10"/>
      <c r="I53" s="10">
        <f t="shared" si="8"/>
        <v>1337</v>
      </c>
      <c r="J53" s="10">
        <f t="shared" si="6"/>
        <v>5430647232.0312862</v>
      </c>
      <c r="K53" s="11">
        <f t="shared" si="7"/>
        <v>3.0299999999999994E-2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3942361.867016016</v>
      </c>
      <c r="D54" s="11">
        <v>3.04E-2</v>
      </c>
      <c r="E54" s="10">
        <f t="shared" si="2"/>
        <v>116311.91843680805</v>
      </c>
      <c r="F54" s="3"/>
      <c r="G54" s="28"/>
      <c r="H54" s="10"/>
      <c r="I54" s="10">
        <f t="shared" si="8"/>
        <v>1337</v>
      </c>
      <c r="J54" s="10">
        <f t="shared" si="6"/>
        <v>5270937816.2004137</v>
      </c>
      <c r="K54" s="11">
        <f t="shared" si="7"/>
        <v>3.0399999999999983E-2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3826049.948579208</v>
      </c>
      <c r="D55" s="11">
        <v>3.0499999999999999E-2</v>
      </c>
      <c r="E55" s="10">
        <f t="shared" si="2"/>
        <v>113240.68261199957</v>
      </c>
      <c r="F55" s="3"/>
      <c r="G55" s="28"/>
      <c r="H55" s="10"/>
      <c r="I55" s="10">
        <f t="shared" si="8"/>
        <v>1337</v>
      </c>
      <c r="J55" s="10">
        <f t="shared" si="6"/>
        <v>5115428781.2504015</v>
      </c>
      <c r="K55" s="11">
        <f t="shared" si="7"/>
        <v>3.0499999999999972E-2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3712809.2659672084</v>
      </c>
      <c r="D56" s="11">
        <v>3.0499999999999999E-2</v>
      </c>
      <c r="E56" s="10">
        <f t="shared" si="2"/>
        <v>109889.06609606976</v>
      </c>
      <c r="F56" s="3"/>
      <c r="G56" s="28"/>
      <c r="H56" s="10"/>
      <c r="I56" s="10">
        <f t="shared" si="8"/>
        <v>1337</v>
      </c>
      <c r="J56" s="10">
        <f t="shared" si="6"/>
        <v>4964025988.5981579</v>
      </c>
      <c r="K56" s="11">
        <f t="shared" si="7"/>
        <v>3.0499999999999972E-2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3602920.1998711387</v>
      </c>
      <c r="D57" s="11">
        <v>3.0499999999999999E-2</v>
      </c>
      <c r="E57" s="10">
        <f t="shared" si="2"/>
        <v>106636.64832224138</v>
      </c>
      <c r="F57" s="3"/>
      <c r="G57" s="28"/>
      <c r="H57" s="10"/>
      <c r="I57" s="10">
        <f t="shared" si="8"/>
        <v>1337</v>
      </c>
      <c r="J57" s="10">
        <f t="shared" si="6"/>
        <v>4817104307.2277126</v>
      </c>
      <c r="K57" s="11">
        <f t="shared" si="7"/>
        <v>3.0499999999999972E-2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3496283.5515488973</v>
      </c>
      <c r="D58" s="11">
        <v>3.0300000000000001E-2</v>
      </c>
      <c r="E58" s="10">
        <f t="shared" si="2"/>
        <v>102821.88839360513</v>
      </c>
      <c r="F58" s="3"/>
      <c r="G58" s="28"/>
      <c r="H58" s="10"/>
      <c r="I58" s="10">
        <f t="shared" si="8"/>
        <v>1337</v>
      </c>
      <c r="J58" s="10">
        <f t="shared" si="6"/>
        <v>4674531108.4208755</v>
      </c>
      <c r="K58" s="11">
        <f t="shared" si="7"/>
        <v>3.0299999999999994E-2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3393461.6631552922</v>
      </c>
      <c r="D59" s="11">
        <v>2.9899999999999999E-2</v>
      </c>
      <c r="E59" s="10">
        <f t="shared" si="2"/>
        <v>98518.791851969436</v>
      </c>
      <c r="F59" s="3"/>
      <c r="G59" s="28"/>
      <c r="H59" s="10"/>
      <c r="I59" s="10">
        <f t="shared" si="8"/>
        <v>1337</v>
      </c>
      <c r="J59" s="10">
        <f t="shared" si="6"/>
        <v>4537058243.6386251</v>
      </c>
      <c r="K59" s="11">
        <f t="shared" si="7"/>
        <v>2.9899999999999816E-2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3294942.8713033227</v>
      </c>
      <c r="D60" s="11">
        <v>2.9399999999999999E-2</v>
      </c>
      <c r="E60" s="10">
        <f t="shared" si="2"/>
        <v>94104.643886067439</v>
      </c>
      <c r="F60" s="3"/>
      <c r="G60" s="28"/>
      <c r="H60" s="10"/>
      <c r="I60" s="10">
        <f t="shared" si="8"/>
        <v>1337</v>
      </c>
      <c r="J60" s="10">
        <f t="shared" si="6"/>
        <v>4405338618.9325428</v>
      </c>
      <c r="K60" s="11">
        <f t="shared" si="7"/>
        <v>2.9400000000000093E-2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3200838.2274172553</v>
      </c>
      <c r="D61" s="11">
        <v>2.8799999999999999E-2</v>
      </c>
      <c r="E61" s="10">
        <f t="shared" si="2"/>
        <v>89603.558465801645</v>
      </c>
      <c r="F61" s="3"/>
      <c r="G61" s="28"/>
      <c r="H61" s="10"/>
      <c r="I61" s="10">
        <f t="shared" si="8"/>
        <v>1337</v>
      </c>
      <c r="J61" s="10">
        <f t="shared" si="6"/>
        <v>4279520710.0568705</v>
      </c>
      <c r="K61" s="11">
        <f t="shared" si="7"/>
        <v>2.8799999999999937E-2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3111234.6689514536</v>
      </c>
      <c r="D62" s="11">
        <v>2.8299999999999999E-2</v>
      </c>
      <c r="E62" s="10">
        <f t="shared" si="2"/>
        <v>85624.760411675554</v>
      </c>
      <c r="F62" s="3"/>
      <c r="G62" s="28"/>
      <c r="H62" s="10"/>
      <c r="I62" s="10">
        <f t="shared" si="8"/>
        <v>1337</v>
      </c>
      <c r="J62" s="10">
        <f t="shared" si="6"/>
        <v>4159720752.3880935</v>
      </c>
      <c r="K62" s="11">
        <f t="shared" si="7"/>
        <v>2.8299999999999992E-2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3025609.9085397781</v>
      </c>
      <c r="D63" s="11">
        <v>2.7699999999999999E-2</v>
      </c>
      <c r="E63" s="10">
        <f t="shared" si="2"/>
        <v>81550.44708237052</v>
      </c>
      <c r="F63" s="3"/>
      <c r="G63" s="28"/>
      <c r="H63" s="10"/>
      <c r="I63" s="10">
        <f t="shared" si="8"/>
        <v>1337</v>
      </c>
      <c r="J63" s="10">
        <f t="shared" si="6"/>
        <v>4045240447.7176833</v>
      </c>
      <c r="K63" s="11">
        <f t="shared" si="7"/>
        <v>2.7700000000000058E-2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2944059.4614574076</v>
      </c>
      <c r="D64" s="11">
        <v>2.7199999999999998E-2</v>
      </c>
      <c r="E64" s="10">
        <f t="shared" si="2"/>
        <v>77957.960817407817</v>
      </c>
      <c r="F64" s="3"/>
      <c r="G64" s="28"/>
      <c r="H64" s="10"/>
      <c r="I64" s="10">
        <f t="shared" si="8"/>
        <v>1337</v>
      </c>
      <c r="J64" s="10">
        <f t="shared" si="6"/>
        <v>3936207499.968554</v>
      </c>
      <c r="K64" s="11">
        <f t="shared" si="7"/>
        <v>2.7200000000000113E-2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2866101.5006399998</v>
      </c>
      <c r="D65" s="11">
        <v>2.6800000000000001E-2</v>
      </c>
      <c r="E65" s="10">
        <f t="shared" si="2"/>
        <v>74806.700639999937</v>
      </c>
      <c r="F65" s="3"/>
      <c r="G65" s="28"/>
      <c r="H65" s="10"/>
      <c r="I65" s="10">
        <f t="shared" si="8"/>
        <v>1337</v>
      </c>
      <c r="J65" s="10">
        <f t="shared" si="6"/>
        <v>3831977706.3556795</v>
      </c>
      <c r="K65" s="11">
        <f t="shared" si="7"/>
        <v>2.6799999999999935E-2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2791294.8</v>
      </c>
      <c r="D66" s="11">
        <v>2.64E-2</v>
      </c>
      <c r="E66" s="10">
        <f t="shared" si="2"/>
        <v>71794.799999999814</v>
      </c>
      <c r="F66" s="24">
        <f>SUM(F2)</f>
        <v>17339111</v>
      </c>
      <c r="G66" s="28"/>
      <c r="H66" s="10"/>
      <c r="I66" s="10">
        <f t="shared" si="8"/>
        <v>1337</v>
      </c>
      <c r="J66" s="10">
        <f t="shared" ref="J66:J67" si="9">IF(I66="","",I66*C66)</f>
        <v>3731961147.5999999</v>
      </c>
      <c r="K66" s="11">
        <f t="shared" ref="K66" si="10">IFERROR(J66/J67-1,"")</f>
        <v>2.6399999999999979E-2</v>
      </c>
    </row>
    <row r="67" spans="1:11" ht="22.5" customHeight="1">
      <c r="A67" s="3">
        <f t="shared" si="0"/>
        <v>1950</v>
      </c>
      <c r="B67" s="3">
        <v>1700</v>
      </c>
      <c r="C67" s="10">
        <v>2719500</v>
      </c>
      <c r="D67" s="11">
        <v>2.5999999999999999E-2</v>
      </c>
      <c r="E67" s="3" t="s">
        <v>72</v>
      </c>
      <c r="F67" s="10">
        <f>SUM(C2)</f>
        <v>17339702.033453707</v>
      </c>
      <c r="G67" s="28"/>
      <c r="H67" s="10"/>
      <c r="I67" s="10">
        <f t="shared" ref="I67" si="11">IF(H67&lt;&gt;"",H67,I66/(1+IF(G66="",0,G66)/100))</f>
        <v>1337</v>
      </c>
      <c r="J67" s="10">
        <f t="shared" si="9"/>
        <v>3635971500</v>
      </c>
      <c r="K67" s="11"/>
    </row>
  </sheetData>
  <dataValidations count="1">
    <dataValidation type="custom" allowBlank="1" showDropDown="1" sqref="D2:D67" xr:uid="{00000000-0002-0000-A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17219800.948560115</v>
      </c>
      <c r="D2" s="11">
        <v>1.49E-2</v>
      </c>
      <c r="E2" s="10">
        <f t="shared" ref="E2:E66" si="2">SUM(C2-C3)</f>
        <v>252808.19207167625</v>
      </c>
      <c r="F2" s="15">
        <v>17219177</v>
      </c>
      <c r="G2" s="28"/>
      <c r="H2" s="10"/>
      <c r="I2" s="10">
        <f>IF(H2&lt;&gt;"",H2,7381)</f>
        <v>7381</v>
      </c>
      <c r="J2" s="10">
        <f t="shared" ref="J2:J33" si="3">IF(I2="","",I2*C2)</f>
        <v>127099350801.3222</v>
      </c>
      <c r="K2" s="11">
        <f t="shared" ref="K2:K33" si="4">IFERROR(J2/J3-1,"")</f>
        <v>1.4899999999999913E-2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16966992.756488439</v>
      </c>
      <c r="D3" s="11">
        <v>1.5100000000000001E-2</v>
      </c>
      <c r="E3" s="10">
        <f t="shared" si="2"/>
        <v>252390.49416114017</v>
      </c>
      <c r="F3" s="3"/>
      <c r="G3" s="28"/>
      <c r="H3" s="10"/>
      <c r="I3" s="10">
        <f t="shared" ref="I3:I34" si="5">IF(H3&lt;&gt;"",H3,I2/(1+IF(G2="",0,G2)/100))</f>
        <v>7381</v>
      </c>
      <c r="J3" s="10">
        <f t="shared" si="3"/>
        <v>125233373535.64116</v>
      </c>
      <c r="K3" s="11">
        <f t="shared" si="4"/>
        <v>1.5099999999999891E-2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16714602.262327299</v>
      </c>
      <c r="D4" s="11">
        <v>1.5299999999999999E-2</v>
      </c>
      <c r="E4" s="10">
        <f t="shared" si="2"/>
        <v>251879.65587866493</v>
      </c>
      <c r="F4" s="3"/>
      <c r="G4" s="28"/>
      <c r="H4" s="10"/>
      <c r="I4" s="10">
        <f t="shared" si="5"/>
        <v>7381</v>
      </c>
      <c r="J4" s="10">
        <f t="shared" si="3"/>
        <v>123370479298.23779</v>
      </c>
      <c r="K4" s="11">
        <f t="shared" si="4"/>
        <v>1.5300000000000091E-2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16462722.606448634</v>
      </c>
      <c r="D5" s="11">
        <v>1.55E-2</v>
      </c>
      <c r="E5" s="10">
        <f t="shared" si="2"/>
        <v>251277.40068927035</v>
      </c>
      <c r="F5" s="3"/>
      <c r="G5" s="28"/>
      <c r="H5" s="10"/>
      <c r="I5" s="10">
        <f t="shared" si="5"/>
        <v>7381</v>
      </c>
      <c r="J5" s="10">
        <f t="shared" si="3"/>
        <v>121511355558.19736</v>
      </c>
      <c r="K5" s="11">
        <f t="shared" si="4"/>
        <v>1.5500000000000069E-2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16211445.205759363</v>
      </c>
      <c r="D6" s="11">
        <v>1.5599999999999999E-2</v>
      </c>
      <c r="E6" s="10">
        <f t="shared" si="2"/>
        <v>249013.92793407477</v>
      </c>
      <c r="F6" s="3"/>
      <c r="G6" s="28"/>
      <c r="H6" s="10"/>
      <c r="I6" s="10">
        <f t="shared" si="5"/>
        <v>7381</v>
      </c>
      <c r="J6" s="10">
        <f t="shared" si="3"/>
        <v>119656677063.70985</v>
      </c>
      <c r="K6" s="11">
        <f t="shared" si="4"/>
        <v>1.5600000000000058E-2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15962431.277825288</v>
      </c>
      <c r="D7" s="11">
        <v>1.5800000000000002E-2</v>
      </c>
      <c r="E7" s="10">
        <f t="shared" si="2"/>
        <v>248283.53434695862</v>
      </c>
      <c r="F7" s="3"/>
      <c r="G7" s="28"/>
      <c r="H7" s="10"/>
      <c r="I7" s="10">
        <f t="shared" si="5"/>
        <v>7381</v>
      </c>
      <c r="J7" s="10">
        <f t="shared" si="3"/>
        <v>117818705261.62845</v>
      </c>
      <c r="K7" s="11">
        <f t="shared" si="4"/>
        <v>1.5800000000000036E-2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15714147.74347833</v>
      </c>
      <c r="D8" s="11">
        <v>1.61E-2</v>
      </c>
      <c r="E8" s="10">
        <f t="shared" si="2"/>
        <v>248989.05488633178</v>
      </c>
      <c r="F8" s="3"/>
      <c r="G8" s="28"/>
      <c r="H8" s="10"/>
      <c r="I8" s="10">
        <f t="shared" si="5"/>
        <v>7381</v>
      </c>
      <c r="J8" s="10">
        <f t="shared" si="3"/>
        <v>115986124494.61356</v>
      </c>
      <c r="K8" s="11">
        <f t="shared" si="4"/>
        <v>1.6100000000000003E-2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15465158.688591998</v>
      </c>
      <c r="D9" s="11">
        <v>1.6400000000000001E-2</v>
      </c>
      <c r="E9" s="10">
        <f t="shared" si="2"/>
        <v>249536.20867070928</v>
      </c>
      <c r="F9" s="3"/>
      <c r="G9" s="28"/>
      <c r="H9" s="10"/>
      <c r="I9" s="10">
        <f t="shared" si="5"/>
        <v>7381</v>
      </c>
      <c r="J9" s="10">
        <f t="shared" si="3"/>
        <v>114148336280.49754</v>
      </c>
      <c r="K9" s="11">
        <f t="shared" si="4"/>
        <v>1.6400000000000192E-2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15215622.479921289</v>
      </c>
      <c r="D10" s="11">
        <v>1.67E-2</v>
      </c>
      <c r="E10" s="10">
        <f t="shared" si="2"/>
        <v>249927.11263370141</v>
      </c>
      <c r="F10" s="3"/>
      <c r="G10" s="28"/>
      <c r="H10" s="10"/>
      <c r="I10" s="10">
        <f t="shared" si="5"/>
        <v>7381</v>
      </c>
      <c r="J10" s="10">
        <f t="shared" si="3"/>
        <v>112306509524.29903</v>
      </c>
      <c r="K10" s="11">
        <f t="shared" si="4"/>
        <v>1.6699999999999937E-2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14965695.367287587</v>
      </c>
      <c r="D11" s="11">
        <v>1.7100000000000001E-2</v>
      </c>
      <c r="E11" s="10">
        <f t="shared" si="2"/>
        <v>251610.84532555006</v>
      </c>
      <c r="F11" s="3"/>
      <c r="G11" s="28"/>
      <c r="H11" s="10"/>
      <c r="I11" s="10">
        <f t="shared" si="5"/>
        <v>7381</v>
      </c>
      <c r="J11" s="10">
        <f t="shared" si="3"/>
        <v>110461797505.94968</v>
      </c>
      <c r="K11" s="11">
        <f t="shared" si="4"/>
        <v>1.7099999999999893E-2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14714084.521962037</v>
      </c>
      <c r="D12" s="11">
        <v>1.7600000000000001E-2</v>
      </c>
      <c r="E12" s="10">
        <f t="shared" si="2"/>
        <v>254488.88324148208</v>
      </c>
      <c r="F12" s="3"/>
      <c r="G12" s="28"/>
      <c r="H12" s="10"/>
      <c r="I12" s="10">
        <f t="shared" si="5"/>
        <v>7381</v>
      </c>
      <c r="J12" s="10">
        <f t="shared" si="3"/>
        <v>108604657856.60179</v>
      </c>
      <c r="K12" s="11">
        <f t="shared" si="4"/>
        <v>1.7599999999999838E-2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14459595.638720555</v>
      </c>
      <c r="D13" s="11">
        <v>1.8200000000000001E-2</v>
      </c>
      <c r="E13" s="10">
        <f t="shared" si="2"/>
        <v>258460.65667326003</v>
      </c>
      <c r="F13" s="3"/>
      <c r="G13" s="28"/>
      <c r="H13" s="10"/>
      <c r="I13" s="10">
        <f t="shared" si="5"/>
        <v>7381</v>
      </c>
      <c r="J13" s="10">
        <f t="shared" si="3"/>
        <v>106726275409.39642</v>
      </c>
      <c r="K13" s="11">
        <f t="shared" si="4"/>
        <v>1.8199999999999994E-2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14201134.982047295</v>
      </c>
      <c r="D14" s="11">
        <v>1.89E-2</v>
      </c>
      <c r="E14" s="10">
        <f t="shared" si="2"/>
        <v>263422.76097820513</v>
      </c>
      <c r="F14" s="3"/>
      <c r="G14" s="28"/>
      <c r="H14" s="10"/>
      <c r="I14" s="10">
        <f t="shared" si="5"/>
        <v>7381</v>
      </c>
      <c r="J14" s="10">
        <f t="shared" si="3"/>
        <v>104818577302.49109</v>
      </c>
      <c r="K14" s="11">
        <f t="shared" si="4"/>
        <v>1.8899999999999917E-2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13937712.22106909</v>
      </c>
      <c r="D15" s="11">
        <v>1.95E-2</v>
      </c>
      <c r="E15" s="10">
        <f t="shared" si="2"/>
        <v>266586.94292383268</v>
      </c>
      <c r="F15" s="3"/>
      <c r="G15" s="28"/>
      <c r="H15" s="10"/>
      <c r="I15" s="10">
        <f t="shared" si="5"/>
        <v>7381</v>
      </c>
      <c r="J15" s="10">
        <f t="shared" si="3"/>
        <v>102874253903.71095</v>
      </c>
      <c r="K15" s="11">
        <f t="shared" si="4"/>
        <v>1.9500000000000073E-2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13671125.278145257</v>
      </c>
      <c r="D16" s="11">
        <v>2.01E-2</v>
      </c>
      <c r="E16" s="10">
        <f t="shared" si="2"/>
        <v>269375.17703236826</v>
      </c>
      <c r="F16" s="3"/>
      <c r="G16" s="28"/>
      <c r="H16" s="10"/>
      <c r="I16" s="10">
        <f t="shared" si="5"/>
        <v>7381</v>
      </c>
      <c r="J16" s="10">
        <f t="shared" si="3"/>
        <v>100906575677.99014</v>
      </c>
      <c r="K16" s="11">
        <f t="shared" si="4"/>
        <v>2.0099999999999785E-2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13401750.101112889</v>
      </c>
      <c r="D17" s="11">
        <v>2.06E-2</v>
      </c>
      <c r="E17" s="10">
        <f t="shared" si="2"/>
        <v>270503.676350113</v>
      </c>
      <c r="F17" s="3"/>
      <c r="G17" s="28"/>
      <c r="H17" s="10"/>
      <c r="I17" s="10">
        <f t="shared" si="5"/>
        <v>7381</v>
      </c>
      <c r="J17" s="10">
        <f t="shared" si="3"/>
        <v>98918317496.31424</v>
      </c>
      <c r="K17" s="11">
        <f t="shared" si="4"/>
        <v>2.0599999999999952E-2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13131246.424762776</v>
      </c>
      <c r="D18" s="11">
        <v>2.1100000000000001E-2</v>
      </c>
      <c r="E18" s="10">
        <f t="shared" si="2"/>
        <v>271343.94237831049</v>
      </c>
      <c r="F18" s="3"/>
      <c r="G18" s="28"/>
      <c r="H18" s="10"/>
      <c r="I18" s="10">
        <f t="shared" si="5"/>
        <v>7381</v>
      </c>
      <c r="J18" s="10">
        <f t="shared" si="3"/>
        <v>96921729861.174057</v>
      </c>
      <c r="K18" s="11">
        <f t="shared" si="4"/>
        <v>2.1099999999999897E-2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12859902.482384466</v>
      </c>
      <c r="D19" s="11">
        <v>2.1600000000000001E-2</v>
      </c>
      <c r="E19" s="10">
        <f t="shared" si="2"/>
        <v>271900.83557116799</v>
      </c>
      <c r="F19" s="3"/>
      <c r="G19" s="28"/>
      <c r="H19" s="10"/>
      <c r="I19" s="10">
        <f t="shared" si="5"/>
        <v>7381</v>
      </c>
      <c r="J19" s="10">
        <f t="shared" si="3"/>
        <v>94918940222.479736</v>
      </c>
      <c r="K19" s="11">
        <f t="shared" si="4"/>
        <v>2.1600000000000064E-2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12588001.646813298</v>
      </c>
      <c r="D20" s="11">
        <v>2.2100000000000002E-2</v>
      </c>
      <c r="E20" s="10">
        <f t="shared" si="2"/>
        <v>272179.66578081809</v>
      </c>
      <c r="F20" s="3"/>
      <c r="G20" s="28"/>
      <c r="H20" s="10"/>
      <c r="I20" s="10">
        <f t="shared" si="5"/>
        <v>7381</v>
      </c>
      <c r="J20" s="10">
        <f t="shared" si="3"/>
        <v>92912040155.128952</v>
      </c>
      <c r="K20" s="11">
        <f t="shared" si="4"/>
        <v>2.2100000000000009E-2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12315821.98103248</v>
      </c>
      <c r="D21" s="11">
        <v>2.2599999999999999E-2</v>
      </c>
      <c r="E21" s="10">
        <f t="shared" si="2"/>
        <v>272186.16934415512</v>
      </c>
      <c r="F21" s="3"/>
      <c r="G21" s="28"/>
      <c r="H21" s="10"/>
      <c r="I21" s="10">
        <f t="shared" si="5"/>
        <v>7381</v>
      </c>
      <c r="J21" s="10">
        <f t="shared" si="3"/>
        <v>90903082042.000732</v>
      </c>
      <c r="K21" s="11">
        <f t="shared" si="4"/>
        <v>2.2599999999999953E-2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12043635.811688324</v>
      </c>
      <c r="D22" s="11">
        <v>2.3E-2</v>
      </c>
      <c r="E22" s="10">
        <f t="shared" si="2"/>
        <v>270775.78071244434</v>
      </c>
      <c r="F22" s="3"/>
      <c r="G22" s="28"/>
      <c r="H22" s="10"/>
      <c r="I22" s="10">
        <f t="shared" si="5"/>
        <v>7381</v>
      </c>
      <c r="J22" s="10">
        <f t="shared" si="3"/>
        <v>88894075926.071518</v>
      </c>
      <c r="K22" s="11">
        <f t="shared" si="4"/>
        <v>2.2999999999999909E-2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11772860.03097588</v>
      </c>
      <c r="D23" s="11">
        <v>2.3400000000000001E-2</v>
      </c>
      <c r="E23" s="10">
        <f t="shared" si="2"/>
        <v>269185.97295762785</v>
      </c>
      <c r="F23" s="3"/>
      <c r="G23" s="28"/>
      <c r="H23" s="10"/>
      <c r="I23" s="10">
        <f t="shared" si="5"/>
        <v>7381</v>
      </c>
      <c r="J23" s="10">
        <f t="shared" si="3"/>
        <v>86895479888.632965</v>
      </c>
      <c r="K23" s="11">
        <f t="shared" si="4"/>
        <v>2.3399999999999865E-2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11503674.058018252</v>
      </c>
      <c r="D24" s="11">
        <v>2.3699999999999999E-2</v>
      </c>
      <c r="E24" s="10">
        <f t="shared" si="2"/>
        <v>266325.16867737845</v>
      </c>
      <c r="F24" s="3"/>
      <c r="G24" s="28"/>
      <c r="H24" s="10"/>
      <c r="I24" s="10">
        <f t="shared" si="5"/>
        <v>7381</v>
      </c>
      <c r="J24" s="10">
        <f t="shared" si="3"/>
        <v>84908618222.232727</v>
      </c>
      <c r="K24" s="11">
        <f t="shared" si="4"/>
        <v>2.3700000000000054E-2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11237348.889340874</v>
      </c>
      <c r="D25" s="11">
        <v>2.3900000000000001E-2</v>
      </c>
      <c r="E25" s="10">
        <f t="shared" si="2"/>
        <v>262303.58282571286</v>
      </c>
      <c r="F25" s="3"/>
      <c r="G25" s="28"/>
      <c r="H25" s="10"/>
      <c r="I25" s="10">
        <f t="shared" si="5"/>
        <v>7381</v>
      </c>
      <c r="J25" s="10">
        <f t="shared" si="3"/>
        <v>82942872152.224991</v>
      </c>
      <c r="K25" s="11">
        <f t="shared" si="4"/>
        <v>2.3900000000000032E-2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10975045.306515161</v>
      </c>
      <c r="D26" s="11">
        <v>2.41E-2</v>
      </c>
      <c r="E26" s="10">
        <f t="shared" si="2"/>
        <v>258274.1840513777</v>
      </c>
      <c r="F26" s="3"/>
      <c r="G26" s="28"/>
      <c r="H26" s="10"/>
      <c r="I26" s="10">
        <f t="shared" si="5"/>
        <v>7381</v>
      </c>
      <c r="J26" s="10">
        <f t="shared" si="3"/>
        <v>81006809407.388397</v>
      </c>
      <c r="K26" s="11">
        <f t="shared" si="4"/>
        <v>2.410000000000001E-2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10716771.122463783</v>
      </c>
      <c r="D27" s="11">
        <v>2.4199999999999999E-2</v>
      </c>
      <c r="E27" s="10">
        <f t="shared" si="2"/>
        <v>253217.98590472899</v>
      </c>
      <c r="F27" s="3"/>
      <c r="G27" s="28"/>
      <c r="H27" s="10"/>
      <c r="I27" s="10">
        <f t="shared" si="5"/>
        <v>7381</v>
      </c>
      <c r="J27" s="10">
        <f t="shared" si="3"/>
        <v>79100487654.905182</v>
      </c>
      <c r="K27" s="11">
        <f t="shared" si="4"/>
        <v>2.4199999999999999E-2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10463553.136559054</v>
      </c>
      <c r="D28" s="11">
        <v>2.4199999999999999E-2</v>
      </c>
      <c r="E28" s="10">
        <f t="shared" si="2"/>
        <v>247234.90129342861</v>
      </c>
      <c r="F28" s="3"/>
      <c r="G28" s="28"/>
      <c r="H28" s="10"/>
      <c r="I28" s="10">
        <f t="shared" si="5"/>
        <v>7381</v>
      </c>
      <c r="J28" s="10">
        <f t="shared" si="3"/>
        <v>77231485700.942383</v>
      </c>
      <c r="K28" s="11">
        <f t="shared" si="4"/>
        <v>2.4199999999999999E-2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10216318.235265626</v>
      </c>
      <c r="D29" s="11">
        <v>2.4199999999999999E-2</v>
      </c>
      <c r="E29" s="10">
        <f t="shared" si="2"/>
        <v>241393.1861876864</v>
      </c>
      <c r="F29" s="3"/>
      <c r="G29" s="28"/>
      <c r="H29" s="10"/>
      <c r="I29" s="10">
        <f t="shared" si="5"/>
        <v>7381</v>
      </c>
      <c r="J29" s="10">
        <f t="shared" si="3"/>
        <v>75406644894.49559</v>
      </c>
      <c r="K29" s="11">
        <f t="shared" si="4"/>
        <v>2.4200000000000221E-2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9974925.0490779392</v>
      </c>
      <c r="D30" s="11">
        <v>2.4199999999999999E-2</v>
      </c>
      <c r="E30" s="10">
        <f t="shared" si="2"/>
        <v>235689.50028088875</v>
      </c>
      <c r="F30" s="3"/>
      <c r="G30" s="28"/>
      <c r="H30" s="10"/>
      <c r="I30" s="10">
        <f t="shared" si="5"/>
        <v>7381</v>
      </c>
      <c r="J30" s="10">
        <f t="shared" si="3"/>
        <v>73624921787.244263</v>
      </c>
      <c r="K30" s="11">
        <f t="shared" si="4"/>
        <v>2.4199999999999777E-2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9739235.5487970505</v>
      </c>
      <c r="D31" s="11">
        <v>2.4199999999999999E-2</v>
      </c>
      <c r="E31" s="10">
        <f t="shared" si="2"/>
        <v>230120.5821918454</v>
      </c>
      <c r="F31" s="3"/>
      <c r="G31" s="28"/>
      <c r="H31" s="10"/>
      <c r="I31" s="10">
        <f t="shared" si="5"/>
        <v>7381</v>
      </c>
      <c r="J31" s="10">
        <f t="shared" si="3"/>
        <v>71885297585.671036</v>
      </c>
      <c r="K31" s="11">
        <f t="shared" si="4"/>
        <v>2.4199999999999999E-2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9509114.9666052051</v>
      </c>
      <c r="D32" s="11">
        <v>2.41E-2</v>
      </c>
      <c r="E32" s="10">
        <f t="shared" si="2"/>
        <v>223776.6533494629</v>
      </c>
      <c r="F32" s="3"/>
      <c r="G32" s="28"/>
      <c r="H32" s="10"/>
      <c r="I32" s="10">
        <f t="shared" si="5"/>
        <v>7381</v>
      </c>
      <c r="J32" s="10">
        <f t="shared" si="3"/>
        <v>70186777568.513016</v>
      </c>
      <c r="K32" s="11">
        <f t="shared" si="4"/>
        <v>2.410000000000001E-2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9285338.3132557422</v>
      </c>
      <c r="D33" s="11">
        <v>2.4E-2</v>
      </c>
      <c r="E33" s="10">
        <f t="shared" si="2"/>
        <v>217625.11671693251</v>
      </c>
      <c r="F33" s="3"/>
      <c r="G33" s="28"/>
      <c r="H33" s="10"/>
      <c r="I33" s="10">
        <f t="shared" si="5"/>
        <v>7381</v>
      </c>
      <c r="J33" s="10">
        <f t="shared" si="3"/>
        <v>68535082090.140633</v>
      </c>
      <c r="K33" s="11">
        <f t="shared" si="4"/>
        <v>2.4000000000000021E-2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9067713.1965388097</v>
      </c>
      <c r="D34" s="11">
        <v>2.3800000000000002E-2</v>
      </c>
      <c r="E34" s="10">
        <f t="shared" si="2"/>
        <v>210794.66114243492</v>
      </c>
      <c r="F34" s="3"/>
      <c r="G34" s="28"/>
      <c r="H34" s="10"/>
      <c r="I34" s="10">
        <f t="shared" si="5"/>
        <v>7381</v>
      </c>
      <c r="J34" s="10">
        <f t="shared" ref="J34:J65" si="6">IF(I34="","",I34*C34)</f>
        <v>66928791103.652954</v>
      </c>
      <c r="K34" s="11">
        <f t="shared" ref="K34:K65" si="7">IFERROR(J34/J35-1,"")</f>
        <v>2.3800000000000043E-2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8856918.5353963748</v>
      </c>
      <c r="D35" s="11">
        <v>2.35E-2</v>
      </c>
      <c r="E35" s="10">
        <f t="shared" si="2"/>
        <v>203358.65713904798</v>
      </c>
      <c r="F35" s="3"/>
      <c r="G35" s="28"/>
      <c r="H35" s="10"/>
      <c r="I35" s="10">
        <f t="shared" ref="I35:I66" si="8">IF(H35&lt;&gt;"",H35,I34/(1+IF(G34="",0,G34)/100))</f>
        <v>7381</v>
      </c>
      <c r="J35" s="10">
        <f t="shared" si="6"/>
        <v>65372915709.760643</v>
      </c>
      <c r="K35" s="11">
        <f t="shared" si="7"/>
        <v>2.3500000000000076E-2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8653559.8782573268</v>
      </c>
      <c r="D36" s="11">
        <v>2.3E-2</v>
      </c>
      <c r="E36" s="10">
        <f t="shared" si="2"/>
        <v>194557.06471155211</v>
      </c>
      <c r="F36" s="3"/>
      <c r="G36" s="28"/>
      <c r="H36" s="10"/>
      <c r="I36" s="10">
        <f t="shared" si="8"/>
        <v>7381</v>
      </c>
      <c r="J36" s="10">
        <f t="shared" si="6"/>
        <v>63871925461.417328</v>
      </c>
      <c r="K36" s="11">
        <f t="shared" si="7"/>
        <v>2.2999999999999909E-2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8459002.8135457747</v>
      </c>
      <c r="D37" s="11">
        <v>2.2499999999999999E-2</v>
      </c>
      <c r="E37" s="10">
        <f t="shared" si="2"/>
        <v>186139.42621494271</v>
      </c>
      <c r="F37" s="3"/>
      <c r="G37" s="28"/>
      <c r="H37" s="10"/>
      <c r="I37" s="10">
        <f t="shared" si="8"/>
        <v>7381</v>
      </c>
      <c r="J37" s="10">
        <f t="shared" si="6"/>
        <v>62435899766.781364</v>
      </c>
      <c r="K37" s="11">
        <f t="shared" si="7"/>
        <v>2.2499999999999964E-2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8272863.387330832</v>
      </c>
      <c r="D38" s="11">
        <v>2.1899999999999999E-2</v>
      </c>
      <c r="E38" s="10">
        <f t="shared" si="2"/>
        <v>177292.99166508019</v>
      </c>
      <c r="F38" s="3"/>
      <c r="G38" s="28"/>
      <c r="H38" s="10"/>
      <c r="I38" s="10">
        <f t="shared" si="8"/>
        <v>7381</v>
      </c>
      <c r="J38" s="10">
        <f t="shared" si="6"/>
        <v>61062004661.88887</v>
      </c>
      <c r="K38" s="11">
        <f t="shared" si="7"/>
        <v>2.1900000000000031E-2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8095570.3956657518</v>
      </c>
      <c r="D39" s="11">
        <v>2.1499999999999998E-2</v>
      </c>
      <c r="E39" s="10">
        <f t="shared" si="2"/>
        <v>170391.34949272033</v>
      </c>
      <c r="F39" s="3"/>
      <c r="G39" s="28"/>
      <c r="H39" s="10"/>
      <c r="I39" s="10">
        <f t="shared" si="8"/>
        <v>7381</v>
      </c>
      <c r="J39" s="10">
        <f t="shared" si="6"/>
        <v>59753405090.408913</v>
      </c>
      <c r="K39" s="11">
        <f t="shared" si="7"/>
        <v>2.1500000000000075E-2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7925179.0461730314</v>
      </c>
      <c r="D40" s="11">
        <v>2.1399999999999999E-2</v>
      </c>
      <c r="E40" s="10">
        <f t="shared" si="2"/>
        <v>166045.45877041668</v>
      </c>
      <c r="F40" s="3"/>
      <c r="G40" s="28"/>
      <c r="H40" s="10"/>
      <c r="I40" s="10">
        <f t="shared" si="8"/>
        <v>7381</v>
      </c>
      <c r="J40" s="10">
        <f t="shared" si="6"/>
        <v>58495746539.803146</v>
      </c>
      <c r="K40" s="11">
        <f t="shared" si="7"/>
        <v>2.1400000000000086E-2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7759133.5874026148</v>
      </c>
      <c r="D41" s="11">
        <v>2.1600000000000001E-2</v>
      </c>
      <c r="E41" s="10">
        <f t="shared" si="2"/>
        <v>164053.72502730694</v>
      </c>
      <c r="F41" s="3"/>
      <c r="G41" s="28"/>
      <c r="H41" s="10"/>
      <c r="I41" s="10">
        <f t="shared" si="8"/>
        <v>7381</v>
      </c>
      <c r="J41" s="10">
        <f t="shared" si="6"/>
        <v>57270165008.618698</v>
      </c>
      <c r="K41" s="11">
        <f t="shared" si="7"/>
        <v>2.1600000000000064E-2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7595079.8623753078</v>
      </c>
      <c r="D42" s="11">
        <v>2.2100000000000002E-2</v>
      </c>
      <c r="E42" s="10">
        <f t="shared" si="2"/>
        <v>164221.95965022407</v>
      </c>
      <c r="F42" s="3"/>
      <c r="G42" s="28"/>
      <c r="H42" s="10"/>
      <c r="I42" s="10">
        <f t="shared" si="8"/>
        <v>7381</v>
      </c>
      <c r="J42" s="10">
        <f t="shared" si="6"/>
        <v>56059284464.192146</v>
      </c>
      <c r="K42" s="11">
        <f t="shared" si="7"/>
        <v>2.2100000000000009E-2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7430857.9027250838</v>
      </c>
      <c r="D43" s="11">
        <v>2.2700000000000001E-2</v>
      </c>
      <c r="E43" s="10">
        <f t="shared" si="2"/>
        <v>164936.41770984512</v>
      </c>
      <c r="F43" s="3"/>
      <c r="G43" s="28"/>
      <c r="H43" s="10"/>
      <c r="I43" s="10">
        <f t="shared" si="8"/>
        <v>7381</v>
      </c>
      <c r="J43" s="10">
        <f t="shared" si="6"/>
        <v>54847162180.01384</v>
      </c>
      <c r="K43" s="11">
        <f t="shared" si="7"/>
        <v>2.269999999999972E-2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7265921.4850152386</v>
      </c>
      <c r="D44" s="11">
        <v>2.3400000000000001E-2</v>
      </c>
      <c r="E44" s="10">
        <f t="shared" si="2"/>
        <v>166135.00366362836</v>
      </c>
      <c r="F44" s="3"/>
      <c r="G44" s="28"/>
      <c r="H44" s="10"/>
      <c r="I44" s="10">
        <f t="shared" si="8"/>
        <v>7381</v>
      </c>
      <c r="J44" s="10">
        <f t="shared" si="6"/>
        <v>53629766480.897476</v>
      </c>
      <c r="K44" s="11">
        <f t="shared" si="7"/>
        <v>2.3400000000000087E-2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7099786.4813516103</v>
      </c>
      <c r="D45" s="11">
        <v>2.4E-2</v>
      </c>
      <c r="E45" s="10">
        <f t="shared" si="2"/>
        <v>166401.24565667845</v>
      </c>
      <c r="F45" s="3"/>
      <c r="G45" s="28"/>
      <c r="H45" s="10"/>
      <c r="I45" s="10">
        <f t="shared" si="8"/>
        <v>7381</v>
      </c>
      <c r="J45" s="10">
        <f t="shared" si="6"/>
        <v>52403524018.856232</v>
      </c>
      <c r="K45" s="11">
        <f t="shared" si="7"/>
        <v>2.4000000000000021E-2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6933385.2356949318</v>
      </c>
      <c r="D46" s="11">
        <v>2.4400000000000002E-2</v>
      </c>
      <c r="E46" s="10">
        <f t="shared" si="2"/>
        <v>165145.06028012093</v>
      </c>
      <c r="F46" s="3"/>
      <c r="G46" s="28"/>
      <c r="H46" s="10"/>
      <c r="I46" s="10">
        <f t="shared" si="8"/>
        <v>7381</v>
      </c>
      <c r="J46" s="10">
        <f t="shared" si="6"/>
        <v>51175316424.664291</v>
      </c>
      <c r="K46" s="11">
        <f t="shared" si="7"/>
        <v>2.4399999999999977E-2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6768240.1754148109</v>
      </c>
      <c r="D47" s="11">
        <v>2.47E-2</v>
      </c>
      <c r="E47" s="10">
        <f t="shared" si="2"/>
        <v>163145.83032374922</v>
      </c>
      <c r="F47" s="3"/>
      <c r="G47" s="28"/>
      <c r="H47" s="10"/>
      <c r="I47" s="10">
        <f t="shared" si="8"/>
        <v>7381</v>
      </c>
      <c r="J47" s="10">
        <f t="shared" si="6"/>
        <v>49956380734.736717</v>
      </c>
      <c r="K47" s="11">
        <f t="shared" si="7"/>
        <v>2.4699999999999944E-2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6605094.3450910617</v>
      </c>
      <c r="D48" s="11">
        <v>2.47E-2</v>
      </c>
      <c r="E48" s="10">
        <f t="shared" si="2"/>
        <v>159213.26273421384</v>
      </c>
      <c r="F48" s="3"/>
      <c r="G48" s="28"/>
      <c r="H48" s="10"/>
      <c r="I48" s="10">
        <f t="shared" si="8"/>
        <v>7381</v>
      </c>
      <c r="J48" s="10">
        <f t="shared" si="6"/>
        <v>48752201361.117126</v>
      </c>
      <c r="K48" s="11">
        <f t="shared" si="7"/>
        <v>2.4699999999999944E-2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6445881.0823568478</v>
      </c>
      <c r="D49" s="11">
        <v>2.4500000000000001E-2</v>
      </c>
      <c r="E49" s="10">
        <f t="shared" si="2"/>
        <v>154147.47341897804</v>
      </c>
      <c r="F49" s="3"/>
      <c r="G49" s="28"/>
      <c r="H49" s="10"/>
      <c r="I49" s="10">
        <f t="shared" si="8"/>
        <v>7381</v>
      </c>
      <c r="J49" s="10">
        <f t="shared" si="6"/>
        <v>47577048268.875893</v>
      </c>
      <c r="K49" s="11">
        <f t="shared" si="7"/>
        <v>2.4499999999999966E-2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6291733.6089378698</v>
      </c>
      <c r="D50" s="11">
        <v>2.4199999999999999E-2</v>
      </c>
      <c r="E50" s="10">
        <f t="shared" si="2"/>
        <v>148662.32506961189</v>
      </c>
      <c r="F50" s="3"/>
      <c r="G50" s="28"/>
      <c r="H50" s="10"/>
      <c r="I50" s="10">
        <f t="shared" si="8"/>
        <v>7381</v>
      </c>
      <c r="J50" s="10">
        <f t="shared" si="6"/>
        <v>46439285767.570419</v>
      </c>
      <c r="K50" s="11">
        <f t="shared" si="7"/>
        <v>2.4199999999999999E-2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6143071.2838682579</v>
      </c>
      <c r="D51" s="11">
        <v>2.3800000000000002E-2</v>
      </c>
      <c r="E51" s="10">
        <f t="shared" si="2"/>
        <v>142806.30646226276</v>
      </c>
      <c r="F51" s="3"/>
      <c r="G51" s="28"/>
      <c r="H51" s="10"/>
      <c r="I51" s="10">
        <f t="shared" si="8"/>
        <v>7381</v>
      </c>
      <c r="J51" s="10">
        <f t="shared" si="6"/>
        <v>45342009146.231613</v>
      </c>
      <c r="K51" s="11">
        <f t="shared" si="7"/>
        <v>2.3800000000000043E-2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6000264.9774059951</v>
      </c>
      <c r="D52" s="11">
        <v>2.3300000000000001E-2</v>
      </c>
      <c r="E52" s="10">
        <f t="shared" si="2"/>
        <v>136622.8613051502</v>
      </c>
      <c r="F52" s="3"/>
      <c r="G52" s="28"/>
      <c r="H52" s="10"/>
      <c r="I52" s="10">
        <f t="shared" si="8"/>
        <v>7381</v>
      </c>
      <c r="J52" s="10">
        <f t="shared" si="6"/>
        <v>44287955798.23365</v>
      </c>
      <c r="K52" s="11">
        <f t="shared" si="7"/>
        <v>2.3300000000000098E-2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5863642.1161008449</v>
      </c>
      <c r="D53" s="11">
        <v>2.2800000000000001E-2</v>
      </c>
      <c r="E53" s="10">
        <f t="shared" si="2"/>
        <v>130710.83324902132</v>
      </c>
      <c r="F53" s="3"/>
      <c r="G53" s="28"/>
      <c r="H53" s="10"/>
      <c r="I53" s="10">
        <f t="shared" si="8"/>
        <v>7381</v>
      </c>
      <c r="J53" s="10">
        <f t="shared" si="6"/>
        <v>43279542458.940338</v>
      </c>
      <c r="K53" s="11">
        <f t="shared" si="7"/>
        <v>2.2799999999999931E-2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5732931.2828518236</v>
      </c>
      <c r="D54" s="11">
        <v>2.24E-2</v>
      </c>
      <c r="E54" s="10">
        <f t="shared" si="2"/>
        <v>125604.12826279458</v>
      </c>
      <c r="F54" s="3"/>
      <c r="G54" s="28"/>
      <c r="H54" s="10"/>
      <c r="I54" s="10">
        <f t="shared" si="8"/>
        <v>7381</v>
      </c>
      <c r="J54" s="10">
        <f t="shared" si="6"/>
        <v>42314765798.729309</v>
      </c>
      <c r="K54" s="11">
        <f t="shared" si="7"/>
        <v>2.2399999999999975E-2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5607327.154589029</v>
      </c>
      <c r="D55" s="11">
        <v>2.1899999999999999E-2</v>
      </c>
      <c r="E55" s="10">
        <f t="shared" si="2"/>
        <v>120168.76865202095</v>
      </c>
      <c r="F55" s="3"/>
      <c r="G55" s="28"/>
      <c r="H55" s="10"/>
      <c r="I55" s="10">
        <f t="shared" si="8"/>
        <v>7381</v>
      </c>
      <c r="J55" s="10">
        <f t="shared" si="6"/>
        <v>41387681728.021622</v>
      </c>
      <c r="K55" s="11">
        <f t="shared" si="7"/>
        <v>2.1900000000000031E-2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5487158.3859370081</v>
      </c>
      <c r="D56" s="11">
        <v>2.1499999999999998E-2</v>
      </c>
      <c r="E56" s="10">
        <f t="shared" si="2"/>
        <v>115490.85198007431</v>
      </c>
      <c r="F56" s="3"/>
      <c r="G56" s="28"/>
      <c r="H56" s="10"/>
      <c r="I56" s="10">
        <f t="shared" si="8"/>
        <v>7381</v>
      </c>
      <c r="J56" s="10">
        <f t="shared" si="6"/>
        <v>40500716046.601059</v>
      </c>
      <c r="K56" s="11">
        <f t="shared" si="7"/>
        <v>2.1500000000000075E-2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5371667.5339569338</v>
      </c>
      <c r="D57" s="11">
        <v>2.1000000000000001E-2</v>
      </c>
      <c r="E57" s="10">
        <f t="shared" si="2"/>
        <v>110484.83664358035</v>
      </c>
      <c r="F57" s="3"/>
      <c r="G57" s="28"/>
      <c r="H57" s="10"/>
      <c r="I57" s="10">
        <f t="shared" si="8"/>
        <v>7381</v>
      </c>
      <c r="J57" s="10">
        <f t="shared" si="6"/>
        <v>39648278068.136131</v>
      </c>
      <c r="K57" s="11">
        <f t="shared" si="7"/>
        <v>2.100000000000013E-2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5261182.6973133534</v>
      </c>
      <c r="D58" s="11">
        <v>2.0500000000000001E-2</v>
      </c>
      <c r="E58" s="10">
        <f t="shared" si="2"/>
        <v>105687.64850066043</v>
      </c>
      <c r="F58" s="3"/>
      <c r="G58" s="28"/>
      <c r="H58" s="10"/>
      <c r="I58" s="10">
        <f t="shared" si="8"/>
        <v>7381</v>
      </c>
      <c r="J58" s="10">
        <f t="shared" si="6"/>
        <v>38832789488.869858</v>
      </c>
      <c r="K58" s="11">
        <f t="shared" si="7"/>
        <v>2.0499999999999963E-2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5155495.048812693</v>
      </c>
      <c r="D59" s="11">
        <v>2.01E-2</v>
      </c>
      <c r="E59" s="10">
        <f t="shared" si="2"/>
        <v>101583.61972466949</v>
      </c>
      <c r="F59" s="3"/>
      <c r="G59" s="28"/>
      <c r="H59" s="10"/>
      <c r="I59" s="10">
        <f t="shared" si="8"/>
        <v>7381</v>
      </c>
      <c r="J59" s="10">
        <f t="shared" si="6"/>
        <v>38052708955.286484</v>
      </c>
      <c r="K59" s="11">
        <f t="shared" si="7"/>
        <v>2.0100000000000007E-2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5053911.4290880235</v>
      </c>
      <c r="D60" s="11">
        <v>1.9599999999999999E-2</v>
      </c>
      <c r="E60" s="10">
        <f t="shared" si="2"/>
        <v>97152.475490511395</v>
      </c>
      <c r="F60" s="3"/>
      <c r="G60" s="28"/>
      <c r="H60" s="10"/>
      <c r="I60" s="10">
        <f t="shared" si="8"/>
        <v>7381</v>
      </c>
      <c r="J60" s="10">
        <f t="shared" si="6"/>
        <v>37302920258.098701</v>
      </c>
      <c r="K60" s="11">
        <f t="shared" si="7"/>
        <v>1.9600000000000062E-2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4956758.9535975121</v>
      </c>
      <c r="D61" s="11">
        <v>1.9199999999999998E-2</v>
      </c>
      <c r="E61" s="10">
        <f t="shared" si="2"/>
        <v>93376.934761648998</v>
      </c>
      <c r="F61" s="3"/>
      <c r="G61" s="28"/>
      <c r="H61" s="10"/>
      <c r="I61" s="10">
        <f t="shared" si="8"/>
        <v>7381</v>
      </c>
      <c r="J61" s="10">
        <f t="shared" si="6"/>
        <v>36585837836.503235</v>
      </c>
      <c r="K61" s="11">
        <f t="shared" si="7"/>
        <v>1.9200000000000106E-2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4863382.0188358631</v>
      </c>
      <c r="D62" s="11">
        <v>1.8800000000000001E-2</v>
      </c>
      <c r="E62" s="10">
        <f t="shared" si="2"/>
        <v>89744.387469683774</v>
      </c>
      <c r="F62" s="3"/>
      <c r="G62" s="28"/>
      <c r="H62" s="10"/>
      <c r="I62" s="10">
        <f t="shared" si="8"/>
        <v>7381</v>
      </c>
      <c r="J62" s="10">
        <f t="shared" si="6"/>
        <v>35896622681.027504</v>
      </c>
      <c r="K62" s="11">
        <f t="shared" si="7"/>
        <v>1.8799999999999928E-2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4773637.6313661793</v>
      </c>
      <c r="D63" s="11">
        <v>1.84E-2</v>
      </c>
      <c r="E63" s="10">
        <f t="shared" si="2"/>
        <v>86247.969773308374</v>
      </c>
      <c r="F63" s="3"/>
      <c r="G63" s="28"/>
      <c r="H63" s="10"/>
      <c r="I63" s="10">
        <f t="shared" si="8"/>
        <v>7381</v>
      </c>
      <c r="J63" s="10">
        <f t="shared" si="6"/>
        <v>35234219357.11377</v>
      </c>
      <c r="K63" s="11">
        <f t="shared" si="7"/>
        <v>1.8399999999999972E-2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4687389.661592871</v>
      </c>
      <c r="D64" s="11">
        <v>1.8100000000000002E-2</v>
      </c>
      <c r="E64" s="10">
        <f t="shared" si="2"/>
        <v>83333.418008870445</v>
      </c>
      <c r="F64" s="3"/>
      <c r="G64" s="28"/>
      <c r="H64" s="10"/>
      <c r="I64" s="10">
        <f t="shared" si="8"/>
        <v>7381</v>
      </c>
      <c r="J64" s="10">
        <f t="shared" si="6"/>
        <v>34597623092.21698</v>
      </c>
      <c r="K64" s="11">
        <f t="shared" si="7"/>
        <v>1.8100000000000005E-2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4604056.2435840005</v>
      </c>
      <c r="D65" s="11">
        <v>1.78E-2</v>
      </c>
      <c r="E65" s="10">
        <f t="shared" si="2"/>
        <v>80518.963584000245</v>
      </c>
      <c r="F65" s="3"/>
      <c r="G65" s="28"/>
      <c r="H65" s="10"/>
      <c r="I65" s="10">
        <f t="shared" si="8"/>
        <v>7381</v>
      </c>
      <c r="J65" s="10">
        <f t="shared" si="6"/>
        <v>33982539133.893509</v>
      </c>
      <c r="K65" s="11">
        <f t="shared" si="7"/>
        <v>1.7800000000000038E-2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4523537.28</v>
      </c>
      <c r="D66" s="11">
        <v>1.7600000000000001E-2</v>
      </c>
      <c r="E66" s="10">
        <f t="shared" si="2"/>
        <v>78237.280000000261</v>
      </c>
      <c r="F66" s="24">
        <f>SUM(F2)</f>
        <v>17219177</v>
      </c>
      <c r="G66" s="28"/>
      <c r="H66" s="10"/>
      <c r="I66" s="10">
        <f t="shared" si="8"/>
        <v>7381</v>
      </c>
      <c r="J66" s="10">
        <f t="shared" ref="J66:J67" si="9">IF(I66="","",I66*C66)</f>
        <v>33388228663.68</v>
      </c>
      <c r="K66" s="11">
        <f t="shared" ref="K66" si="10">IFERROR(J66/J67-1,"")</f>
        <v>1.760000000000006E-2</v>
      </c>
    </row>
    <row r="67" spans="1:11" ht="22.5" customHeight="1">
      <c r="A67" s="3">
        <f t="shared" si="0"/>
        <v>1950</v>
      </c>
      <c r="B67" s="3">
        <v>1700</v>
      </c>
      <c r="C67" s="10">
        <v>4445300</v>
      </c>
      <c r="D67" s="11">
        <v>1.7399999999999999E-2</v>
      </c>
      <c r="E67" s="3" t="s">
        <v>72</v>
      </c>
      <c r="F67" s="10">
        <f>SUM(C2)</f>
        <v>17219800.948560115</v>
      </c>
      <c r="G67" s="28"/>
      <c r="H67" s="10"/>
      <c r="I67" s="10">
        <f t="shared" ref="I67" si="11">IF(H67&lt;&gt;"",H67,I66/(1+IF(G66="",0,G66)/100))</f>
        <v>7381</v>
      </c>
      <c r="J67" s="10">
        <f t="shared" si="9"/>
        <v>32810759300</v>
      </c>
      <c r="K67" s="11"/>
    </row>
  </sheetData>
  <dataValidations count="1">
    <dataValidation type="custom" allowBlank="1" showDropDown="1" sqref="D2:D67" xr:uid="{00000000-0002-0000-A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730350.53362315299</v>
      </c>
      <c r="D2" s="11">
        <v>4.36E-2</v>
      </c>
      <c r="E2" s="10">
        <f t="shared" ref="E2:E66" si="2">SUM(C2-C3)</f>
        <v>30512.919955892605</v>
      </c>
      <c r="F2" s="15">
        <v>730203</v>
      </c>
      <c r="G2" s="28"/>
      <c r="H2" s="10"/>
      <c r="I2" s="10">
        <f>IF(H2&lt;&gt;"",H2,24603)</f>
        <v>24603</v>
      </c>
      <c r="J2" s="10">
        <f t="shared" ref="J2:J33" si="3">IF(I2="","",I2*C2)</f>
        <v>17968814178.730434</v>
      </c>
      <c r="K2" s="11">
        <f t="shared" ref="K2:K33" si="4">IFERROR(J2/J3-1,"")</f>
        <v>4.3600000000000083E-2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699837.61366726039</v>
      </c>
      <c r="D3" s="11">
        <v>6.2199999999999998E-2</v>
      </c>
      <c r="E3" s="10">
        <f t="shared" si="2"/>
        <v>40980.888316798722</v>
      </c>
      <c r="F3" s="3"/>
      <c r="G3" s="28"/>
      <c r="H3" s="10"/>
      <c r="I3" s="10">
        <f t="shared" ref="I3:I34" si="5">IF(H3&lt;&gt;"",H3,I2/(1+IF(G2="",0,G2)/100))</f>
        <v>24603</v>
      </c>
      <c r="J3" s="10">
        <f t="shared" si="3"/>
        <v>17218104809.055607</v>
      </c>
      <c r="K3" s="11">
        <f t="shared" si="4"/>
        <v>6.2200000000000033E-2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658856.72535046167</v>
      </c>
      <c r="D4" s="11">
        <v>8.6800000000000002E-2</v>
      </c>
      <c r="E4" s="10">
        <f t="shared" si="2"/>
        <v>52621.240118163521</v>
      </c>
      <c r="F4" s="3"/>
      <c r="G4" s="28"/>
      <c r="H4" s="10"/>
      <c r="I4" s="10">
        <f t="shared" si="5"/>
        <v>24603</v>
      </c>
      <c r="J4" s="10">
        <f t="shared" si="3"/>
        <v>16209852013.797409</v>
      </c>
      <c r="K4" s="11">
        <f t="shared" si="4"/>
        <v>8.680000000000021E-2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606235.48523229815</v>
      </c>
      <c r="D5" s="11">
        <v>0.1166</v>
      </c>
      <c r="E5" s="10">
        <f t="shared" si="2"/>
        <v>63305.622047363431</v>
      </c>
      <c r="F5" s="3"/>
      <c r="G5" s="28"/>
      <c r="H5" s="10"/>
      <c r="I5" s="10">
        <f t="shared" si="5"/>
        <v>24603</v>
      </c>
      <c r="J5" s="10">
        <f t="shared" si="3"/>
        <v>14915211643.170231</v>
      </c>
      <c r="K5" s="11">
        <f t="shared" si="4"/>
        <v>0.11660000000000004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542929.86318493471</v>
      </c>
      <c r="D6" s="11">
        <v>0.1343</v>
      </c>
      <c r="E6" s="10">
        <f t="shared" si="2"/>
        <v>64282.359715892468</v>
      </c>
      <c r="F6" s="3"/>
      <c r="G6" s="28"/>
      <c r="H6" s="10"/>
      <c r="I6" s="10">
        <f t="shared" si="5"/>
        <v>24603</v>
      </c>
      <c r="J6" s="10">
        <f t="shared" si="3"/>
        <v>13357703423.93895</v>
      </c>
      <c r="K6" s="11">
        <f t="shared" si="4"/>
        <v>0.13430000000000031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478647.50346904225</v>
      </c>
      <c r="D7" s="11">
        <v>0.14480000000000001</v>
      </c>
      <c r="E7" s="10">
        <f t="shared" si="2"/>
        <v>60541.717769319832</v>
      </c>
      <c r="F7" s="3"/>
      <c r="G7" s="28"/>
      <c r="H7" s="10"/>
      <c r="I7" s="10">
        <f t="shared" si="5"/>
        <v>24603</v>
      </c>
      <c r="J7" s="10">
        <f t="shared" si="3"/>
        <v>11776164527.848846</v>
      </c>
      <c r="K7" s="11">
        <f t="shared" si="4"/>
        <v>0.14480000000000004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418105.78569972242</v>
      </c>
      <c r="D8" s="11">
        <v>0.1384</v>
      </c>
      <c r="E8" s="10">
        <f t="shared" si="2"/>
        <v>50830.850967007747</v>
      </c>
      <c r="F8" s="3"/>
      <c r="G8" s="28"/>
      <c r="H8" s="10"/>
      <c r="I8" s="10">
        <f t="shared" si="5"/>
        <v>24603</v>
      </c>
      <c r="J8" s="10">
        <f t="shared" si="3"/>
        <v>10286656645.570271</v>
      </c>
      <c r="K8" s="11">
        <f t="shared" si="4"/>
        <v>0.13840000000000008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367274.93473271467</v>
      </c>
      <c r="D9" s="11">
        <v>0.1096</v>
      </c>
      <c r="E9" s="10">
        <f t="shared" si="2"/>
        <v>36277.336740001338</v>
      </c>
      <c r="F9" s="3"/>
      <c r="G9" s="28"/>
      <c r="H9" s="10"/>
      <c r="I9" s="10">
        <f t="shared" si="5"/>
        <v>24603</v>
      </c>
      <c r="J9" s="10">
        <f t="shared" si="3"/>
        <v>9036065219.2289791</v>
      </c>
      <c r="K9" s="11">
        <f t="shared" si="4"/>
        <v>0.10959999999999992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330997.59799271333</v>
      </c>
      <c r="D10" s="11">
        <v>7.7399999999999997E-2</v>
      </c>
      <c r="E10" s="10">
        <f t="shared" si="2"/>
        <v>23778.739636751416</v>
      </c>
      <c r="F10" s="3"/>
      <c r="G10" s="28"/>
      <c r="H10" s="10"/>
      <c r="I10" s="10">
        <f t="shared" si="5"/>
        <v>24603</v>
      </c>
      <c r="J10" s="10">
        <f t="shared" si="3"/>
        <v>8143533903.4147263</v>
      </c>
      <c r="K10" s="11">
        <f t="shared" si="4"/>
        <v>7.7399999999999913E-2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307218.85835596191</v>
      </c>
      <c r="D11" s="11">
        <v>5.5800000000000002E-2</v>
      </c>
      <c r="E11" s="10">
        <f t="shared" si="2"/>
        <v>16236.79891671025</v>
      </c>
      <c r="F11" s="3"/>
      <c r="G11" s="28"/>
      <c r="H11" s="10"/>
      <c r="I11" s="10">
        <f t="shared" si="5"/>
        <v>24603</v>
      </c>
      <c r="J11" s="10">
        <f t="shared" si="3"/>
        <v>7558505572.131731</v>
      </c>
      <c r="K11" s="11">
        <f t="shared" si="4"/>
        <v>5.5800000000000072E-2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290982.05943925167</v>
      </c>
      <c r="D12" s="11">
        <v>4.2900000000000001E-2</v>
      </c>
      <c r="E12" s="10">
        <f t="shared" si="2"/>
        <v>11969.633090367133</v>
      </c>
      <c r="F12" s="3"/>
      <c r="G12" s="28"/>
      <c r="H12" s="10"/>
      <c r="I12" s="10">
        <f t="shared" si="5"/>
        <v>24603</v>
      </c>
      <c r="J12" s="10">
        <f t="shared" si="3"/>
        <v>7159031608.3839083</v>
      </c>
      <c r="K12" s="11">
        <f t="shared" si="4"/>
        <v>4.2899999999999938E-2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279012.42634888453</v>
      </c>
      <c r="D13" s="11">
        <v>3.5799999999999998E-2</v>
      </c>
      <c r="E13" s="10">
        <f t="shared" si="2"/>
        <v>9643.4107581483549</v>
      </c>
      <c r="F13" s="3"/>
      <c r="G13" s="28"/>
      <c r="H13" s="10"/>
      <c r="I13" s="10">
        <f t="shared" si="5"/>
        <v>24603</v>
      </c>
      <c r="J13" s="10">
        <f t="shared" si="3"/>
        <v>6864542725.461606</v>
      </c>
      <c r="K13" s="11">
        <f t="shared" si="4"/>
        <v>3.5800000000000054E-2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269369.01559073618</v>
      </c>
      <c r="D14" s="11">
        <v>3.1699999999999999E-2</v>
      </c>
      <c r="E14" s="10">
        <f t="shared" si="2"/>
        <v>8276.6286655290751</v>
      </c>
      <c r="F14" s="3"/>
      <c r="G14" s="28"/>
      <c r="H14" s="10"/>
      <c r="I14" s="10">
        <f t="shared" si="5"/>
        <v>24603</v>
      </c>
      <c r="J14" s="10">
        <f t="shared" si="3"/>
        <v>6627285890.5788822</v>
      </c>
      <c r="K14" s="11">
        <f t="shared" si="4"/>
        <v>3.1700000000000061E-2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261092.3869252071</v>
      </c>
      <c r="D15" s="11">
        <v>2.9899999999999999E-2</v>
      </c>
      <c r="E15" s="10">
        <f t="shared" si="2"/>
        <v>7580.0197777101712</v>
      </c>
      <c r="F15" s="3"/>
      <c r="G15" s="28"/>
      <c r="H15" s="10"/>
      <c r="I15" s="10">
        <f t="shared" si="5"/>
        <v>24603</v>
      </c>
      <c r="J15" s="10">
        <f t="shared" si="3"/>
        <v>6423655995.5208702</v>
      </c>
      <c r="K15" s="11">
        <f t="shared" si="4"/>
        <v>2.9900000000000038E-2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253512.36714749693</v>
      </c>
      <c r="D16" s="11">
        <v>2.9700000000000001E-2</v>
      </c>
      <c r="E16" s="10">
        <f t="shared" si="2"/>
        <v>7312.1465516953322</v>
      </c>
      <c r="F16" s="3"/>
      <c r="G16" s="28"/>
      <c r="H16" s="10"/>
      <c r="I16" s="10">
        <f t="shared" si="5"/>
        <v>24603</v>
      </c>
      <c r="J16" s="10">
        <f t="shared" si="3"/>
        <v>6237164768.9298668</v>
      </c>
      <c r="K16" s="11">
        <f t="shared" si="4"/>
        <v>2.970000000000006E-2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246200.2205958016</v>
      </c>
      <c r="D17" s="11">
        <v>3.0300000000000001E-2</v>
      </c>
      <c r="E17" s="10">
        <f t="shared" si="2"/>
        <v>7240.4801359339908</v>
      </c>
      <c r="F17" s="3"/>
      <c r="G17" s="28"/>
      <c r="H17" s="10"/>
      <c r="I17" s="10">
        <f t="shared" si="5"/>
        <v>24603</v>
      </c>
      <c r="J17" s="10">
        <f t="shared" si="3"/>
        <v>6057264027.3185072</v>
      </c>
      <c r="K17" s="11">
        <f t="shared" si="4"/>
        <v>3.0300000000000216E-2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238959.74045986761</v>
      </c>
      <c r="D18" s="11">
        <v>3.09E-2</v>
      </c>
      <c r="E18" s="10">
        <f t="shared" si="2"/>
        <v>7162.5336892132182</v>
      </c>
      <c r="F18" s="3"/>
      <c r="G18" s="28"/>
      <c r="H18" s="10"/>
      <c r="I18" s="10">
        <f t="shared" si="5"/>
        <v>24603</v>
      </c>
      <c r="J18" s="10">
        <f t="shared" si="3"/>
        <v>5879126494.5341225</v>
      </c>
      <c r="K18" s="11">
        <f t="shared" si="4"/>
        <v>3.0899999999999928E-2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231797.20677065439</v>
      </c>
      <c r="D19" s="11">
        <v>3.1199999999999999E-2</v>
      </c>
      <c r="E19" s="10">
        <f t="shared" si="2"/>
        <v>7013.2591652874253</v>
      </c>
      <c r="F19" s="3"/>
      <c r="G19" s="28"/>
      <c r="H19" s="10"/>
      <c r="I19" s="10">
        <f t="shared" si="5"/>
        <v>24603</v>
      </c>
      <c r="J19" s="10">
        <f t="shared" si="3"/>
        <v>5702906678.1784096</v>
      </c>
      <c r="K19" s="11">
        <f t="shared" si="4"/>
        <v>3.1199999999999894E-2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224783.94760536696</v>
      </c>
      <c r="D20" s="11">
        <v>3.1099999999999999E-2</v>
      </c>
      <c r="E20" s="10">
        <f t="shared" si="2"/>
        <v>6779.9250999194046</v>
      </c>
      <c r="F20" s="3"/>
      <c r="G20" s="28"/>
      <c r="H20" s="10"/>
      <c r="I20" s="10">
        <f t="shared" si="5"/>
        <v>24603</v>
      </c>
      <c r="J20" s="10">
        <f t="shared" si="3"/>
        <v>5530359462.9348431</v>
      </c>
      <c r="K20" s="11">
        <f t="shared" si="4"/>
        <v>3.1099999999999905E-2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218004.02250544756</v>
      </c>
      <c r="D21" s="11">
        <v>3.09E-2</v>
      </c>
      <c r="E21" s="10">
        <f t="shared" si="2"/>
        <v>6534.4109956526372</v>
      </c>
      <c r="F21" s="3"/>
      <c r="G21" s="28"/>
      <c r="H21" s="10"/>
      <c r="I21" s="10">
        <f t="shared" si="5"/>
        <v>24603</v>
      </c>
      <c r="J21" s="10">
        <f t="shared" si="3"/>
        <v>5363552965.7015266</v>
      </c>
      <c r="K21" s="11">
        <f t="shared" si="4"/>
        <v>3.0899999999999928E-2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211469.61150979492</v>
      </c>
      <c r="D22" s="11">
        <v>3.1199999999999999E-2</v>
      </c>
      <c r="E22" s="10">
        <f t="shared" si="2"/>
        <v>6398.2271907540562</v>
      </c>
      <c r="F22" s="3"/>
      <c r="G22" s="28"/>
      <c r="H22" s="10"/>
      <c r="I22" s="10">
        <f t="shared" si="5"/>
        <v>24603</v>
      </c>
      <c r="J22" s="10">
        <f t="shared" si="3"/>
        <v>5202786851.9754848</v>
      </c>
      <c r="K22" s="11">
        <f t="shared" si="4"/>
        <v>3.1199999999999894E-2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205071.38431904087</v>
      </c>
      <c r="D23" s="11">
        <v>3.4000000000000002E-2</v>
      </c>
      <c r="E23" s="10">
        <f t="shared" si="2"/>
        <v>6743.1596391173953</v>
      </c>
      <c r="F23" s="3"/>
      <c r="G23" s="28"/>
      <c r="H23" s="10"/>
      <c r="I23" s="10">
        <f t="shared" si="5"/>
        <v>24603</v>
      </c>
      <c r="J23" s="10">
        <f t="shared" si="3"/>
        <v>5045371268.4013624</v>
      </c>
      <c r="K23" s="11">
        <f t="shared" si="4"/>
        <v>3.3999999999999808E-2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198328.22467992347</v>
      </c>
      <c r="D24" s="11">
        <v>0.04</v>
      </c>
      <c r="E24" s="10">
        <f t="shared" si="2"/>
        <v>7628.0086415355327</v>
      </c>
      <c r="F24" s="3"/>
      <c r="G24" s="28"/>
      <c r="H24" s="10"/>
      <c r="I24" s="10">
        <f t="shared" si="5"/>
        <v>24603</v>
      </c>
      <c r="J24" s="10">
        <f t="shared" si="3"/>
        <v>4879469311.8001575</v>
      </c>
      <c r="K24" s="11">
        <f t="shared" si="4"/>
        <v>4.0000000000000258E-2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190700.21603838794</v>
      </c>
      <c r="D25" s="11">
        <v>4.7199999999999999E-2</v>
      </c>
      <c r="E25" s="10">
        <f t="shared" si="2"/>
        <v>8595.3496915698051</v>
      </c>
      <c r="F25" s="3"/>
      <c r="G25" s="28"/>
      <c r="H25" s="10"/>
      <c r="I25" s="10">
        <f t="shared" si="5"/>
        <v>24603</v>
      </c>
      <c r="J25" s="10">
        <f t="shared" si="3"/>
        <v>4691797415.1924582</v>
      </c>
      <c r="K25" s="11">
        <f t="shared" si="4"/>
        <v>4.7199999999999909E-2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182104.86634681813</v>
      </c>
      <c r="D26" s="11">
        <v>5.3199999999999997E-2</v>
      </c>
      <c r="E26" s="10">
        <f t="shared" si="2"/>
        <v>9198.6126943132549</v>
      </c>
      <c r="F26" s="3"/>
      <c r="G26" s="28"/>
      <c r="H26" s="10"/>
      <c r="I26" s="10">
        <f t="shared" si="5"/>
        <v>24603</v>
      </c>
      <c r="J26" s="10">
        <f t="shared" si="3"/>
        <v>4480326026.7307663</v>
      </c>
      <c r="K26" s="11">
        <f t="shared" si="4"/>
        <v>5.3199999999999914E-2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172906.25365250488</v>
      </c>
      <c r="D27" s="11">
        <v>5.8099999999999999E-2</v>
      </c>
      <c r="E27" s="10">
        <f t="shared" si="2"/>
        <v>9494.2381034028367</v>
      </c>
      <c r="F27" s="3"/>
      <c r="G27" s="28"/>
      <c r="H27" s="10"/>
      <c r="I27" s="10">
        <f t="shared" si="5"/>
        <v>24603</v>
      </c>
      <c r="J27" s="10">
        <f t="shared" si="3"/>
        <v>4254012558.6125774</v>
      </c>
      <c r="K27" s="11">
        <f t="shared" si="4"/>
        <v>5.8100000000000041E-2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163412.01554910204</v>
      </c>
      <c r="D28" s="11">
        <v>6.2899999999999998E-2</v>
      </c>
      <c r="E28" s="10">
        <f t="shared" si="2"/>
        <v>9670.3507178836444</v>
      </c>
      <c r="F28" s="3"/>
      <c r="G28" s="28"/>
      <c r="H28" s="10"/>
      <c r="I28" s="10">
        <f t="shared" si="5"/>
        <v>24603</v>
      </c>
      <c r="J28" s="10">
        <f t="shared" si="3"/>
        <v>4020425818.5545573</v>
      </c>
      <c r="K28" s="11">
        <f t="shared" si="4"/>
        <v>6.2899999999999956E-2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153741.6648312184</v>
      </c>
      <c r="D29" s="11">
        <v>6.7400000000000002E-2</v>
      </c>
      <c r="E29" s="10">
        <f t="shared" si="2"/>
        <v>9707.8772808919894</v>
      </c>
      <c r="F29" s="3"/>
      <c r="G29" s="28"/>
      <c r="H29" s="10"/>
      <c r="I29" s="10">
        <f t="shared" si="5"/>
        <v>24603</v>
      </c>
      <c r="J29" s="10">
        <f t="shared" si="3"/>
        <v>3782506179.8424664</v>
      </c>
      <c r="K29" s="11">
        <f t="shared" si="4"/>
        <v>6.7399999999999904E-2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144033.78755032641</v>
      </c>
      <c r="D30" s="11">
        <v>7.0999999999999994E-2</v>
      </c>
      <c r="E30" s="10">
        <f t="shared" si="2"/>
        <v>9548.4583716836351</v>
      </c>
      <c r="F30" s="3"/>
      <c r="G30" s="28"/>
      <c r="H30" s="10"/>
      <c r="I30" s="10">
        <f t="shared" si="5"/>
        <v>24603</v>
      </c>
      <c r="J30" s="10">
        <f t="shared" si="3"/>
        <v>3543663275.1006808</v>
      </c>
      <c r="K30" s="11">
        <f t="shared" si="4"/>
        <v>7.0999999999999952E-2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134485.32917864277</v>
      </c>
      <c r="D31" s="11">
        <v>7.3800000000000004E-2</v>
      </c>
      <c r="E31" s="10">
        <f t="shared" si="2"/>
        <v>9242.8918731457088</v>
      </c>
      <c r="F31" s="3"/>
      <c r="G31" s="28"/>
      <c r="H31" s="10"/>
      <c r="I31" s="10">
        <f t="shared" si="5"/>
        <v>24603</v>
      </c>
      <c r="J31" s="10">
        <f t="shared" si="3"/>
        <v>3308742553.7821484</v>
      </c>
      <c r="K31" s="11">
        <f t="shared" si="4"/>
        <v>7.380000000000031E-2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125242.43730549706</v>
      </c>
      <c r="D32" s="11">
        <v>7.5399999999999995E-2</v>
      </c>
      <c r="E32" s="10">
        <f t="shared" si="2"/>
        <v>8781.1788849120931</v>
      </c>
      <c r="F32" s="3"/>
      <c r="G32" s="28"/>
      <c r="H32" s="10"/>
      <c r="I32" s="10">
        <f t="shared" si="5"/>
        <v>24603</v>
      </c>
      <c r="J32" s="10">
        <f t="shared" si="3"/>
        <v>3081339685.0271444</v>
      </c>
      <c r="K32" s="11">
        <f t="shared" si="4"/>
        <v>7.5399999999999912E-2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116461.25842058497</v>
      </c>
      <c r="D33" s="11">
        <v>7.5800000000000006E-2</v>
      </c>
      <c r="E33" s="10">
        <f t="shared" si="2"/>
        <v>8205.7663025472721</v>
      </c>
      <c r="F33" s="3"/>
      <c r="G33" s="28"/>
      <c r="H33" s="10"/>
      <c r="I33" s="10">
        <f t="shared" si="5"/>
        <v>24603</v>
      </c>
      <c r="J33" s="10">
        <f t="shared" si="3"/>
        <v>2865296340.9216518</v>
      </c>
      <c r="K33" s="11">
        <f t="shared" si="4"/>
        <v>7.580000000000009E-2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108255.4921180377</v>
      </c>
      <c r="D34" s="11">
        <v>7.5499999999999998E-2</v>
      </c>
      <c r="E34" s="10">
        <f t="shared" si="2"/>
        <v>7599.5254810895713</v>
      </c>
      <c r="F34" s="3"/>
      <c r="G34" s="28"/>
      <c r="H34" s="10"/>
      <c r="I34" s="10">
        <f t="shared" si="5"/>
        <v>24603</v>
      </c>
      <c r="J34" s="10">
        <f t="shared" ref="J34:J65" si="6">IF(I34="","",I34*C34)</f>
        <v>2663409872.5800815</v>
      </c>
      <c r="K34" s="11">
        <f t="shared" ref="K34:K65" si="7">IFERROR(J34/J35-1,"")</f>
        <v>7.5499999999999901E-2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100655.96663694813</v>
      </c>
      <c r="D35" s="11">
        <v>7.4099999999999999E-2</v>
      </c>
      <c r="E35" s="10">
        <f t="shared" si="2"/>
        <v>6944.0528142611147</v>
      </c>
      <c r="F35" s="3"/>
      <c r="G35" s="28"/>
      <c r="H35" s="10"/>
      <c r="I35" s="10">
        <f t="shared" ref="I35:I66" si="8">IF(H35&lt;&gt;"",H35,I34/(1+IF(G34="",0,G34)/100))</f>
        <v>24603</v>
      </c>
      <c r="J35" s="10">
        <f t="shared" si="6"/>
        <v>2476438747.1688347</v>
      </c>
      <c r="K35" s="11">
        <f t="shared" si="7"/>
        <v>7.4100000000000055E-2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93711.913822687013</v>
      </c>
      <c r="D36" s="11">
        <v>7.1099999999999997E-2</v>
      </c>
      <c r="E36" s="10">
        <f t="shared" si="2"/>
        <v>6220.6302612202853</v>
      </c>
      <c r="F36" s="3"/>
      <c r="G36" s="28"/>
      <c r="H36" s="10"/>
      <c r="I36" s="10">
        <f t="shared" si="8"/>
        <v>24603</v>
      </c>
      <c r="J36" s="10">
        <f t="shared" si="6"/>
        <v>2305594215.7795687</v>
      </c>
      <c r="K36" s="11">
        <f t="shared" si="7"/>
        <v>7.1100000000000163E-2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87491.283561466727</v>
      </c>
      <c r="D37" s="11">
        <v>6.6699999999999995E-2</v>
      </c>
      <c r="E37" s="10">
        <f t="shared" si="2"/>
        <v>5470.7683636916045</v>
      </c>
      <c r="F37" s="3"/>
      <c r="G37" s="28"/>
      <c r="H37" s="10"/>
      <c r="I37" s="10">
        <f t="shared" si="8"/>
        <v>24603</v>
      </c>
      <c r="J37" s="10">
        <f t="shared" si="6"/>
        <v>2152548049.4627657</v>
      </c>
      <c r="K37" s="11">
        <f t="shared" si="7"/>
        <v>6.6699999999999982E-2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82020.515197775123</v>
      </c>
      <c r="D38" s="11">
        <v>6.0699999999999997E-2</v>
      </c>
      <c r="E38" s="10">
        <f t="shared" si="2"/>
        <v>4693.7355260723562</v>
      </c>
      <c r="F38" s="3"/>
      <c r="G38" s="28"/>
      <c r="H38" s="10"/>
      <c r="I38" s="10">
        <f t="shared" si="8"/>
        <v>24603</v>
      </c>
      <c r="J38" s="10">
        <f t="shared" si="6"/>
        <v>2017950735.4108613</v>
      </c>
      <c r="K38" s="11">
        <f t="shared" si="7"/>
        <v>6.0699999999999976E-2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77326.779671702767</v>
      </c>
      <c r="D39" s="11">
        <v>5.3900000000000003E-2</v>
      </c>
      <c r="E39" s="10">
        <f t="shared" si="2"/>
        <v>3954.7522765962494</v>
      </c>
      <c r="F39" s="3"/>
      <c r="G39" s="28"/>
      <c r="H39" s="10"/>
      <c r="I39" s="10">
        <f t="shared" si="8"/>
        <v>24603</v>
      </c>
      <c r="J39" s="10">
        <f t="shared" si="6"/>
        <v>1902470760.2629032</v>
      </c>
      <c r="K39" s="11">
        <f t="shared" si="7"/>
        <v>5.3900000000000281E-2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73372.027395106517</v>
      </c>
      <c r="D40" s="11">
        <v>4.7800000000000002E-2</v>
      </c>
      <c r="E40" s="10">
        <f t="shared" si="2"/>
        <v>3347.1873539664957</v>
      </c>
      <c r="F40" s="3"/>
      <c r="G40" s="28"/>
      <c r="H40" s="10"/>
      <c r="I40" s="10">
        <f t="shared" si="8"/>
        <v>24603</v>
      </c>
      <c r="J40" s="10">
        <f t="shared" si="6"/>
        <v>1805171990.0018055</v>
      </c>
      <c r="K40" s="11">
        <f t="shared" si="7"/>
        <v>4.7800000000000065E-2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70024.840041140022</v>
      </c>
      <c r="D41" s="11">
        <v>4.2700000000000002E-2</v>
      </c>
      <c r="E41" s="10">
        <f t="shared" si="2"/>
        <v>2867.6135703046602</v>
      </c>
      <c r="F41" s="3"/>
      <c r="G41" s="28"/>
      <c r="H41" s="10"/>
      <c r="I41" s="10">
        <f t="shared" si="8"/>
        <v>24603</v>
      </c>
      <c r="J41" s="10">
        <f t="shared" si="6"/>
        <v>1722821139.5321679</v>
      </c>
      <c r="K41" s="11">
        <f t="shared" si="7"/>
        <v>4.269999999999996E-2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67157.226470835361</v>
      </c>
      <c r="D42" s="11">
        <v>3.9100000000000003E-2</v>
      </c>
      <c r="E42" s="10">
        <f t="shared" si="2"/>
        <v>2527.0402800593365</v>
      </c>
      <c r="F42" s="3"/>
      <c r="G42" s="28"/>
      <c r="H42" s="10"/>
      <c r="I42" s="10">
        <f t="shared" si="8"/>
        <v>24603</v>
      </c>
      <c r="J42" s="10">
        <f t="shared" si="6"/>
        <v>1652269242.8619623</v>
      </c>
      <c r="K42" s="11">
        <f t="shared" si="7"/>
        <v>3.9099999999999691E-2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64630.186190776025</v>
      </c>
      <c r="D43" s="11">
        <v>3.8300000000000001E-2</v>
      </c>
      <c r="E43" s="10">
        <f t="shared" si="2"/>
        <v>2384.0278639186363</v>
      </c>
      <c r="F43" s="3"/>
      <c r="G43" s="28"/>
      <c r="H43" s="10"/>
      <c r="I43" s="10">
        <f t="shared" si="8"/>
        <v>24603</v>
      </c>
      <c r="J43" s="10">
        <f t="shared" si="6"/>
        <v>1590096470.8516626</v>
      </c>
      <c r="K43" s="11">
        <f t="shared" si="7"/>
        <v>3.8300000000000001E-2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62246.158326857389</v>
      </c>
      <c r="D44" s="11">
        <v>4.0399999999999998E-2</v>
      </c>
      <c r="E44" s="10">
        <f t="shared" si="2"/>
        <v>2417.094191085198</v>
      </c>
      <c r="F44" s="3"/>
      <c r="G44" s="28"/>
      <c r="H44" s="10"/>
      <c r="I44" s="10">
        <f t="shared" si="8"/>
        <v>24603</v>
      </c>
      <c r="J44" s="10">
        <f t="shared" si="6"/>
        <v>1531442233.3156724</v>
      </c>
      <c r="K44" s="11">
        <f t="shared" si="7"/>
        <v>4.0400000000000214E-2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59829.064135772191</v>
      </c>
      <c r="D45" s="11">
        <v>4.6199999999999998E-2</v>
      </c>
      <c r="E45" s="10">
        <f t="shared" si="2"/>
        <v>2642.0404923271635</v>
      </c>
      <c r="F45" s="3"/>
      <c r="G45" s="28"/>
      <c r="H45" s="10"/>
      <c r="I45" s="10">
        <f t="shared" si="8"/>
        <v>24603</v>
      </c>
      <c r="J45" s="10">
        <f t="shared" si="6"/>
        <v>1471974464.9324031</v>
      </c>
      <c r="K45" s="11">
        <f t="shared" si="7"/>
        <v>4.6200000000000019E-2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57187.023643445027</v>
      </c>
      <c r="D46" s="11">
        <v>5.5300000000000002E-2</v>
      </c>
      <c r="E46" s="10">
        <f t="shared" si="2"/>
        <v>2996.7235928006266</v>
      </c>
      <c r="F46" s="3"/>
      <c r="G46" s="28"/>
      <c r="H46" s="10"/>
      <c r="I46" s="10">
        <f t="shared" si="8"/>
        <v>24603</v>
      </c>
      <c r="J46" s="10">
        <f t="shared" si="6"/>
        <v>1406972342.6996779</v>
      </c>
      <c r="K46" s="11">
        <f t="shared" si="7"/>
        <v>5.5299999999999683E-2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54190.3000506444</v>
      </c>
      <c r="D47" s="11">
        <v>6.6299999999999998E-2</v>
      </c>
      <c r="E47" s="10">
        <f t="shared" si="2"/>
        <v>3369.4240770493561</v>
      </c>
      <c r="F47" s="3"/>
      <c r="G47" s="28"/>
      <c r="H47" s="10"/>
      <c r="I47" s="10">
        <f t="shared" si="8"/>
        <v>24603</v>
      </c>
      <c r="J47" s="10">
        <f t="shared" si="6"/>
        <v>1333243952.1460042</v>
      </c>
      <c r="K47" s="11">
        <f t="shared" si="7"/>
        <v>6.6300000000000026E-2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50820.875973595044</v>
      </c>
      <c r="D48" s="11">
        <v>7.7700000000000005E-2</v>
      </c>
      <c r="E48" s="10">
        <f t="shared" si="2"/>
        <v>3664.0828274550804</v>
      </c>
      <c r="F48" s="3"/>
      <c r="G48" s="28"/>
      <c r="H48" s="10"/>
      <c r="I48" s="10">
        <f t="shared" si="8"/>
        <v>24603</v>
      </c>
      <c r="J48" s="10">
        <f t="shared" si="6"/>
        <v>1250346011.5783589</v>
      </c>
      <c r="K48" s="11">
        <f t="shared" si="7"/>
        <v>7.7700000000000102E-2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47156.793146139964</v>
      </c>
      <c r="D49" s="11">
        <v>8.9099999999999999E-2</v>
      </c>
      <c r="E49" s="10">
        <f t="shared" si="2"/>
        <v>3857.9288121578065</v>
      </c>
      <c r="F49" s="3"/>
      <c r="G49" s="28"/>
      <c r="H49" s="10"/>
      <c r="I49" s="10">
        <f t="shared" si="8"/>
        <v>24603</v>
      </c>
      <c r="J49" s="10">
        <f t="shared" si="6"/>
        <v>1160198581.7744815</v>
      </c>
      <c r="K49" s="11">
        <f t="shared" si="7"/>
        <v>8.9099999999999957E-2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43298.864333982157</v>
      </c>
      <c r="D50" s="11">
        <v>0.10050000000000001</v>
      </c>
      <c r="E50" s="10">
        <f t="shared" si="2"/>
        <v>3954.1443576239981</v>
      </c>
      <c r="F50" s="3"/>
      <c r="G50" s="28"/>
      <c r="H50" s="10"/>
      <c r="I50" s="10">
        <f t="shared" si="8"/>
        <v>24603</v>
      </c>
      <c r="J50" s="10">
        <f t="shared" si="6"/>
        <v>1065281959.208963</v>
      </c>
      <c r="K50" s="11">
        <f t="shared" si="7"/>
        <v>0.10050000000000003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39344.719976358159</v>
      </c>
      <c r="D51" s="11">
        <v>0.1089</v>
      </c>
      <c r="E51" s="10">
        <f t="shared" si="2"/>
        <v>3863.8650964247499</v>
      </c>
      <c r="F51" s="3"/>
      <c r="G51" s="28"/>
      <c r="H51" s="10"/>
      <c r="I51" s="10">
        <f t="shared" si="8"/>
        <v>24603</v>
      </c>
      <c r="J51" s="10">
        <f t="shared" si="6"/>
        <v>967998145.57833982</v>
      </c>
      <c r="K51" s="11">
        <f t="shared" si="7"/>
        <v>0.1089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35480.854879933409</v>
      </c>
      <c r="D52" s="11">
        <v>0.10630000000000001</v>
      </c>
      <c r="E52" s="10">
        <f t="shared" si="2"/>
        <v>3409.2152885627074</v>
      </c>
      <c r="F52" s="3"/>
      <c r="G52" s="28"/>
      <c r="H52" s="10"/>
      <c r="I52" s="10">
        <f t="shared" si="8"/>
        <v>24603</v>
      </c>
      <c r="J52" s="10">
        <f t="shared" si="6"/>
        <v>872935472.61100173</v>
      </c>
      <c r="K52" s="11">
        <f t="shared" si="7"/>
        <v>0.10630000000000028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32071.639591370702</v>
      </c>
      <c r="D53" s="11">
        <v>9.2700000000000005E-2</v>
      </c>
      <c r="E53" s="10">
        <f t="shared" si="2"/>
        <v>2720.8208933102069</v>
      </c>
      <c r="F53" s="3"/>
      <c r="G53" s="28"/>
      <c r="H53" s="10"/>
      <c r="I53" s="10">
        <f t="shared" si="8"/>
        <v>24603</v>
      </c>
      <c r="J53" s="10">
        <f t="shared" si="6"/>
        <v>789058548.86649334</v>
      </c>
      <c r="K53" s="11">
        <f t="shared" si="7"/>
        <v>9.2699999999999783E-2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29350.818698060495</v>
      </c>
      <c r="D54" s="11">
        <v>7.9600000000000004E-2</v>
      </c>
      <c r="E54" s="10">
        <f t="shared" si="2"/>
        <v>2164.0655505424402</v>
      </c>
      <c r="F54" s="3"/>
      <c r="G54" s="28"/>
      <c r="H54" s="10"/>
      <c r="I54" s="10">
        <f t="shared" si="8"/>
        <v>24603</v>
      </c>
      <c r="J54" s="10">
        <f t="shared" si="6"/>
        <v>722118192.4283824</v>
      </c>
      <c r="K54" s="11">
        <f t="shared" si="7"/>
        <v>7.9600000000000115E-2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27186.753147518055</v>
      </c>
      <c r="D55" s="11">
        <v>6.9900000000000004E-2</v>
      </c>
      <c r="E55" s="10">
        <f t="shared" si="2"/>
        <v>1776.1978175638033</v>
      </c>
      <c r="F55" s="3"/>
      <c r="G55" s="28"/>
      <c r="H55" s="10"/>
      <c r="I55" s="10">
        <f t="shared" si="8"/>
        <v>24603</v>
      </c>
      <c r="J55" s="10">
        <f t="shared" si="6"/>
        <v>668875687.68838668</v>
      </c>
      <c r="K55" s="11">
        <f t="shared" si="7"/>
        <v>6.9900000000000073E-2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25410.555329954252</v>
      </c>
      <c r="D56" s="11">
        <v>6.3799999999999996E-2</v>
      </c>
      <c r="E56" s="10">
        <f t="shared" si="2"/>
        <v>1523.9644952538838</v>
      </c>
      <c r="F56" s="3"/>
      <c r="G56" s="28"/>
      <c r="H56" s="10"/>
      <c r="I56" s="10">
        <f t="shared" si="8"/>
        <v>24603</v>
      </c>
      <c r="J56" s="10">
        <f t="shared" si="6"/>
        <v>625175892.78286445</v>
      </c>
      <c r="K56" s="11">
        <f t="shared" si="7"/>
        <v>6.3800000000000079E-2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23886.590834700368</v>
      </c>
      <c r="D57" s="11">
        <v>6.0699999999999997E-2</v>
      </c>
      <c r="E57" s="10">
        <f t="shared" si="2"/>
        <v>1366.94264510824</v>
      </c>
      <c r="F57" s="3"/>
      <c r="G57" s="28"/>
      <c r="H57" s="10"/>
      <c r="I57" s="10">
        <f t="shared" si="8"/>
        <v>24603</v>
      </c>
      <c r="J57" s="10">
        <f t="shared" si="6"/>
        <v>587681794.30613315</v>
      </c>
      <c r="K57" s="11">
        <f t="shared" si="7"/>
        <v>6.0699999999999976E-2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22519.648189592128</v>
      </c>
      <c r="D58" s="11">
        <v>5.9900000000000002E-2</v>
      </c>
      <c r="E58" s="10">
        <f t="shared" si="2"/>
        <v>1272.6926375663461</v>
      </c>
      <c r="F58" s="3"/>
      <c r="G58" s="28"/>
      <c r="H58" s="10"/>
      <c r="I58" s="10">
        <f t="shared" si="8"/>
        <v>24603</v>
      </c>
      <c r="J58" s="10">
        <f t="shared" si="6"/>
        <v>554050904.40853512</v>
      </c>
      <c r="K58" s="11">
        <f t="shared" si="7"/>
        <v>5.9900000000000064E-2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21246.955552025782</v>
      </c>
      <c r="D59" s="11">
        <v>6.0400000000000002E-2</v>
      </c>
      <c r="E59" s="10">
        <f t="shared" si="2"/>
        <v>1210.218894136513</v>
      </c>
      <c r="F59" s="3"/>
      <c r="G59" s="28"/>
      <c r="H59" s="10"/>
      <c r="I59" s="10">
        <f t="shared" si="8"/>
        <v>24603</v>
      </c>
      <c r="J59" s="10">
        <f t="shared" si="6"/>
        <v>522738847.44649029</v>
      </c>
      <c r="K59" s="11">
        <f t="shared" si="7"/>
        <v>6.0400000000000009E-2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20036.736657889269</v>
      </c>
      <c r="D60" s="11">
        <v>6.13E-2</v>
      </c>
      <c r="E60" s="10">
        <f t="shared" si="2"/>
        <v>1157.3089203134004</v>
      </c>
      <c r="F60" s="3"/>
      <c r="G60" s="28"/>
      <c r="H60" s="10"/>
      <c r="I60" s="10">
        <f t="shared" si="8"/>
        <v>24603</v>
      </c>
      <c r="J60" s="10">
        <f t="shared" si="6"/>
        <v>492963831.99404967</v>
      </c>
      <c r="K60" s="11">
        <f t="shared" si="7"/>
        <v>6.129999999999991E-2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18879.427737575868</v>
      </c>
      <c r="D61" s="11">
        <v>6.13E-2</v>
      </c>
      <c r="E61" s="10">
        <f t="shared" si="2"/>
        <v>1090.4635073149911</v>
      </c>
      <c r="F61" s="3"/>
      <c r="G61" s="28"/>
      <c r="H61" s="10"/>
      <c r="I61" s="10">
        <f t="shared" si="8"/>
        <v>24603</v>
      </c>
      <c r="J61" s="10">
        <f t="shared" si="6"/>
        <v>464490560.62757909</v>
      </c>
      <c r="K61" s="11">
        <f t="shared" si="7"/>
        <v>6.129999999999991E-2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17788.964230260877</v>
      </c>
      <c r="D62" s="11">
        <v>5.96E-2</v>
      </c>
      <c r="E62" s="10">
        <f t="shared" si="2"/>
        <v>1000.5872670097669</v>
      </c>
      <c r="F62" s="3"/>
      <c r="G62" s="28"/>
      <c r="H62" s="10"/>
      <c r="I62" s="10">
        <f t="shared" si="8"/>
        <v>24603</v>
      </c>
      <c r="J62" s="10">
        <f t="shared" si="6"/>
        <v>437661886.95710838</v>
      </c>
      <c r="K62" s="11">
        <f t="shared" si="7"/>
        <v>5.9600000000000097E-2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16788.37696325111</v>
      </c>
      <c r="D63" s="11">
        <v>5.6800000000000003E-2</v>
      </c>
      <c r="E63" s="10">
        <f t="shared" si="2"/>
        <v>902.32760362666886</v>
      </c>
      <c r="F63" s="3"/>
      <c r="G63" s="28"/>
      <c r="H63" s="10"/>
      <c r="I63" s="10">
        <f t="shared" si="8"/>
        <v>24603</v>
      </c>
      <c r="J63" s="10">
        <f t="shared" si="6"/>
        <v>413044438.42686707</v>
      </c>
      <c r="K63" s="11">
        <f t="shared" si="7"/>
        <v>5.6799999999999962E-2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15886.049359624441</v>
      </c>
      <c r="D64" s="11">
        <v>5.3199999999999997E-2</v>
      </c>
      <c r="E64" s="10">
        <f t="shared" si="2"/>
        <v>802.44761292443945</v>
      </c>
      <c r="F64" s="3"/>
      <c r="G64" s="28"/>
      <c r="H64" s="10"/>
      <c r="I64" s="10">
        <f t="shared" si="8"/>
        <v>24603</v>
      </c>
      <c r="J64" s="10">
        <f t="shared" si="6"/>
        <v>390844472.39484012</v>
      </c>
      <c r="K64" s="11">
        <f t="shared" si="7"/>
        <v>5.3199999999999914E-2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15083.601746700002</v>
      </c>
      <c r="D65" s="11">
        <v>5.0099999999999999E-2</v>
      </c>
      <c r="E65" s="10">
        <f t="shared" si="2"/>
        <v>719.63474670000141</v>
      </c>
      <c r="F65" s="3"/>
      <c r="G65" s="28"/>
      <c r="H65" s="10"/>
      <c r="I65" s="10">
        <f t="shared" si="8"/>
        <v>24603</v>
      </c>
      <c r="J65" s="10">
        <f t="shared" si="6"/>
        <v>371101853.77406013</v>
      </c>
      <c r="K65" s="11">
        <f t="shared" si="7"/>
        <v>5.0100000000000033E-2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14363.967000000001</v>
      </c>
      <c r="D66" s="11">
        <v>4.7699999999999999E-2</v>
      </c>
      <c r="E66" s="10">
        <f t="shared" si="2"/>
        <v>653.96700000000055</v>
      </c>
      <c r="F66" s="24">
        <f>SUM(F2)</f>
        <v>730203</v>
      </c>
      <c r="G66" s="28"/>
      <c r="H66" s="10"/>
      <c r="I66" s="10">
        <f t="shared" si="8"/>
        <v>24603</v>
      </c>
      <c r="J66" s="10">
        <f t="shared" ref="J66:J67" si="9">IF(I66="","",I66*C66)</f>
        <v>353396680.10100001</v>
      </c>
      <c r="K66" s="11">
        <f t="shared" ref="K66" si="10">IFERROR(J66/J67-1,"")</f>
        <v>4.7700000000000076E-2</v>
      </c>
    </row>
    <row r="67" spans="1:11" ht="22.5" customHeight="1">
      <c r="A67" s="3">
        <f t="shared" si="0"/>
        <v>1950</v>
      </c>
      <c r="B67" s="3">
        <v>1700</v>
      </c>
      <c r="C67" s="10">
        <v>13710</v>
      </c>
      <c r="D67" s="11">
        <v>4.4900000000000002E-2</v>
      </c>
      <c r="E67" s="3" t="s">
        <v>72</v>
      </c>
      <c r="F67" s="10">
        <f>SUM(C2)</f>
        <v>730350.53362315299</v>
      </c>
      <c r="G67" s="28"/>
      <c r="H67" s="10"/>
      <c r="I67" s="10">
        <f t="shared" ref="I67" si="11">IF(H67&lt;&gt;"",H67,I66/(1+IF(G66="",0,G66)/100))</f>
        <v>24603</v>
      </c>
      <c r="J67" s="10">
        <f t="shared" si="9"/>
        <v>337307130</v>
      </c>
      <c r="K67" s="11"/>
    </row>
  </sheetData>
  <dataValidations count="1">
    <dataValidation type="custom" allowBlank="1" showDropDown="1" sqref="D2:D67" xr:uid="{00000000-0002-0000-A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19672683.488652334</v>
      </c>
      <c r="D2" s="11">
        <v>1.06E-2</v>
      </c>
      <c r="E2" s="10">
        <f t="shared" ref="E2:E66" si="2">SUM(C2-C3)</f>
        <v>206343.20698566735</v>
      </c>
      <c r="F2" s="15">
        <v>19674606</v>
      </c>
      <c r="G2" s="28"/>
      <c r="H2" s="10"/>
      <c r="I2" s="10">
        <f>IF(H2&lt;&gt;"",H2,195)</f>
        <v>195</v>
      </c>
      <c r="J2" s="10">
        <f t="shared" ref="J2:J33" si="3">IF(I2="","",I2*C2)</f>
        <v>3836173280.2872052</v>
      </c>
      <c r="K2" s="11">
        <f t="shared" ref="K2:K33" si="4">IFERROR(J2/J3-1,"")</f>
        <v>1.0600000000000165E-2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19466340.281666666</v>
      </c>
      <c r="D3" s="11">
        <v>1.0800000000000001E-2</v>
      </c>
      <c r="E3" s="10">
        <f t="shared" si="2"/>
        <v>207990.18108626828</v>
      </c>
      <c r="F3" s="3"/>
      <c r="G3" s="28"/>
      <c r="H3" s="10"/>
      <c r="I3" s="10">
        <f t="shared" ref="I3:I34" si="5">IF(H3&lt;&gt;"",H3,I2/(1+IF(G2="",0,G2)/100))</f>
        <v>195</v>
      </c>
      <c r="J3" s="10">
        <f t="shared" si="3"/>
        <v>3795936354.9249997</v>
      </c>
      <c r="K3" s="11">
        <f t="shared" si="4"/>
        <v>1.0799999999999921E-2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19258350.100580398</v>
      </c>
      <c r="D4" s="11">
        <v>1.0500000000000001E-2</v>
      </c>
      <c r="E4" s="10">
        <f t="shared" si="2"/>
        <v>200111.50525095686</v>
      </c>
      <c r="F4" s="3"/>
      <c r="G4" s="28"/>
      <c r="H4" s="10"/>
      <c r="I4" s="10">
        <f t="shared" si="5"/>
        <v>195</v>
      </c>
      <c r="J4" s="10">
        <f t="shared" si="3"/>
        <v>3755378269.6131778</v>
      </c>
      <c r="K4" s="11">
        <f t="shared" si="4"/>
        <v>1.0499999999999954E-2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19058238.595329441</v>
      </c>
      <c r="D5" s="11">
        <v>9.9000000000000008E-3</v>
      </c>
      <c r="E5" s="10">
        <f t="shared" si="2"/>
        <v>186826.97504085675</v>
      </c>
      <c r="F5" s="3"/>
      <c r="G5" s="28"/>
      <c r="H5" s="10"/>
      <c r="I5" s="10">
        <f t="shared" si="5"/>
        <v>195</v>
      </c>
      <c r="J5" s="10">
        <f t="shared" si="3"/>
        <v>3716356526.089241</v>
      </c>
      <c r="K5" s="11">
        <f t="shared" si="4"/>
        <v>9.9000000000000199E-3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18871411.620288584</v>
      </c>
      <c r="D6" s="11">
        <v>9.4000000000000004E-3</v>
      </c>
      <c r="E6" s="10">
        <f t="shared" si="2"/>
        <v>175739.31962622702</v>
      </c>
      <c r="F6" s="3"/>
      <c r="G6" s="28"/>
      <c r="H6" s="10"/>
      <c r="I6" s="10">
        <f t="shared" si="5"/>
        <v>195</v>
      </c>
      <c r="J6" s="10">
        <f t="shared" si="3"/>
        <v>3679925265.956274</v>
      </c>
      <c r="K6" s="11">
        <f t="shared" si="4"/>
        <v>9.400000000000075E-3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18695672.300662357</v>
      </c>
      <c r="D7" s="11">
        <v>9.4000000000000004E-3</v>
      </c>
      <c r="E7" s="10">
        <f t="shared" si="2"/>
        <v>174102.75374106318</v>
      </c>
      <c r="F7" s="3"/>
      <c r="G7" s="28"/>
      <c r="H7" s="10"/>
      <c r="I7" s="10">
        <f t="shared" si="5"/>
        <v>195</v>
      </c>
      <c r="J7" s="10">
        <f t="shared" si="3"/>
        <v>3645656098.6291595</v>
      </c>
      <c r="K7" s="11">
        <f t="shared" si="4"/>
        <v>9.400000000000075E-3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18521569.546921294</v>
      </c>
      <c r="D8" s="11">
        <v>9.5999999999999992E-3</v>
      </c>
      <c r="E8" s="10">
        <f t="shared" si="2"/>
        <v>176116.35068387911</v>
      </c>
      <c r="F8" s="3"/>
      <c r="G8" s="28"/>
      <c r="H8" s="10"/>
      <c r="I8" s="10">
        <f t="shared" si="5"/>
        <v>195</v>
      </c>
      <c r="J8" s="10">
        <f t="shared" si="3"/>
        <v>3611706061.6496525</v>
      </c>
      <c r="K8" s="11">
        <f t="shared" si="4"/>
        <v>9.6000000000000529E-3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18345453.196237415</v>
      </c>
      <c r="D9" s="11">
        <v>9.7999999999999997E-3</v>
      </c>
      <c r="E9" s="10">
        <f t="shared" si="2"/>
        <v>178040.6430215165</v>
      </c>
      <c r="F9" s="3"/>
      <c r="G9" s="28"/>
      <c r="H9" s="10"/>
      <c r="I9" s="10">
        <f t="shared" si="5"/>
        <v>195</v>
      </c>
      <c r="J9" s="10">
        <f t="shared" si="3"/>
        <v>3577363373.2662959</v>
      </c>
      <c r="K9" s="11">
        <f t="shared" si="4"/>
        <v>9.8000000000000309E-3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18167412.553215899</v>
      </c>
      <c r="D10" s="11">
        <v>1.01E-2</v>
      </c>
      <c r="E10" s="10">
        <f t="shared" si="2"/>
        <v>181656.13977574557</v>
      </c>
      <c r="F10" s="3"/>
      <c r="G10" s="28"/>
      <c r="H10" s="10"/>
      <c r="I10" s="10">
        <f t="shared" si="5"/>
        <v>195</v>
      </c>
      <c r="J10" s="10">
        <f t="shared" si="3"/>
        <v>3542645447.8771</v>
      </c>
      <c r="K10" s="11">
        <f t="shared" si="4"/>
        <v>1.0099999999999776E-2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17985756.413440153</v>
      </c>
      <c r="D11" s="11">
        <v>1.0500000000000001E-2</v>
      </c>
      <c r="E11" s="10">
        <f t="shared" si="2"/>
        <v>186888.11711145192</v>
      </c>
      <c r="F11" s="3"/>
      <c r="G11" s="28"/>
      <c r="H11" s="10"/>
      <c r="I11" s="10">
        <f t="shared" si="5"/>
        <v>195</v>
      </c>
      <c r="J11" s="10">
        <f t="shared" si="3"/>
        <v>3507222500.6208301</v>
      </c>
      <c r="K11" s="11">
        <f t="shared" si="4"/>
        <v>1.0500000000000176E-2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17798868.296328701</v>
      </c>
      <c r="D12" s="11">
        <v>1.0999999999999999E-2</v>
      </c>
      <c r="E12" s="10">
        <f t="shared" si="2"/>
        <v>193657.32073156536</v>
      </c>
      <c r="F12" s="3"/>
      <c r="G12" s="28"/>
      <c r="H12" s="10"/>
      <c r="I12" s="10">
        <f t="shared" si="5"/>
        <v>195</v>
      </c>
      <c r="J12" s="10">
        <f t="shared" si="3"/>
        <v>3470779317.7840967</v>
      </c>
      <c r="K12" s="11">
        <f t="shared" si="4"/>
        <v>1.0999999999999899E-2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17605210.975597136</v>
      </c>
      <c r="D13" s="11">
        <v>1.1599999999999999E-2</v>
      </c>
      <c r="E13" s="10">
        <f t="shared" si="2"/>
        <v>201878.65491985902</v>
      </c>
      <c r="F13" s="3"/>
      <c r="G13" s="28"/>
      <c r="H13" s="10"/>
      <c r="I13" s="10">
        <f t="shared" si="5"/>
        <v>195</v>
      </c>
      <c r="J13" s="10">
        <f t="shared" si="3"/>
        <v>3433016140.2414412</v>
      </c>
      <c r="K13" s="11">
        <f t="shared" si="4"/>
        <v>1.1600000000000055E-2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17403332.320677277</v>
      </c>
      <c r="D14" s="11">
        <v>1.23E-2</v>
      </c>
      <c r="E14" s="10">
        <f t="shared" si="2"/>
        <v>211460.02918535098</v>
      </c>
      <c r="F14" s="3"/>
      <c r="G14" s="28"/>
      <c r="H14" s="10"/>
      <c r="I14" s="10">
        <f t="shared" si="5"/>
        <v>195</v>
      </c>
      <c r="J14" s="10">
        <f t="shared" si="3"/>
        <v>3393649802.5320687</v>
      </c>
      <c r="K14" s="11">
        <f t="shared" si="4"/>
        <v>1.2299999999999978E-2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17191872.291491926</v>
      </c>
      <c r="D15" s="11">
        <v>1.2999999999999999E-2</v>
      </c>
      <c r="E15" s="10">
        <f t="shared" si="2"/>
        <v>220626.19919979572</v>
      </c>
      <c r="F15" s="3"/>
      <c r="G15" s="28"/>
      <c r="H15" s="10"/>
      <c r="I15" s="10">
        <f t="shared" si="5"/>
        <v>195</v>
      </c>
      <c r="J15" s="10">
        <f t="shared" si="3"/>
        <v>3352415096.8409257</v>
      </c>
      <c r="K15" s="11">
        <f t="shared" si="4"/>
        <v>1.2999999999999901E-2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16971246.09229213</v>
      </c>
      <c r="D16" s="11">
        <v>1.38E-2</v>
      </c>
      <c r="E16" s="10">
        <f t="shared" si="2"/>
        <v>231015.18649993278</v>
      </c>
      <c r="F16" s="3"/>
      <c r="G16" s="28"/>
      <c r="H16" s="10"/>
      <c r="I16" s="10">
        <f t="shared" si="5"/>
        <v>195</v>
      </c>
      <c r="J16" s="10">
        <f t="shared" si="3"/>
        <v>3309392987.9969654</v>
      </c>
      <c r="K16" s="11">
        <f t="shared" si="4"/>
        <v>1.3800000000000034E-2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16740230.905792197</v>
      </c>
      <c r="D17" s="11">
        <v>1.47E-2</v>
      </c>
      <c r="E17" s="10">
        <f t="shared" si="2"/>
        <v>242516.40318827704</v>
      </c>
      <c r="F17" s="3"/>
      <c r="G17" s="28"/>
      <c r="H17" s="10"/>
      <c r="I17" s="10">
        <f t="shared" si="5"/>
        <v>195</v>
      </c>
      <c r="J17" s="10">
        <f t="shared" si="3"/>
        <v>3264345026.6294785</v>
      </c>
      <c r="K17" s="11">
        <f t="shared" si="4"/>
        <v>1.4699999999999935E-2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16497714.50260392</v>
      </c>
      <c r="D18" s="11">
        <v>1.55E-2</v>
      </c>
      <c r="E18" s="10">
        <f t="shared" si="2"/>
        <v>251811.49659316801</v>
      </c>
      <c r="F18" s="3"/>
      <c r="G18" s="28"/>
      <c r="H18" s="10"/>
      <c r="I18" s="10">
        <f t="shared" si="5"/>
        <v>195</v>
      </c>
      <c r="J18" s="10">
        <f t="shared" si="3"/>
        <v>3217054328.0077643</v>
      </c>
      <c r="K18" s="11">
        <f t="shared" si="4"/>
        <v>1.5500000000000069E-2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16245903.006010752</v>
      </c>
      <c r="D19" s="11">
        <v>1.6199999999999999E-2</v>
      </c>
      <c r="E19" s="10">
        <f t="shared" si="2"/>
        <v>258988.02272916213</v>
      </c>
      <c r="F19" s="3"/>
      <c r="G19" s="28"/>
      <c r="H19" s="10"/>
      <c r="I19" s="10">
        <f t="shared" si="5"/>
        <v>195</v>
      </c>
      <c r="J19" s="10">
        <f t="shared" si="3"/>
        <v>3167951086.1720967</v>
      </c>
      <c r="K19" s="11">
        <f t="shared" si="4"/>
        <v>1.6199999999999992E-2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15986914.98328159</v>
      </c>
      <c r="D20" s="11">
        <v>1.6799999999999999E-2</v>
      </c>
      <c r="E20" s="10">
        <f t="shared" si="2"/>
        <v>264142.57643502206</v>
      </c>
      <c r="F20" s="3"/>
      <c r="G20" s="28"/>
      <c r="H20" s="10"/>
      <c r="I20" s="10">
        <f t="shared" si="5"/>
        <v>195</v>
      </c>
      <c r="J20" s="10">
        <f t="shared" si="3"/>
        <v>3117448421.7399101</v>
      </c>
      <c r="K20" s="11">
        <f t="shared" si="4"/>
        <v>1.6800000000000148E-2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15722772.406846568</v>
      </c>
      <c r="D21" s="11">
        <v>1.72E-2</v>
      </c>
      <c r="E21" s="10">
        <f t="shared" si="2"/>
        <v>265858.91210947931</v>
      </c>
      <c r="F21" s="3"/>
      <c r="G21" s="28"/>
      <c r="H21" s="10"/>
      <c r="I21" s="10">
        <f t="shared" si="5"/>
        <v>195</v>
      </c>
      <c r="J21" s="10">
        <f t="shared" si="3"/>
        <v>3065940619.3350806</v>
      </c>
      <c r="K21" s="11">
        <f t="shared" si="4"/>
        <v>1.7199999999999882E-2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15456913.494737089</v>
      </c>
      <c r="D22" s="11">
        <v>1.7500000000000002E-2</v>
      </c>
      <c r="E22" s="10">
        <f t="shared" si="2"/>
        <v>265843.72103970498</v>
      </c>
      <c r="F22" s="3"/>
      <c r="G22" s="28"/>
      <c r="H22" s="10"/>
      <c r="I22" s="10">
        <f t="shared" si="5"/>
        <v>195</v>
      </c>
      <c r="J22" s="10">
        <f t="shared" si="3"/>
        <v>3014098131.4737325</v>
      </c>
      <c r="K22" s="11">
        <f t="shared" si="4"/>
        <v>1.7500000000000071E-2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15191069.773697384</v>
      </c>
      <c r="D23" s="11">
        <v>1.77E-2</v>
      </c>
      <c r="E23" s="10">
        <f t="shared" si="2"/>
        <v>264205.49768541194</v>
      </c>
      <c r="F23" s="3"/>
      <c r="G23" s="28"/>
      <c r="H23" s="10"/>
      <c r="I23" s="10">
        <f t="shared" si="5"/>
        <v>195</v>
      </c>
      <c r="J23" s="10">
        <f t="shared" si="3"/>
        <v>2962258605.8709898</v>
      </c>
      <c r="K23" s="11">
        <f t="shared" si="4"/>
        <v>1.7700000000000049E-2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14926864.276011972</v>
      </c>
      <c r="D24" s="11">
        <v>1.8200000000000001E-2</v>
      </c>
      <c r="E24" s="10">
        <f t="shared" si="2"/>
        <v>266812.93441702798</v>
      </c>
      <c r="F24" s="3"/>
      <c r="G24" s="28"/>
      <c r="H24" s="10"/>
      <c r="I24" s="10">
        <f t="shared" si="5"/>
        <v>195</v>
      </c>
      <c r="J24" s="10">
        <f t="shared" si="3"/>
        <v>2910738533.8223343</v>
      </c>
      <c r="K24" s="11">
        <f t="shared" si="4"/>
        <v>1.8199999999999994E-2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14660051.341594944</v>
      </c>
      <c r="D25" s="11">
        <v>1.8800000000000001E-2</v>
      </c>
      <c r="E25" s="10">
        <f t="shared" si="2"/>
        <v>270523.13037100807</v>
      </c>
      <c r="F25" s="3"/>
      <c r="G25" s="28"/>
      <c r="H25" s="10"/>
      <c r="I25" s="10">
        <f t="shared" si="5"/>
        <v>195</v>
      </c>
      <c r="J25" s="10">
        <f t="shared" si="3"/>
        <v>2858710011.6110139</v>
      </c>
      <c r="K25" s="11">
        <f t="shared" si="4"/>
        <v>1.8799999999999928E-2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14389528.211223936</v>
      </c>
      <c r="D26" s="11">
        <v>1.9599999999999999E-2</v>
      </c>
      <c r="E26" s="10">
        <f t="shared" si="2"/>
        <v>276613.13548449427</v>
      </c>
      <c r="F26" s="3"/>
      <c r="G26" s="28"/>
      <c r="H26" s="10"/>
      <c r="I26" s="10">
        <f t="shared" si="5"/>
        <v>195</v>
      </c>
      <c r="J26" s="10">
        <f t="shared" si="3"/>
        <v>2805958001.1886673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14112915.075739441</v>
      </c>
      <c r="D27" s="11">
        <v>2.0500000000000001E-2</v>
      </c>
      <c r="E27" s="10">
        <f t="shared" si="2"/>
        <v>283502.94860623032</v>
      </c>
      <c r="F27" s="3"/>
      <c r="G27" s="28"/>
      <c r="H27" s="10"/>
      <c r="I27" s="10">
        <f t="shared" si="5"/>
        <v>195</v>
      </c>
      <c r="J27" s="10">
        <f t="shared" si="3"/>
        <v>2752018439.7691913</v>
      </c>
      <c r="K27" s="11">
        <f t="shared" si="4"/>
        <v>2.0500000000000185E-2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13829412.127133211</v>
      </c>
      <c r="D28" s="11">
        <v>2.1499999999999998E-2</v>
      </c>
      <c r="E28" s="10">
        <f t="shared" si="2"/>
        <v>291074.26405615732</v>
      </c>
      <c r="F28" s="3"/>
      <c r="G28" s="28"/>
      <c r="H28" s="10"/>
      <c r="I28" s="10">
        <f t="shared" si="5"/>
        <v>195</v>
      </c>
      <c r="J28" s="10">
        <f t="shared" si="3"/>
        <v>2696735364.790976</v>
      </c>
      <c r="K28" s="11">
        <f t="shared" si="4"/>
        <v>2.1500000000000075E-2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13538337.863077054</v>
      </c>
      <c r="D29" s="11">
        <v>2.2599999999999999E-2</v>
      </c>
      <c r="E29" s="10">
        <f t="shared" si="2"/>
        <v>299204.41590606421</v>
      </c>
      <c r="F29" s="3"/>
      <c r="G29" s="28"/>
      <c r="H29" s="10"/>
      <c r="I29" s="10">
        <f t="shared" si="5"/>
        <v>195</v>
      </c>
      <c r="J29" s="10">
        <f t="shared" si="3"/>
        <v>2639975883.3000255</v>
      </c>
      <c r="K29" s="11">
        <f t="shared" si="4"/>
        <v>2.2599999999999953E-2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13239133.44717099</v>
      </c>
      <c r="D30" s="11">
        <v>2.3699999999999999E-2</v>
      </c>
      <c r="E30" s="10">
        <f t="shared" si="2"/>
        <v>306503.33368951082</v>
      </c>
      <c r="F30" s="3"/>
      <c r="G30" s="28"/>
      <c r="H30" s="10"/>
      <c r="I30" s="10">
        <f t="shared" si="5"/>
        <v>195</v>
      </c>
      <c r="J30" s="10">
        <f t="shared" si="3"/>
        <v>2581631022.1983428</v>
      </c>
      <c r="K30" s="11">
        <f t="shared" si="4"/>
        <v>2.3700000000000054E-2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12932630.113481479</v>
      </c>
      <c r="D31" s="11">
        <v>2.4500000000000001E-2</v>
      </c>
      <c r="E31" s="10">
        <f t="shared" si="2"/>
        <v>309272.26723308489</v>
      </c>
      <c r="F31" s="3"/>
      <c r="G31" s="28"/>
      <c r="H31" s="10"/>
      <c r="I31" s="10">
        <f t="shared" si="5"/>
        <v>195</v>
      </c>
      <c r="J31" s="10">
        <f t="shared" si="3"/>
        <v>2521862872.1288881</v>
      </c>
      <c r="K31" s="11">
        <f t="shared" si="4"/>
        <v>2.4499999999999744E-2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12623357.846248394</v>
      </c>
      <c r="D32" s="11">
        <v>2.4799999999999999E-2</v>
      </c>
      <c r="E32" s="10">
        <f t="shared" si="2"/>
        <v>305483.28901928104</v>
      </c>
      <c r="F32" s="3"/>
      <c r="G32" s="28"/>
      <c r="H32" s="10"/>
      <c r="I32" s="10">
        <f t="shared" si="5"/>
        <v>195</v>
      </c>
      <c r="J32" s="10">
        <f t="shared" si="3"/>
        <v>2461554780.0184369</v>
      </c>
      <c r="K32" s="11">
        <f t="shared" si="4"/>
        <v>2.4799999999999933E-2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12317874.557229113</v>
      </c>
      <c r="D33" s="11">
        <v>2.3699999999999999E-2</v>
      </c>
      <c r="E33" s="10">
        <f t="shared" si="2"/>
        <v>285174.9799807854</v>
      </c>
      <c r="F33" s="3"/>
      <c r="G33" s="28"/>
      <c r="H33" s="10"/>
      <c r="I33" s="10">
        <f t="shared" si="5"/>
        <v>195</v>
      </c>
      <c r="J33" s="10">
        <f t="shared" si="3"/>
        <v>2401985538.659677</v>
      </c>
      <c r="K33" s="11">
        <f t="shared" si="4"/>
        <v>2.3700000000000054E-2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12032699.577248327</v>
      </c>
      <c r="D34" s="11">
        <v>2.1999999999999999E-2</v>
      </c>
      <c r="E34" s="10">
        <f t="shared" si="2"/>
        <v>259020.93023430929</v>
      </c>
      <c r="F34" s="3"/>
      <c r="G34" s="28"/>
      <c r="H34" s="10"/>
      <c r="I34" s="10">
        <f t="shared" si="5"/>
        <v>195</v>
      </c>
      <c r="J34" s="10">
        <f t="shared" ref="J34:J65" si="6">IF(I34="","",I34*C34)</f>
        <v>2346376417.5634236</v>
      </c>
      <c r="K34" s="11">
        <f t="shared" ref="K34:K65" si="7">IFERROR(J34/J35-1,"")</f>
        <v>2.200000000000002E-2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11773678.647014018</v>
      </c>
      <c r="D35" s="11">
        <v>2.1499999999999998E-2</v>
      </c>
      <c r="E35" s="10">
        <f t="shared" si="2"/>
        <v>247806.2563982401</v>
      </c>
      <c r="F35" s="3"/>
      <c r="G35" s="28"/>
      <c r="H35" s="10"/>
      <c r="I35" s="10">
        <f t="shared" ref="I35:I66" si="8">IF(H35&lt;&gt;"",H35,I34/(1+IF(G34="",0,G34)/100))</f>
        <v>195</v>
      </c>
      <c r="J35" s="10">
        <f t="shared" si="6"/>
        <v>2295867336.1677337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11525872.390615778</v>
      </c>
      <c r="D36" s="11">
        <v>2.1700000000000001E-2</v>
      </c>
      <c r="E36" s="10">
        <f t="shared" si="2"/>
        <v>244799.28636230156</v>
      </c>
      <c r="F36" s="3"/>
      <c r="G36" s="28"/>
      <c r="H36" s="10"/>
      <c r="I36" s="10">
        <f t="shared" si="8"/>
        <v>195</v>
      </c>
      <c r="J36" s="10">
        <f t="shared" si="6"/>
        <v>2247545116.1700768</v>
      </c>
      <c r="K36" s="11">
        <f t="shared" si="7"/>
        <v>2.1700000000000275E-2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11281073.104253476</v>
      </c>
      <c r="D37" s="11">
        <v>2.24E-2</v>
      </c>
      <c r="E37" s="10">
        <f t="shared" si="2"/>
        <v>247159.66112605482</v>
      </c>
      <c r="F37" s="3"/>
      <c r="G37" s="28"/>
      <c r="H37" s="10"/>
      <c r="I37" s="10">
        <f t="shared" si="8"/>
        <v>195</v>
      </c>
      <c r="J37" s="10">
        <f t="shared" si="6"/>
        <v>2199809255.3294277</v>
      </c>
      <c r="K37" s="11">
        <f t="shared" si="7"/>
        <v>2.2399999999999975E-2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11033913.443127422</v>
      </c>
      <c r="D38" s="11">
        <v>2.3599999999999999E-2</v>
      </c>
      <c r="E38" s="10">
        <f t="shared" si="2"/>
        <v>254396.59755549766</v>
      </c>
      <c r="F38" s="3"/>
      <c r="G38" s="28"/>
      <c r="H38" s="10"/>
      <c r="I38" s="10">
        <f t="shared" si="8"/>
        <v>195</v>
      </c>
      <c r="J38" s="10">
        <f t="shared" si="6"/>
        <v>2151613121.4098473</v>
      </c>
      <c r="K38" s="11">
        <f t="shared" si="7"/>
        <v>2.3600000000000065E-2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10779516.845571924</v>
      </c>
      <c r="D39" s="11">
        <v>2.5000000000000001E-2</v>
      </c>
      <c r="E39" s="10">
        <f t="shared" si="2"/>
        <v>262915.04501394928</v>
      </c>
      <c r="F39" s="3"/>
      <c r="G39" s="28"/>
      <c r="H39" s="10"/>
      <c r="I39" s="10">
        <f t="shared" si="8"/>
        <v>195</v>
      </c>
      <c r="J39" s="10">
        <f t="shared" si="6"/>
        <v>2102005784.8865252</v>
      </c>
      <c r="K39" s="11">
        <f t="shared" si="7"/>
        <v>2.4999999999999911E-2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10516601.800557975</v>
      </c>
      <c r="D40" s="11">
        <v>2.6700000000000002E-2</v>
      </c>
      <c r="E40" s="10">
        <f t="shared" si="2"/>
        <v>273491.05685682036</v>
      </c>
      <c r="F40" s="3"/>
      <c r="G40" s="28"/>
      <c r="H40" s="10"/>
      <c r="I40" s="10">
        <f t="shared" si="8"/>
        <v>195</v>
      </c>
      <c r="J40" s="10">
        <f t="shared" si="6"/>
        <v>2050737351.1088052</v>
      </c>
      <c r="K40" s="11">
        <f t="shared" si="7"/>
        <v>2.6699999999999946E-2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10243110.743701154</v>
      </c>
      <c r="D41" s="11">
        <v>2.81E-2</v>
      </c>
      <c r="E41" s="10">
        <f t="shared" si="2"/>
        <v>279964.41192296706</v>
      </c>
      <c r="F41" s="3"/>
      <c r="G41" s="28"/>
      <c r="H41" s="10"/>
      <c r="I41" s="10">
        <f t="shared" si="8"/>
        <v>195</v>
      </c>
      <c r="J41" s="10">
        <f t="shared" si="6"/>
        <v>1997406595.0217252</v>
      </c>
      <c r="K41" s="11">
        <f t="shared" si="7"/>
        <v>2.8100000000000014E-2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9963146.3317781873</v>
      </c>
      <c r="D42" s="11">
        <v>2.9000000000000001E-2</v>
      </c>
      <c r="E42" s="10">
        <f t="shared" si="2"/>
        <v>280788.38058461249</v>
      </c>
      <c r="F42" s="3"/>
      <c r="G42" s="28"/>
      <c r="H42" s="10"/>
      <c r="I42" s="10">
        <f t="shared" si="8"/>
        <v>195</v>
      </c>
      <c r="J42" s="10">
        <f t="shared" si="6"/>
        <v>1942813534.6967466</v>
      </c>
      <c r="K42" s="11">
        <f t="shared" si="7"/>
        <v>2.8999999999999915E-2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9682357.9511935748</v>
      </c>
      <c r="D43" s="11">
        <v>3.0300000000000001E-2</v>
      </c>
      <c r="E43" s="10">
        <f t="shared" si="2"/>
        <v>284747.59382817149</v>
      </c>
      <c r="F43" s="3"/>
      <c r="G43" s="28"/>
      <c r="H43" s="10"/>
      <c r="I43" s="10">
        <f t="shared" si="8"/>
        <v>195</v>
      </c>
      <c r="J43" s="10">
        <f t="shared" si="6"/>
        <v>1888059800.4827471</v>
      </c>
      <c r="K43" s="11">
        <f t="shared" si="7"/>
        <v>3.0299999999999994E-2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9397610.3573654033</v>
      </c>
      <c r="D44" s="11">
        <v>3.0200000000000001E-2</v>
      </c>
      <c r="E44" s="10">
        <f t="shared" si="2"/>
        <v>275488.09240189753</v>
      </c>
      <c r="F44" s="3"/>
      <c r="G44" s="28"/>
      <c r="H44" s="10"/>
      <c r="I44" s="10">
        <f t="shared" si="8"/>
        <v>195</v>
      </c>
      <c r="J44" s="10">
        <f t="shared" si="6"/>
        <v>1832534019.6862535</v>
      </c>
      <c r="K44" s="11">
        <f t="shared" si="7"/>
        <v>3.0200000000000005E-2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9122122.2649635058</v>
      </c>
      <c r="D45" s="11">
        <v>3.04E-2</v>
      </c>
      <c r="E45" s="10">
        <f t="shared" si="2"/>
        <v>269130.93638867512</v>
      </c>
      <c r="F45" s="3"/>
      <c r="G45" s="28"/>
      <c r="H45" s="10"/>
      <c r="I45" s="10">
        <f t="shared" si="8"/>
        <v>195</v>
      </c>
      <c r="J45" s="10">
        <f t="shared" si="6"/>
        <v>1778813841.6678836</v>
      </c>
      <c r="K45" s="11">
        <f t="shared" si="7"/>
        <v>3.0399999999999983E-2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8852991.3285748307</v>
      </c>
      <c r="D46" s="11">
        <v>2.8799999999999999E-2</v>
      </c>
      <c r="E46" s="10">
        <f t="shared" si="2"/>
        <v>247828.68415917084</v>
      </c>
      <c r="F46" s="3"/>
      <c r="G46" s="28"/>
      <c r="H46" s="10"/>
      <c r="I46" s="10">
        <f t="shared" si="8"/>
        <v>195</v>
      </c>
      <c r="J46" s="10">
        <f t="shared" si="6"/>
        <v>1726333309.0720921</v>
      </c>
      <c r="K46" s="11">
        <f t="shared" si="7"/>
        <v>2.8799999999999937E-2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8605162.6444156598</v>
      </c>
      <c r="D47" s="11">
        <v>2.6800000000000001E-2</v>
      </c>
      <c r="E47" s="10">
        <f t="shared" si="2"/>
        <v>224599.10291228909</v>
      </c>
      <c r="F47" s="3"/>
      <c r="G47" s="28"/>
      <c r="H47" s="10"/>
      <c r="I47" s="10">
        <f t="shared" si="8"/>
        <v>195</v>
      </c>
      <c r="J47" s="10">
        <f t="shared" si="6"/>
        <v>1678006715.6610537</v>
      </c>
      <c r="K47" s="11">
        <f t="shared" si="7"/>
        <v>2.6799999999999935E-2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8380563.5415033707</v>
      </c>
      <c r="D48" s="11">
        <v>2.69E-2</v>
      </c>
      <c r="E48" s="10">
        <f t="shared" si="2"/>
        <v>219531.75505544804</v>
      </c>
      <c r="F48" s="3"/>
      <c r="G48" s="28"/>
      <c r="H48" s="10"/>
      <c r="I48" s="10">
        <f t="shared" si="8"/>
        <v>195</v>
      </c>
      <c r="J48" s="10">
        <f t="shared" si="6"/>
        <v>1634209890.5931573</v>
      </c>
      <c r="K48" s="11">
        <f t="shared" si="7"/>
        <v>2.6899999999999924E-2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8161031.7864479227</v>
      </c>
      <c r="D49" s="11">
        <v>2.5000000000000001E-2</v>
      </c>
      <c r="E49" s="10">
        <f t="shared" si="2"/>
        <v>199049.55576702207</v>
      </c>
      <c r="F49" s="3"/>
      <c r="G49" s="28"/>
      <c r="H49" s="10"/>
      <c r="I49" s="10">
        <f t="shared" si="8"/>
        <v>195</v>
      </c>
      <c r="J49" s="10">
        <f t="shared" si="6"/>
        <v>1591401198.3573449</v>
      </c>
      <c r="K49" s="11">
        <f t="shared" si="7"/>
        <v>2.4999999999999911E-2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7961982.2306809006</v>
      </c>
      <c r="D50" s="11">
        <v>2.35E-2</v>
      </c>
      <c r="E50" s="10">
        <f t="shared" si="2"/>
        <v>182810.5348519804</v>
      </c>
      <c r="F50" s="3"/>
      <c r="G50" s="28"/>
      <c r="H50" s="10"/>
      <c r="I50" s="10">
        <f t="shared" si="8"/>
        <v>195</v>
      </c>
      <c r="J50" s="10">
        <f t="shared" si="6"/>
        <v>1552586534.9827757</v>
      </c>
      <c r="K50" s="11">
        <f t="shared" si="7"/>
        <v>2.3500000000000076E-2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7779171.6958289202</v>
      </c>
      <c r="D51" s="11">
        <v>2.12E-2</v>
      </c>
      <c r="E51" s="10">
        <f t="shared" si="2"/>
        <v>161494.75122559164</v>
      </c>
      <c r="F51" s="3"/>
      <c r="G51" s="28"/>
      <c r="H51" s="10"/>
      <c r="I51" s="10">
        <f t="shared" si="8"/>
        <v>195</v>
      </c>
      <c r="J51" s="10">
        <f t="shared" si="6"/>
        <v>1516938480.6866395</v>
      </c>
      <c r="K51" s="11">
        <f t="shared" si="7"/>
        <v>2.120000000000033E-2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7617676.9446033286</v>
      </c>
      <c r="D52" s="11">
        <v>2.12E-2</v>
      </c>
      <c r="E52" s="10">
        <f t="shared" si="2"/>
        <v>158142.13790206797</v>
      </c>
      <c r="F52" s="3"/>
      <c r="G52" s="28"/>
      <c r="H52" s="10"/>
      <c r="I52" s="10">
        <f t="shared" si="8"/>
        <v>195</v>
      </c>
      <c r="J52" s="10">
        <f t="shared" si="6"/>
        <v>1485447004.197649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7459534.8067012606</v>
      </c>
      <c r="D53" s="11">
        <v>2.1700000000000001E-2</v>
      </c>
      <c r="E53" s="10">
        <f t="shared" si="2"/>
        <v>158433.88989470247</v>
      </c>
      <c r="F53" s="3"/>
      <c r="G53" s="28"/>
      <c r="H53" s="10"/>
      <c r="I53" s="10">
        <f t="shared" si="8"/>
        <v>195</v>
      </c>
      <c r="J53" s="10">
        <f t="shared" si="6"/>
        <v>1454609287.3067458</v>
      </c>
      <c r="K53" s="11">
        <f t="shared" si="7"/>
        <v>2.1699999999999831E-2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7301100.9168065581</v>
      </c>
      <c r="D54" s="11">
        <v>2.24E-2</v>
      </c>
      <c r="E54" s="10">
        <f t="shared" si="2"/>
        <v>159961.52243394591</v>
      </c>
      <c r="F54" s="3"/>
      <c r="G54" s="28"/>
      <c r="H54" s="10"/>
      <c r="I54" s="10">
        <f t="shared" si="8"/>
        <v>195</v>
      </c>
      <c r="J54" s="10">
        <f t="shared" si="6"/>
        <v>1423714678.7772789</v>
      </c>
      <c r="K54" s="11">
        <f t="shared" si="7"/>
        <v>2.2399999999999975E-2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7141139.3943726122</v>
      </c>
      <c r="D55" s="11">
        <v>2.3099999999999999E-2</v>
      </c>
      <c r="E55" s="10">
        <f t="shared" si="2"/>
        <v>161235.77363894694</v>
      </c>
      <c r="F55" s="3"/>
      <c r="G55" s="28"/>
      <c r="H55" s="10"/>
      <c r="I55" s="10">
        <f t="shared" si="8"/>
        <v>195</v>
      </c>
      <c r="J55" s="10">
        <f t="shared" si="6"/>
        <v>1392522181.9026594</v>
      </c>
      <c r="K55" s="11">
        <f t="shared" si="7"/>
        <v>2.3099999999999898E-2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6979903.6207336653</v>
      </c>
      <c r="D56" s="11">
        <v>2.3699999999999999E-2</v>
      </c>
      <c r="E56" s="10">
        <f t="shared" si="2"/>
        <v>161593.93944650609</v>
      </c>
      <c r="F56" s="3"/>
      <c r="G56" s="28"/>
      <c r="H56" s="10"/>
      <c r="I56" s="10">
        <f t="shared" si="8"/>
        <v>195</v>
      </c>
      <c r="J56" s="10">
        <f t="shared" si="6"/>
        <v>1361081206.0430648</v>
      </c>
      <c r="K56" s="11">
        <f t="shared" si="7"/>
        <v>2.3700000000000054E-2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6818309.6812871592</v>
      </c>
      <c r="D57" s="11">
        <v>2.4299999999999999E-2</v>
      </c>
      <c r="E57" s="10">
        <f t="shared" si="2"/>
        <v>161754.29586574063</v>
      </c>
      <c r="F57" s="3"/>
      <c r="G57" s="28"/>
      <c r="H57" s="10"/>
      <c r="I57" s="10">
        <f t="shared" si="8"/>
        <v>195</v>
      </c>
      <c r="J57" s="10">
        <f t="shared" si="6"/>
        <v>1329570387.850996</v>
      </c>
      <c r="K57" s="11">
        <f t="shared" si="7"/>
        <v>2.4299999999999988E-2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6656555.3854214186</v>
      </c>
      <c r="D58" s="11">
        <v>2.4799999999999999E-2</v>
      </c>
      <c r="E58" s="10">
        <f t="shared" si="2"/>
        <v>161087.60105235223</v>
      </c>
      <c r="F58" s="3"/>
      <c r="G58" s="28"/>
      <c r="H58" s="10"/>
      <c r="I58" s="10">
        <f t="shared" si="8"/>
        <v>195</v>
      </c>
      <c r="J58" s="10">
        <f t="shared" si="6"/>
        <v>1298028300.1571767</v>
      </c>
      <c r="K58" s="11">
        <f t="shared" si="7"/>
        <v>2.4799999999999933E-2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6495467.7843690664</v>
      </c>
      <c r="D59" s="11">
        <v>2.5100000000000001E-2</v>
      </c>
      <c r="E59" s="10">
        <f t="shared" si="2"/>
        <v>159044.23118492123</v>
      </c>
      <c r="F59" s="3"/>
      <c r="G59" s="28"/>
      <c r="H59" s="10"/>
      <c r="I59" s="10">
        <f t="shared" si="8"/>
        <v>195</v>
      </c>
      <c r="J59" s="10">
        <f t="shared" si="6"/>
        <v>1266616217.951968</v>
      </c>
      <c r="K59" s="11">
        <f t="shared" si="7"/>
        <v>2.50999999999999E-2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6336423.5531841451</v>
      </c>
      <c r="D60" s="11">
        <v>2.5399999999999999E-2</v>
      </c>
      <c r="E60" s="10">
        <f t="shared" si="2"/>
        <v>156958.41452201828</v>
      </c>
      <c r="F60" s="3"/>
      <c r="G60" s="28"/>
      <c r="H60" s="10"/>
      <c r="I60" s="10">
        <f t="shared" si="8"/>
        <v>195</v>
      </c>
      <c r="J60" s="10">
        <f t="shared" si="6"/>
        <v>1235602592.8709083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6179465.1386621268</v>
      </c>
      <c r="D61" s="11">
        <v>2.5700000000000001E-2</v>
      </c>
      <c r="E61" s="10">
        <f t="shared" si="2"/>
        <v>154833.04481195007</v>
      </c>
      <c r="F61" s="3"/>
      <c r="G61" s="28"/>
      <c r="H61" s="10"/>
      <c r="I61" s="10">
        <f t="shared" si="8"/>
        <v>195</v>
      </c>
      <c r="J61" s="10">
        <f t="shared" si="6"/>
        <v>1204995702.0391147</v>
      </c>
      <c r="K61" s="11">
        <f t="shared" si="7"/>
        <v>2.5700000000000056E-2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6024632.0938501768</v>
      </c>
      <c r="D62" s="11">
        <v>2.63E-2</v>
      </c>
      <c r="E62" s="10">
        <f t="shared" si="2"/>
        <v>154387.43453986105</v>
      </c>
      <c r="F62" s="3"/>
      <c r="G62" s="28"/>
      <c r="H62" s="10"/>
      <c r="I62" s="10">
        <f t="shared" si="8"/>
        <v>195</v>
      </c>
      <c r="J62" s="10">
        <f t="shared" si="6"/>
        <v>1174803258.3007846</v>
      </c>
      <c r="K62" s="11">
        <f t="shared" si="7"/>
        <v>2.6300000000000212E-2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5870244.6593103157</v>
      </c>
      <c r="D63" s="11">
        <v>2.6800000000000001E-2</v>
      </c>
      <c r="E63" s="10">
        <f t="shared" si="2"/>
        <v>153216.35846271552</v>
      </c>
      <c r="F63" s="3"/>
      <c r="G63" s="28"/>
      <c r="H63" s="10"/>
      <c r="I63" s="10">
        <f t="shared" si="8"/>
        <v>195</v>
      </c>
      <c r="J63" s="10">
        <f t="shared" si="6"/>
        <v>1144697708.5655115</v>
      </c>
      <c r="K63" s="11">
        <f t="shared" si="7"/>
        <v>2.6799999999999935E-2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5717028.3008476002</v>
      </c>
      <c r="D64" s="11">
        <v>2.7400000000000001E-2</v>
      </c>
      <c r="E64" s="10">
        <f t="shared" si="2"/>
        <v>152468.92684760038</v>
      </c>
      <c r="F64" s="3"/>
      <c r="G64" s="28"/>
      <c r="H64" s="10"/>
      <c r="I64" s="10">
        <f t="shared" si="8"/>
        <v>195</v>
      </c>
      <c r="J64" s="10">
        <f t="shared" si="6"/>
        <v>1114820518.665282</v>
      </c>
      <c r="K64" s="11">
        <f t="shared" si="7"/>
        <v>2.7399999999999869E-2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5564559.3739999998</v>
      </c>
      <c r="D65" s="11">
        <v>2.8000000000000001E-2</v>
      </c>
      <c r="E65" s="10">
        <f t="shared" si="2"/>
        <v>151563.87399999984</v>
      </c>
      <c r="F65" s="3"/>
      <c r="G65" s="28"/>
      <c r="H65" s="10"/>
      <c r="I65" s="10">
        <f t="shared" si="8"/>
        <v>195</v>
      </c>
      <c r="J65" s="10">
        <f t="shared" si="6"/>
        <v>1085089077.9300001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5412995.5</v>
      </c>
      <c r="D66" s="11">
        <v>2.8500000000000001E-2</v>
      </c>
      <c r="E66" s="10">
        <f t="shared" si="2"/>
        <v>149995.5</v>
      </c>
      <c r="F66" s="24">
        <f>SUM(F2)</f>
        <v>19674606</v>
      </c>
      <c r="G66" s="28"/>
      <c r="H66" s="10"/>
      <c r="I66" s="10">
        <f t="shared" si="8"/>
        <v>195</v>
      </c>
      <c r="J66" s="10">
        <f t="shared" ref="J66:J67" si="9">IF(I66="","",I66*C66)</f>
        <v>1055534122.5</v>
      </c>
      <c r="K66" s="11">
        <f t="shared" ref="K66" si="10">IFERROR(J66/J67-1,"")</f>
        <v>2.849999999999997E-2</v>
      </c>
    </row>
    <row r="67" spans="1:11" ht="22.5" customHeight="1">
      <c r="A67" s="3">
        <f t="shared" si="0"/>
        <v>1950</v>
      </c>
      <c r="B67" s="3">
        <v>1700</v>
      </c>
      <c r="C67" s="10">
        <v>5263000</v>
      </c>
      <c r="D67" s="11">
        <v>2.9100000000000001E-2</v>
      </c>
      <c r="E67" s="3" t="s">
        <v>72</v>
      </c>
      <c r="F67" s="10">
        <f>SUM(C2)</f>
        <v>19672683.488652334</v>
      </c>
      <c r="G67" s="28"/>
      <c r="H67" s="10"/>
      <c r="I67" s="10">
        <f t="shared" ref="I67" si="11">IF(H67&lt;&gt;"",H67,I66/(1+IF(G66="",0,G66)/100))</f>
        <v>195</v>
      </c>
      <c r="J67" s="10">
        <f t="shared" si="9"/>
        <v>1026285000</v>
      </c>
      <c r="K67" s="11"/>
    </row>
  </sheetData>
  <dataValidations count="1">
    <dataValidation type="custom" allowBlank="1" showDropDown="1" sqref="D2:D67" xr:uid="{00000000-0002-0000-A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2950736.8483975697</v>
      </c>
      <c r="D2" s="11">
        <v>2.1100000000000001E-2</v>
      </c>
      <c r="E2" s="10">
        <f t="shared" ref="E2:E66" si="2">SUM(C2-C3)</f>
        <v>60973.996181753464</v>
      </c>
      <c r="F2" s="15">
        <v>2950683</v>
      </c>
      <c r="G2" s="28"/>
      <c r="H2" s="10"/>
      <c r="I2" s="10">
        <f>IF(H2&lt;&gt;"",H2,127)</f>
        <v>127</v>
      </c>
      <c r="J2" s="10">
        <f t="shared" ref="J2:J33" si="3">IF(I2="","",I2*C2)</f>
        <v>374743579.74649137</v>
      </c>
      <c r="K2" s="11">
        <f t="shared" ref="K2:K33" si="4">IFERROR(J2/J3-1,"")</f>
        <v>2.1099999999999897E-2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2889762.8522158163</v>
      </c>
      <c r="D3" s="11">
        <v>2.87E-2</v>
      </c>
      <c r="E3" s="10">
        <f t="shared" si="2"/>
        <v>80622.332904241979</v>
      </c>
      <c r="F3" s="3"/>
      <c r="G3" s="28"/>
      <c r="H3" s="10"/>
      <c r="I3" s="10">
        <f t="shared" ref="I3:I34" si="5">IF(H3&lt;&gt;"",H3,I2/(1+IF(G2="",0,G2)/100))</f>
        <v>127</v>
      </c>
      <c r="J3" s="10">
        <f t="shared" si="3"/>
        <v>366999882.23140866</v>
      </c>
      <c r="K3" s="11">
        <f t="shared" si="4"/>
        <v>2.8699999999999726E-2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2809140.5193115743</v>
      </c>
      <c r="D4" s="11">
        <v>3.85E-2</v>
      </c>
      <c r="E4" s="10">
        <f t="shared" si="2"/>
        <v>104142.42657053005</v>
      </c>
      <c r="F4" s="3"/>
      <c r="G4" s="28"/>
      <c r="H4" s="10"/>
      <c r="I4" s="10">
        <f t="shared" si="5"/>
        <v>127</v>
      </c>
      <c r="J4" s="10">
        <f t="shared" si="3"/>
        <v>356760845.95256996</v>
      </c>
      <c r="K4" s="11">
        <f t="shared" si="4"/>
        <v>3.8500000000000201E-2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2704998.0927410442</v>
      </c>
      <c r="D5" s="11">
        <v>4.6199999999999998E-2</v>
      </c>
      <c r="E5" s="10">
        <f t="shared" si="2"/>
        <v>119452.21935063694</v>
      </c>
      <c r="F5" s="3"/>
      <c r="G5" s="28"/>
      <c r="H5" s="10"/>
      <c r="I5" s="10">
        <f t="shared" si="5"/>
        <v>127</v>
      </c>
      <c r="J5" s="10">
        <f t="shared" si="3"/>
        <v>343534757.77811259</v>
      </c>
      <c r="K5" s="11">
        <f t="shared" si="4"/>
        <v>4.6200000000000019E-2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2585545.8733904073</v>
      </c>
      <c r="D6" s="11">
        <v>4.4699999999999997E-2</v>
      </c>
      <c r="E6" s="10">
        <f t="shared" si="2"/>
        <v>110628.79347233754</v>
      </c>
      <c r="F6" s="3"/>
      <c r="G6" s="28"/>
      <c r="H6" s="10"/>
      <c r="I6" s="10">
        <f t="shared" si="5"/>
        <v>127</v>
      </c>
      <c r="J6" s="10">
        <f t="shared" si="3"/>
        <v>328364325.9205817</v>
      </c>
      <c r="K6" s="11">
        <f t="shared" si="4"/>
        <v>4.4699999999999962E-2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2474917.0799180698</v>
      </c>
      <c r="D7" s="11">
        <v>3.8300000000000001E-2</v>
      </c>
      <c r="E7" s="10">
        <f t="shared" si="2"/>
        <v>91292.80955490889</v>
      </c>
      <c r="F7" s="3"/>
      <c r="G7" s="28"/>
      <c r="H7" s="10"/>
      <c r="I7" s="10">
        <f t="shared" si="5"/>
        <v>127</v>
      </c>
      <c r="J7" s="10">
        <f t="shared" si="3"/>
        <v>314314469.14959484</v>
      </c>
      <c r="K7" s="11">
        <f t="shared" si="4"/>
        <v>3.8299999999999779E-2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2383624.2703631609</v>
      </c>
      <c r="D8" s="11">
        <v>3.4700000000000002E-2</v>
      </c>
      <c r="E8" s="10">
        <f t="shared" si="2"/>
        <v>79937.916479754262</v>
      </c>
      <c r="F8" s="3"/>
      <c r="G8" s="28"/>
      <c r="H8" s="10"/>
      <c r="I8" s="10">
        <f t="shared" si="5"/>
        <v>127</v>
      </c>
      <c r="J8" s="10">
        <f t="shared" si="3"/>
        <v>302720282.33612144</v>
      </c>
      <c r="K8" s="11">
        <f t="shared" si="4"/>
        <v>3.4699999999999953E-2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2303686.3538834066</v>
      </c>
      <c r="D9" s="11">
        <v>3.7999999999999999E-2</v>
      </c>
      <c r="E9" s="10">
        <f t="shared" si="2"/>
        <v>84335.338581473567</v>
      </c>
      <c r="F9" s="3"/>
      <c r="G9" s="28"/>
      <c r="H9" s="10"/>
      <c r="I9" s="10">
        <f t="shared" si="5"/>
        <v>127</v>
      </c>
      <c r="J9" s="10">
        <f t="shared" si="3"/>
        <v>292568166.94319266</v>
      </c>
      <c r="K9" s="11">
        <f t="shared" si="4"/>
        <v>3.8000000000000256E-2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2219351.015301933</v>
      </c>
      <c r="D10" s="11">
        <v>4.5900000000000003E-2</v>
      </c>
      <c r="E10" s="10">
        <f t="shared" si="2"/>
        <v>97397.659051877446</v>
      </c>
      <c r="F10" s="3"/>
      <c r="G10" s="28"/>
      <c r="H10" s="10"/>
      <c r="I10" s="10">
        <f t="shared" si="5"/>
        <v>127</v>
      </c>
      <c r="J10" s="10">
        <f t="shared" si="3"/>
        <v>281857578.94334549</v>
      </c>
      <c r="K10" s="11">
        <f t="shared" si="4"/>
        <v>4.589999999999983E-2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2121953.3562500556</v>
      </c>
      <c r="D11" s="11">
        <v>5.0500000000000003E-2</v>
      </c>
      <c r="E11" s="10">
        <f t="shared" si="2"/>
        <v>102007.2770020254</v>
      </c>
      <c r="F11" s="3"/>
      <c r="G11" s="28"/>
      <c r="H11" s="10"/>
      <c r="I11" s="10">
        <f t="shared" si="5"/>
        <v>127</v>
      </c>
      <c r="J11" s="10">
        <f t="shared" si="3"/>
        <v>269488076.24375707</v>
      </c>
      <c r="K11" s="11">
        <f t="shared" si="4"/>
        <v>5.0499999999999989E-2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2019946.0792480302</v>
      </c>
      <c r="D12" s="11">
        <v>4.3400000000000001E-2</v>
      </c>
      <c r="E12" s="10">
        <f t="shared" si="2"/>
        <v>84019.22545463359</v>
      </c>
      <c r="F12" s="3"/>
      <c r="G12" s="28"/>
      <c r="H12" s="10"/>
      <c r="I12" s="10">
        <f t="shared" si="5"/>
        <v>127</v>
      </c>
      <c r="J12" s="10">
        <f t="shared" si="3"/>
        <v>256533152.06449983</v>
      </c>
      <c r="K12" s="11">
        <f t="shared" si="4"/>
        <v>4.3399999999999883E-2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1935926.8537933966</v>
      </c>
      <c r="D13" s="11">
        <v>3.1600000000000003E-2</v>
      </c>
      <c r="E13" s="10">
        <f t="shared" si="2"/>
        <v>59301.365432213526</v>
      </c>
      <c r="F13" s="3"/>
      <c r="G13" s="28"/>
      <c r="H13" s="10"/>
      <c r="I13" s="10">
        <f t="shared" si="5"/>
        <v>127</v>
      </c>
      <c r="J13" s="10">
        <f t="shared" si="3"/>
        <v>245862710.43176138</v>
      </c>
      <c r="K13" s="11">
        <f t="shared" si="4"/>
        <v>3.1600000000000072E-2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1876625.4883611831</v>
      </c>
      <c r="D14" s="11">
        <v>2.1499999999999998E-2</v>
      </c>
      <c r="E14" s="10">
        <f t="shared" si="2"/>
        <v>39498.235927328002</v>
      </c>
      <c r="F14" s="3"/>
      <c r="G14" s="28"/>
      <c r="H14" s="10"/>
      <c r="I14" s="10">
        <f t="shared" si="5"/>
        <v>127</v>
      </c>
      <c r="J14" s="10">
        <f t="shared" si="3"/>
        <v>238331437.02187026</v>
      </c>
      <c r="K14" s="11">
        <f t="shared" si="4"/>
        <v>2.1500000000000075E-2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1837127.2524338551</v>
      </c>
      <c r="D15" s="11">
        <v>1.49E-2</v>
      </c>
      <c r="E15" s="10">
        <f t="shared" si="2"/>
        <v>26971.323343446944</v>
      </c>
      <c r="F15" s="3"/>
      <c r="G15" s="28"/>
      <c r="H15" s="10"/>
      <c r="I15" s="10">
        <f t="shared" si="5"/>
        <v>127</v>
      </c>
      <c r="J15" s="10">
        <f t="shared" si="3"/>
        <v>233315161.05909958</v>
      </c>
      <c r="K15" s="11">
        <f t="shared" si="4"/>
        <v>1.4899999999999913E-2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1810155.9290904081</v>
      </c>
      <c r="D16" s="11">
        <v>1.0200000000000001E-2</v>
      </c>
      <c r="E16" s="10">
        <f t="shared" si="2"/>
        <v>18277.163409940666</v>
      </c>
      <c r="F16" s="3"/>
      <c r="G16" s="28"/>
      <c r="H16" s="10"/>
      <c r="I16" s="10">
        <f t="shared" si="5"/>
        <v>127</v>
      </c>
      <c r="J16" s="10">
        <f t="shared" si="3"/>
        <v>229889802.99448183</v>
      </c>
      <c r="K16" s="11">
        <f t="shared" si="4"/>
        <v>1.0199999999999987E-2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1791878.7656804675</v>
      </c>
      <c r="D17" s="11">
        <v>6.8999999999999999E-3</v>
      </c>
      <c r="E17" s="10">
        <f t="shared" si="2"/>
        <v>12279.236749622738</v>
      </c>
      <c r="F17" s="3"/>
      <c r="G17" s="28"/>
      <c r="H17" s="10"/>
      <c r="I17" s="10">
        <f t="shared" si="5"/>
        <v>127</v>
      </c>
      <c r="J17" s="10">
        <f t="shared" si="3"/>
        <v>227568603.24141937</v>
      </c>
      <c r="K17" s="11">
        <f t="shared" si="4"/>
        <v>6.8999999999999062E-3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1779599.5289308447</v>
      </c>
      <c r="D18" s="11">
        <v>5.7999999999999996E-3</v>
      </c>
      <c r="E18" s="10">
        <f t="shared" si="2"/>
        <v>10262.156758598983</v>
      </c>
      <c r="F18" s="3"/>
      <c r="G18" s="28"/>
      <c r="H18" s="10"/>
      <c r="I18" s="10">
        <f t="shared" si="5"/>
        <v>127</v>
      </c>
      <c r="J18" s="10">
        <f t="shared" si="3"/>
        <v>226009140.17421728</v>
      </c>
      <c r="K18" s="11">
        <f t="shared" si="4"/>
        <v>5.8000000000000274E-3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1769337.3721722458</v>
      </c>
      <c r="D19" s="11">
        <v>6.4000000000000003E-3</v>
      </c>
      <c r="E19" s="10">
        <f t="shared" si="2"/>
        <v>11251.74799473607</v>
      </c>
      <c r="F19" s="3"/>
      <c r="G19" s="28"/>
      <c r="H19" s="10"/>
      <c r="I19" s="10">
        <f t="shared" si="5"/>
        <v>127</v>
      </c>
      <c r="J19" s="10">
        <f t="shared" si="3"/>
        <v>224705846.26587522</v>
      </c>
      <c r="K19" s="11">
        <f t="shared" si="4"/>
        <v>6.4000000000001833E-3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1758085.6241775097</v>
      </c>
      <c r="D20" s="11">
        <v>8.3999999999999995E-3</v>
      </c>
      <c r="E20" s="10">
        <f t="shared" si="2"/>
        <v>14644.902065738803</v>
      </c>
      <c r="F20" s="3"/>
      <c r="G20" s="28"/>
      <c r="H20" s="10"/>
      <c r="I20" s="10">
        <f t="shared" si="5"/>
        <v>127</v>
      </c>
      <c r="J20" s="10">
        <f t="shared" si="3"/>
        <v>223276874.27054372</v>
      </c>
      <c r="K20" s="11">
        <f t="shared" si="4"/>
        <v>8.3999999999999631E-3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1743440.7221117709</v>
      </c>
      <c r="D21" s="11">
        <v>1.14E-2</v>
      </c>
      <c r="E21" s="10">
        <f t="shared" si="2"/>
        <v>19651.200545851607</v>
      </c>
      <c r="F21" s="3"/>
      <c r="G21" s="28"/>
      <c r="H21" s="10"/>
      <c r="I21" s="10">
        <f t="shared" si="5"/>
        <v>127</v>
      </c>
      <c r="J21" s="10">
        <f t="shared" si="3"/>
        <v>221416971.70819491</v>
      </c>
      <c r="K21" s="11">
        <f t="shared" si="4"/>
        <v>1.1400000000000077E-2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1723789.5215659193</v>
      </c>
      <c r="D22" s="11">
        <v>1.52E-2</v>
      </c>
      <c r="E22" s="10">
        <f t="shared" si="2"/>
        <v>25809.299377267715</v>
      </c>
      <c r="F22" s="3"/>
      <c r="G22" s="28"/>
      <c r="H22" s="10"/>
      <c r="I22" s="10">
        <f t="shared" si="5"/>
        <v>127</v>
      </c>
      <c r="J22" s="10">
        <f t="shared" si="3"/>
        <v>218921269.23887175</v>
      </c>
      <c r="K22" s="11">
        <f t="shared" si="4"/>
        <v>1.5200000000000102E-2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1697980.2221886516</v>
      </c>
      <c r="D23" s="11">
        <v>1.9099999999999999E-2</v>
      </c>
      <c r="E23" s="10">
        <f t="shared" si="2"/>
        <v>31823.591643413762</v>
      </c>
      <c r="F23" s="3"/>
      <c r="G23" s="28"/>
      <c r="H23" s="10"/>
      <c r="I23" s="10">
        <f t="shared" si="5"/>
        <v>127</v>
      </c>
      <c r="J23" s="10">
        <f t="shared" si="3"/>
        <v>215643488.21795875</v>
      </c>
      <c r="K23" s="11">
        <f t="shared" si="4"/>
        <v>1.9099999999999895E-2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1666156.6305452378</v>
      </c>
      <c r="D24" s="11">
        <v>2.2800000000000001E-2</v>
      </c>
      <c r="E24" s="10">
        <f t="shared" si="2"/>
        <v>37141.543973827967</v>
      </c>
      <c r="F24" s="3"/>
      <c r="G24" s="28"/>
      <c r="H24" s="10"/>
      <c r="I24" s="10">
        <f t="shared" si="5"/>
        <v>127</v>
      </c>
      <c r="J24" s="10">
        <f t="shared" si="3"/>
        <v>211601892.07924521</v>
      </c>
      <c r="K24" s="11">
        <f t="shared" si="4"/>
        <v>2.2799999999999931E-2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1629015.0865714098</v>
      </c>
      <c r="D25" s="11">
        <v>2.5899999999999999E-2</v>
      </c>
      <c r="E25" s="10">
        <f t="shared" si="2"/>
        <v>41126.319078077329</v>
      </c>
      <c r="F25" s="3"/>
      <c r="G25" s="28"/>
      <c r="H25" s="10"/>
      <c r="I25" s="10">
        <f t="shared" si="5"/>
        <v>127</v>
      </c>
      <c r="J25" s="10">
        <f t="shared" si="3"/>
        <v>206884915.99456906</v>
      </c>
      <c r="K25" s="11">
        <f t="shared" si="4"/>
        <v>2.5900000000000034E-2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1587888.7674933325</v>
      </c>
      <c r="D26" s="11">
        <v>2.81E-2</v>
      </c>
      <c r="E26" s="10">
        <f t="shared" si="2"/>
        <v>43400.130694059655</v>
      </c>
      <c r="F26" s="3"/>
      <c r="G26" s="28"/>
      <c r="H26" s="10"/>
      <c r="I26" s="10">
        <f t="shared" si="5"/>
        <v>127</v>
      </c>
      <c r="J26" s="10">
        <f t="shared" si="3"/>
        <v>201661873.47165322</v>
      </c>
      <c r="K26" s="11">
        <f t="shared" si="4"/>
        <v>2.8100000000000014E-2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1544488.6367992728</v>
      </c>
      <c r="D27" s="11">
        <v>2.9499999999999998E-2</v>
      </c>
      <c r="E27" s="10">
        <f t="shared" si="2"/>
        <v>44256.83806272829</v>
      </c>
      <c r="F27" s="3"/>
      <c r="G27" s="28"/>
      <c r="H27" s="10"/>
      <c r="I27" s="10">
        <f t="shared" si="5"/>
        <v>127</v>
      </c>
      <c r="J27" s="10">
        <f t="shared" si="3"/>
        <v>196150056.87350765</v>
      </c>
      <c r="K27" s="11">
        <f t="shared" si="4"/>
        <v>2.9500000000000082E-2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1500231.7987365446</v>
      </c>
      <c r="D28" s="11">
        <v>3.0300000000000001E-2</v>
      </c>
      <c r="E28" s="10">
        <f t="shared" si="2"/>
        <v>44120.181987496093</v>
      </c>
      <c r="F28" s="3"/>
      <c r="G28" s="28"/>
      <c r="H28" s="10"/>
      <c r="I28" s="10">
        <f t="shared" si="5"/>
        <v>127</v>
      </c>
      <c r="J28" s="10">
        <f t="shared" si="3"/>
        <v>190529438.43954116</v>
      </c>
      <c r="K28" s="11">
        <f t="shared" si="4"/>
        <v>3.0299999999999994E-2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1456111.6167490485</v>
      </c>
      <c r="D29" s="11">
        <v>3.04E-2</v>
      </c>
      <c r="E29" s="10">
        <f t="shared" si="2"/>
        <v>42959.814779863227</v>
      </c>
      <c r="F29" s="3"/>
      <c r="G29" s="28"/>
      <c r="H29" s="10"/>
      <c r="I29" s="10">
        <f t="shared" si="5"/>
        <v>127</v>
      </c>
      <c r="J29" s="10">
        <f t="shared" si="3"/>
        <v>184926175.32712916</v>
      </c>
      <c r="K29" s="11">
        <f t="shared" si="4"/>
        <v>3.0399999999999983E-2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1413151.8019691852</v>
      </c>
      <c r="D30" s="11">
        <v>2.9899999999999999E-2</v>
      </c>
      <c r="E30" s="10">
        <f t="shared" si="2"/>
        <v>41026.545178054832</v>
      </c>
      <c r="F30" s="3"/>
      <c r="G30" s="28"/>
      <c r="H30" s="10"/>
      <c r="I30" s="10">
        <f t="shared" si="5"/>
        <v>127</v>
      </c>
      <c r="J30" s="10">
        <f t="shared" si="3"/>
        <v>179470278.85008654</v>
      </c>
      <c r="K30" s="11">
        <f t="shared" si="4"/>
        <v>2.990000000000026E-2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1372125.2567911304</v>
      </c>
      <c r="D31" s="11">
        <v>2.86E-2</v>
      </c>
      <c r="E31" s="10">
        <f t="shared" si="2"/>
        <v>38151.64528896194</v>
      </c>
      <c r="F31" s="3"/>
      <c r="G31" s="28"/>
      <c r="H31" s="10"/>
      <c r="I31" s="10">
        <f t="shared" si="5"/>
        <v>127</v>
      </c>
      <c r="J31" s="10">
        <f t="shared" si="3"/>
        <v>174259907.61247355</v>
      </c>
      <c r="K31" s="11">
        <f t="shared" si="4"/>
        <v>2.8599999999999959E-2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1333973.6115021685</v>
      </c>
      <c r="D32" s="11">
        <v>2.6700000000000002E-2</v>
      </c>
      <c r="E32" s="10">
        <f t="shared" si="2"/>
        <v>34690.849739074474</v>
      </c>
      <c r="F32" s="3"/>
      <c r="G32" s="28"/>
      <c r="H32" s="10"/>
      <c r="I32" s="10">
        <f t="shared" si="5"/>
        <v>127</v>
      </c>
      <c r="J32" s="10">
        <f t="shared" si="3"/>
        <v>169414648.66077539</v>
      </c>
      <c r="K32" s="11">
        <f t="shared" si="4"/>
        <v>2.6699999999999946E-2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1299282.761763094</v>
      </c>
      <c r="D33" s="11">
        <v>2.4500000000000001E-2</v>
      </c>
      <c r="E33" s="10">
        <f t="shared" si="2"/>
        <v>31071.183663441334</v>
      </c>
      <c r="F33" s="3"/>
      <c r="G33" s="28"/>
      <c r="H33" s="10"/>
      <c r="I33" s="10">
        <f t="shared" si="5"/>
        <v>127</v>
      </c>
      <c r="J33" s="10">
        <f t="shared" si="3"/>
        <v>165008910.74391294</v>
      </c>
      <c r="K33" s="11">
        <f t="shared" si="4"/>
        <v>2.4499999999999744E-2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1268211.5780996527</v>
      </c>
      <c r="D34" s="11">
        <v>2.2800000000000001E-2</v>
      </c>
      <c r="E34" s="10">
        <f t="shared" si="2"/>
        <v>28270.653090215055</v>
      </c>
      <c r="F34" s="3"/>
      <c r="G34" s="28"/>
      <c r="H34" s="10"/>
      <c r="I34" s="10">
        <f t="shared" si="5"/>
        <v>127</v>
      </c>
      <c r="J34" s="10">
        <f t="shared" ref="J34:J65" si="6">IF(I34="","",I34*C34)</f>
        <v>161062870.4186559</v>
      </c>
      <c r="K34" s="11">
        <f t="shared" ref="K34:K65" si="7">IFERROR(J34/J35-1,"")</f>
        <v>2.2799999999999931E-2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1239940.9250094376</v>
      </c>
      <c r="D35" s="11">
        <v>2.1499999999999998E-2</v>
      </c>
      <c r="E35" s="10">
        <f t="shared" si="2"/>
        <v>26097.630824966123</v>
      </c>
      <c r="F35" s="3"/>
      <c r="G35" s="28"/>
      <c r="H35" s="10"/>
      <c r="I35" s="10">
        <f t="shared" ref="I35:I66" si="8">IF(H35&lt;&gt;"",H35,I34/(1+IF(G34="",0,G34)/100))</f>
        <v>127</v>
      </c>
      <c r="J35" s="10">
        <f t="shared" si="6"/>
        <v>157472497.47619858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1213843.2941844715</v>
      </c>
      <c r="D36" s="11">
        <v>2.0899999999999998E-2</v>
      </c>
      <c r="E36" s="10">
        <f t="shared" si="2"/>
        <v>24849.960670443019</v>
      </c>
      <c r="F36" s="3"/>
      <c r="G36" s="28"/>
      <c r="H36" s="10"/>
      <c r="I36" s="10">
        <f t="shared" si="8"/>
        <v>127</v>
      </c>
      <c r="J36" s="10">
        <f t="shared" si="6"/>
        <v>154158098.36142787</v>
      </c>
      <c r="K36" s="11">
        <f t="shared" si="7"/>
        <v>2.0899999999999919E-2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1188993.3335140285</v>
      </c>
      <c r="D37" s="11">
        <v>2.0899999999999998E-2</v>
      </c>
      <c r="E37" s="10">
        <f t="shared" si="2"/>
        <v>24341.228984663729</v>
      </c>
      <c r="F37" s="3"/>
      <c r="G37" s="28"/>
      <c r="H37" s="10"/>
      <c r="I37" s="10">
        <f t="shared" si="8"/>
        <v>127</v>
      </c>
      <c r="J37" s="10">
        <f t="shared" si="6"/>
        <v>151002153.35628161</v>
      </c>
      <c r="K37" s="11">
        <f t="shared" si="7"/>
        <v>2.0899999999999919E-2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1164652.1045293647</v>
      </c>
      <c r="D38" s="11">
        <v>2.1399999999999999E-2</v>
      </c>
      <c r="E38" s="10">
        <f t="shared" si="2"/>
        <v>24401.365808623843</v>
      </c>
      <c r="F38" s="3"/>
      <c r="G38" s="28"/>
      <c r="H38" s="10"/>
      <c r="I38" s="10">
        <f t="shared" si="8"/>
        <v>127</v>
      </c>
      <c r="J38" s="10">
        <f t="shared" si="6"/>
        <v>147910817.27522933</v>
      </c>
      <c r="K38" s="11">
        <f t="shared" si="7"/>
        <v>2.1400000000000086E-2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1140250.7387207409</v>
      </c>
      <c r="D39" s="11">
        <v>2.24E-2</v>
      </c>
      <c r="E39" s="10">
        <f t="shared" si="2"/>
        <v>24982.019314695382</v>
      </c>
      <c r="F39" s="3"/>
      <c r="G39" s="28"/>
      <c r="H39" s="10"/>
      <c r="I39" s="10">
        <f t="shared" si="8"/>
        <v>127</v>
      </c>
      <c r="J39" s="10">
        <f t="shared" si="6"/>
        <v>144811843.81753409</v>
      </c>
      <c r="K39" s="11">
        <f t="shared" si="7"/>
        <v>2.2399999999999975E-2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1115268.7194060455</v>
      </c>
      <c r="D40" s="11">
        <v>2.3800000000000002E-2</v>
      </c>
      <c r="E40" s="10">
        <f t="shared" si="2"/>
        <v>25926.348429247737</v>
      </c>
      <c r="F40" s="3"/>
      <c r="G40" s="28"/>
      <c r="H40" s="10"/>
      <c r="I40" s="10">
        <f t="shared" si="8"/>
        <v>127</v>
      </c>
      <c r="J40" s="10">
        <f t="shared" si="6"/>
        <v>141639127.36456779</v>
      </c>
      <c r="K40" s="11">
        <f t="shared" si="7"/>
        <v>2.3800000000000043E-2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1089342.3709767978</v>
      </c>
      <c r="D41" s="11">
        <v>2.5000000000000001E-2</v>
      </c>
      <c r="E41" s="10">
        <f t="shared" si="2"/>
        <v>26569.326121385209</v>
      </c>
      <c r="F41" s="3"/>
      <c r="G41" s="28"/>
      <c r="H41" s="10"/>
      <c r="I41" s="10">
        <f t="shared" si="8"/>
        <v>127</v>
      </c>
      <c r="J41" s="10">
        <f t="shared" si="6"/>
        <v>138346481.11405331</v>
      </c>
      <c r="K41" s="11">
        <f t="shared" si="7"/>
        <v>2.4999999999999911E-2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1062773.0448554126</v>
      </c>
      <c r="D42" s="11">
        <v>2.5700000000000001E-2</v>
      </c>
      <c r="E42" s="10">
        <f t="shared" si="2"/>
        <v>26628.904409461073</v>
      </c>
      <c r="F42" s="3"/>
      <c r="G42" s="28"/>
      <c r="H42" s="10"/>
      <c r="I42" s="10">
        <f t="shared" si="8"/>
        <v>127</v>
      </c>
      <c r="J42" s="10">
        <f t="shared" si="6"/>
        <v>134972176.69663739</v>
      </c>
      <c r="K42" s="11">
        <f t="shared" si="7"/>
        <v>2.5700000000000056E-2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1036144.1404459515</v>
      </c>
      <c r="D43" s="11">
        <v>2.6100000000000002E-2</v>
      </c>
      <c r="E43" s="10">
        <f t="shared" si="2"/>
        <v>26355.483934937511</v>
      </c>
      <c r="F43" s="3"/>
      <c r="G43" s="28"/>
      <c r="H43" s="10"/>
      <c r="I43" s="10">
        <f t="shared" si="8"/>
        <v>127</v>
      </c>
      <c r="J43" s="10">
        <f t="shared" si="6"/>
        <v>131590305.83663584</v>
      </c>
      <c r="K43" s="11">
        <f t="shared" si="7"/>
        <v>2.6100000000000012E-2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1009788.656511014</v>
      </c>
      <c r="D44" s="11">
        <v>2.64E-2</v>
      </c>
      <c r="E44" s="10">
        <f t="shared" si="2"/>
        <v>25972.740190852201</v>
      </c>
      <c r="F44" s="3"/>
      <c r="G44" s="28"/>
      <c r="H44" s="10"/>
      <c r="I44" s="10">
        <f t="shared" si="8"/>
        <v>127</v>
      </c>
      <c r="J44" s="10">
        <f t="shared" si="6"/>
        <v>128243159.37689878</v>
      </c>
      <c r="K44" s="11">
        <f t="shared" si="7"/>
        <v>2.6399999999999979E-2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983815.91632016178</v>
      </c>
      <c r="D45" s="11">
        <v>2.64E-2</v>
      </c>
      <c r="E45" s="10">
        <f t="shared" si="2"/>
        <v>25304.696210884838</v>
      </c>
      <c r="F45" s="3"/>
      <c r="G45" s="28"/>
      <c r="H45" s="10"/>
      <c r="I45" s="10">
        <f t="shared" si="8"/>
        <v>127</v>
      </c>
      <c r="J45" s="10">
        <f t="shared" si="6"/>
        <v>124944621.37266055</v>
      </c>
      <c r="K45" s="11">
        <f t="shared" si="7"/>
        <v>2.6399999999999979E-2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958511.22010927694</v>
      </c>
      <c r="D46" s="11">
        <v>2.6200000000000001E-2</v>
      </c>
      <c r="E46" s="10">
        <f t="shared" si="2"/>
        <v>24471.831969268271</v>
      </c>
      <c r="F46" s="3"/>
      <c r="G46" s="28"/>
      <c r="H46" s="10"/>
      <c r="I46" s="10">
        <f t="shared" si="8"/>
        <v>127</v>
      </c>
      <c r="J46" s="10">
        <f t="shared" si="6"/>
        <v>121730924.95387816</v>
      </c>
      <c r="K46" s="11">
        <f t="shared" si="7"/>
        <v>2.6200000000000001E-2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934039.38814000867</v>
      </c>
      <c r="D47" s="11">
        <v>2.5700000000000001E-2</v>
      </c>
      <c r="E47" s="10">
        <f t="shared" si="2"/>
        <v>23403.346275907476</v>
      </c>
      <c r="F47" s="3"/>
      <c r="G47" s="28"/>
      <c r="H47" s="10"/>
      <c r="I47" s="10">
        <f t="shared" si="8"/>
        <v>127</v>
      </c>
      <c r="J47" s="10">
        <f t="shared" si="6"/>
        <v>118623002.2937811</v>
      </c>
      <c r="K47" s="11">
        <f t="shared" si="7"/>
        <v>2.5700000000000056E-2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910636.04186410119</v>
      </c>
      <c r="D48" s="11">
        <v>2.4799999999999999E-2</v>
      </c>
      <c r="E48" s="10">
        <f t="shared" si="2"/>
        <v>22037.250037304475</v>
      </c>
      <c r="F48" s="3"/>
      <c r="G48" s="28"/>
      <c r="H48" s="10"/>
      <c r="I48" s="10">
        <f t="shared" si="8"/>
        <v>127</v>
      </c>
      <c r="J48" s="10">
        <f t="shared" si="6"/>
        <v>115650777.31674086</v>
      </c>
      <c r="K48" s="11">
        <f t="shared" si="7"/>
        <v>2.4799999999999933E-2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888598.79182679672</v>
      </c>
      <c r="D49" s="11">
        <v>2.35E-2</v>
      </c>
      <c r="E49" s="10">
        <f t="shared" si="2"/>
        <v>20402.610266663251</v>
      </c>
      <c r="F49" s="3"/>
      <c r="G49" s="28"/>
      <c r="H49" s="10"/>
      <c r="I49" s="10">
        <f t="shared" si="8"/>
        <v>127</v>
      </c>
      <c r="J49" s="10">
        <f t="shared" si="6"/>
        <v>112852046.56200318</v>
      </c>
      <c r="K49" s="11">
        <f t="shared" si="7"/>
        <v>2.3500000000000076E-2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868196.18156013347</v>
      </c>
      <c r="D50" s="11">
        <v>2.1899999999999999E-2</v>
      </c>
      <c r="E50" s="10">
        <f t="shared" si="2"/>
        <v>18606.024440911016</v>
      </c>
      <c r="F50" s="3"/>
      <c r="G50" s="28"/>
      <c r="H50" s="10"/>
      <c r="I50" s="10">
        <f t="shared" si="8"/>
        <v>127</v>
      </c>
      <c r="J50" s="10">
        <f t="shared" si="6"/>
        <v>110260915.05813695</v>
      </c>
      <c r="K50" s="11">
        <f t="shared" si="7"/>
        <v>2.1900000000000253E-2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849590.15711922245</v>
      </c>
      <c r="D51" s="11">
        <v>0.02</v>
      </c>
      <c r="E51" s="10">
        <f t="shared" si="2"/>
        <v>16658.630531749455</v>
      </c>
      <c r="F51" s="3"/>
      <c r="G51" s="28"/>
      <c r="H51" s="10"/>
      <c r="I51" s="10">
        <f t="shared" si="8"/>
        <v>127</v>
      </c>
      <c r="J51" s="10">
        <f t="shared" si="6"/>
        <v>107897949.95414124</v>
      </c>
      <c r="K51" s="11">
        <f t="shared" si="7"/>
        <v>2.0000000000000018E-2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832931.526587473</v>
      </c>
      <c r="D52" s="11">
        <v>1.7999999999999999E-2</v>
      </c>
      <c r="E52" s="10">
        <f t="shared" si="2"/>
        <v>14727.669428855181</v>
      </c>
      <c r="F52" s="3"/>
      <c r="G52" s="28"/>
      <c r="H52" s="10"/>
      <c r="I52" s="10">
        <f t="shared" si="8"/>
        <v>127</v>
      </c>
      <c r="J52" s="10">
        <f t="shared" si="6"/>
        <v>105782303.87660907</v>
      </c>
      <c r="K52" s="11">
        <f t="shared" si="7"/>
        <v>1.8000000000000016E-2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818203.85715861782</v>
      </c>
      <c r="D53" s="11">
        <v>1.6199999999999999E-2</v>
      </c>
      <c r="E53" s="10">
        <f t="shared" si="2"/>
        <v>13043.596227090689</v>
      </c>
      <c r="F53" s="3"/>
      <c r="G53" s="28"/>
      <c r="H53" s="10"/>
      <c r="I53" s="10">
        <f t="shared" si="8"/>
        <v>127</v>
      </c>
      <c r="J53" s="10">
        <f t="shared" si="6"/>
        <v>103911889.85914446</v>
      </c>
      <c r="K53" s="11">
        <f t="shared" si="7"/>
        <v>1.6199999999999992E-2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805160.26093152713</v>
      </c>
      <c r="D54" s="11">
        <v>1.47E-2</v>
      </c>
      <c r="E54" s="10">
        <f t="shared" si="2"/>
        <v>11664.389312795363</v>
      </c>
      <c r="F54" s="3"/>
      <c r="G54" s="28"/>
      <c r="H54" s="10"/>
      <c r="I54" s="10">
        <f t="shared" si="8"/>
        <v>127</v>
      </c>
      <c r="J54" s="10">
        <f t="shared" si="6"/>
        <v>102255353.13830395</v>
      </c>
      <c r="K54" s="11">
        <f t="shared" si="7"/>
        <v>1.4700000000000157E-2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793495.87161873176</v>
      </c>
      <c r="D55" s="11">
        <v>1.3599999999999999E-2</v>
      </c>
      <c r="E55" s="10">
        <f t="shared" si="2"/>
        <v>10646.748080125079</v>
      </c>
      <c r="F55" s="3"/>
      <c r="G55" s="28"/>
      <c r="H55" s="10"/>
      <c r="I55" s="10">
        <f t="shared" si="8"/>
        <v>127</v>
      </c>
      <c r="J55" s="10">
        <f t="shared" si="6"/>
        <v>100773975.69557893</v>
      </c>
      <c r="K55" s="11">
        <f t="shared" si="7"/>
        <v>1.3600000000000056E-2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782849.12353860668</v>
      </c>
      <c r="D56" s="11">
        <v>1.3100000000000001E-2</v>
      </c>
      <c r="E56" s="10">
        <f t="shared" si="2"/>
        <v>10122.71593954775</v>
      </c>
      <c r="F56" s="3"/>
      <c r="G56" s="28"/>
      <c r="H56" s="10"/>
      <c r="I56" s="10">
        <f t="shared" si="8"/>
        <v>127</v>
      </c>
      <c r="J56" s="10">
        <f t="shared" si="6"/>
        <v>99421838.689403042</v>
      </c>
      <c r="K56" s="11">
        <f t="shared" si="7"/>
        <v>1.3100000000000112E-2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772726.40759905893</v>
      </c>
      <c r="D57" s="11">
        <v>1.32E-2</v>
      </c>
      <c r="E57" s="10">
        <f t="shared" si="2"/>
        <v>10067.102823043475</v>
      </c>
      <c r="F57" s="3"/>
      <c r="G57" s="28"/>
      <c r="H57" s="10"/>
      <c r="I57" s="10">
        <f t="shared" si="8"/>
        <v>127</v>
      </c>
      <c r="J57" s="10">
        <f t="shared" si="6"/>
        <v>98136253.765080482</v>
      </c>
      <c r="K57" s="11">
        <f t="shared" si="7"/>
        <v>1.3200000000000101E-2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762659.30477601546</v>
      </c>
      <c r="D58" s="11">
        <v>1.41E-2</v>
      </c>
      <c r="E58" s="10">
        <f t="shared" si="2"/>
        <v>10603.980078238645</v>
      </c>
      <c r="F58" s="3"/>
      <c r="G58" s="28"/>
      <c r="H58" s="10"/>
      <c r="I58" s="10">
        <f t="shared" si="8"/>
        <v>127</v>
      </c>
      <c r="J58" s="10">
        <f t="shared" si="6"/>
        <v>96857731.706553966</v>
      </c>
      <c r="K58" s="11">
        <f t="shared" si="7"/>
        <v>1.4100000000000001E-2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752055.32469777681</v>
      </c>
      <c r="D59" s="11">
        <v>1.5699999999999999E-2</v>
      </c>
      <c r="E59" s="10">
        <f t="shared" si="2"/>
        <v>11624.759867830202</v>
      </c>
      <c r="F59" s="3"/>
      <c r="G59" s="28"/>
      <c r="H59" s="10"/>
      <c r="I59" s="10">
        <f t="shared" si="8"/>
        <v>127</v>
      </c>
      <c r="J59" s="10">
        <f t="shared" si="6"/>
        <v>95511026.236617655</v>
      </c>
      <c r="K59" s="11">
        <f t="shared" si="7"/>
        <v>1.5700000000000047E-2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740430.56482994661</v>
      </c>
      <c r="D60" s="11">
        <v>1.7899999999999999E-2</v>
      </c>
      <c r="E60" s="10">
        <f t="shared" si="2"/>
        <v>13020.637695702957</v>
      </c>
      <c r="F60" s="3"/>
      <c r="G60" s="28"/>
      <c r="H60" s="10"/>
      <c r="I60" s="10">
        <f t="shared" si="8"/>
        <v>127</v>
      </c>
      <c r="J60" s="10">
        <f t="shared" si="6"/>
        <v>94034681.733403221</v>
      </c>
      <c r="K60" s="11">
        <f t="shared" si="7"/>
        <v>1.7900000000000027E-2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727409.92713424366</v>
      </c>
      <c r="D61" s="11">
        <v>2.01E-2</v>
      </c>
      <c r="E61" s="10">
        <f t="shared" si="2"/>
        <v>14332.849265168421</v>
      </c>
      <c r="F61" s="3"/>
      <c r="G61" s="28"/>
      <c r="H61" s="10"/>
      <c r="I61" s="10">
        <f t="shared" si="8"/>
        <v>127</v>
      </c>
      <c r="J61" s="10">
        <f t="shared" si="6"/>
        <v>92381060.746048942</v>
      </c>
      <c r="K61" s="11">
        <f t="shared" si="7"/>
        <v>2.0100000000000007E-2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713077.07786907523</v>
      </c>
      <c r="D62" s="11">
        <v>2.1899999999999999E-2</v>
      </c>
      <c r="E62" s="10">
        <f t="shared" si="2"/>
        <v>15281.718372964882</v>
      </c>
      <c r="F62" s="3"/>
      <c r="G62" s="28"/>
      <c r="H62" s="10"/>
      <c r="I62" s="10">
        <f t="shared" si="8"/>
        <v>127</v>
      </c>
      <c r="J62" s="10">
        <f t="shared" si="6"/>
        <v>90560788.889372557</v>
      </c>
      <c r="K62" s="11">
        <f t="shared" si="7"/>
        <v>2.1900000000000253E-2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697795.35949611035</v>
      </c>
      <c r="D63" s="11">
        <v>2.3099999999999999E-2</v>
      </c>
      <c r="E63" s="10">
        <f t="shared" si="2"/>
        <v>15755.12931713427</v>
      </c>
      <c r="F63" s="3"/>
      <c r="G63" s="28"/>
      <c r="H63" s="10"/>
      <c r="I63" s="10">
        <f t="shared" si="8"/>
        <v>127</v>
      </c>
      <c r="J63" s="10">
        <f t="shared" si="6"/>
        <v>88620010.656006008</v>
      </c>
      <c r="K63" s="11">
        <f t="shared" si="7"/>
        <v>2.3099999999999898E-2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682040.23017897608</v>
      </c>
      <c r="D64" s="11">
        <v>2.3300000000000001E-2</v>
      </c>
      <c r="E64" s="10">
        <f t="shared" si="2"/>
        <v>15529.695458976086</v>
      </c>
      <c r="F64" s="3"/>
      <c r="G64" s="28"/>
      <c r="H64" s="10"/>
      <c r="I64" s="10">
        <f t="shared" si="8"/>
        <v>127</v>
      </c>
      <c r="J64" s="10">
        <f t="shared" si="6"/>
        <v>86619109.232729957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666510.53472</v>
      </c>
      <c r="D65" s="11">
        <v>2.24E-2</v>
      </c>
      <c r="E65" s="10">
        <f t="shared" si="2"/>
        <v>14602.734719999949</v>
      </c>
      <c r="F65" s="3"/>
      <c r="G65" s="28"/>
      <c r="H65" s="10"/>
      <c r="I65" s="10">
        <f t="shared" si="8"/>
        <v>127</v>
      </c>
      <c r="J65" s="10">
        <f t="shared" si="6"/>
        <v>84646837.909439996</v>
      </c>
      <c r="K65" s="11">
        <f t="shared" si="7"/>
        <v>2.2399999999999753E-2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651907.80000000005</v>
      </c>
      <c r="D66" s="11">
        <v>2.0199999999999999E-2</v>
      </c>
      <c r="E66" s="10">
        <f t="shared" si="2"/>
        <v>12907.800000000047</v>
      </c>
      <c r="F66" s="24">
        <f>SUM(F2)</f>
        <v>2950683</v>
      </c>
      <c r="G66" s="28"/>
      <c r="H66" s="10"/>
      <c r="I66" s="10">
        <f t="shared" si="8"/>
        <v>127</v>
      </c>
      <c r="J66" s="10">
        <f t="shared" ref="J66:J67" si="9">IF(I66="","",I66*C66)</f>
        <v>82792290.600000009</v>
      </c>
      <c r="K66" s="11">
        <f t="shared" ref="K66" si="10">IFERROR(J66/J67-1,"")</f>
        <v>2.0200000000000218E-2</v>
      </c>
    </row>
    <row r="67" spans="1:11" ht="22.5" customHeight="1">
      <c r="A67" s="3">
        <f t="shared" si="0"/>
        <v>1950</v>
      </c>
      <c r="B67" s="3">
        <v>1700</v>
      </c>
      <c r="C67" s="10">
        <v>639000</v>
      </c>
      <c r="D67" s="11">
        <v>1.7100000000000001E-2</v>
      </c>
      <c r="E67" s="3" t="s">
        <v>72</v>
      </c>
      <c r="F67" s="10">
        <f>SUM(C2)</f>
        <v>2950736.8483975697</v>
      </c>
      <c r="G67" s="28"/>
      <c r="H67" s="10"/>
      <c r="I67" s="10">
        <f t="shared" ref="I67" si="11">IF(H67&lt;&gt;"",H67,I66/(1+IF(G66="",0,G66)/100))</f>
        <v>127</v>
      </c>
      <c r="J67" s="10">
        <f t="shared" si="9"/>
        <v>81153000</v>
      </c>
      <c r="K67" s="11"/>
    </row>
  </sheetData>
  <dataValidations count="1">
    <dataValidation type="custom" allowBlank="1" showDropDown="1" sqref="D2:D67" xr:uid="{00000000-0002-0000-A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140078910.17877722</v>
      </c>
      <c r="D2" s="11">
        <v>2.1100000000000001E-2</v>
      </c>
      <c r="E2" s="10">
        <f t="shared" ref="E2:E66" si="2">SUM(C2-C3)</f>
        <v>2894589.1732172966</v>
      </c>
      <c r="F2" s="15">
        <v>140080976</v>
      </c>
      <c r="G2" s="28"/>
      <c r="H2" s="10"/>
      <c r="I2" s="10">
        <f>IF(H2&lt;&gt;"",H2,2226)</f>
        <v>2226</v>
      </c>
      <c r="J2" s="10">
        <f t="shared" ref="J2:J33" si="3">IF(I2="","",I2*C2)</f>
        <v>311815654057.95807</v>
      </c>
      <c r="K2" s="11">
        <f t="shared" ref="K2:K33" si="4">IFERROR(J2/J3-1,"")</f>
        <v>2.1099999999999675E-2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137184321.00555992</v>
      </c>
      <c r="D3" s="11">
        <v>2.12E-2</v>
      </c>
      <c r="E3" s="10">
        <f t="shared" si="2"/>
        <v>2847931.4583998024</v>
      </c>
      <c r="F3" s="3"/>
      <c r="G3" s="28"/>
      <c r="H3" s="10"/>
      <c r="I3" s="10">
        <f t="shared" ref="I3:I34" si="5">IF(H3&lt;&gt;"",H3,I2/(1+IF(G2="",0,G2)/100))</f>
        <v>2226</v>
      </c>
      <c r="J3" s="10">
        <f t="shared" si="3"/>
        <v>305372298558.3764</v>
      </c>
      <c r="K3" s="11">
        <f t="shared" si="4"/>
        <v>2.1200000000000108E-2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134336389.54716012</v>
      </c>
      <c r="D4" s="11">
        <v>2.1100000000000001E-2</v>
      </c>
      <c r="E4" s="10">
        <f t="shared" si="2"/>
        <v>2775925.7853736728</v>
      </c>
      <c r="F4" s="3"/>
      <c r="G4" s="28"/>
      <c r="H4" s="10"/>
      <c r="I4" s="10">
        <f t="shared" si="5"/>
        <v>2226</v>
      </c>
      <c r="J4" s="10">
        <f t="shared" si="3"/>
        <v>299032803131.97845</v>
      </c>
      <c r="K4" s="11">
        <f t="shared" si="4"/>
        <v>2.1099999999999897E-2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131560463.76178645</v>
      </c>
      <c r="D5" s="11">
        <v>2.12E-2</v>
      </c>
      <c r="E5" s="10">
        <f t="shared" si="2"/>
        <v>2731180.798815012</v>
      </c>
      <c r="F5" s="3"/>
      <c r="G5" s="28"/>
      <c r="H5" s="10"/>
      <c r="I5" s="10">
        <f t="shared" si="5"/>
        <v>2226</v>
      </c>
      <c r="J5" s="10">
        <f t="shared" si="3"/>
        <v>292853592333.73663</v>
      </c>
      <c r="K5" s="11">
        <f t="shared" si="4"/>
        <v>2.1200000000000108E-2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128829282.96297143</v>
      </c>
      <c r="D6" s="11">
        <v>2.2100000000000002E-2</v>
      </c>
      <c r="E6" s="10">
        <f t="shared" si="2"/>
        <v>2785566.1417490095</v>
      </c>
      <c r="F6" s="3"/>
      <c r="G6" s="28"/>
      <c r="H6" s="10"/>
      <c r="I6" s="10">
        <f t="shared" si="5"/>
        <v>2226</v>
      </c>
      <c r="J6" s="10">
        <f t="shared" si="3"/>
        <v>286773983875.5744</v>
      </c>
      <c r="K6" s="11">
        <f t="shared" si="4"/>
        <v>2.2099999999999786E-2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126043716.82122242</v>
      </c>
      <c r="D7" s="11">
        <v>2.3800000000000002E-2</v>
      </c>
      <c r="E7" s="10">
        <f t="shared" si="2"/>
        <v>2930103.9854904264</v>
      </c>
      <c r="F7" s="3"/>
      <c r="G7" s="28"/>
      <c r="H7" s="10"/>
      <c r="I7" s="10">
        <f t="shared" si="5"/>
        <v>2226</v>
      </c>
      <c r="J7" s="10">
        <f t="shared" si="3"/>
        <v>280573313644.04114</v>
      </c>
      <c r="K7" s="11">
        <f t="shared" si="4"/>
        <v>2.3800000000000265E-2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123113612.835732</v>
      </c>
      <c r="D8" s="11">
        <v>2.5899999999999999E-2</v>
      </c>
      <c r="E8" s="10">
        <f t="shared" si="2"/>
        <v>3108141.7023544759</v>
      </c>
      <c r="F8" s="3"/>
      <c r="G8" s="28"/>
      <c r="H8" s="10"/>
      <c r="I8" s="10">
        <f t="shared" si="5"/>
        <v>2226</v>
      </c>
      <c r="J8" s="10">
        <f t="shared" si="3"/>
        <v>274050902172.33942</v>
      </c>
      <c r="K8" s="11">
        <f t="shared" si="4"/>
        <v>2.5899999999999812E-2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120005471.13337752</v>
      </c>
      <c r="D9" s="11">
        <v>2.7799999999999998E-2</v>
      </c>
      <c r="E9" s="10">
        <f t="shared" si="2"/>
        <v>3245915.6426424384</v>
      </c>
      <c r="F9" s="3"/>
      <c r="G9" s="28"/>
      <c r="H9" s="10"/>
      <c r="I9" s="10">
        <f t="shared" si="5"/>
        <v>2226</v>
      </c>
      <c r="J9" s="10">
        <f t="shared" si="3"/>
        <v>267132178742.89838</v>
      </c>
      <c r="K9" s="11">
        <f t="shared" si="4"/>
        <v>2.7800000000000047E-2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116759555.49073508</v>
      </c>
      <c r="D10" s="11">
        <v>2.9000000000000001E-2</v>
      </c>
      <c r="E10" s="10">
        <f t="shared" si="2"/>
        <v>3290599.7174259573</v>
      </c>
      <c r="F10" s="3"/>
      <c r="G10" s="28"/>
      <c r="H10" s="10"/>
      <c r="I10" s="10">
        <f t="shared" si="5"/>
        <v>2226</v>
      </c>
      <c r="J10" s="10">
        <f t="shared" si="3"/>
        <v>259906770522.37628</v>
      </c>
      <c r="K10" s="11">
        <f t="shared" si="4"/>
        <v>2.8999999999999915E-2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113468955.77330913</v>
      </c>
      <c r="D11" s="11">
        <v>2.9399999999999999E-2</v>
      </c>
      <c r="E11" s="10">
        <f t="shared" si="2"/>
        <v>3240710.4135761559</v>
      </c>
      <c r="F11" s="3"/>
      <c r="G11" s="28"/>
      <c r="H11" s="10"/>
      <c r="I11" s="10">
        <f t="shared" si="5"/>
        <v>2226</v>
      </c>
      <c r="J11" s="10">
        <f t="shared" si="3"/>
        <v>252581895551.38611</v>
      </c>
      <c r="K11" s="11">
        <f t="shared" si="4"/>
        <v>2.9400000000000093E-2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110228245.35973297</v>
      </c>
      <c r="D12" s="11">
        <v>2.92E-2</v>
      </c>
      <c r="E12" s="10">
        <f t="shared" si="2"/>
        <v>3127346.2538905889</v>
      </c>
      <c r="F12" s="3"/>
      <c r="G12" s="28"/>
      <c r="H12" s="10"/>
      <c r="I12" s="10">
        <f t="shared" si="5"/>
        <v>2226</v>
      </c>
      <c r="J12" s="10">
        <f t="shared" si="3"/>
        <v>245368074170.76559</v>
      </c>
      <c r="K12" s="11">
        <f t="shared" si="4"/>
        <v>2.9199999999999893E-2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107100899.10584238</v>
      </c>
      <c r="D13" s="11">
        <v>2.87E-2</v>
      </c>
      <c r="E13" s="10">
        <f t="shared" si="2"/>
        <v>2988039.0826651752</v>
      </c>
      <c r="F13" s="3"/>
      <c r="G13" s="28"/>
      <c r="H13" s="10"/>
      <c r="I13" s="10">
        <f t="shared" si="5"/>
        <v>2226</v>
      </c>
      <c r="J13" s="10">
        <f t="shared" si="3"/>
        <v>238406601409.60513</v>
      </c>
      <c r="K13" s="11">
        <f t="shared" si="4"/>
        <v>2.8699999999999726E-2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104112860.02317721</v>
      </c>
      <c r="D14" s="11">
        <v>2.8400000000000002E-2</v>
      </c>
      <c r="E14" s="10">
        <f t="shared" si="2"/>
        <v>2875150.9380185008</v>
      </c>
      <c r="F14" s="3"/>
      <c r="G14" s="28"/>
      <c r="H14" s="10"/>
      <c r="I14" s="10">
        <f t="shared" si="5"/>
        <v>2226</v>
      </c>
      <c r="J14" s="10">
        <f t="shared" si="3"/>
        <v>231755226411.59247</v>
      </c>
      <c r="K14" s="11">
        <f t="shared" si="4"/>
        <v>2.8399999999999981E-2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101237709.08515871</v>
      </c>
      <c r="D15" s="11">
        <v>2.8400000000000002E-2</v>
      </c>
      <c r="E15" s="10">
        <f t="shared" si="2"/>
        <v>2795751.5927834511</v>
      </c>
      <c r="F15" s="3"/>
      <c r="G15" s="28"/>
      <c r="H15" s="10"/>
      <c r="I15" s="10">
        <f t="shared" si="5"/>
        <v>2226</v>
      </c>
      <c r="J15" s="10">
        <f t="shared" si="3"/>
        <v>225355140423.56329</v>
      </c>
      <c r="K15" s="11">
        <f t="shared" si="4"/>
        <v>2.8399999999999981E-2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98441957.492375255</v>
      </c>
      <c r="D16" s="11">
        <v>2.8400000000000002E-2</v>
      </c>
      <c r="E16" s="10">
        <f t="shared" si="2"/>
        <v>2718544.9171367735</v>
      </c>
      <c r="F16" s="3"/>
      <c r="G16" s="28"/>
      <c r="H16" s="10"/>
      <c r="I16" s="10">
        <f t="shared" si="5"/>
        <v>2226</v>
      </c>
      <c r="J16" s="10">
        <f t="shared" si="3"/>
        <v>219131797378.02731</v>
      </c>
      <c r="K16" s="11">
        <f t="shared" si="4"/>
        <v>2.8399999999999981E-2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95723412.575238481</v>
      </c>
      <c r="D17" s="11">
        <v>2.8299999999999999E-2</v>
      </c>
      <c r="E17" s="10">
        <f t="shared" si="2"/>
        <v>2634418.531439513</v>
      </c>
      <c r="F17" s="3"/>
      <c r="G17" s="28"/>
      <c r="H17" s="10"/>
      <c r="I17" s="10">
        <f t="shared" si="5"/>
        <v>2226</v>
      </c>
      <c r="J17" s="10">
        <f t="shared" si="3"/>
        <v>213080316392.48087</v>
      </c>
      <c r="K17" s="11">
        <f t="shared" si="4"/>
        <v>2.8300000000000214E-2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93088994.043798968</v>
      </c>
      <c r="D18" s="11">
        <v>2.8199999999999999E-2</v>
      </c>
      <c r="E18" s="10">
        <f t="shared" si="2"/>
        <v>2553111.8771008849</v>
      </c>
      <c r="F18" s="3"/>
      <c r="G18" s="28"/>
      <c r="H18" s="10"/>
      <c r="I18" s="10">
        <f t="shared" si="5"/>
        <v>2226</v>
      </c>
      <c r="J18" s="10">
        <f t="shared" si="3"/>
        <v>207216100741.49649</v>
      </c>
      <c r="K18" s="11">
        <f t="shared" si="4"/>
        <v>2.8199999999999781E-2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90535882.166698083</v>
      </c>
      <c r="D19" s="11">
        <v>2.8400000000000002E-2</v>
      </c>
      <c r="E19" s="10">
        <f t="shared" si="2"/>
        <v>2500213.0042145252</v>
      </c>
      <c r="F19" s="3"/>
      <c r="G19" s="28"/>
      <c r="H19" s="10"/>
      <c r="I19" s="10">
        <f t="shared" si="5"/>
        <v>2226</v>
      </c>
      <c r="J19" s="10">
        <f t="shared" si="3"/>
        <v>201532873703.06995</v>
      </c>
      <c r="K19" s="11">
        <f t="shared" si="4"/>
        <v>2.8399999999999981E-2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88035669.162483558</v>
      </c>
      <c r="D20" s="11">
        <v>2.8899999999999999E-2</v>
      </c>
      <c r="E20" s="10">
        <f t="shared" si="2"/>
        <v>2472767.8479888886</v>
      </c>
      <c r="F20" s="3"/>
      <c r="G20" s="28"/>
      <c r="H20" s="10"/>
      <c r="I20" s="10">
        <f t="shared" si="5"/>
        <v>2226</v>
      </c>
      <c r="J20" s="10">
        <f t="shared" si="3"/>
        <v>195967399555.68839</v>
      </c>
      <c r="K20" s="11">
        <f t="shared" si="4"/>
        <v>2.8899999999999926E-2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85562901.314494669</v>
      </c>
      <c r="D21" s="11">
        <v>2.9499999999999998E-2</v>
      </c>
      <c r="E21" s="10">
        <f t="shared" si="2"/>
        <v>2451778.1338296235</v>
      </c>
      <c r="F21" s="3"/>
      <c r="G21" s="28"/>
      <c r="H21" s="10"/>
      <c r="I21" s="10">
        <f t="shared" si="5"/>
        <v>2226</v>
      </c>
      <c r="J21" s="10">
        <f t="shared" si="3"/>
        <v>190463018326.06512</v>
      </c>
      <c r="K21" s="11">
        <f t="shared" si="4"/>
        <v>2.949999999999986E-2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83111123.180665046</v>
      </c>
      <c r="D22" s="11">
        <v>3.0200000000000001E-2</v>
      </c>
      <c r="E22" s="10">
        <f t="shared" si="2"/>
        <v>2436377.3248457462</v>
      </c>
      <c r="F22" s="3"/>
      <c r="G22" s="28"/>
      <c r="H22" s="10"/>
      <c r="I22" s="10">
        <f t="shared" si="5"/>
        <v>2226</v>
      </c>
      <c r="J22" s="10">
        <f t="shared" si="3"/>
        <v>185005360200.1604</v>
      </c>
      <c r="K22" s="11">
        <f t="shared" si="4"/>
        <v>3.0200000000000005E-2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80674745.8558193</v>
      </c>
      <c r="D23" s="11">
        <v>3.09E-2</v>
      </c>
      <c r="E23" s="10">
        <f t="shared" si="2"/>
        <v>2418129.4470315427</v>
      </c>
      <c r="F23" s="3"/>
      <c r="G23" s="28"/>
      <c r="H23" s="10"/>
      <c r="I23" s="10">
        <f t="shared" si="5"/>
        <v>2226</v>
      </c>
      <c r="J23" s="10">
        <f t="shared" si="3"/>
        <v>179581984275.05377</v>
      </c>
      <c r="K23" s="11">
        <f t="shared" si="4"/>
        <v>3.090000000000015E-2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78256616.408787757</v>
      </c>
      <c r="D24" s="11">
        <v>3.15E-2</v>
      </c>
      <c r="E24" s="10">
        <f t="shared" si="2"/>
        <v>2389804.5728325993</v>
      </c>
      <c r="F24" s="3"/>
      <c r="G24" s="28"/>
      <c r="H24" s="10"/>
      <c r="I24" s="10">
        <f t="shared" si="5"/>
        <v>2226</v>
      </c>
      <c r="J24" s="10">
        <f t="shared" si="3"/>
        <v>174199228125.96155</v>
      </c>
      <c r="K24" s="11">
        <f t="shared" si="4"/>
        <v>3.1500000000000083E-2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75866811.835955158</v>
      </c>
      <c r="D25" s="11">
        <v>3.2099999999999997E-2</v>
      </c>
      <c r="E25" s="10">
        <f t="shared" si="2"/>
        <v>2359582.0753165036</v>
      </c>
      <c r="F25" s="3"/>
      <c r="G25" s="28"/>
      <c r="H25" s="10"/>
      <c r="I25" s="10">
        <f t="shared" si="5"/>
        <v>2226</v>
      </c>
      <c r="J25" s="10">
        <f t="shared" si="3"/>
        <v>168879523146.83618</v>
      </c>
      <c r="K25" s="11">
        <f t="shared" si="4"/>
        <v>3.2100000000000017E-2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73507229.760638654</v>
      </c>
      <c r="D26" s="11">
        <v>3.2399999999999998E-2</v>
      </c>
      <c r="E26" s="10">
        <f t="shared" si="2"/>
        <v>2306890.9766027629</v>
      </c>
      <c r="F26" s="3"/>
      <c r="G26" s="28"/>
      <c r="H26" s="10"/>
      <c r="I26" s="10">
        <f t="shared" si="5"/>
        <v>2226</v>
      </c>
      <c r="J26" s="10">
        <f t="shared" si="3"/>
        <v>163627093447.18164</v>
      </c>
      <c r="K26" s="11">
        <f t="shared" si="4"/>
        <v>3.2399999999999984E-2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71200338.784035891</v>
      </c>
      <c r="D27" s="11">
        <v>3.2599999999999997E-2</v>
      </c>
      <c r="E27" s="10">
        <f t="shared" si="2"/>
        <v>2247851.0985469371</v>
      </c>
      <c r="F27" s="3"/>
      <c r="G27" s="28"/>
      <c r="H27" s="10"/>
      <c r="I27" s="10">
        <f t="shared" si="5"/>
        <v>2226</v>
      </c>
      <c r="J27" s="10">
        <f t="shared" si="3"/>
        <v>158491954133.26389</v>
      </c>
      <c r="K27" s="11">
        <f t="shared" si="4"/>
        <v>3.2599999999999962E-2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68952487.685488954</v>
      </c>
      <c r="D28" s="11">
        <v>3.2599999999999997E-2</v>
      </c>
      <c r="E28" s="10">
        <f t="shared" si="2"/>
        <v>2176884.6586741656</v>
      </c>
      <c r="F28" s="3"/>
      <c r="G28" s="28"/>
      <c r="H28" s="10"/>
      <c r="I28" s="10">
        <f t="shared" si="5"/>
        <v>2226</v>
      </c>
      <c r="J28" s="10">
        <f t="shared" si="3"/>
        <v>153488237587.89841</v>
      </c>
      <c r="K28" s="11">
        <f t="shared" si="4"/>
        <v>3.2599999999999962E-2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66775603.026814789</v>
      </c>
      <c r="D29" s="11">
        <v>3.2599999999999997E-2</v>
      </c>
      <c r="E29" s="10">
        <f t="shared" si="2"/>
        <v>2108158.6855260134</v>
      </c>
      <c r="F29" s="3"/>
      <c r="G29" s="28"/>
      <c r="H29" s="10"/>
      <c r="I29" s="10">
        <f t="shared" si="5"/>
        <v>2226</v>
      </c>
      <c r="J29" s="10">
        <f t="shared" si="3"/>
        <v>148642492337.68973</v>
      </c>
      <c r="K29" s="11">
        <f t="shared" si="4"/>
        <v>3.2600000000000184E-2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64667444.341288775</v>
      </c>
      <c r="D30" s="11">
        <v>3.2599999999999997E-2</v>
      </c>
      <c r="E30" s="10">
        <f t="shared" si="2"/>
        <v>2041602.4457931519</v>
      </c>
      <c r="F30" s="3"/>
      <c r="G30" s="28"/>
      <c r="H30" s="10"/>
      <c r="I30" s="10">
        <f t="shared" si="5"/>
        <v>2226</v>
      </c>
      <c r="J30" s="10">
        <f t="shared" si="3"/>
        <v>143949731103.7088</v>
      </c>
      <c r="K30" s="11">
        <f t="shared" si="4"/>
        <v>3.259999999999974E-2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62625841.895495623</v>
      </c>
      <c r="D31" s="11">
        <v>3.2500000000000001E-2</v>
      </c>
      <c r="E31" s="10">
        <f t="shared" si="2"/>
        <v>1971273.4737080932</v>
      </c>
      <c r="F31" s="3"/>
      <c r="G31" s="28"/>
      <c r="H31" s="10"/>
      <c r="I31" s="10">
        <f t="shared" si="5"/>
        <v>2226</v>
      </c>
      <c r="J31" s="10">
        <f t="shared" si="3"/>
        <v>139405124059.37326</v>
      </c>
      <c r="K31" s="11">
        <f t="shared" si="4"/>
        <v>3.2499999999999973E-2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60654568.42178753</v>
      </c>
      <c r="D32" s="11">
        <v>3.2399999999999998E-2</v>
      </c>
      <c r="E32" s="10">
        <f t="shared" si="2"/>
        <v>1903533.5304784179</v>
      </c>
      <c r="F32" s="3"/>
      <c r="G32" s="28"/>
      <c r="H32" s="10"/>
      <c r="I32" s="10">
        <f t="shared" si="5"/>
        <v>2226</v>
      </c>
      <c r="J32" s="10">
        <f t="shared" si="3"/>
        <v>135017069306.89905</v>
      </c>
      <c r="K32" s="11">
        <f t="shared" si="4"/>
        <v>3.2400000000000206E-2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58751034.891309112</v>
      </c>
      <c r="D33" s="11">
        <v>3.2000000000000001E-2</v>
      </c>
      <c r="E33" s="10">
        <f t="shared" si="2"/>
        <v>1821737.5160095841</v>
      </c>
      <c r="F33" s="3"/>
      <c r="G33" s="28"/>
      <c r="H33" s="10"/>
      <c r="I33" s="10">
        <f t="shared" si="5"/>
        <v>2226</v>
      </c>
      <c r="J33" s="10">
        <f t="shared" si="3"/>
        <v>130779803668.05408</v>
      </c>
      <c r="K33" s="11">
        <f t="shared" si="4"/>
        <v>3.2000000000000028E-2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56929297.375299528</v>
      </c>
      <c r="D34" s="11">
        <v>3.1199999999999999E-2</v>
      </c>
      <c r="E34" s="10">
        <f t="shared" si="2"/>
        <v>1722453.5280346572</v>
      </c>
      <c r="F34" s="3"/>
      <c r="G34" s="28"/>
      <c r="H34" s="10"/>
      <c r="I34" s="10">
        <f t="shared" si="5"/>
        <v>2226</v>
      </c>
      <c r="J34" s="10">
        <f t="shared" ref="J34:J65" si="6">IF(I34="","",I34*C34)</f>
        <v>126724615957.41675</v>
      </c>
      <c r="K34" s="11">
        <f t="shared" ref="K34:K65" si="7">IFERROR(J34/J35-1,"")</f>
        <v>3.1199999999999894E-2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55206843.847264871</v>
      </c>
      <c r="D35" s="11">
        <v>3.0300000000000001E-2</v>
      </c>
      <c r="E35" s="10">
        <f t="shared" si="2"/>
        <v>1623573.1035350114</v>
      </c>
      <c r="F35" s="3"/>
      <c r="G35" s="28"/>
      <c r="H35" s="10"/>
      <c r="I35" s="10">
        <f t="shared" ref="I35:I66" si="8">IF(H35&lt;&gt;"",H35,I34/(1+IF(G34="",0,G34)/100))</f>
        <v>2226</v>
      </c>
      <c r="J35" s="10">
        <f t="shared" si="6"/>
        <v>122890434404.0116</v>
      </c>
      <c r="K35" s="11">
        <f t="shared" si="7"/>
        <v>3.0299999999999994E-2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53583270.74372986</v>
      </c>
      <c r="D36" s="11">
        <v>2.9399999999999999E-2</v>
      </c>
      <c r="E36" s="10">
        <f t="shared" si="2"/>
        <v>1530355.7022203803</v>
      </c>
      <c r="F36" s="3"/>
      <c r="G36" s="28"/>
      <c r="H36" s="10"/>
      <c r="I36" s="10">
        <f t="shared" si="8"/>
        <v>2226</v>
      </c>
      <c r="J36" s="10">
        <f t="shared" si="6"/>
        <v>119276360675.54266</v>
      </c>
      <c r="K36" s="11">
        <f t="shared" si="7"/>
        <v>2.9400000000000093E-2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52052915.041509479</v>
      </c>
      <c r="D37" s="11">
        <v>2.87E-2</v>
      </c>
      <c r="E37" s="10">
        <f t="shared" si="2"/>
        <v>1452239.391164884</v>
      </c>
      <c r="F37" s="3"/>
      <c r="G37" s="28"/>
      <c r="H37" s="10"/>
      <c r="I37" s="10">
        <f t="shared" si="8"/>
        <v>2226</v>
      </c>
      <c r="J37" s="10">
        <f t="shared" si="6"/>
        <v>115869788882.4001</v>
      </c>
      <c r="K37" s="11">
        <f t="shared" si="7"/>
        <v>2.8699999999999948E-2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50600675.650344595</v>
      </c>
      <c r="D38" s="11">
        <v>2.81E-2</v>
      </c>
      <c r="E38" s="10">
        <f t="shared" si="2"/>
        <v>1383016.2297195643</v>
      </c>
      <c r="F38" s="3"/>
      <c r="G38" s="28"/>
      <c r="H38" s="10"/>
      <c r="I38" s="10">
        <f t="shared" si="8"/>
        <v>2226</v>
      </c>
      <c r="J38" s="10">
        <f t="shared" si="6"/>
        <v>112637103997.66707</v>
      </c>
      <c r="K38" s="11">
        <f t="shared" si="7"/>
        <v>2.8100000000000014E-2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49217659.420625031</v>
      </c>
      <c r="D39" s="11">
        <v>2.76E-2</v>
      </c>
      <c r="E39" s="10">
        <f t="shared" si="2"/>
        <v>1321922.3433332592</v>
      </c>
      <c r="F39" s="3"/>
      <c r="G39" s="28"/>
      <c r="H39" s="10"/>
      <c r="I39" s="10">
        <f t="shared" si="8"/>
        <v>2226</v>
      </c>
      <c r="J39" s="10">
        <f t="shared" si="6"/>
        <v>109558509870.31133</v>
      </c>
      <c r="K39" s="11">
        <f t="shared" si="7"/>
        <v>2.7600000000000291E-2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47895737.077291772</v>
      </c>
      <c r="D40" s="11">
        <v>2.7099999999999999E-2</v>
      </c>
      <c r="E40" s="10">
        <f t="shared" si="2"/>
        <v>1263727.4606120139</v>
      </c>
      <c r="F40" s="3"/>
      <c r="G40" s="28"/>
      <c r="H40" s="10"/>
      <c r="I40" s="10">
        <f t="shared" si="8"/>
        <v>2226</v>
      </c>
      <c r="J40" s="10">
        <f t="shared" si="6"/>
        <v>106615910734.05148</v>
      </c>
      <c r="K40" s="11">
        <f t="shared" si="7"/>
        <v>2.7099999999999902E-2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46632009.616679758</v>
      </c>
      <c r="D41" s="11">
        <v>2.6700000000000002E-2</v>
      </c>
      <c r="E41" s="10">
        <f t="shared" si="2"/>
        <v>1212695.6820544899</v>
      </c>
      <c r="F41" s="3"/>
      <c r="G41" s="28"/>
      <c r="H41" s="10"/>
      <c r="I41" s="10">
        <f t="shared" si="8"/>
        <v>2226</v>
      </c>
      <c r="J41" s="10">
        <f t="shared" si="6"/>
        <v>103802853406.72914</v>
      </c>
      <c r="K41" s="11">
        <f t="shared" si="7"/>
        <v>2.6699999999999946E-2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45419313.934625268</v>
      </c>
      <c r="D42" s="11">
        <v>2.64E-2</v>
      </c>
      <c r="E42" s="10">
        <f t="shared" si="2"/>
        <v>1168228.6514751613</v>
      </c>
      <c r="F42" s="3"/>
      <c r="G42" s="28"/>
      <c r="H42" s="10"/>
      <c r="I42" s="10">
        <f t="shared" si="8"/>
        <v>2226</v>
      </c>
      <c r="J42" s="10">
        <f t="shared" si="6"/>
        <v>101103392818.47585</v>
      </c>
      <c r="K42" s="11">
        <f t="shared" si="7"/>
        <v>2.6399999999999979E-2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44251085.283150107</v>
      </c>
      <c r="D43" s="11">
        <v>2.63E-2</v>
      </c>
      <c r="E43" s="10">
        <f t="shared" si="2"/>
        <v>1133979.8723052219</v>
      </c>
      <c r="F43" s="3"/>
      <c r="G43" s="28"/>
      <c r="H43" s="10"/>
      <c r="I43" s="10">
        <f t="shared" si="8"/>
        <v>2226</v>
      </c>
      <c r="J43" s="10">
        <f t="shared" si="6"/>
        <v>98502915840.292145</v>
      </c>
      <c r="K43" s="11">
        <f t="shared" si="7"/>
        <v>2.6300000000000212E-2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43117105.410844885</v>
      </c>
      <c r="D44" s="11">
        <v>2.63E-2</v>
      </c>
      <c r="E44" s="10">
        <f t="shared" si="2"/>
        <v>1104920.4640994072</v>
      </c>
      <c r="F44" s="3"/>
      <c r="G44" s="28"/>
      <c r="H44" s="10"/>
      <c r="I44" s="10">
        <f t="shared" si="8"/>
        <v>2226</v>
      </c>
      <c r="J44" s="10">
        <f t="shared" si="6"/>
        <v>95978676644.54071</v>
      </c>
      <c r="K44" s="11">
        <f t="shared" si="7"/>
        <v>2.629999999999999E-2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42012184.946745478</v>
      </c>
      <c r="D45" s="11">
        <v>2.63E-2</v>
      </c>
      <c r="E45" s="10">
        <f t="shared" si="2"/>
        <v>1076605.7333132699</v>
      </c>
      <c r="F45" s="3"/>
      <c r="G45" s="28"/>
      <c r="H45" s="10"/>
      <c r="I45" s="10">
        <f t="shared" si="8"/>
        <v>2226</v>
      </c>
      <c r="J45" s="10">
        <f t="shared" si="6"/>
        <v>93519123691.455429</v>
      </c>
      <c r="K45" s="11">
        <f t="shared" si="7"/>
        <v>2.629999999999999E-2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40935579.213432208</v>
      </c>
      <c r="D46" s="11">
        <v>2.6200000000000001E-2</v>
      </c>
      <c r="E46" s="10">
        <f t="shared" si="2"/>
        <v>1045129.7752795964</v>
      </c>
      <c r="F46" s="3"/>
      <c r="G46" s="28"/>
      <c r="H46" s="10"/>
      <c r="I46" s="10">
        <f t="shared" si="8"/>
        <v>2226</v>
      </c>
      <c r="J46" s="10">
        <f t="shared" si="6"/>
        <v>91122599329.100098</v>
      </c>
      <c r="K46" s="11">
        <f t="shared" si="7"/>
        <v>2.6200000000000001E-2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39890449.438152611</v>
      </c>
      <c r="D47" s="11">
        <v>2.5899999999999999E-2</v>
      </c>
      <c r="E47" s="10">
        <f t="shared" si="2"/>
        <v>1007079.286917001</v>
      </c>
      <c r="F47" s="3"/>
      <c r="G47" s="28"/>
      <c r="H47" s="10"/>
      <c r="I47" s="10">
        <f t="shared" si="8"/>
        <v>2226</v>
      </c>
      <c r="J47" s="10">
        <f t="shared" si="6"/>
        <v>88796140449.327713</v>
      </c>
      <c r="K47" s="11">
        <f t="shared" si="7"/>
        <v>2.5900000000000034E-2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38883370.15123561</v>
      </c>
      <c r="D48" s="11">
        <v>2.53E-2</v>
      </c>
      <c r="E48" s="10">
        <f t="shared" si="2"/>
        <v>959474.55849631131</v>
      </c>
      <c r="F48" s="3"/>
      <c r="G48" s="28"/>
      <c r="H48" s="10"/>
      <c r="I48" s="10">
        <f t="shared" si="8"/>
        <v>2226</v>
      </c>
      <c r="J48" s="10">
        <f t="shared" si="6"/>
        <v>86554381956.650467</v>
      </c>
      <c r="K48" s="11">
        <f t="shared" si="7"/>
        <v>2.53000000000001E-2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37923895.592739299</v>
      </c>
      <c r="D49" s="11">
        <v>2.4500000000000001E-2</v>
      </c>
      <c r="E49" s="10">
        <f t="shared" si="2"/>
        <v>906916.00002158433</v>
      </c>
      <c r="F49" s="3"/>
      <c r="G49" s="28"/>
      <c r="H49" s="10"/>
      <c r="I49" s="10">
        <f t="shared" si="8"/>
        <v>2226</v>
      </c>
      <c r="J49" s="10">
        <f t="shared" si="6"/>
        <v>84418591589.437683</v>
      </c>
      <c r="K49" s="11">
        <f t="shared" si="7"/>
        <v>2.4499999999999966E-2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37016979.592717715</v>
      </c>
      <c r="D50" s="11">
        <v>2.3400000000000001E-2</v>
      </c>
      <c r="E50" s="10">
        <f t="shared" si="2"/>
        <v>846391.75539339334</v>
      </c>
      <c r="F50" s="3"/>
      <c r="G50" s="28"/>
      <c r="H50" s="10"/>
      <c r="I50" s="10">
        <f t="shared" si="8"/>
        <v>2226</v>
      </c>
      <c r="J50" s="10">
        <f t="shared" si="6"/>
        <v>82399796573.389633</v>
      </c>
      <c r="K50" s="11">
        <f t="shared" si="7"/>
        <v>2.3400000000000087E-2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36170587.837324321</v>
      </c>
      <c r="D51" s="11">
        <v>2.2200000000000001E-2</v>
      </c>
      <c r="E51" s="10">
        <f t="shared" si="2"/>
        <v>785547.88689943403</v>
      </c>
      <c r="F51" s="3"/>
      <c r="G51" s="28"/>
      <c r="H51" s="10"/>
      <c r="I51" s="10">
        <f t="shared" si="8"/>
        <v>2226</v>
      </c>
      <c r="J51" s="10">
        <f t="shared" si="6"/>
        <v>80515728525.883942</v>
      </c>
      <c r="K51" s="11">
        <f t="shared" si="7"/>
        <v>2.2199999999999998E-2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35385039.950424887</v>
      </c>
      <c r="D52" s="11">
        <v>2.12E-2</v>
      </c>
      <c r="E52" s="10">
        <f t="shared" si="2"/>
        <v>734589.54852037877</v>
      </c>
      <c r="F52" s="3"/>
      <c r="G52" s="28"/>
      <c r="H52" s="10"/>
      <c r="I52" s="10">
        <f t="shared" si="8"/>
        <v>2226</v>
      </c>
      <c r="J52" s="10">
        <f t="shared" si="6"/>
        <v>78767098929.645798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34650450.401904508</v>
      </c>
      <c r="D53" s="11">
        <v>2.0500000000000001E-2</v>
      </c>
      <c r="E53" s="10">
        <f t="shared" si="2"/>
        <v>696064.90273301303</v>
      </c>
      <c r="F53" s="3"/>
      <c r="G53" s="28"/>
      <c r="H53" s="10"/>
      <c r="I53" s="10">
        <f t="shared" si="8"/>
        <v>2226</v>
      </c>
      <c r="J53" s="10">
        <f t="shared" si="6"/>
        <v>77131902594.639435</v>
      </c>
      <c r="K53" s="11">
        <f t="shared" si="7"/>
        <v>2.0499999999999963E-2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33954385.499171495</v>
      </c>
      <c r="D54" s="11">
        <v>2.01E-2</v>
      </c>
      <c r="E54" s="10">
        <f t="shared" si="2"/>
        <v>669035.53429403529</v>
      </c>
      <c r="F54" s="3"/>
      <c r="G54" s="28"/>
      <c r="H54" s="10"/>
      <c r="I54" s="10">
        <f t="shared" si="8"/>
        <v>2226</v>
      </c>
      <c r="J54" s="10">
        <f t="shared" si="6"/>
        <v>75582462121.155746</v>
      </c>
      <c r="K54" s="11">
        <f t="shared" si="7"/>
        <v>2.0099999999999785E-2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33285349.96487746</v>
      </c>
      <c r="D55" s="11">
        <v>1.9699999999999999E-2</v>
      </c>
      <c r="E55" s="10">
        <f t="shared" si="2"/>
        <v>643053.2453742139</v>
      </c>
      <c r="F55" s="3"/>
      <c r="G55" s="28"/>
      <c r="H55" s="10"/>
      <c r="I55" s="10">
        <f t="shared" si="8"/>
        <v>2226</v>
      </c>
      <c r="J55" s="10">
        <f t="shared" si="6"/>
        <v>74093189021.81723</v>
      </c>
      <c r="K55" s="11">
        <f t="shared" si="7"/>
        <v>1.9700000000000051E-2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32642296.719503246</v>
      </c>
      <c r="D56" s="11">
        <v>1.9199999999999998E-2</v>
      </c>
      <c r="E56" s="10">
        <f t="shared" si="2"/>
        <v>614925.52689802274</v>
      </c>
      <c r="F56" s="3"/>
      <c r="G56" s="28"/>
      <c r="H56" s="10"/>
      <c r="I56" s="10">
        <f t="shared" si="8"/>
        <v>2226</v>
      </c>
      <c r="J56" s="10">
        <f t="shared" si="6"/>
        <v>72661752497.614227</v>
      </c>
      <c r="K56" s="11">
        <f t="shared" si="7"/>
        <v>1.9200000000000106E-2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32027371.192605224</v>
      </c>
      <c r="D57" s="11">
        <v>1.8499999999999999E-2</v>
      </c>
      <c r="E57" s="10">
        <f t="shared" si="2"/>
        <v>581744.10119115934</v>
      </c>
      <c r="F57" s="3"/>
      <c r="G57" s="28"/>
      <c r="H57" s="10"/>
      <c r="I57" s="10">
        <f t="shared" si="8"/>
        <v>2226</v>
      </c>
      <c r="J57" s="10">
        <f t="shared" si="6"/>
        <v>71292928274.739227</v>
      </c>
      <c r="K57" s="11">
        <f t="shared" si="7"/>
        <v>1.8499999999999961E-2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31445627.091414064</v>
      </c>
      <c r="D58" s="11">
        <v>1.7600000000000001E-2</v>
      </c>
      <c r="E58" s="10">
        <f t="shared" si="2"/>
        <v>543870.90881376714</v>
      </c>
      <c r="F58" s="3"/>
      <c r="G58" s="28"/>
      <c r="H58" s="10"/>
      <c r="I58" s="10">
        <f t="shared" si="8"/>
        <v>2226</v>
      </c>
      <c r="J58" s="10">
        <f t="shared" si="6"/>
        <v>69997965905.487701</v>
      </c>
      <c r="K58" s="11">
        <f t="shared" si="7"/>
        <v>1.760000000000006E-2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30901756.182600297</v>
      </c>
      <c r="D59" s="11">
        <v>1.67E-2</v>
      </c>
      <c r="E59" s="10">
        <f t="shared" si="2"/>
        <v>507582.69720607996</v>
      </c>
      <c r="F59" s="3"/>
      <c r="G59" s="28"/>
      <c r="H59" s="10"/>
      <c r="I59" s="10">
        <f t="shared" si="8"/>
        <v>2226</v>
      </c>
      <c r="J59" s="10">
        <f t="shared" si="6"/>
        <v>68787309262.468262</v>
      </c>
      <c r="K59" s="11">
        <f t="shared" si="7"/>
        <v>1.6699999999999937E-2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30394173.485394217</v>
      </c>
      <c r="D60" s="11">
        <v>1.5900000000000001E-2</v>
      </c>
      <c r="E60" s="10">
        <f t="shared" si="2"/>
        <v>475703.67006375641</v>
      </c>
      <c r="F60" s="3"/>
      <c r="G60" s="28"/>
      <c r="H60" s="10"/>
      <c r="I60" s="10">
        <f t="shared" si="8"/>
        <v>2226</v>
      </c>
      <c r="J60" s="10">
        <f t="shared" si="6"/>
        <v>67657430178.487526</v>
      </c>
      <c r="K60" s="11">
        <f t="shared" si="7"/>
        <v>1.5900000000000025E-2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29918469.815330461</v>
      </c>
      <c r="D61" s="11">
        <v>1.52E-2</v>
      </c>
      <c r="E61" s="10">
        <f t="shared" si="2"/>
        <v>447951.87272756547</v>
      </c>
      <c r="F61" s="3"/>
      <c r="G61" s="28"/>
      <c r="H61" s="10"/>
      <c r="I61" s="10">
        <f t="shared" si="8"/>
        <v>2226</v>
      </c>
      <c r="J61" s="10">
        <f t="shared" si="6"/>
        <v>66598513808.925606</v>
      </c>
      <c r="K61" s="11">
        <f t="shared" si="7"/>
        <v>1.5200000000000102E-2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29470517.942602895</v>
      </c>
      <c r="D62" s="11">
        <v>1.47E-2</v>
      </c>
      <c r="E62" s="10">
        <f t="shared" si="2"/>
        <v>426940.58712551743</v>
      </c>
      <c r="F62" s="3"/>
      <c r="G62" s="28"/>
      <c r="H62" s="10"/>
      <c r="I62" s="10">
        <f t="shared" si="8"/>
        <v>2226</v>
      </c>
      <c r="J62" s="10">
        <f t="shared" si="6"/>
        <v>65601372940.234047</v>
      </c>
      <c r="K62" s="11">
        <f t="shared" si="7"/>
        <v>1.4700000000000157E-2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29043577.355477378</v>
      </c>
      <c r="D63" s="11">
        <v>1.4500000000000001E-2</v>
      </c>
      <c r="E63" s="10">
        <f t="shared" si="2"/>
        <v>415112.73696837947</v>
      </c>
      <c r="F63" s="3"/>
      <c r="G63" s="28"/>
      <c r="H63" s="10"/>
      <c r="I63" s="10">
        <f t="shared" si="8"/>
        <v>2226</v>
      </c>
      <c r="J63" s="10">
        <f t="shared" si="6"/>
        <v>64651003193.292641</v>
      </c>
      <c r="K63" s="11">
        <f t="shared" si="7"/>
        <v>1.4499999999999957E-2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28628464.618508998</v>
      </c>
      <c r="D64" s="11">
        <v>1.46E-2</v>
      </c>
      <c r="E64" s="10">
        <f t="shared" si="2"/>
        <v>411960.9535089992</v>
      </c>
      <c r="F64" s="3"/>
      <c r="G64" s="28"/>
      <c r="H64" s="10"/>
      <c r="I64" s="10">
        <f t="shared" si="8"/>
        <v>2226</v>
      </c>
      <c r="J64" s="10">
        <f t="shared" si="6"/>
        <v>63726962240.801033</v>
      </c>
      <c r="K64" s="11">
        <f t="shared" si="7"/>
        <v>1.4599999999999946E-2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28216503.664999999</v>
      </c>
      <c r="D65" s="11">
        <v>1.4999999999999999E-2</v>
      </c>
      <c r="E65" s="10">
        <f t="shared" si="2"/>
        <v>416992.66499999911</v>
      </c>
      <c r="F65" s="3"/>
      <c r="G65" s="28"/>
      <c r="H65" s="10"/>
      <c r="I65" s="10">
        <f t="shared" si="8"/>
        <v>2226</v>
      </c>
      <c r="J65" s="10">
        <f t="shared" si="6"/>
        <v>62809937158.290001</v>
      </c>
      <c r="K65" s="11">
        <f t="shared" si="7"/>
        <v>1.5000000000000124E-2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27799511</v>
      </c>
      <c r="D66" s="11">
        <v>1.5599999999999999E-2</v>
      </c>
      <c r="E66" s="10">
        <f t="shared" si="2"/>
        <v>427011</v>
      </c>
      <c r="F66" s="24">
        <f>SUM(F2)</f>
        <v>140080976</v>
      </c>
      <c r="G66" s="28"/>
      <c r="H66" s="10"/>
      <c r="I66" s="10">
        <f t="shared" si="8"/>
        <v>2226</v>
      </c>
      <c r="J66" s="10">
        <f t="shared" ref="J66:J67" si="9">IF(I66="","",I66*C66)</f>
        <v>61881711486</v>
      </c>
      <c r="K66" s="11">
        <f t="shared" ref="K66" si="10">IFERROR(J66/J67-1,"")</f>
        <v>1.5600000000000058E-2</v>
      </c>
    </row>
    <row r="67" spans="1:11" ht="22.5" customHeight="1">
      <c r="A67" s="3">
        <f t="shared" si="0"/>
        <v>1950</v>
      </c>
      <c r="B67" s="3">
        <v>1700</v>
      </c>
      <c r="C67" s="10">
        <v>27372500</v>
      </c>
      <c r="D67" s="11">
        <v>1.6199999999999999E-2</v>
      </c>
      <c r="E67" s="3" t="s">
        <v>72</v>
      </c>
      <c r="F67" s="10">
        <f>SUM(C2)</f>
        <v>140078910.17877722</v>
      </c>
      <c r="G67" s="28"/>
      <c r="H67" s="10"/>
      <c r="I67" s="10">
        <f t="shared" ref="I67" si="11">IF(H67&lt;&gt;"",H67,I66/(1+IF(G66="",0,G66)/100))</f>
        <v>2226</v>
      </c>
      <c r="J67" s="10">
        <f t="shared" si="9"/>
        <v>60931185000</v>
      </c>
      <c r="K67" s="11"/>
    </row>
  </sheetData>
  <dataValidations count="1">
    <dataValidation type="custom" allowBlank="1" showDropDown="1" sqref="D2:D67" xr:uid="{00000000-0002-0000-A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18401603.813197922</v>
      </c>
      <c r="D2" s="11">
        <v>5.0000000000000001E-3</v>
      </c>
      <c r="E2" s="10">
        <f t="shared" ref="E2:E66" si="2">SUM(C2-C3)</f>
        <v>91550.267727352679</v>
      </c>
      <c r="F2" s="15">
        <v>18401158</v>
      </c>
      <c r="G2" s="28"/>
      <c r="H2" s="10"/>
      <c r="I2" s="10">
        <f>IF(H2&lt;&gt;"",H2,18492)</f>
        <v>18492</v>
      </c>
      <c r="J2" s="10">
        <f t="shared" ref="J2:J33" si="3">IF(I2="","",I2*C2)</f>
        <v>340282457713.65594</v>
      </c>
      <c r="K2" s="11">
        <f t="shared" ref="K2:K33" si="4">IFERROR(J2/J3-1,"")</f>
        <v>4.9999999999998934E-3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18310053.545470569</v>
      </c>
      <c r="D3" s="11">
        <v>5.4000000000000003E-3</v>
      </c>
      <c r="E3" s="10">
        <f t="shared" si="2"/>
        <v>98343.235672909766</v>
      </c>
      <c r="F3" s="3"/>
      <c r="G3" s="28"/>
      <c r="H3" s="10"/>
      <c r="I3" s="10">
        <f t="shared" ref="I3:I34" si="5">IF(H3&lt;&gt;"",H3,I2/(1+IF(G2="",0,G2)/100))</f>
        <v>18492</v>
      </c>
      <c r="J3" s="10">
        <f t="shared" si="3"/>
        <v>338589510162.8418</v>
      </c>
      <c r="K3" s="11">
        <f t="shared" si="4"/>
        <v>5.4000000000002935E-3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18211710.30979766</v>
      </c>
      <c r="D4" s="11">
        <v>5.8999999999999999E-3</v>
      </c>
      <c r="E4" s="10">
        <f t="shared" si="2"/>
        <v>106818.85955642536</v>
      </c>
      <c r="F4" s="3"/>
      <c r="G4" s="28"/>
      <c r="H4" s="10"/>
      <c r="I4" s="10">
        <f t="shared" si="5"/>
        <v>18492</v>
      </c>
      <c r="J4" s="10">
        <f t="shared" si="3"/>
        <v>336770947048.77832</v>
      </c>
      <c r="K4" s="11">
        <f t="shared" si="4"/>
        <v>5.9000000000000163E-3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18104891.450241234</v>
      </c>
      <c r="D5" s="11">
        <v>5.3E-3</v>
      </c>
      <c r="E5" s="10">
        <f t="shared" si="2"/>
        <v>95450.039477050304</v>
      </c>
      <c r="F5" s="3"/>
      <c r="G5" s="28"/>
      <c r="H5" s="10"/>
      <c r="I5" s="10">
        <f t="shared" si="5"/>
        <v>18492</v>
      </c>
      <c r="J5" s="10">
        <f t="shared" si="3"/>
        <v>334795652697.8609</v>
      </c>
      <c r="K5" s="11">
        <f t="shared" si="4"/>
        <v>5.3000000000000824E-3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18009441.410764184</v>
      </c>
      <c r="D6" s="11">
        <v>6.3E-3</v>
      </c>
      <c r="E6" s="10">
        <f t="shared" si="2"/>
        <v>112749.16117242724</v>
      </c>
      <c r="F6" s="3"/>
      <c r="G6" s="28"/>
      <c r="H6" s="10"/>
      <c r="I6" s="10">
        <f t="shared" si="5"/>
        <v>18492</v>
      </c>
      <c r="J6" s="10">
        <f t="shared" si="3"/>
        <v>333030590567.85126</v>
      </c>
      <c r="K6" s="11">
        <f t="shared" si="4"/>
        <v>6.2999999999999723E-3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17896692.249591757</v>
      </c>
      <c r="D7" s="11">
        <v>5.7000000000000002E-3</v>
      </c>
      <c r="E7" s="10">
        <f t="shared" si="2"/>
        <v>101432.97784893587</v>
      </c>
      <c r="F7" s="3"/>
      <c r="G7" s="28"/>
      <c r="H7" s="10"/>
      <c r="I7" s="10">
        <f t="shared" si="5"/>
        <v>18492</v>
      </c>
      <c r="J7" s="10">
        <f t="shared" si="3"/>
        <v>330945633079.45074</v>
      </c>
      <c r="K7" s="11">
        <f t="shared" si="4"/>
        <v>5.7000000000000384E-3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17795259.271742821</v>
      </c>
      <c r="D8" s="11">
        <v>4.7999999999999996E-3</v>
      </c>
      <c r="E8" s="10">
        <f t="shared" si="2"/>
        <v>85009.200342718512</v>
      </c>
      <c r="F8" s="3"/>
      <c r="G8" s="28"/>
      <c r="H8" s="10"/>
      <c r="I8" s="10">
        <f t="shared" si="5"/>
        <v>18492</v>
      </c>
      <c r="J8" s="10">
        <f t="shared" si="3"/>
        <v>329069934453.06824</v>
      </c>
      <c r="K8" s="11">
        <f t="shared" si="4"/>
        <v>4.7999999999999154E-3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17710250.071400102</v>
      </c>
      <c r="D9" s="11">
        <v>4.0000000000000001E-3</v>
      </c>
      <c r="E9" s="10">
        <f t="shared" si="2"/>
        <v>70558.765224702656</v>
      </c>
      <c r="F9" s="3"/>
      <c r="G9" s="28"/>
      <c r="H9" s="10"/>
      <c r="I9" s="10">
        <f t="shared" si="5"/>
        <v>18492</v>
      </c>
      <c r="J9" s="10">
        <f t="shared" si="3"/>
        <v>327497944320.33069</v>
      </c>
      <c r="K9" s="11">
        <f t="shared" si="4"/>
        <v>4.0000000000000036E-3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17639691.3061754</v>
      </c>
      <c r="D10" s="11">
        <v>1.1999999999999999E-3</v>
      </c>
      <c r="E10" s="10">
        <f t="shared" si="2"/>
        <v>21142.258856784552</v>
      </c>
      <c r="F10" s="3"/>
      <c r="G10" s="28"/>
      <c r="H10" s="10"/>
      <c r="I10" s="10">
        <f t="shared" si="5"/>
        <v>18492</v>
      </c>
      <c r="J10" s="10">
        <f t="shared" si="3"/>
        <v>326193171633.79547</v>
      </c>
      <c r="K10" s="11">
        <f t="shared" si="4"/>
        <v>1.2000000000000899E-3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17618549.047318615</v>
      </c>
      <c r="D11" s="11">
        <v>-1E-3</v>
      </c>
      <c r="E11" s="10">
        <f t="shared" si="2"/>
        <v>-17636.185232549906</v>
      </c>
      <c r="F11" s="3"/>
      <c r="G11" s="28"/>
      <c r="H11" s="10"/>
      <c r="I11" s="10">
        <f t="shared" si="5"/>
        <v>18492</v>
      </c>
      <c r="J11" s="10">
        <f t="shared" si="3"/>
        <v>325802208983.01581</v>
      </c>
      <c r="K11" s="11">
        <f t="shared" si="4"/>
        <v>-9.9999999999988987E-4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17636185.232551165</v>
      </c>
      <c r="D12" s="11">
        <v>-2.0999999999999999E-3</v>
      </c>
      <c r="E12" s="10">
        <f t="shared" si="2"/>
        <v>-37113.928237657994</v>
      </c>
      <c r="F12" s="3"/>
      <c r="G12" s="28"/>
      <c r="H12" s="10"/>
      <c r="I12" s="10">
        <f t="shared" si="5"/>
        <v>18492</v>
      </c>
      <c r="J12" s="10">
        <f t="shared" si="3"/>
        <v>326128337320.33612</v>
      </c>
      <c r="K12" s="11">
        <f t="shared" si="4"/>
        <v>-2.1000000000001018E-3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17673299.160788823</v>
      </c>
      <c r="D13" s="11">
        <v>-3.8E-3</v>
      </c>
      <c r="E13" s="10">
        <f t="shared" si="2"/>
        <v>-67414.712719332427</v>
      </c>
      <c r="F13" s="3"/>
      <c r="G13" s="28"/>
      <c r="H13" s="10"/>
      <c r="I13" s="10">
        <f t="shared" si="5"/>
        <v>18492</v>
      </c>
      <c r="J13" s="10">
        <f t="shared" si="3"/>
        <v>326814648081.30688</v>
      </c>
      <c r="K13" s="11">
        <f t="shared" si="4"/>
        <v>-3.8000000000001366E-3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17740713.873508155</v>
      </c>
      <c r="D14" s="11">
        <v>-5.8999999999999999E-3</v>
      </c>
      <c r="E14" s="10">
        <f t="shared" si="2"/>
        <v>-105291.43129836023</v>
      </c>
      <c r="F14" s="3"/>
      <c r="G14" s="28"/>
      <c r="H14" s="10"/>
      <c r="I14" s="10">
        <f t="shared" si="5"/>
        <v>18492</v>
      </c>
      <c r="J14" s="10">
        <f t="shared" si="3"/>
        <v>328061280948.91278</v>
      </c>
      <c r="K14" s="11">
        <f t="shared" si="4"/>
        <v>-5.9000000000001274E-3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17846005.304806516</v>
      </c>
      <c r="D15" s="11">
        <v>-8.3999999999999995E-3</v>
      </c>
      <c r="E15" s="10">
        <f t="shared" si="2"/>
        <v>-151176.32569622248</v>
      </c>
      <c r="F15" s="3"/>
      <c r="G15" s="28"/>
      <c r="H15" s="10"/>
      <c r="I15" s="10">
        <f t="shared" si="5"/>
        <v>18492</v>
      </c>
      <c r="J15" s="10">
        <f t="shared" si="3"/>
        <v>330008330096.48206</v>
      </c>
      <c r="K15" s="11">
        <f t="shared" si="4"/>
        <v>-8.4000000000000741E-3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17997181.630502738</v>
      </c>
      <c r="D16" s="11">
        <v>-1.0200000000000001E-2</v>
      </c>
      <c r="E16" s="10">
        <f t="shared" si="2"/>
        <v>-185462.97497588024</v>
      </c>
      <c r="F16" s="3"/>
      <c r="G16" s="28"/>
      <c r="H16" s="10"/>
      <c r="I16" s="10">
        <f t="shared" si="5"/>
        <v>18492</v>
      </c>
      <c r="J16" s="10">
        <f t="shared" si="3"/>
        <v>332803882711.25665</v>
      </c>
      <c r="K16" s="11">
        <f t="shared" si="4"/>
        <v>-1.0199999999999876E-2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18182644.605478618</v>
      </c>
      <c r="D17" s="11">
        <v>-9.7999999999999997E-3</v>
      </c>
      <c r="E17" s="10">
        <f t="shared" si="2"/>
        <v>-179953.46105200052</v>
      </c>
      <c r="F17" s="3"/>
      <c r="G17" s="28"/>
      <c r="H17" s="10"/>
      <c r="I17" s="10">
        <f t="shared" si="5"/>
        <v>18492</v>
      </c>
      <c r="J17" s="10">
        <f t="shared" si="3"/>
        <v>336233464044.51062</v>
      </c>
      <c r="K17" s="11">
        <f t="shared" si="4"/>
        <v>-9.7999999999999199E-3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18362598.066530619</v>
      </c>
      <c r="D18" s="11">
        <v>-1.0699999999999999E-2</v>
      </c>
      <c r="E18" s="10">
        <f t="shared" si="2"/>
        <v>-198604.87143624574</v>
      </c>
      <c r="F18" s="3"/>
      <c r="G18" s="28"/>
      <c r="H18" s="10"/>
      <c r="I18" s="10">
        <f t="shared" si="5"/>
        <v>18492</v>
      </c>
      <c r="J18" s="10">
        <f t="shared" si="3"/>
        <v>339561163446.28418</v>
      </c>
      <c r="K18" s="11">
        <f t="shared" si="4"/>
        <v>-1.0700000000000043E-2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18561202.937966865</v>
      </c>
      <c r="D19" s="11">
        <v>-1.21E-2</v>
      </c>
      <c r="E19" s="10">
        <f t="shared" si="2"/>
        <v>-227341.38632391766</v>
      </c>
      <c r="F19" s="3"/>
      <c r="G19" s="28"/>
      <c r="H19" s="10"/>
      <c r="I19" s="10">
        <f t="shared" si="5"/>
        <v>18492</v>
      </c>
      <c r="J19" s="10">
        <f t="shared" si="3"/>
        <v>343233764728.88324</v>
      </c>
      <c r="K19" s="11">
        <f t="shared" si="4"/>
        <v>-1.21E-2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18788544.324290782</v>
      </c>
      <c r="D20" s="11">
        <v>-1.2999999999999999E-2</v>
      </c>
      <c r="E20" s="10">
        <f t="shared" si="2"/>
        <v>-247468.16232601926</v>
      </c>
      <c r="F20" s="3"/>
      <c r="G20" s="28"/>
      <c r="H20" s="10"/>
      <c r="I20" s="10">
        <f t="shared" si="5"/>
        <v>18492</v>
      </c>
      <c r="J20" s="10">
        <f t="shared" si="3"/>
        <v>347437761644.78516</v>
      </c>
      <c r="K20" s="11">
        <f t="shared" si="4"/>
        <v>-1.3000000000000012E-2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19036012.486616801</v>
      </c>
      <c r="D21" s="11">
        <v>-1.4500000000000001E-2</v>
      </c>
      <c r="E21" s="10">
        <f t="shared" si="2"/>
        <v>-280083.39021404833</v>
      </c>
      <c r="F21" s="3"/>
      <c r="G21" s="28"/>
      <c r="H21" s="10"/>
      <c r="I21" s="10">
        <f t="shared" si="5"/>
        <v>18492</v>
      </c>
      <c r="J21" s="10">
        <f t="shared" si="3"/>
        <v>352013942902.51788</v>
      </c>
      <c r="K21" s="11">
        <f t="shared" si="4"/>
        <v>-1.4500000000000068E-2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19316095.87683085</v>
      </c>
      <c r="D22" s="11">
        <v>-1.26E-2</v>
      </c>
      <c r="E22" s="10">
        <f t="shared" si="2"/>
        <v>-246488.56395388767</v>
      </c>
      <c r="F22" s="3"/>
      <c r="G22" s="28"/>
      <c r="H22" s="10"/>
      <c r="I22" s="10">
        <f t="shared" si="5"/>
        <v>18492</v>
      </c>
      <c r="J22" s="10">
        <f t="shared" si="3"/>
        <v>357193244954.35608</v>
      </c>
      <c r="K22" s="11">
        <f t="shared" si="4"/>
        <v>-1.2600000000000056E-2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19562584.440784737</v>
      </c>
      <c r="D23" s="11">
        <v>-1.0699999999999999E-2</v>
      </c>
      <c r="E23" s="10">
        <f t="shared" si="2"/>
        <v>-211583.59801515937</v>
      </c>
      <c r="F23" s="3"/>
      <c r="G23" s="28"/>
      <c r="H23" s="10"/>
      <c r="I23" s="10">
        <f t="shared" si="5"/>
        <v>18492</v>
      </c>
      <c r="J23" s="10">
        <f t="shared" si="3"/>
        <v>361751311478.99139</v>
      </c>
      <c r="K23" s="11">
        <f t="shared" si="4"/>
        <v>-1.0699999999999932E-2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19774168.038799897</v>
      </c>
      <c r="D24" s="11">
        <v>-2.8E-3</v>
      </c>
      <c r="E24" s="10">
        <f t="shared" si="2"/>
        <v>-55523.135287445039</v>
      </c>
      <c r="F24" s="3"/>
      <c r="G24" s="28"/>
      <c r="H24" s="10"/>
      <c r="I24" s="10">
        <f t="shared" si="5"/>
        <v>18492</v>
      </c>
      <c r="J24" s="10">
        <f t="shared" si="3"/>
        <v>365663915373.48767</v>
      </c>
      <c r="K24" s="11">
        <f t="shared" si="4"/>
        <v>-2.8000000000001357E-3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19829691.174087342</v>
      </c>
      <c r="D25" s="11">
        <v>-2.9999999999999997E-4</v>
      </c>
      <c r="E25" s="10">
        <f t="shared" si="2"/>
        <v>-5950.6925599947572</v>
      </c>
      <c r="F25" s="3"/>
      <c r="G25" s="28"/>
      <c r="H25" s="10"/>
      <c r="I25" s="10">
        <f t="shared" si="5"/>
        <v>18492</v>
      </c>
      <c r="J25" s="10">
        <f t="shared" si="3"/>
        <v>366690649191.22314</v>
      </c>
      <c r="K25" s="11">
        <f t="shared" si="4"/>
        <v>-2.9999999999996696E-4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19835641.866647337</v>
      </c>
      <c r="D26" s="11">
        <v>2E-3</v>
      </c>
      <c r="E26" s="10">
        <f t="shared" si="2"/>
        <v>39592.099534224719</v>
      </c>
      <c r="F26" s="3"/>
      <c r="G26" s="28"/>
      <c r="H26" s="10"/>
      <c r="I26" s="10">
        <f t="shared" si="5"/>
        <v>18492</v>
      </c>
      <c r="J26" s="10">
        <f t="shared" si="3"/>
        <v>366800689398.04254</v>
      </c>
      <c r="K26" s="11">
        <f t="shared" si="4"/>
        <v>1.9999999999997797E-3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19796049.767113112</v>
      </c>
      <c r="D27" s="11">
        <v>3.3E-3</v>
      </c>
      <c r="E27" s="10">
        <f t="shared" si="2"/>
        <v>65112.09432021901</v>
      </c>
      <c r="F27" s="3"/>
      <c r="G27" s="28"/>
      <c r="H27" s="10"/>
      <c r="I27" s="10">
        <f t="shared" si="5"/>
        <v>18492</v>
      </c>
      <c r="J27" s="10">
        <f t="shared" si="3"/>
        <v>366068552293.45569</v>
      </c>
      <c r="K27" s="11">
        <f t="shared" si="4"/>
        <v>3.3000000000000806E-3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19730937.672792893</v>
      </c>
      <c r="D28" s="11">
        <v>4.1000000000000003E-3</v>
      </c>
      <c r="E28" s="10">
        <f t="shared" si="2"/>
        <v>80566.52171939984</v>
      </c>
      <c r="F28" s="3"/>
      <c r="G28" s="28"/>
      <c r="H28" s="10"/>
      <c r="I28" s="10">
        <f t="shared" si="5"/>
        <v>18492</v>
      </c>
      <c r="J28" s="10">
        <f t="shared" si="3"/>
        <v>364864499445.28619</v>
      </c>
      <c r="K28" s="11">
        <f t="shared" si="4"/>
        <v>4.0999999999999925E-3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19650371.151073493</v>
      </c>
      <c r="D29" s="11">
        <v>4.4000000000000003E-3</v>
      </c>
      <c r="E29" s="10">
        <f t="shared" si="2"/>
        <v>86082.868443571031</v>
      </c>
      <c r="F29" s="3"/>
      <c r="G29" s="28"/>
      <c r="H29" s="10"/>
      <c r="I29" s="10">
        <f t="shared" si="5"/>
        <v>18492</v>
      </c>
      <c r="J29" s="10">
        <f t="shared" si="3"/>
        <v>363374663325.65106</v>
      </c>
      <c r="K29" s="11">
        <f t="shared" si="4"/>
        <v>4.3999999999999595E-3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19564288.282629922</v>
      </c>
      <c r="D30" s="11">
        <v>5.7000000000000002E-3</v>
      </c>
      <c r="E30" s="10">
        <f t="shared" si="2"/>
        <v>110884.40211891383</v>
      </c>
      <c r="F30" s="3"/>
      <c r="G30" s="28"/>
      <c r="H30" s="10"/>
      <c r="I30" s="10">
        <f t="shared" si="5"/>
        <v>18492</v>
      </c>
      <c r="J30" s="10">
        <f t="shared" si="3"/>
        <v>361782818922.39252</v>
      </c>
      <c r="K30" s="11">
        <f t="shared" si="4"/>
        <v>5.7000000000000384E-3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19453403.880511008</v>
      </c>
      <c r="D31" s="11">
        <v>6.8999999999999999E-3</v>
      </c>
      <c r="E31" s="10">
        <f t="shared" si="2"/>
        <v>133308.65704193339</v>
      </c>
      <c r="F31" s="3"/>
      <c r="G31" s="28"/>
      <c r="H31" s="10"/>
      <c r="I31" s="10">
        <f t="shared" si="5"/>
        <v>18492</v>
      </c>
      <c r="J31" s="10">
        <f t="shared" si="3"/>
        <v>359732344558.40955</v>
      </c>
      <c r="K31" s="11">
        <f t="shared" si="4"/>
        <v>6.8999999999996842E-3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19320095.223469075</v>
      </c>
      <c r="D32" s="11">
        <v>7.7999999999999996E-3</v>
      </c>
      <c r="E32" s="10">
        <f t="shared" si="2"/>
        <v>149530.40557953715</v>
      </c>
      <c r="F32" s="3"/>
      <c r="G32" s="28"/>
      <c r="H32" s="10"/>
      <c r="I32" s="10">
        <f t="shared" si="5"/>
        <v>18492</v>
      </c>
      <c r="J32" s="10">
        <f t="shared" si="3"/>
        <v>357267200872.39014</v>
      </c>
      <c r="K32" s="11">
        <f t="shared" si="4"/>
        <v>7.8000000000000291E-3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19170564.817889538</v>
      </c>
      <c r="D33" s="11">
        <v>8.3999999999999995E-3</v>
      </c>
      <c r="E33" s="10">
        <f t="shared" si="2"/>
        <v>159691.3372374773</v>
      </c>
      <c r="F33" s="3"/>
      <c r="G33" s="28"/>
      <c r="H33" s="10"/>
      <c r="I33" s="10">
        <f t="shared" si="5"/>
        <v>18492</v>
      </c>
      <c r="J33" s="10">
        <f t="shared" si="3"/>
        <v>354502084612.41333</v>
      </c>
      <c r="K33" s="11">
        <f t="shared" si="4"/>
        <v>8.3999999999999631E-3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19010873.48065206</v>
      </c>
      <c r="D34" s="11">
        <v>8.9999999999999993E-3</v>
      </c>
      <c r="E34" s="10">
        <f t="shared" si="2"/>
        <v>169571.71588291973</v>
      </c>
      <c r="F34" s="3"/>
      <c r="G34" s="28"/>
      <c r="H34" s="10"/>
      <c r="I34" s="10">
        <f t="shared" si="5"/>
        <v>18492</v>
      </c>
      <c r="J34" s="10">
        <f t="shared" ref="J34:J65" si="6">IF(I34="","",I34*C34)</f>
        <v>351549072404.2179</v>
      </c>
      <c r="K34" s="11">
        <f t="shared" ref="K34:K65" si="7">IFERROR(J34/J35-1,"")</f>
        <v>8.999999999999897E-3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18841301.764769141</v>
      </c>
      <c r="D35" s="11">
        <v>9.4000000000000004E-3</v>
      </c>
      <c r="E35" s="10">
        <f t="shared" si="2"/>
        <v>175458.92271530628</v>
      </c>
      <c r="F35" s="3"/>
      <c r="G35" s="28"/>
      <c r="H35" s="10"/>
      <c r="I35" s="10">
        <f t="shared" ref="I35:I66" si="8">IF(H35&lt;&gt;"",H35,I34/(1+IF(G34="",0,G34)/100))</f>
        <v>18492</v>
      </c>
      <c r="J35" s="10">
        <f t="shared" si="6"/>
        <v>348413352234.11096</v>
      </c>
      <c r="K35" s="11">
        <f t="shared" si="7"/>
        <v>9.400000000000075E-3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18665842.842053834</v>
      </c>
      <c r="D36" s="11">
        <v>9.4999999999999998E-3</v>
      </c>
      <c r="E36" s="10">
        <f t="shared" si="2"/>
        <v>175656.76770630106</v>
      </c>
      <c r="F36" s="3"/>
      <c r="G36" s="28"/>
      <c r="H36" s="10"/>
      <c r="I36" s="10">
        <f t="shared" si="8"/>
        <v>18492</v>
      </c>
      <c r="J36" s="10">
        <f t="shared" si="6"/>
        <v>345168765835.25952</v>
      </c>
      <c r="K36" s="11">
        <f t="shared" si="7"/>
        <v>9.5000000000000639E-3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18490186.074347533</v>
      </c>
      <c r="D37" s="11">
        <v>9.7000000000000003E-3</v>
      </c>
      <c r="E37" s="10">
        <f t="shared" si="2"/>
        <v>177631.77668730542</v>
      </c>
      <c r="F37" s="3"/>
      <c r="G37" s="28"/>
      <c r="H37" s="10"/>
      <c r="I37" s="10">
        <f t="shared" si="8"/>
        <v>18492</v>
      </c>
      <c r="J37" s="10">
        <f t="shared" si="6"/>
        <v>341920520886.83459</v>
      </c>
      <c r="K37" s="11">
        <f t="shared" si="7"/>
        <v>9.7000000000000419E-3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18312554.297660228</v>
      </c>
      <c r="D38" s="11">
        <v>1.03E-2</v>
      </c>
      <c r="E38" s="10">
        <f t="shared" si="2"/>
        <v>186696.33699485287</v>
      </c>
      <c r="F38" s="3"/>
      <c r="G38" s="28"/>
      <c r="H38" s="10"/>
      <c r="I38" s="10">
        <f t="shared" si="8"/>
        <v>18492</v>
      </c>
      <c r="J38" s="10">
        <f t="shared" si="6"/>
        <v>338635754072.33295</v>
      </c>
      <c r="K38" s="11">
        <f t="shared" si="7"/>
        <v>1.0300000000000198E-2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18125857.960665375</v>
      </c>
      <c r="D39" s="11">
        <v>1.11E-2</v>
      </c>
      <c r="E39" s="10">
        <f t="shared" si="2"/>
        <v>198988.2537467964</v>
      </c>
      <c r="F39" s="3"/>
      <c r="G39" s="28"/>
      <c r="H39" s="10"/>
      <c r="I39" s="10">
        <f t="shared" si="8"/>
        <v>18492</v>
      </c>
      <c r="J39" s="10">
        <f t="shared" si="6"/>
        <v>335183365408.62408</v>
      </c>
      <c r="K39" s="11">
        <f t="shared" si="7"/>
        <v>1.1099999999999888E-2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17926869.706918579</v>
      </c>
      <c r="D40" s="11">
        <v>1.15E-2</v>
      </c>
      <c r="E40" s="10">
        <f t="shared" si="2"/>
        <v>203815.12766145915</v>
      </c>
      <c r="F40" s="3"/>
      <c r="G40" s="28"/>
      <c r="H40" s="10"/>
      <c r="I40" s="10">
        <f t="shared" si="8"/>
        <v>18492</v>
      </c>
      <c r="J40" s="10">
        <f t="shared" si="6"/>
        <v>331503674620.33838</v>
      </c>
      <c r="K40" s="11">
        <f t="shared" si="7"/>
        <v>1.1500000000000066E-2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17723054.579257119</v>
      </c>
      <c r="D41" s="11">
        <v>1.1299999999999999E-2</v>
      </c>
      <c r="E41" s="10">
        <f t="shared" si="2"/>
        <v>198032.74670780823</v>
      </c>
      <c r="F41" s="3"/>
      <c r="G41" s="28"/>
      <c r="H41" s="10"/>
      <c r="I41" s="10">
        <f t="shared" si="8"/>
        <v>18492</v>
      </c>
      <c r="J41" s="10">
        <f t="shared" si="6"/>
        <v>327734725279.62268</v>
      </c>
      <c r="K41" s="11">
        <f t="shared" si="7"/>
        <v>1.1300000000000088E-2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17525021.832549311</v>
      </c>
      <c r="D42" s="11">
        <v>1.0200000000000001E-2</v>
      </c>
      <c r="E42" s="10">
        <f t="shared" si="2"/>
        <v>176950.3293328099</v>
      </c>
      <c r="F42" s="3"/>
      <c r="G42" s="28"/>
      <c r="H42" s="10"/>
      <c r="I42" s="10">
        <f t="shared" si="8"/>
        <v>18492</v>
      </c>
      <c r="J42" s="10">
        <f t="shared" si="6"/>
        <v>324072703727.50189</v>
      </c>
      <c r="K42" s="11">
        <f t="shared" si="7"/>
        <v>1.0200000000000209E-2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17348071.503216501</v>
      </c>
      <c r="D43" s="11">
        <v>8.3999999999999995E-3</v>
      </c>
      <c r="E43" s="10">
        <f t="shared" si="2"/>
        <v>144509.91732151806</v>
      </c>
      <c r="F43" s="3"/>
      <c r="G43" s="28"/>
      <c r="H43" s="10"/>
      <c r="I43" s="10">
        <f t="shared" si="8"/>
        <v>18492</v>
      </c>
      <c r="J43" s="10">
        <f t="shared" si="6"/>
        <v>320800538237.47955</v>
      </c>
      <c r="K43" s="11">
        <f t="shared" si="7"/>
        <v>8.3999999999999631E-3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17203561.585894983</v>
      </c>
      <c r="D44" s="11">
        <v>8.6999999999999994E-3</v>
      </c>
      <c r="E44" s="10">
        <f t="shared" si="2"/>
        <v>148380.07910903543</v>
      </c>
      <c r="F44" s="3"/>
      <c r="G44" s="28"/>
      <c r="H44" s="10"/>
      <c r="I44" s="10">
        <f t="shared" si="8"/>
        <v>18492</v>
      </c>
      <c r="J44" s="10">
        <f t="shared" si="6"/>
        <v>318128260846.37006</v>
      </c>
      <c r="K44" s="11">
        <f t="shared" si="7"/>
        <v>8.69999999999993E-3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17055181.506785948</v>
      </c>
      <c r="D45" s="11">
        <v>9.7999999999999997E-3</v>
      </c>
      <c r="E45" s="10">
        <f t="shared" si="2"/>
        <v>165518.69555011019</v>
      </c>
      <c r="F45" s="3"/>
      <c r="G45" s="28"/>
      <c r="H45" s="10"/>
      <c r="I45" s="10">
        <f t="shared" si="8"/>
        <v>18492</v>
      </c>
      <c r="J45" s="10">
        <f t="shared" si="6"/>
        <v>315384416423.48572</v>
      </c>
      <c r="K45" s="11">
        <f t="shared" si="7"/>
        <v>9.7999999999998089E-3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16889662.811235838</v>
      </c>
      <c r="D46" s="11">
        <v>1.09E-2</v>
      </c>
      <c r="E46" s="10">
        <f t="shared" si="2"/>
        <v>182112.30056629516</v>
      </c>
      <c r="F46" s="3"/>
      <c r="G46" s="28"/>
      <c r="H46" s="10"/>
      <c r="I46" s="10">
        <f t="shared" si="8"/>
        <v>18492</v>
      </c>
      <c r="J46" s="10">
        <f t="shared" si="6"/>
        <v>312323644705.37311</v>
      </c>
      <c r="K46" s="11">
        <f t="shared" si="7"/>
        <v>1.0899999999999688E-2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16707550.510669542</v>
      </c>
      <c r="D47" s="11">
        <v>1.14E-2</v>
      </c>
      <c r="E47" s="10">
        <f t="shared" si="2"/>
        <v>188319.23652524687</v>
      </c>
      <c r="F47" s="3"/>
      <c r="G47" s="28"/>
      <c r="H47" s="10"/>
      <c r="I47" s="10">
        <f t="shared" si="8"/>
        <v>18492</v>
      </c>
      <c r="J47" s="10">
        <f t="shared" si="6"/>
        <v>308956024043.30121</v>
      </c>
      <c r="K47" s="11">
        <f t="shared" si="7"/>
        <v>1.1400000000000299E-2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16519231.274144296</v>
      </c>
      <c r="D48" s="11">
        <v>1.23E-2</v>
      </c>
      <c r="E48" s="10">
        <f t="shared" si="2"/>
        <v>200717.71675587632</v>
      </c>
      <c r="F48" s="3"/>
      <c r="G48" s="28"/>
      <c r="H48" s="10"/>
      <c r="I48" s="10">
        <f t="shared" si="8"/>
        <v>18492</v>
      </c>
      <c r="J48" s="10">
        <f t="shared" si="6"/>
        <v>305473624721.47632</v>
      </c>
      <c r="K48" s="11">
        <f t="shared" si="7"/>
        <v>1.2299999999999978E-2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16318513.557388419</v>
      </c>
      <c r="D49" s="11">
        <v>1.34E-2</v>
      </c>
      <c r="E49" s="10">
        <f t="shared" si="2"/>
        <v>215776.67423426732</v>
      </c>
      <c r="F49" s="3"/>
      <c r="G49" s="28"/>
      <c r="H49" s="10"/>
      <c r="I49" s="10">
        <f t="shared" si="8"/>
        <v>18492</v>
      </c>
      <c r="J49" s="10">
        <f t="shared" si="6"/>
        <v>301761952703.22662</v>
      </c>
      <c r="K49" s="11">
        <f t="shared" si="7"/>
        <v>1.3400000000000079E-2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16102736.883154152</v>
      </c>
      <c r="D50" s="11">
        <v>1.47E-2</v>
      </c>
      <c r="E50" s="10">
        <f t="shared" si="2"/>
        <v>233281.00146088935</v>
      </c>
      <c r="F50" s="3"/>
      <c r="G50" s="28"/>
      <c r="H50" s="10"/>
      <c r="I50" s="10">
        <f t="shared" si="8"/>
        <v>18492</v>
      </c>
      <c r="J50" s="10">
        <f t="shared" si="6"/>
        <v>297771810443.28656</v>
      </c>
      <c r="K50" s="11">
        <f t="shared" si="7"/>
        <v>1.4699999999999935E-2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15869455.881693263</v>
      </c>
      <c r="D51" s="11">
        <v>1.61E-2</v>
      </c>
      <c r="E51" s="10">
        <f t="shared" si="2"/>
        <v>251449.89636380412</v>
      </c>
      <c r="F51" s="3"/>
      <c r="G51" s="28"/>
      <c r="H51" s="10"/>
      <c r="I51" s="10">
        <f t="shared" si="8"/>
        <v>18492</v>
      </c>
      <c r="J51" s="10">
        <f t="shared" si="6"/>
        <v>293457978164.27179</v>
      </c>
      <c r="K51" s="11">
        <f t="shared" si="7"/>
        <v>1.6100000000000003E-2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15618005.985329458</v>
      </c>
      <c r="D52" s="11">
        <v>1.7399999999999999E-2</v>
      </c>
      <c r="E52" s="10">
        <f t="shared" si="2"/>
        <v>267105.66556392238</v>
      </c>
      <c r="F52" s="3"/>
      <c r="G52" s="28"/>
      <c r="H52" s="10"/>
      <c r="I52" s="10">
        <f t="shared" si="8"/>
        <v>18492</v>
      </c>
      <c r="J52" s="10">
        <f t="shared" si="6"/>
        <v>288808166680.71234</v>
      </c>
      <c r="K52" s="11">
        <f t="shared" si="7"/>
        <v>1.7400000000000082E-2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15350900.319765536</v>
      </c>
      <c r="D53" s="11">
        <v>1.84E-2</v>
      </c>
      <c r="E53" s="10">
        <f t="shared" si="2"/>
        <v>277353.26579309255</v>
      </c>
      <c r="F53" s="3"/>
      <c r="G53" s="28"/>
      <c r="H53" s="10"/>
      <c r="I53" s="10">
        <f t="shared" si="8"/>
        <v>18492</v>
      </c>
      <c r="J53" s="10">
        <f t="shared" si="6"/>
        <v>283868848713.10431</v>
      </c>
      <c r="K53" s="11">
        <f t="shared" si="7"/>
        <v>1.8400000000000194E-2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15073547.053972444</v>
      </c>
      <c r="D54" s="11">
        <v>1.8100000000000002E-2</v>
      </c>
      <c r="E54" s="10">
        <f t="shared" si="2"/>
        <v>267980.75010008924</v>
      </c>
      <c r="F54" s="3"/>
      <c r="G54" s="28"/>
      <c r="H54" s="10"/>
      <c r="I54" s="10">
        <f t="shared" si="8"/>
        <v>18492</v>
      </c>
      <c r="J54" s="10">
        <f t="shared" si="6"/>
        <v>278740032122.05841</v>
      </c>
      <c r="K54" s="11">
        <f t="shared" si="7"/>
        <v>1.8100000000000005E-2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14805566.303872354</v>
      </c>
      <c r="D55" s="11">
        <v>1.6299999999999999E-2</v>
      </c>
      <c r="E55" s="10">
        <f t="shared" si="2"/>
        <v>237460.13062394783</v>
      </c>
      <c r="F55" s="3"/>
      <c r="G55" s="28"/>
      <c r="H55" s="10"/>
      <c r="I55" s="10">
        <f t="shared" si="8"/>
        <v>18492</v>
      </c>
      <c r="J55" s="10">
        <f t="shared" si="6"/>
        <v>273784532091.20758</v>
      </c>
      <c r="K55" s="11">
        <f t="shared" si="7"/>
        <v>1.6299999999999981E-2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14568106.173248406</v>
      </c>
      <c r="D56" s="11">
        <v>1.3299999999999999E-2</v>
      </c>
      <c r="E56" s="10">
        <f t="shared" si="2"/>
        <v>191212.68341478892</v>
      </c>
      <c r="F56" s="3"/>
      <c r="G56" s="28"/>
      <c r="H56" s="10"/>
      <c r="I56" s="10">
        <f t="shared" si="8"/>
        <v>18492</v>
      </c>
      <c r="J56" s="10">
        <f t="shared" si="6"/>
        <v>269393419355.70953</v>
      </c>
      <c r="K56" s="11">
        <f t="shared" si="7"/>
        <v>1.330000000000009E-2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14376893.489833618</v>
      </c>
      <c r="D57" s="11">
        <v>1.0200000000000001E-2</v>
      </c>
      <c r="E57" s="10">
        <f t="shared" si="2"/>
        <v>145163.64442318678</v>
      </c>
      <c r="F57" s="3"/>
      <c r="G57" s="28"/>
      <c r="H57" s="10"/>
      <c r="I57" s="10">
        <f t="shared" si="8"/>
        <v>18492</v>
      </c>
      <c r="J57" s="10">
        <f t="shared" si="6"/>
        <v>265857514414.00327</v>
      </c>
      <c r="K57" s="11">
        <f t="shared" si="7"/>
        <v>1.0199999999999987E-2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14231729.845410431</v>
      </c>
      <c r="D58" s="11">
        <v>8.5000000000000006E-3</v>
      </c>
      <c r="E58" s="10">
        <f t="shared" si="2"/>
        <v>119950.1276013758</v>
      </c>
      <c r="F58" s="3"/>
      <c r="G58" s="28"/>
      <c r="H58" s="10"/>
      <c r="I58" s="10">
        <f t="shared" si="8"/>
        <v>18492</v>
      </c>
      <c r="J58" s="10">
        <f t="shared" si="6"/>
        <v>263173148301.32968</v>
      </c>
      <c r="K58" s="11">
        <f t="shared" si="7"/>
        <v>8.499999999999952E-3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14111779.717809055</v>
      </c>
      <c r="D59" s="11">
        <v>8.5000000000000006E-3</v>
      </c>
      <c r="E59" s="10">
        <f t="shared" si="2"/>
        <v>118939.14486998133</v>
      </c>
      <c r="F59" s="3"/>
      <c r="G59" s="28"/>
      <c r="H59" s="10"/>
      <c r="I59" s="10">
        <f t="shared" si="8"/>
        <v>18492</v>
      </c>
      <c r="J59" s="10">
        <f t="shared" si="6"/>
        <v>260955030541.72504</v>
      </c>
      <c r="K59" s="11">
        <f t="shared" si="7"/>
        <v>8.499999999999952E-3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13992840.572939074</v>
      </c>
      <c r="D60" s="11">
        <v>9.7000000000000003E-3</v>
      </c>
      <c r="E60" s="10">
        <f t="shared" si="2"/>
        <v>134426.61538824439</v>
      </c>
      <c r="F60" s="3"/>
      <c r="G60" s="28"/>
      <c r="H60" s="10"/>
      <c r="I60" s="10">
        <f t="shared" si="8"/>
        <v>18492</v>
      </c>
      <c r="J60" s="10">
        <f t="shared" si="6"/>
        <v>258755607874.78934</v>
      </c>
      <c r="K60" s="11">
        <f t="shared" si="7"/>
        <v>9.7000000000000419E-3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13858413.957550829</v>
      </c>
      <c r="D61" s="11">
        <v>1.1599999999999999E-2</v>
      </c>
      <c r="E61" s="10">
        <f t="shared" si="2"/>
        <v>158914.19721983932</v>
      </c>
      <c r="F61" s="3"/>
      <c r="G61" s="28"/>
      <c r="H61" s="10"/>
      <c r="I61" s="10">
        <f t="shared" si="8"/>
        <v>18492</v>
      </c>
      <c r="J61" s="10">
        <f t="shared" si="6"/>
        <v>256269790903.02994</v>
      </c>
      <c r="K61" s="11">
        <f t="shared" si="7"/>
        <v>1.1600000000000055E-2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13699499.76033099</v>
      </c>
      <c r="D62" s="11">
        <v>1.35E-2</v>
      </c>
      <c r="E62" s="10">
        <f t="shared" si="2"/>
        <v>182479.76987120882</v>
      </c>
      <c r="F62" s="3"/>
      <c r="G62" s="28"/>
      <c r="H62" s="10"/>
      <c r="I62" s="10">
        <f t="shared" si="8"/>
        <v>18492</v>
      </c>
      <c r="J62" s="10">
        <f t="shared" si="6"/>
        <v>253331149568.04068</v>
      </c>
      <c r="K62" s="11">
        <f t="shared" si="7"/>
        <v>1.3500000000000068E-2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13517019.990459781</v>
      </c>
      <c r="D63" s="11">
        <v>1.47E-2</v>
      </c>
      <c r="E63" s="10">
        <f t="shared" si="2"/>
        <v>195821.61610304378</v>
      </c>
      <c r="F63" s="3"/>
      <c r="G63" s="28"/>
      <c r="H63" s="10"/>
      <c r="I63" s="10">
        <f t="shared" si="8"/>
        <v>18492</v>
      </c>
      <c r="J63" s="10">
        <f t="shared" si="6"/>
        <v>249956733663.58228</v>
      </c>
      <c r="K63" s="11">
        <f t="shared" si="7"/>
        <v>1.4699999999999935E-2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13321198.374356737</v>
      </c>
      <c r="D64" s="11">
        <v>1.52E-2</v>
      </c>
      <c r="E64" s="10">
        <f t="shared" si="2"/>
        <v>199450.56667673774</v>
      </c>
      <c r="F64" s="3"/>
      <c r="G64" s="28"/>
      <c r="H64" s="10"/>
      <c r="I64" s="10">
        <f t="shared" si="8"/>
        <v>18492</v>
      </c>
      <c r="J64" s="10">
        <f t="shared" si="6"/>
        <v>246335600338.6048</v>
      </c>
      <c r="K64" s="11">
        <f t="shared" si="7"/>
        <v>1.5200000000000102E-2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13121747.80768</v>
      </c>
      <c r="D65" s="11">
        <v>1.5599999999999999E-2</v>
      </c>
      <c r="E65" s="10">
        <f t="shared" si="2"/>
        <v>201555.00768000074</v>
      </c>
      <c r="F65" s="3"/>
      <c r="G65" s="28"/>
      <c r="H65" s="10"/>
      <c r="I65" s="10">
        <f t="shared" si="8"/>
        <v>18492</v>
      </c>
      <c r="J65" s="10">
        <f t="shared" si="6"/>
        <v>242647360459.61856</v>
      </c>
      <c r="K65" s="11">
        <f t="shared" si="7"/>
        <v>1.5600000000000058E-2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12920192.799999999</v>
      </c>
      <c r="D66" s="11">
        <v>1.5100000000000001E-2</v>
      </c>
      <c r="E66" s="10">
        <f t="shared" si="2"/>
        <v>192192.79999999888</v>
      </c>
      <c r="F66" s="24">
        <f>SUM(F2)</f>
        <v>18401158</v>
      </c>
      <c r="G66" s="28"/>
      <c r="H66" s="10"/>
      <c r="I66" s="10">
        <f t="shared" si="8"/>
        <v>18492</v>
      </c>
      <c r="J66" s="10">
        <f t="shared" ref="J66:J67" si="9">IF(I66="","",I66*C66)</f>
        <v>238920205257.59998</v>
      </c>
      <c r="K66" s="11">
        <f t="shared" ref="K66" si="10">IFERROR(J66/J67-1,"")</f>
        <v>1.5099999999999891E-2</v>
      </c>
    </row>
    <row r="67" spans="1:11" ht="22.5" customHeight="1">
      <c r="A67" s="3">
        <f t="shared" si="0"/>
        <v>1950</v>
      </c>
      <c r="B67" s="3">
        <v>1700</v>
      </c>
      <c r="C67" s="10">
        <v>12728000</v>
      </c>
      <c r="D67" s="11">
        <v>1.35E-2</v>
      </c>
      <c r="E67" s="3" t="s">
        <v>72</v>
      </c>
      <c r="F67" s="10">
        <f>SUM(C2)</f>
        <v>18401603.813197922</v>
      </c>
      <c r="G67" s="28"/>
      <c r="H67" s="10"/>
      <c r="I67" s="10">
        <f t="shared" ref="I67" si="11">IF(H67&lt;&gt;"",H67,I66/(1+IF(G66="",0,G66)/100))</f>
        <v>18492</v>
      </c>
      <c r="J67" s="10">
        <f t="shared" si="9"/>
        <v>235366176000</v>
      </c>
      <c r="K67" s="11"/>
    </row>
  </sheetData>
  <dataValidations count="1">
    <dataValidation type="custom" allowBlank="1" showDropDown="1" sqref="D2:D67" xr:uid="{00000000-0002-0000-A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8714392.4416103438</v>
      </c>
      <c r="D2" s="11">
        <v>-1.1999999999999999E-3</v>
      </c>
      <c r="E2" s="10">
        <f t="shared" ref="E2:E66" si="2">SUM(C2-C3)</f>
        <v>-10469.834731610492</v>
      </c>
      <c r="F2" s="15">
        <v>8714286</v>
      </c>
      <c r="G2" s="28"/>
      <c r="H2" s="10"/>
      <c r="I2" s="10">
        <f>IF(H2&lt;&gt;"",H2,1706)</f>
        <v>1706</v>
      </c>
      <c r="J2" s="10">
        <f t="shared" ref="J2:J33" si="3">IF(I2="","",I2*C2)</f>
        <v>14866753505.387247</v>
      </c>
      <c r="K2" s="11">
        <f t="shared" ref="K2:K33" si="4">IFERROR(J2/J3-1,"")</f>
        <v>-1.1999999999998678E-3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8724862.2763419542</v>
      </c>
      <c r="D3" s="11">
        <v>1.14E-2</v>
      </c>
      <c r="E3" s="10">
        <f t="shared" si="2"/>
        <v>98342.327417736873</v>
      </c>
      <c r="F3" s="3"/>
      <c r="G3" s="28"/>
      <c r="H3" s="10"/>
      <c r="I3" s="10">
        <f t="shared" ref="I3:I34" si="5">IF(H3&lt;&gt;"",H3,I2/(1+IF(G2="",0,G2)/100))</f>
        <v>1706</v>
      </c>
      <c r="J3" s="10">
        <f t="shared" si="3"/>
        <v>14884615043.439373</v>
      </c>
      <c r="K3" s="11">
        <f t="shared" si="4"/>
        <v>1.1400000000000077E-2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8626519.9489242174</v>
      </c>
      <c r="D4" s="11">
        <v>1.55E-2</v>
      </c>
      <c r="E4" s="10">
        <f t="shared" si="2"/>
        <v>131670.17154931091</v>
      </c>
      <c r="F4" s="3"/>
      <c r="G4" s="28"/>
      <c r="H4" s="10"/>
      <c r="I4" s="10">
        <f t="shared" si="5"/>
        <v>1706</v>
      </c>
      <c r="J4" s="10">
        <f t="shared" si="3"/>
        <v>14716843032.864716</v>
      </c>
      <c r="K4" s="11">
        <f t="shared" si="4"/>
        <v>1.5500000000000069E-2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8494849.7773749065</v>
      </c>
      <c r="D5" s="11">
        <v>1.23E-2</v>
      </c>
      <c r="E5" s="10">
        <f t="shared" si="2"/>
        <v>103217.08215125091</v>
      </c>
      <c r="F5" s="3"/>
      <c r="G5" s="28"/>
      <c r="H5" s="10"/>
      <c r="I5" s="10">
        <f t="shared" si="5"/>
        <v>1706</v>
      </c>
      <c r="J5" s="10">
        <f t="shared" si="3"/>
        <v>14492213720.20159</v>
      </c>
      <c r="K5" s="11">
        <f t="shared" si="4"/>
        <v>1.2299999999999978E-2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8391632.6952236556</v>
      </c>
      <c r="D6" s="11">
        <v>1.21E-2</v>
      </c>
      <c r="E6" s="10">
        <f t="shared" si="2"/>
        <v>100324.82522695977</v>
      </c>
      <c r="F6" s="3"/>
      <c r="G6" s="28"/>
      <c r="H6" s="10"/>
      <c r="I6" s="10">
        <f t="shared" si="5"/>
        <v>1706</v>
      </c>
      <c r="J6" s="10">
        <f t="shared" si="3"/>
        <v>14316125378.051556</v>
      </c>
      <c r="K6" s="11">
        <f t="shared" si="4"/>
        <v>1.21E-2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8291307.8699966958</v>
      </c>
      <c r="D7" s="11">
        <v>1.2E-2</v>
      </c>
      <c r="E7" s="10">
        <f t="shared" si="2"/>
        <v>98315.903596798889</v>
      </c>
      <c r="F7" s="3"/>
      <c r="G7" s="28"/>
      <c r="H7" s="10"/>
      <c r="I7" s="10">
        <f t="shared" si="5"/>
        <v>1706</v>
      </c>
      <c r="J7" s="10">
        <f t="shared" si="3"/>
        <v>14144971226.214363</v>
      </c>
      <c r="K7" s="11">
        <f t="shared" si="4"/>
        <v>1.2000000000000011E-2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8192991.9663998969</v>
      </c>
      <c r="D8" s="11">
        <v>1.3599999999999999E-2</v>
      </c>
      <c r="E8" s="10">
        <f t="shared" si="2"/>
        <v>109929.64753654227</v>
      </c>
      <c r="F8" s="3"/>
      <c r="G8" s="28"/>
      <c r="H8" s="10"/>
      <c r="I8" s="10">
        <f t="shared" si="5"/>
        <v>1706</v>
      </c>
      <c r="J8" s="10">
        <f t="shared" si="3"/>
        <v>13977244294.678225</v>
      </c>
      <c r="K8" s="11">
        <f t="shared" si="4"/>
        <v>1.3600000000000056E-2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8083062.3188633546</v>
      </c>
      <c r="D9" s="11">
        <v>1.4200000000000001E-2</v>
      </c>
      <c r="E9" s="10">
        <f t="shared" si="2"/>
        <v>113172.43633194547</v>
      </c>
      <c r="F9" s="3"/>
      <c r="G9" s="28"/>
      <c r="H9" s="10"/>
      <c r="I9" s="10">
        <f t="shared" si="5"/>
        <v>1706</v>
      </c>
      <c r="J9" s="10">
        <f t="shared" si="3"/>
        <v>13789704315.980883</v>
      </c>
      <c r="K9" s="11">
        <f t="shared" si="4"/>
        <v>1.419999999999999E-2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7969889.8825314092</v>
      </c>
      <c r="D10" s="11">
        <v>1.46E-2</v>
      </c>
      <c r="E10" s="10">
        <f t="shared" si="2"/>
        <v>114685.97702045925</v>
      </c>
      <c r="F10" s="3"/>
      <c r="G10" s="28"/>
      <c r="H10" s="10"/>
      <c r="I10" s="10">
        <f t="shared" si="5"/>
        <v>1706</v>
      </c>
      <c r="J10" s="10">
        <f t="shared" si="3"/>
        <v>13596632139.598583</v>
      </c>
      <c r="K10" s="11">
        <f t="shared" si="4"/>
        <v>1.4599999999999946E-2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7855203.9055109499</v>
      </c>
      <c r="D11" s="11">
        <v>1.4999999999999999E-2</v>
      </c>
      <c r="E11" s="10">
        <f t="shared" si="2"/>
        <v>116086.75722429901</v>
      </c>
      <c r="F11" s="3"/>
      <c r="G11" s="28"/>
      <c r="H11" s="10"/>
      <c r="I11" s="10">
        <f t="shared" si="5"/>
        <v>1706</v>
      </c>
      <c r="J11" s="10">
        <f t="shared" si="3"/>
        <v>13400977862.80168</v>
      </c>
      <c r="K11" s="11">
        <f t="shared" si="4"/>
        <v>1.4999999999999902E-2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7739117.1482866509</v>
      </c>
      <c r="D12" s="11">
        <v>1.5299999999999999E-2</v>
      </c>
      <c r="E12" s="10">
        <f t="shared" si="2"/>
        <v>116624.1429811744</v>
      </c>
      <c r="F12" s="3"/>
      <c r="G12" s="28"/>
      <c r="H12" s="10"/>
      <c r="I12" s="10">
        <f t="shared" si="5"/>
        <v>1706</v>
      </c>
      <c r="J12" s="10">
        <f t="shared" si="3"/>
        <v>13202933854.977026</v>
      </c>
      <c r="K12" s="11">
        <f t="shared" si="4"/>
        <v>1.5300000000000091E-2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7622493.0053054765</v>
      </c>
      <c r="D13" s="11">
        <v>1.5599999999999999E-2</v>
      </c>
      <c r="E13" s="10">
        <f t="shared" si="2"/>
        <v>117084.37463840656</v>
      </c>
      <c r="F13" s="3"/>
      <c r="G13" s="28"/>
      <c r="H13" s="10"/>
      <c r="I13" s="10">
        <f t="shared" si="5"/>
        <v>1706</v>
      </c>
      <c r="J13" s="10">
        <f t="shared" si="3"/>
        <v>13003973067.051144</v>
      </c>
      <c r="K13" s="11">
        <f t="shared" si="4"/>
        <v>1.5600000000000058E-2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7505408.6306670699</v>
      </c>
      <c r="D14" s="11">
        <v>1.54E-2</v>
      </c>
      <c r="E14" s="10">
        <f t="shared" si="2"/>
        <v>113830.30619684234</v>
      </c>
      <c r="F14" s="3"/>
      <c r="G14" s="28"/>
      <c r="H14" s="10"/>
      <c r="I14" s="10">
        <f t="shared" si="5"/>
        <v>1706</v>
      </c>
      <c r="J14" s="10">
        <f t="shared" si="3"/>
        <v>12804227123.918022</v>
      </c>
      <c r="K14" s="11">
        <f t="shared" si="4"/>
        <v>1.5400000000000302E-2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7391578.3244702276</v>
      </c>
      <c r="D15" s="11">
        <v>1.47E-2</v>
      </c>
      <c r="E15" s="10">
        <f t="shared" si="2"/>
        <v>107082.09457939491</v>
      </c>
      <c r="F15" s="3"/>
      <c r="G15" s="28"/>
      <c r="H15" s="10"/>
      <c r="I15" s="10">
        <f t="shared" si="5"/>
        <v>1706</v>
      </c>
      <c r="J15" s="10">
        <f t="shared" si="3"/>
        <v>12610032621.546207</v>
      </c>
      <c r="K15" s="11">
        <f t="shared" si="4"/>
        <v>1.4699999999999935E-2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7284496.2298908327</v>
      </c>
      <c r="D16" s="11">
        <v>1.43E-2</v>
      </c>
      <c r="E16" s="10">
        <f t="shared" si="2"/>
        <v>102699.69051310141</v>
      </c>
      <c r="F16" s="3"/>
      <c r="G16" s="28"/>
      <c r="H16" s="10"/>
      <c r="I16" s="10">
        <f t="shared" si="5"/>
        <v>1706</v>
      </c>
      <c r="J16" s="10">
        <f t="shared" si="3"/>
        <v>12427350568.19376</v>
      </c>
      <c r="K16" s="11">
        <f t="shared" si="4"/>
        <v>1.4299999999999979E-2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7181796.5393777313</v>
      </c>
      <c r="D17" s="11">
        <v>1.43E-2</v>
      </c>
      <c r="E17" s="10">
        <f t="shared" si="2"/>
        <v>101251.78991728462</v>
      </c>
      <c r="F17" s="3"/>
      <c r="G17" s="28"/>
      <c r="H17" s="10"/>
      <c r="I17" s="10">
        <f t="shared" si="5"/>
        <v>1706</v>
      </c>
      <c r="J17" s="10">
        <f t="shared" si="3"/>
        <v>12252144896.17841</v>
      </c>
      <c r="K17" s="11">
        <f t="shared" si="4"/>
        <v>1.4300000000000201E-2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7080544.7494604466</v>
      </c>
      <c r="D18" s="11">
        <v>1.5599999999999999E-2</v>
      </c>
      <c r="E18" s="10">
        <f t="shared" si="2"/>
        <v>108759.84451711643</v>
      </c>
      <c r="F18" s="3"/>
      <c r="G18" s="28"/>
      <c r="H18" s="10"/>
      <c r="I18" s="10">
        <f t="shared" si="5"/>
        <v>1706</v>
      </c>
      <c r="J18" s="10">
        <f t="shared" si="3"/>
        <v>12079409342.579521</v>
      </c>
      <c r="K18" s="11">
        <f t="shared" si="4"/>
        <v>1.5600000000000058E-2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6971784.9049433302</v>
      </c>
      <c r="D19" s="11">
        <v>1.7399999999999999E-2</v>
      </c>
      <c r="E19" s="10">
        <f t="shared" si="2"/>
        <v>119234.37914882507</v>
      </c>
      <c r="F19" s="3"/>
      <c r="G19" s="28"/>
      <c r="H19" s="10"/>
      <c r="I19" s="10">
        <f t="shared" si="5"/>
        <v>1706</v>
      </c>
      <c r="J19" s="10">
        <f t="shared" si="3"/>
        <v>11893865047.833321</v>
      </c>
      <c r="K19" s="11">
        <f t="shared" si="4"/>
        <v>1.7400000000000082E-2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6852550.5257945051</v>
      </c>
      <c r="D20" s="11">
        <v>1.89E-2</v>
      </c>
      <c r="E20" s="10">
        <f t="shared" si="2"/>
        <v>127110.81061685737</v>
      </c>
      <c r="F20" s="3"/>
      <c r="G20" s="28"/>
      <c r="H20" s="10"/>
      <c r="I20" s="10">
        <f t="shared" si="5"/>
        <v>1706</v>
      </c>
      <c r="J20" s="10">
        <f t="shared" si="3"/>
        <v>11690451197.005426</v>
      </c>
      <c r="K20" s="11">
        <f t="shared" si="4"/>
        <v>1.8899999999999917E-2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6725439.7151776478</v>
      </c>
      <c r="D21" s="11">
        <v>1.95E-2</v>
      </c>
      <c r="E21" s="10">
        <f t="shared" si="2"/>
        <v>128637.64045705181</v>
      </c>
      <c r="F21" s="3"/>
      <c r="G21" s="28"/>
      <c r="H21" s="10"/>
      <c r="I21" s="10">
        <f t="shared" si="5"/>
        <v>1706</v>
      </c>
      <c r="J21" s="10">
        <f t="shared" si="3"/>
        <v>11473600154.093067</v>
      </c>
      <c r="K21" s="11">
        <f t="shared" si="4"/>
        <v>1.9500000000000073E-2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6596802.074720596</v>
      </c>
      <c r="D22" s="11">
        <v>1.9599999999999999E-2</v>
      </c>
      <c r="E22" s="10">
        <f t="shared" si="2"/>
        <v>126811.80920412298</v>
      </c>
      <c r="F22" s="3"/>
      <c r="G22" s="28"/>
      <c r="H22" s="10"/>
      <c r="I22" s="10">
        <f t="shared" si="5"/>
        <v>1706</v>
      </c>
      <c r="J22" s="10">
        <f t="shared" si="3"/>
        <v>11254144339.473337</v>
      </c>
      <c r="K22" s="11">
        <f t="shared" si="4"/>
        <v>1.9600000000000062E-2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6469990.265516473</v>
      </c>
      <c r="D23" s="11">
        <v>2.0299999999999999E-2</v>
      </c>
      <c r="E23" s="10">
        <f t="shared" si="2"/>
        <v>128727.63147112075</v>
      </c>
      <c r="F23" s="3"/>
      <c r="G23" s="28"/>
      <c r="H23" s="10"/>
      <c r="I23" s="10">
        <f t="shared" si="5"/>
        <v>1706</v>
      </c>
      <c r="J23" s="10">
        <f t="shared" si="3"/>
        <v>11037803392.971104</v>
      </c>
      <c r="K23" s="11">
        <f t="shared" si="4"/>
        <v>2.0299999999999985E-2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6341262.6340453522</v>
      </c>
      <c r="D24" s="11">
        <v>2.1499999999999998E-2</v>
      </c>
      <c r="E24" s="10">
        <f t="shared" si="2"/>
        <v>133467.59337442555</v>
      </c>
      <c r="F24" s="3"/>
      <c r="G24" s="28"/>
      <c r="H24" s="10"/>
      <c r="I24" s="10">
        <f t="shared" si="5"/>
        <v>1706</v>
      </c>
      <c r="J24" s="10">
        <f t="shared" si="3"/>
        <v>10818194053.681372</v>
      </c>
      <c r="K24" s="11">
        <f t="shared" si="4"/>
        <v>2.1500000000000075E-2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6207795.0406709267</v>
      </c>
      <c r="D25" s="11">
        <v>2.24E-2</v>
      </c>
      <c r="E25" s="10">
        <f t="shared" si="2"/>
        <v>136008.02906008251</v>
      </c>
      <c r="F25" s="3"/>
      <c r="G25" s="28"/>
      <c r="H25" s="10"/>
      <c r="I25" s="10">
        <f t="shared" si="5"/>
        <v>1706</v>
      </c>
      <c r="J25" s="10">
        <f t="shared" si="3"/>
        <v>10590498339.384602</v>
      </c>
      <c r="K25" s="11">
        <f t="shared" si="4"/>
        <v>2.2399999999999975E-2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6071787.0116108442</v>
      </c>
      <c r="D26" s="11">
        <v>2.2700000000000001E-2</v>
      </c>
      <c r="E26" s="10">
        <f t="shared" si="2"/>
        <v>134770.27981183678</v>
      </c>
      <c r="F26" s="3"/>
      <c r="G26" s="28"/>
      <c r="H26" s="10"/>
      <c r="I26" s="10">
        <f t="shared" si="5"/>
        <v>1706</v>
      </c>
      <c r="J26" s="10">
        <f t="shared" si="3"/>
        <v>10358468641.8081</v>
      </c>
      <c r="K26" s="11">
        <f t="shared" si="4"/>
        <v>2.2699999999999942E-2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5937016.7317990074</v>
      </c>
      <c r="D27" s="11">
        <v>2.2200000000000001E-2</v>
      </c>
      <c r="E27" s="10">
        <f t="shared" si="2"/>
        <v>128939.31857360434</v>
      </c>
      <c r="F27" s="3"/>
      <c r="G27" s="28"/>
      <c r="H27" s="10"/>
      <c r="I27" s="10">
        <f t="shared" si="5"/>
        <v>1706</v>
      </c>
      <c r="J27" s="10">
        <f t="shared" si="3"/>
        <v>10128550544.449106</v>
      </c>
      <c r="K27" s="11">
        <f t="shared" si="4"/>
        <v>2.2199999999999998E-2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5808077.4132254031</v>
      </c>
      <c r="D28" s="11">
        <v>2.1700000000000001E-2</v>
      </c>
      <c r="E28" s="10">
        <f t="shared" si="2"/>
        <v>123358.40253204573</v>
      </c>
      <c r="F28" s="3"/>
      <c r="G28" s="28"/>
      <c r="H28" s="10"/>
      <c r="I28" s="10">
        <f t="shared" si="5"/>
        <v>1706</v>
      </c>
      <c r="J28" s="10">
        <f t="shared" si="3"/>
        <v>9908580066.9625378</v>
      </c>
      <c r="K28" s="11">
        <f t="shared" si="4"/>
        <v>2.1699999999999831E-2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5684719.0106933573</v>
      </c>
      <c r="D29" s="11">
        <v>2.1499999999999998E-2</v>
      </c>
      <c r="E29" s="10">
        <f t="shared" si="2"/>
        <v>119649.0051198313</v>
      </c>
      <c r="F29" s="3"/>
      <c r="G29" s="28"/>
      <c r="H29" s="10"/>
      <c r="I29" s="10">
        <f t="shared" si="5"/>
        <v>1706</v>
      </c>
      <c r="J29" s="10">
        <f t="shared" si="3"/>
        <v>9698130632.2428684</v>
      </c>
      <c r="K29" s="11">
        <f t="shared" si="4"/>
        <v>2.1500000000000075E-2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5565070.005573526</v>
      </c>
      <c r="D30" s="11">
        <v>2.1999999999999999E-2</v>
      </c>
      <c r="E30" s="10">
        <f t="shared" si="2"/>
        <v>119796.02751723863</v>
      </c>
      <c r="F30" s="3"/>
      <c r="G30" s="28"/>
      <c r="H30" s="10"/>
      <c r="I30" s="10">
        <f t="shared" si="5"/>
        <v>1706</v>
      </c>
      <c r="J30" s="10">
        <f t="shared" si="3"/>
        <v>9494009429.5084362</v>
      </c>
      <c r="K30" s="11">
        <f t="shared" si="4"/>
        <v>2.2000000000000242E-2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5445273.9780562874</v>
      </c>
      <c r="D31" s="11">
        <v>2.29E-2</v>
      </c>
      <c r="E31" s="10">
        <f t="shared" si="2"/>
        <v>121905.14624840021</v>
      </c>
      <c r="F31" s="3"/>
      <c r="G31" s="28"/>
      <c r="H31" s="10"/>
      <c r="I31" s="10">
        <f t="shared" si="5"/>
        <v>1706</v>
      </c>
      <c r="J31" s="10">
        <f t="shared" si="3"/>
        <v>9289637406.5640259</v>
      </c>
      <c r="K31" s="11">
        <f t="shared" si="4"/>
        <v>2.289999999999992E-2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5323368.8318078872</v>
      </c>
      <c r="D32" s="11">
        <v>2.3800000000000002E-2</v>
      </c>
      <c r="E32" s="10">
        <f t="shared" si="2"/>
        <v>123750.90661948454</v>
      </c>
      <c r="F32" s="3"/>
      <c r="G32" s="28"/>
      <c r="H32" s="10"/>
      <c r="I32" s="10">
        <f t="shared" si="5"/>
        <v>1706</v>
      </c>
      <c r="J32" s="10">
        <f t="shared" si="3"/>
        <v>9081667227.0642548</v>
      </c>
      <c r="K32" s="11">
        <f t="shared" si="4"/>
        <v>2.3800000000000043E-2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5199617.9251884026</v>
      </c>
      <c r="D33" s="11">
        <v>2.4500000000000001E-2</v>
      </c>
      <c r="E33" s="10">
        <f t="shared" si="2"/>
        <v>124344.20611724351</v>
      </c>
      <c r="F33" s="3"/>
      <c r="G33" s="28"/>
      <c r="H33" s="10"/>
      <c r="I33" s="10">
        <f t="shared" si="5"/>
        <v>1706</v>
      </c>
      <c r="J33" s="10">
        <f t="shared" si="3"/>
        <v>8870548180.3714142</v>
      </c>
      <c r="K33" s="11">
        <f t="shared" si="4"/>
        <v>2.4499999999999966E-2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5075273.7190711591</v>
      </c>
      <c r="D34" s="11">
        <v>2.4899999999999999E-2</v>
      </c>
      <c r="E34" s="10">
        <f t="shared" si="2"/>
        <v>123304.04488718044</v>
      </c>
      <c r="F34" s="3"/>
      <c r="G34" s="28"/>
      <c r="H34" s="10"/>
      <c r="I34" s="10">
        <f t="shared" si="5"/>
        <v>1706</v>
      </c>
      <c r="J34" s="10">
        <f t="shared" ref="J34:J65" si="6">IF(I34="","",I34*C34)</f>
        <v>8658416964.7353973</v>
      </c>
      <c r="K34" s="11">
        <f t="shared" ref="K34:K65" si="7">IFERROR(J34/J35-1,"")</f>
        <v>2.4899999999999922E-2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4951969.6741839787</v>
      </c>
      <c r="D35" s="11">
        <v>2.5000000000000001E-2</v>
      </c>
      <c r="E35" s="10">
        <f t="shared" si="2"/>
        <v>120779.74815082829</v>
      </c>
      <c r="F35" s="3"/>
      <c r="G35" s="28"/>
      <c r="H35" s="10"/>
      <c r="I35" s="10">
        <f t="shared" ref="I35:I66" si="8">IF(H35&lt;&gt;"",H35,I34/(1+IF(G34="",0,G34)/100))</f>
        <v>1706</v>
      </c>
      <c r="J35" s="10">
        <f t="shared" si="6"/>
        <v>8448060264.1578674</v>
      </c>
      <c r="K35" s="11">
        <f t="shared" si="7"/>
        <v>2.4999999999999911E-2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4831189.9260331504</v>
      </c>
      <c r="D36" s="11">
        <v>2.47E-2</v>
      </c>
      <c r="E36" s="10">
        <f t="shared" si="2"/>
        <v>116453.97791843303</v>
      </c>
      <c r="F36" s="3"/>
      <c r="G36" s="28"/>
      <c r="H36" s="10"/>
      <c r="I36" s="10">
        <f t="shared" si="8"/>
        <v>1706</v>
      </c>
      <c r="J36" s="10">
        <f t="shared" si="6"/>
        <v>8242010013.8125544</v>
      </c>
      <c r="K36" s="11">
        <f t="shared" si="7"/>
        <v>2.4699999999999944E-2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4714735.9481147174</v>
      </c>
      <c r="D37" s="11">
        <v>2.41E-2</v>
      </c>
      <c r="E37" s="10">
        <f t="shared" si="2"/>
        <v>110951.21213706117</v>
      </c>
      <c r="F37" s="3"/>
      <c r="G37" s="28"/>
      <c r="H37" s="10"/>
      <c r="I37" s="10">
        <f t="shared" si="8"/>
        <v>1706</v>
      </c>
      <c r="J37" s="10">
        <f t="shared" si="6"/>
        <v>8043339527.4837074</v>
      </c>
      <c r="K37" s="11">
        <f t="shared" si="7"/>
        <v>2.4099999999999788E-2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4603784.7359776562</v>
      </c>
      <c r="D38" s="11">
        <v>2.35E-2</v>
      </c>
      <c r="E38" s="10">
        <f t="shared" si="2"/>
        <v>105704.87669318542</v>
      </c>
      <c r="F38" s="3"/>
      <c r="G38" s="28"/>
      <c r="H38" s="10"/>
      <c r="I38" s="10">
        <f t="shared" si="8"/>
        <v>1706</v>
      </c>
      <c r="J38" s="10">
        <f t="shared" si="6"/>
        <v>7854056759.5778818</v>
      </c>
      <c r="K38" s="11">
        <f t="shared" si="7"/>
        <v>2.3500000000000076E-2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4498079.8592844708</v>
      </c>
      <c r="D39" s="11">
        <v>2.2800000000000001E-2</v>
      </c>
      <c r="E39" s="10">
        <f t="shared" si="2"/>
        <v>100270.06334736571</v>
      </c>
      <c r="F39" s="3"/>
      <c r="G39" s="28"/>
      <c r="H39" s="10"/>
      <c r="I39" s="10">
        <f t="shared" si="8"/>
        <v>1706</v>
      </c>
      <c r="J39" s="10">
        <f t="shared" si="6"/>
        <v>7673724239.9393072</v>
      </c>
      <c r="K39" s="11">
        <f t="shared" si="7"/>
        <v>2.2799999999999931E-2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4397809.7959371051</v>
      </c>
      <c r="D40" s="11">
        <v>2.2100000000000002E-2</v>
      </c>
      <c r="E40" s="10">
        <f t="shared" si="2"/>
        <v>95090.105166040361</v>
      </c>
      <c r="F40" s="3"/>
      <c r="G40" s="28"/>
      <c r="H40" s="10"/>
      <c r="I40" s="10">
        <f t="shared" si="8"/>
        <v>1706</v>
      </c>
      <c r="J40" s="10">
        <f t="shared" si="6"/>
        <v>7502663511.868701</v>
      </c>
      <c r="K40" s="11">
        <f t="shared" si="7"/>
        <v>2.2099999999999786E-2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4302719.6907710647</v>
      </c>
      <c r="D41" s="11">
        <v>2.1499999999999998E-2</v>
      </c>
      <c r="E41" s="10">
        <f t="shared" si="2"/>
        <v>90561.403183140792</v>
      </c>
      <c r="F41" s="3"/>
      <c r="G41" s="28"/>
      <c r="H41" s="10"/>
      <c r="I41" s="10">
        <f t="shared" si="8"/>
        <v>1706</v>
      </c>
      <c r="J41" s="10">
        <f t="shared" si="6"/>
        <v>7340439792.4554367</v>
      </c>
      <c r="K41" s="11">
        <f t="shared" si="7"/>
        <v>2.1500000000000075E-2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4212158.2875879239</v>
      </c>
      <c r="D42" s="11">
        <v>2.1000000000000001E-2</v>
      </c>
      <c r="E42" s="10">
        <f t="shared" si="2"/>
        <v>86635.968696714845</v>
      </c>
      <c r="F42" s="3"/>
      <c r="G42" s="28"/>
      <c r="H42" s="10"/>
      <c r="I42" s="10">
        <f t="shared" si="8"/>
        <v>1706</v>
      </c>
      <c r="J42" s="10">
        <f t="shared" si="6"/>
        <v>7185942038.6249981</v>
      </c>
      <c r="K42" s="11">
        <f t="shared" si="7"/>
        <v>2.0999999999999908E-2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4125522.3188912091</v>
      </c>
      <c r="D43" s="11">
        <v>2.06E-2</v>
      </c>
      <c r="E43" s="10">
        <f t="shared" si="2"/>
        <v>83270.389740504324</v>
      </c>
      <c r="F43" s="3"/>
      <c r="G43" s="28"/>
      <c r="H43" s="10"/>
      <c r="I43" s="10">
        <f t="shared" si="8"/>
        <v>1706</v>
      </c>
      <c r="J43" s="10">
        <f t="shared" si="6"/>
        <v>7038141076.0284023</v>
      </c>
      <c r="K43" s="11">
        <f t="shared" si="7"/>
        <v>2.0599999999999952E-2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4042251.9291507048</v>
      </c>
      <c r="D44" s="11">
        <v>2.06E-2</v>
      </c>
      <c r="E44" s="10">
        <f t="shared" si="2"/>
        <v>81589.643092792947</v>
      </c>
      <c r="F44" s="3"/>
      <c r="G44" s="28"/>
      <c r="H44" s="10"/>
      <c r="I44" s="10">
        <f t="shared" si="8"/>
        <v>1706</v>
      </c>
      <c r="J44" s="10">
        <f t="shared" si="6"/>
        <v>6896081791.1311026</v>
      </c>
      <c r="K44" s="11">
        <f t="shared" si="7"/>
        <v>2.0600000000000174E-2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3960662.2860579118</v>
      </c>
      <c r="D45" s="11">
        <v>2.12E-2</v>
      </c>
      <c r="E45" s="10">
        <f t="shared" si="2"/>
        <v>82222.91467335308</v>
      </c>
      <c r="F45" s="3"/>
      <c r="G45" s="28"/>
      <c r="H45" s="10"/>
      <c r="I45" s="10">
        <f t="shared" si="8"/>
        <v>1706</v>
      </c>
      <c r="J45" s="10">
        <f t="shared" si="6"/>
        <v>6756889860.0147972</v>
      </c>
      <c r="K45" s="11">
        <f t="shared" si="7"/>
        <v>2.1200000000000108E-2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3878439.3713845587</v>
      </c>
      <c r="D46" s="11">
        <v>2.2200000000000001E-2</v>
      </c>
      <c r="E46" s="10">
        <f t="shared" si="2"/>
        <v>84231.416596299503</v>
      </c>
      <c r="F46" s="3"/>
      <c r="G46" s="28"/>
      <c r="H46" s="10"/>
      <c r="I46" s="10">
        <f t="shared" si="8"/>
        <v>1706</v>
      </c>
      <c r="J46" s="10">
        <f t="shared" si="6"/>
        <v>6616617567.582057</v>
      </c>
      <c r="K46" s="11">
        <f t="shared" si="7"/>
        <v>2.2199999999999998E-2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3794207.9547882592</v>
      </c>
      <c r="D47" s="11">
        <v>2.3400000000000001E-2</v>
      </c>
      <c r="E47" s="10">
        <f t="shared" si="2"/>
        <v>86754.412880638614</v>
      </c>
      <c r="F47" s="3"/>
      <c r="G47" s="28"/>
      <c r="H47" s="10"/>
      <c r="I47" s="10">
        <f t="shared" si="8"/>
        <v>1706</v>
      </c>
      <c r="J47" s="10">
        <f t="shared" si="6"/>
        <v>6472918770.8687706</v>
      </c>
      <c r="K47" s="11">
        <f t="shared" si="7"/>
        <v>2.3400000000000087E-2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3707453.5419076206</v>
      </c>
      <c r="D48" s="11">
        <v>2.46E-2</v>
      </c>
      <c r="E48" s="10">
        <f t="shared" si="2"/>
        <v>89013.622029013466</v>
      </c>
      <c r="F48" s="3"/>
      <c r="G48" s="28"/>
      <c r="H48" s="10"/>
      <c r="I48" s="10">
        <f t="shared" si="8"/>
        <v>1706</v>
      </c>
      <c r="J48" s="10">
        <f t="shared" si="6"/>
        <v>6324915742.494401</v>
      </c>
      <c r="K48" s="11">
        <f t="shared" si="7"/>
        <v>2.4599999999999955E-2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3618439.9198786072</v>
      </c>
      <c r="D49" s="11">
        <v>2.5499999999999998E-2</v>
      </c>
      <c r="E49" s="10">
        <f t="shared" si="2"/>
        <v>89975.834185182583</v>
      </c>
      <c r="F49" s="3"/>
      <c r="G49" s="28"/>
      <c r="H49" s="10"/>
      <c r="I49" s="10">
        <f t="shared" si="8"/>
        <v>1706</v>
      </c>
      <c r="J49" s="10">
        <f t="shared" si="6"/>
        <v>6173058503.3129034</v>
      </c>
      <c r="K49" s="11">
        <f t="shared" si="7"/>
        <v>2.5499999999999856E-2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3528464.0856934246</v>
      </c>
      <c r="D50" s="11">
        <v>2.5899999999999999E-2</v>
      </c>
      <c r="E50" s="10">
        <f t="shared" si="2"/>
        <v>89080.046612203587</v>
      </c>
      <c r="F50" s="3"/>
      <c r="G50" s="28"/>
      <c r="H50" s="10"/>
      <c r="I50" s="10">
        <f t="shared" si="8"/>
        <v>1706</v>
      </c>
      <c r="J50" s="10">
        <f t="shared" si="6"/>
        <v>6019559730.1929827</v>
      </c>
      <c r="K50" s="11">
        <f t="shared" si="7"/>
        <v>2.5900000000000034E-2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3439384.039081221</v>
      </c>
      <c r="D51" s="11">
        <v>2.58E-2</v>
      </c>
      <c r="E51" s="10">
        <f t="shared" si="2"/>
        <v>86504.29733700119</v>
      </c>
      <c r="F51" s="3"/>
      <c r="G51" s="28"/>
      <c r="H51" s="10"/>
      <c r="I51" s="10">
        <f t="shared" si="8"/>
        <v>1706</v>
      </c>
      <c r="J51" s="10">
        <f t="shared" si="6"/>
        <v>5867589170.6725626</v>
      </c>
      <c r="K51" s="11">
        <f t="shared" si="7"/>
        <v>2.5800000000000045E-2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3352879.7417442198</v>
      </c>
      <c r="D52" s="11">
        <v>2.5000000000000001E-2</v>
      </c>
      <c r="E52" s="10">
        <f t="shared" si="2"/>
        <v>81777.554676687811</v>
      </c>
      <c r="F52" s="3"/>
      <c r="G52" s="28"/>
      <c r="H52" s="10"/>
      <c r="I52" s="10">
        <f t="shared" si="8"/>
        <v>1706</v>
      </c>
      <c r="J52" s="10">
        <f t="shared" si="6"/>
        <v>5720012839.4156389</v>
      </c>
      <c r="K52" s="11">
        <f t="shared" si="7"/>
        <v>2.4999999999999689E-2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3271102.187067532</v>
      </c>
      <c r="D53" s="11">
        <v>2.35E-2</v>
      </c>
      <c r="E53" s="10">
        <f t="shared" si="2"/>
        <v>75105.912453431636</v>
      </c>
      <c r="F53" s="3"/>
      <c r="G53" s="28"/>
      <c r="H53" s="10"/>
      <c r="I53" s="10">
        <f t="shared" si="8"/>
        <v>1706</v>
      </c>
      <c r="J53" s="10">
        <f t="shared" si="6"/>
        <v>5580500331.1372099</v>
      </c>
      <c r="K53" s="11">
        <f t="shared" si="7"/>
        <v>2.3500000000000076E-2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3195996.2746141003</v>
      </c>
      <c r="D54" s="11">
        <v>2.1399999999999999E-2</v>
      </c>
      <c r="E54" s="10">
        <f t="shared" si="2"/>
        <v>66961.347441493999</v>
      </c>
      <c r="F54" s="3"/>
      <c r="G54" s="28"/>
      <c r="H54" s="10"/>
      <c r="I54" s="10">
        <f t="shared" si="8"/>
        <v>1706</v>
      </c>
      <c r="J54" s="10">
        <f t="shared" si="6"/>
        <v>5452369644.4916553</v>
      </c>
      <c r="K54" s="11">
        <f t="shared" si="7"/>
        <v>2.1400000000000086E-2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3129034.9271726063</v>
      </c>
      <c r="D55" s="11">
        <v>1.8599999999999998E-2</v>
      </c>
      <c r="E55" s="10">
        <f t="shared" si="2"/>
        <v>57137.295940909535</v>
      </c>
      <c r="F55" s="3"/>
      <c r="G55" s="28"/>
      <c r="H55" s="10"/>
      <c r="I55" s="10">
        <f t="shared" si="8"/>
        <v>1706</v>
      </c>
      <c r="J55" s="10">
        <f t="shared" si="6"/>
        <v>5338133585.7564669</v>
      </c>
      <c r="K55" s="11">
        <f t="shared" si="7"/>
        <v>1.859999999999995E-2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3071897.6312316968</v>
      </c>
      <c r="D56" s="11">
        <v>1.52E-2</v>
      </c>
      <c r="E56" s="10">
        <f t="shared" si="2"/>
        <v>45993.739159497898</v>
      </c>
      <c r="F56" s="3"/>
      <c r="G56" s="28"/>
      <c r="H56" s="10"/>
      <c r="I56" s="10">
        <f t="shared" si="8"/>
        <v>1706</v>
      </c>
      <c r="J56" s="10">
        <f t="shared" si="6"/>
        <v>5240657358.8812752</v>
      </c>
      <c r="K56" s="11">
        <f t="shared" si="7"/>
        <v>1.5200000000000102E-2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3025903.8920721989</v>
      </c>
      <c r="D57" s="11">
        <v>1.1299999999999999E-2</v>
      </c>
      <c r="E57" s="10">
        <f t="shared" si="2"/>
        <v>33810.653594795149</v>
      </c>
      <c r="F57" s="3"/>
      <c r="G57" s="28"/>
      <c r="H57" s="10"/>
      <c r="I57" s="10">
        <f t="shared" si="8"/>
        <v>1706</v>
      </c>
      <c r="J57" s="10">
        <f t="shared" si="6"/>
        <v>5162192039.8751717</v>
      </c>
      <c r="K57" s="11">
        <f t="shared" si="7"/>
        <v>1.1300000000000088E-2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2992093.2384774038</v>
      </c>
      <c r="D58" s="11">
        <v>7.1999999999999998E-3</v>
      </c>
      <c r="E58" s="10">
        <f t="shared" si="2"/>
        <v>21389.070012944285</v>
      </c>
      <c r="F58" s="3"/>
      <c r="G58" s="28"/>
      <c r="H58" s="10"/>
      <c r="I58" s="10">
        <f t="shared" si="8"/>
        <v>1706</v>
      </c>
      <c r="J58" s="10">
        <f t="shared" si="6"/>
        <v>5104511064.8424511</v>
      </c>
      <c r="K58" s="11">
        <f t="shared" si="7"/>
        <v>7.2000000000000952E-3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2970704.1684644595</v>
      </c>
      <c r="D59" s="11">
        <v>3.3999999999999998E-3</v>
      </c>
      <c r="E59" s="10">
        <f t="shared" si="2"/>
        <v>10066.169197507668</v>
      </c>
      <c r="F59" s="3"/>
      <c r="G59" s="28"/>
      <c r="H59" s="10"/>
      <c r="I59" s="10">
        <f t="shared" si="8"/>
        <v>1706</v>
      </c>
      <c r="J59" s="10">
        <f t="shared" si="6"/>
        <v>5068021311.4003677</v>
      </c>
      <c r="K59" s="11">
        <f t="shared" si="7"/>
        <v>3.3999999999998476E-3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2960637.9992669518</v>
      </c>
      <c r="D60" s="11">
        <v>1E-4</v>
      </c>
      <c r="E60" s="10">
        <f t="shared" si="2"/>
        <v>296.0341965071857</v>
      </c>
      <c r="F60" s="3"/>
      <c r="G60" s="28"/>
      <c r="H60" s="10"/>
      <c r="I60" s="10">
        <f t="shared" si="8"/>
        <v>1706</v>
      </c>
      <c r="J60" s="10">
        <f t="shared" si="6"/>
        <v>5050848426.7494202</v>
      </c>
      <c r="K60" s="11">
        <f t="shared" si="7"/>
        <v>1.0000000000021103E-4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2960341.9650704446</v>
      </c>
      <c r="D61" s="11">
        <v>-2.7000000000000001E-3</v>
      </c>
      <c r="E61" s="10">
        <f t="shared" si="2"/>
        <v>-8014.5626247772016</v>
      </c>
      <c r="F61" s="3"/>
      <c r="G61" s="28"/>
      <c r="H61" s="10"/>
      <c r="I61" s="10">
        <f t="shared" si="8"/>
        <v>1706</v>
      </c>
      <c r="J61" s="10">
        <f t="shared" si="6"/>
        <v>5050343392.4101782</v>
      </c>
      <c r="K61" s="11">
        <f t="shared" si="7"/>
        <v>-2.7000000000001467E-3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2968356.5276952218</v>
      </c>
      <c r="D62" s="11">
        <v>-4.8999999999999998E-3</v>
      </c>
      <c r="E62" s="10">
        <f t="shared" si="2"/>
        <v>-14616.568169738166</v>
      </c>
      <c r="F62" s="3"/>
      <c r="G62" s="28"/>
      <c r="H62" s="10"/>
      <c r="I62" s="10">
        <f t="shared" si="8"/>
        <v>1706</v>
      </c>
      <c r="J62" s="10">
        <f t="shared" si="6"/>
        <v>5064016236.2480488</v>
      </c>
      <c r="K62" s="11">
        <f t="shared" si="7"/>
        <v>-4.8999999999999044E-3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2982973.09586496</v>
      </c>
      <c r="D63" s="11">
        <v>-6.4999999999999997E-3</v>
      </c>
      <c r="E63" s="10">
        <f t="shared" si="2"/>
        <v>-19516.1802950399</v>
      </c>
      <c r="F63" s="3"/>
      <c r="G63" s="28"/>
      <c r="H63" s="10"/>
      <c r="I63" s="10">
        <f t="shared" si="8"/>
        <v>1706</v>
      </c>
      <c r="J63" s="10">
        <f t="shared" si="6"/>
        <v>5088952101.5456219</v>
      </c>
      <c r="K63" s="11">
        <f t="shared" si="7"/>
        <v>-6.4999999999999503E-3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3002489.2761599999</v>
      </c>
      <c r="D64" s="11">
        <v>-7.4999999999999997E-3</v>
      </c>
      <c r="E64" s="10">
        <f t="shared" si="2"/>
        <v>-22688.83583999984</v>
      </c>
      <c r="F64" s="3"/>
      <c r="G64" s="28"/>
      <c r="H64" s="10"/>
      <c r="I64" s="10">
        <f t="shared" si="8"/>
        <v>1706</v>
      </c>
      <c r="J64" s="10">
        <f t="shared" si="6"/>
        <v>5122246705.1289597</v>
      </c>
      <c r="K64" s="11">
        <f t="shared" si="7"/>
        <v>-7.4999999999999512E-3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3025178.1119999997</v>
      </c>
      <c r="D65" s="11">
        <v>-7.7999999999999996E-3</v>
      </c>
      <c r="E65" s="10">
        <f t="shared" si="2"/>
        <v>-23781.888000000268</v>
      </c>
      <c r="F65" s="3"/>
      <c r="G65" s="28"/>
      <c r="H65" s="10"/>
      <c r="I65" s="10">
        <f t="shared" si="8"/>
        <v>1706</v>
      </c>
      <c r="J65" s="10">
        <f t="shared" si="6"/>
        <v>5160953859.0719995</v>
      </c>
      <c r="K65" s="11">
        <f t="shared" si="7"/>
        <v>-7.8000000000001402E-3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3048960</v>
      </c>
      <c r="D66" s="11">
        <v>-7.4999999999999997E-3</v>
      </c>
      <c r="E66" s="10">
        <f t="shared" si="2"/>
        <v>-23040</v>
      </c>
      <c r="F66" s="24">
        <f>SUM(F2)</f>
        <v>8714286</v>
      </c>
      <c r="G66" s="28"/>
      <c r="H66" s="10"/>
      <c r="I66" s="10">
        <f t="shared" si="8"/>
        <v>1706</v>
      </c>
      <c r="J66" s="10">
        <f t="shared" ref="J66:J67" si="9">IF(I66="","",I66*C66)</f>
        <v>5201525760</v>
      </c>
      <c r="K66" s="11">
        <f t="shared" ref="K66" si="10">IFERROR(J66/J67-1,"")</f>
        <v>-7.4999999999999512E-3</v>
      </c>
    </row>
    <row r="67" spans="1:11" ht="22.5" customHeight="1">
      <c r="A67" s="3">
        <f t="shared" si="0"/>
        <v>1950</v>
      </c>
      <c r="B67" s="3">
        <v>1700</v>
      </c>
      <c r="C67" s="10">
        <v>3072000</v>
      </c>
      <c r="D67" s="11">
        <v>-6.6E-3</v>
      </c>
      <c r="E67" s="3" t="s">
        <v>72</v>
      </c>
      <c r="F67" s="10">
        <f>SUM(C2)</f>
        <v>8714392.4416103438</v>
      </c>
      <c r="G67" s="28"/>
      <c r="H67" s="10"/>
      <c r="I67" s="10">
        <f t="shared" ref="I67" si="11">IF(H67&lt;&gt;"",H67,I66/(1+IF(G66="",0,G66)/100))</f>
        <v>1706</v>
      </c>
      <c r="J67" s="10">
        <f t="shared" si="9"/>
        <v>5240832000</v>
      </c>
      <c r="K67" s="11"/>
    </row>
  </sheetData>
  <dataValidations count="1">
    <dataValidation type="custom" allowBlank="1" showDropDown="1" sqref="D2:D67" xr:uid="{00000000-0002-0000-A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5131526.1085583651</v>
      </c>
      <c r="D2" s="11">
        <v>2.3800000000000002E-2</v>
      </c>
      <c r="E2" s="10">
        <f t="shared" ref="E2:E66" si="2">SUM(C2-C3)</f>
        <v>119291.19103700854</v>
      </c>
      <c r="F2" s="15">
        <v>5131190</v>
      </c>
      <c r="G2" s="28"/>
      <c r="H2" s="10"/>
      <c r="I2" s="10">
        <f>IF(H2&lt;&gt;"",H2,159)</f>
        <v>159</v>
      </c>
      <c r="J2" s="10">
        <f t="shared" ref="J2:J33" si="3">IF(I2="","",I2*C2)</f>
        <v>815912651.2607801</v>
      </c>
      <c r="K2" s="11">
        <f t="shared" ref="K2:K33" si="4">IFERROR(J2/J3-1,"")</f>
        <v>2.3800000000000043E-2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5012234.9175213566</v>
      </c>
      <c r="D3" s="11">
        <v>2.4500000000000001E-2</v>
      </c>
      <c r="E3" s="10">
        <f t="shared" si="2"/>
        <v>119863.1093013892</v>
      </c>
      <c r="F3" s="3"/>
      <c r="G3" s="28"/>
      <c r="H3" s="10"/>
      <c r="I3" s="10">
        <f t="shared" ref="I3:I34" si="5">IF(H3&lt;&gt;"",H3,I2/(1+IF(G2="",0,G2)/100))</f>
        <v>159</v>
      </c>
      <c r="J3" s="10">
        <f t="shared" si="3"/>
        <v>796945351.88589573</v>
      </c>
      <c r="K3" s="11">
        <f t="shared" si="4"/>
        <v>2.4499999999999966E-2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4892371.8082199674</v>
      </c>
      <c r="D4" s="11">
        <v>2.52E-2</v>
      </c>
      <c r="E4" s="10">
        <f t="shared" si="2"/>
        <v>120257.28596092761</v>
      </c>
      <c r="F4" s="3"/>
      <c r="G4" s="28"/>
      <c r="H4" s="10"/>
      <c r="I4" s="10">
        <f t="shared" si="5"/>
        <v>159</v>
      </c>
      <c r="J4" s="10">
        <f t="shared" si="3"/>
        <v>777887117.50697482</v>
      </c>
      <c r="K4" s="11">
        <f t="shared" si="4"/>
        <v>2.5199999999999889E-2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4772114.5222590398</v>
      </c>
      <c r="D5" s="11">
        <v>2.5600000000000001E-2</v>
      </c>
      <c r="E5" s="10">
        <f t="shared" si="2"/>
        <v>119116.74314531218</v>
      </c>
      <c r="F5" s="3"/>
      <c r="G5" s="28"/>
      <c r="H5" s="10"/>
      <c r="I5" s="10">
        <f t="shared" si="5"/>
        <v>159</v>
      </c>
      <c r="J5" s="10">
        <f t="shared" si="3"/>
        <v>758766209.03918731</v>
      </c>
      <c r="K5" s="11">
        <f t="shared" si="4"/>
        <v>2.5600000000000067E-2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4652997.7791137276</v>
      </c>
      <c r="D6" s="11">
        <v>2.5399999999999999E-2</v>
      </c>
      <c r="E6" s="10">
        <f t="shared" si="2"/>
        <v>115258.57576505654</v>
      </c>
      <c r="F6" s="3"/>
      <c r="G6" s="28"/>
      <c r="H6" s="10"/>
      <c r="I6" s="10">
        <f t="shared" si="5"/>
        <v>159</v>
      </c>
      <c r="J6" s="10">
        <f t="shared" si="3"/>
        <v>739826646.87908268</v>
      </c>
      <c r="K6" s="11">
        <f t="shared" si="4"/>
        <v>2.5400000000000089E-2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4537739.2033486711</v>
      </c>
      <c r="D7" s="11">
        <v>2.4799999999999999E-2</v>
      </c>
      <c r="E7" s="10">
        <f t="shared" si="2"/>
        <v>109812.58025277779</v>
      </c>
      <c r="F7" s="3"/>
      <c r="G7" s="28"/>
      <c r="H7" s="10"/>
      <c r="I7" s="10">
        <f t="shared" si="5"/>
        <v>159</v>
      </c>
      <c r="J7" s="10">
        <f t="shared" si="3"/>
        <v>721500533.33243871</v>
      </c>
      <c r="K7" s="11">
        <f t="shared" si="4"/>
        <v>2.4799999999999933E-2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4427926.6230958933</v>
      </c>
      <c r="D8" s="11">
        <v>2.4199999999999999E-2</v>
      </c>
      <c r="E8" s="10">
        <f t="shared" si="2"/>
        <v>104623.92528697569</v>
      </c>
      <c r="F8" s="3"/>
      <c r="G8" s="28"/>
      <c r="H8" s="10"/>
      <c r="I8" s="10">
        <f t="shared" si="5"/>
        <v>159</v>
      </c>
      <c r="J8" s="10">
        <f t="shared" si="3"/>
        <v>704040333.07224703</v>
      </c>
      <c r="K8" s="11">
        <f t="shared" si="4"/>
        <v>2.4199999999999777E-2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4323302.6978089176</v>
      </c>
      <c r="D9" s="11">
        <v>2.3699999999999999E-2</v>
      </c>
      <c r="E9" s="10">
        <f t="shared" si="2"/>
        <v>100090.13767516986</v>
      </c>
      <c r="F9" s="3"/>
      <c r="G9" s="28"/>
      <c r="H9" s="10"/>
      <c r="I9" s="10">
        <f t="shared" si="5"/>
        <v>159</v>
      </c>
      <c r="J9" s="10">
        <f t="shared" si="3"/>
        <v>687405128.95161796</v>
      </c>
      <c r="K9" s="11">
        <f t="shared" si="4"/>
        <v>2.3700000000000054E-2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4223212.5601337478</v>
      </c>
      <c r="D10" s="11">
        <v>2.3400000000000001E-2</v>
      </c>
      <c r="E10" s="10">
        <f t="shared" si="2"/>
        <v>96563.585994850844</v>
      </c>
      <c r="F10" s="3"/>
      <c r="G10" s="28"/>
      <c r="H10" s="10"/>
      <c r="I10" s="10">
        <f t="shared" si="5"/>
        <v>159</v>
      </c>
      <c r="J10" s="10">
        <f t="shared" si="3"/>
        <v>671490797.06126595</v>
      </c>
      <c r="K10" s="11">
        <f t="shared" si="4"/>
        <v>2.3400000000000087E-2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4126648.9741388969</v>
      </c>
      <c r="D11" s="11">
        <v>2.35E-2</v>
      </c>
      <c r="E11" s="10">
        <f t="shared" si="2"/>
        <v>94749.634481939021</v>
      </c>
      <c r="F11" s="3"/>
      <c r="G11" s="28"/>
      <c r="H11" s="10"/>
      <c r="I11" s="10">
        <f t="shared" si="5"/>
        <v>159</v>
      </c>
      <c r="J11" s="10">
        <f t="shared" si="3"/>
        <v>656137186.88808465</v>
      </c>
      <c r="K11" s="11">
        <f t="shared" si="4"/>
        <v>2.3500000000000076E-2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4031899.3396569579</v>
      </c>
      <c r="D12" s="11">
        <v>2.4E-2</v>
      </c>
      <c r="E12" s="10">
        <f t="shared" si="2"/>
        <v>94497.640773210209</v>
      </c>
      <c r="F12" s="3"/>
      <c r="G12" s="28"/>
      <c r="H12" s="10"/>
      <c r="I12" s="10">
        <f t="shared" si="5"/>
        <v>159</v>
      </c>
      <c r="J12" s="10">
        <f t="shared" si="3"/>
        <v>641071995.00545633</v>
      </c>
      <c r="K12" s="11">
        <f t="shared" si="4"/>
        <v>2.4000000000000021E-2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3937401.6988837477</v>
      </c>
      <c r="D13" s="11">
        <v>2.4899999999999999E-2</v>
      </c>
      <c r="E13" s="10">
        <f t="shared" si="2"/>
        <v>95659.38364933664</v>
      </c>
      <c r="F13" s="3"/>
      <c r="G13" s="28"/>
      <c r="H13" s="10"/>
      <c r="I13" s="10">
        <f t="shared" si="5"/>
        <v>159</v>
      </c>
      <c r="J13" s="10">
        <f t="shared" si="3"/>
        <v>626046870.12251592</v>
      </c>
      <c r="K13" s="11">
        <f t="shared" si="4"/>
        <v>2.4900000000000144E-2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3841742.315234411</v>
      </c>
      <c r="D14" s="11">
        <v>2.5899999999999999E-2</v>
      </c>
      <c r="E14" s="10">
        <f t="shared" si="2"/>
        <v>96989.108065670356</v>
      </c>
      <c r="F14" s="3"/>
      <c r="G14" s="28"/>
      <c r="H14" s="10"/>
      <c r="I14" s="10">
        <f t="shared" si="5"/>
        <v>159</v>
      </c>
      <c r="J14" s="10">
        <f t="shared" si="3"/>
        <v>610837028.1222713</v>
      </c>
      <c r="K14" s="11">
        <f t="shared" si="4"/>
        <v>2.5899999999999812E-2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3744753.2071687407</v>
      </c>
      <c r="D15" s="11">
        <v>2.6800000000000001E-2</v>
      </c>
      <c r="E15" s="10">
        <f t="shared" si="2"/>
        <v>97739.955153994728</v>
      </c>
      <c r="F15" s="3"/>
      <c r="G15" s="28"/>
      <c r="H15" s="10"/>
      <c r="I15" s="10">
        <f t="shared" si="5"/>
        <v>159</v>
      </c>
      <c r="J15" s="10">
        <f t="shared" si="3"/>
        <v>595415759.93982983</v>
      </c>
      <c r="K15" s="11">
        <f t="shared" si="4"/>
        <v>2.6799999999999935E-2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3647013.252014746</v>
      </c>
      <c r="D16" s="11">
        <v>2.75E-2</v>
      </c>
      <c r="E16" s="10">
        <f t="shared" si="2"/>
        <v>97608.627182876691</v>
      </c>
      <c r="F16" s="3"/>
      <c r="G16" s="28"/>
      <c r="H16" s="10"/>
      <c r="I16" s="10">
        <f t="shared" si="5"/>
        <v>159</v>
      </c>
      <c r="J16" s="10">
        <f t="shared" si="3"/>
        <v>579875107.07034457</v>
      </c>
      <c r="K16" s="11">
        <f t="shared" si="4"/>
        <v>2.750000000000008E-2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3549404.6248318693</v>
      </c>
      <c r="D17" s="11">
        <v>2.7900000000000001E-2</v>
      </c>
      <c r="E17" s="10">
        <f t="shared" si="2"/>
        <v>96340.489379131701</v>
      </c>
      <c r="F17" s="3"/>
      <c r="G17" s="28"/>
      <c r="H17" s="10"/>
      <c r="I17" s="10">
        <f t="shared" si="5"/>
        <v>159</v>
      </c>
      <c r="J17" s="10">
        <f t="shared" si="3"/>
        <v>564355335.3482672</v>
      </c>
      <c r="K17" s="11">
        <f t="shared" si="4"/>
        <v>2.7900000000000036E-2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3453064.1354527376</v>
      </c>
      <c r="D18" s="11">
        <v>2.81E-2</v>
      </c>
      <c r="E18" s="10">
        <f t="shared" si="2"/>
        <v>94379.050876589958</v>
      </c>
      <c r="F18" s="3"/>
      <c r="G18" s="28"/>
      <c r="H18" s="10"/>
      <c r="I18" s="10">
        <f t="shared" si="5"/>
        <v>159</v>
      </c>
      <c r="J18" s="10">
        <f t="shared" si="3"/>
        <v>549037197.53698528</v>
      </c>
      <c r="K18" s="11">
        <f t="shared" si="4"/>
        <v>2.8100000000000014E-2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3358685.0845761476</v>
      </c>
      <c r="D19" s="11">
        <v>2.8000000000000001E-2</v>
      </c>
      <c r="E19" s="10">
        <f t="shared" si="2"/>
        <v>91481.694910634309</v>
      </c>
      <c r="F19" s="3"/>
      <c r="G19" s="28"/>
      <c r="H19" s="10"/>
      <c r="I19" s="10">
        <f t="shared" si="5"/>
        <v>159</v>
      </c>
      <c r="J19" s="10">
        <f t="shared" si="3"/>
        <v>534030928.44760746</v>
      </c>
      <c r="K19" s="11">
        <f t="shared" si="4"/>
        <v>2.8000000000000025E-2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3267203.3896655133</v>
      </c>
      <c r="D20" s="11">
        <v>2.7799999999999998E-2</v>
      </c>
      <c r="E20" s="10">
        <f t="shared" si="2"/>
        <v>88371.525815043133</v>
      </c>
      <c r="F20" s="3"/>
      <c r="G20" s="28"/>
      <c r="H20" s="10"/>
      <c r="I20" s="10">
        <f t="shared" si="5"/>
        <v>159</v>
      </c>
      <c r="J20" s="10">
        <f t="shared" si="3"/>
        <v>519485338.95681661</v>
      </c>
      <c r="K20" s="11">
        <f t="shared" si="4"/>
        <v>2.7800000000000047E-2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3178831.8638504702</v>
      </c>
      <c r="D21" s="11">
        <v>2.75E-2</v>
      </c>
      <c r="E21" s="10">
        <f t="shared" si="2"/>
        <v>85078.225066557992</v>
      </c>
      <c r="F21" s="3"/>
      <c r="G21" s="28"/>
      <c r="H21" s="10"/>
      <c r="I21" s="10">
        <f t="shared" si="5"/>
        <v>159</v>
      </c>
      <c r="J21" s="10">
        <f t="shared" si="3"/>
        <v>505434266.35222477</v>
      </c>
      <c r="K21" s="11">
        <f t="shared" si="4"/>
        <v>2.750000000000008E-2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3093753.6387839122</v>
      </c>
      <c r="D22" s="11">
        <v>2.7300000000000001E-2</v>
      </c>
      <c r="E22" s="10">
        <f t="shared" si="2"/>
        <v>82215.00471021235</v>
      </c>
      <c r="F22" s="3"/>
      <c r="G22" s="28"/>
      <c r="H22" s="10"/>
      <c r="I22" s="10">
        <f t="shared" si="5"/>
        <v>159</v>
      </c>
      <c r="J22" s="10">
        <f t="shared" si="3"/>
        <v>491906828.56664205</v>
      </c>
      <c r="K22" s="11">
        <f t="shared" si="4"/>
        <v>2.7300000000000102E-2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3011538.6340736998</v>
      </c>
      <c r="D23" s="11">
        <v>2.7E-2</v>
      </c>
      <c r="E23" s="10">
        <f t="shared" si="2"/>
        <v>79173.849191810936</v>
      </c>
      <c r="F23" s="3"/>
      <c r="G23" s="28"/>
      <c r="H23" s="10"/>
      <c r="I23" s="10">
        <f t="shared" si="5"/>
        <v>159</v>
      </c>
      <c r="J23" s="10">
        <f t="shared" si="3"/>
        <v>478834642.81771827</v>
      </c>
      <c r="K23" s="11">
        <f t="shared" si="4"/>
        <v>2.6999999999999913E-2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2932364.7848818889</v>
      </c>
      <c r="D24" s="11">
        <v>2.69E-2</v>
      </c>
      <c r="E24" s="10">
        <f t="shared" si="2"/>
        <v>76814.307832624763</v>
      </c>
      <c r="F24" s="3"/>
      <c r="G24" s="28"/>
      <c r="H24" s="10"/>
      <c r="I24" s="10">
        <f t="shared" si="5"/>
        <v>159</v>
      </c>
      <c r="J24" s="10">
        <f t="shared" si="3"/>
        <v>466246000.79622036</v>
      </c>
      <c r="K24" s="11">
        <f t="shared" si="4"/>
        <v>2.6899999999999924E-2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2855550.4770492641</v>
      </c>
      <c r="D25" s="11">
        <v>2.7199999999999998E-2</v>
      </c>
      <c r="E25" s="10">
        <f t="shared" si="2"/>
        <v>75614.264968594071</v>
      </c>
      <c r="F25" s="3"/>
      <c r="G25" s="28"/>
      <c r="H25" s="10"/>
      <c r="I25" s="10">
        <f t="shared" si="5"/>
        <v>159</v>
      </c>
      <c r="J25" s="10">
        <f t="shared" si="3"/>
        <v>454032525.850833</v>
      </c>
      <c r="K25" s="11">
        <f t="shared" si="4"/>
        <v>2.7199999999999891E-2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2779936.2120806701</v>
      </c>
      <c r="D26" s="11">
        <v>2.75E-2</v>
      </c>
      <c r="E26" s="10">
        <f t="shared" si="2"/>
        <v>74402.185724786948</v>
      </c>
      <c r="F26" s="3"/>
      <c r="G26" s="28"/>
      <c r="H26" s="10"/>
      <c r="I26" s="10">
        <f t="shared" si="5"/>
        <v>159</v>
      </c>
      <c r="J26" s="10">
        <f t="shared" si="3"/>
        <v>442009857.72082657</v>
      </c>
      <c r="K26" s="11">
        <f t="shared" si="4"/>
        <v>2.750000000000008E-2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2705534.0263558831</v>
      </c>
      <c r="D27" s="11">
        <v>2.81E-2</v>
      </c>
      <c r="E27" s="10">
        <f t="shared" si="2"/>
        <v>73947.579166034702</v>
      </c>
      <c r="F27" s="3"/>
      <c r="G27" s="28"/>
      <c r="H27" s="10"/>
      <c r="I27" s="10">
        <f t="shared" si="5"/>
        <v>159</v>
      </c>
      <c r="J27" s="10">
        <f t="shared" si="3"/>
        <v>430179910.19058543</v>
      </c>
      <c r="K27" s="11">
        <f t="shared" si="4"/>
        <v>2.8100000000000014E-2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2631586.4471898484</v>
      </c>
      <c r="D28" s="11">
        <v>2.87E-2</v>
      </c>
      <c r="E28" s="10">
        <f t="shared" si="2"/>
        <v>73419.394414647948</v>
      </c>
      <c r="F28" s="3"/>
      <c r="G28" s="28"/>
      <c r="H28" s="10"/>
      <c r="I28" s="10">
        <f t="shared" si="5"/>
        <v>159</v>
      </c>
      <c r="J28" s="10">
        <f t="shared" si="3"/>
        <v>418422245.10318589</v>
      </c>
      <c r="K28" s="11">
        <f t="shared" si="4"/>
        <v>2.8699999999999948E-2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2558167.0527752005</v>
      </c>
      <c r="D29" s="11">
        <v>2.9100000000000001E-2</v>
      </c>
      <c r="E29" s="10">
        <f t="shared" si="2"/>
        <v>72337.636027361732</v>
      </c>
      <c r="F29" s="3"/>
      <c r="G29" s="28"/>
      <c r="H29" s="10"/>
      <c r="I29" s="10">
        <f t="shared" si="5"/>
        <v>159</v>
      </c>
      <c r="J29" s="10">
        <f t="shared" si="3"/>
        <v>406748561.39125687</v>
      </c>
      <c r="K29" s="11">
        <f t="shared" si="4"/>
        <v>2.9099999999999904E-2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2485829.4167478387</v>
      </c>
      <c r="D30" s="11">
        <v>2.9499999999999998E-2</v>
      </c>
      <c r="E30" s="10">
        <f t="shared" si="2"/>
        <v>71230.663228811696</v>
      </c>
      <c r="F30" s="3"/>
      <c r="G30" s="28"/>
      <c r="H30" s="10"/>
      <c r="I30" s="10">
        <f t="shared" si="5"/>
        <v>159</v>
      </c>
      <c r="J30" s="10">
        <f t="shared" si="3"/>
        <v>395246877.26290637</v>
      </c>
      <c r="K30" s="11">
        <f t="shared" si="4"/>
        <v>2.9500000000000082E-2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2414598.753519027</v>
      </c>
      <c r="D31" s="11">
        <v>2.9899999999999999E-2</v>
      </c>
      <c r="E31" s="10">
        <f t="shared" si="2"/>
        <v>70100.497844663449</v>
      </c>
      <c r="F31" s="3"/>
      <c r="G31" s="28"/>
      <c r="H31" s="10"/>
      <c r="I31" s="10">
        <f t="shared" si="5"/>
        <v>159</v>
      </c>
      <c r="J31" s="10">
        <f t="shared" si="3"/>
        <v>383921201.80952531</v>
      </c>
      <c r="K31" s="11">
        <f t="shared" si="4"/>
        <v>2.9900000000000038E-2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2344498.2556743636</v>
      </c>
      <c r="D32" s="11">
        <v>3.0300000000000001E-2</v>
      </c>
      <c r="E32" s="10">
        <f t="shared" si="2"/>
        <v>68949.138257724233</v>
      </c>
      <c r="F32" s="3"/>
      <c r="G32" s="28"/>
      <c r="H32" s="10"/>
      <c r="I32" s="10">
        <f t="shared" si="5"/>
        <v>159</v>
      </c>
      <c r="J32" s="10">
        <f t="shared" si="3"/>
        <v>372775222.65222383</v>
      </c>
      <c r="K32" s="11">
        <f t="shared" si="4"/>
        <v>3.0299999999999994E-2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2275549.1174166393</v>
      </c>
      <c r="D33" s="11">
        <v>3.0700000000000002E-2</v>
      </c>
      <c r="E33" s="10">
        <f t="shared" si="2"/>
        <v>67778.556228476577</v>
      </c>
      <c r="F33" s="3"/>
      <c r="G33" s="28"/>
      <c r="H33" s="10"/>
      <c r="I33" s="10">
        <f t="shared" si="5"/>
        <v>159</v>
      </c>
      <c r="J33" s="10">
        <f t="shared" si="3"/>
        <v>361812309.66924566</v>
      </c>
      <c r="K33" s="11">
        <f t="shared" si="4"/>
        <v>3.069999999999995E-2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2207770.5611881628</v>
      </c>
      <c r="D34" s="11">
        <v>3.1E-2</v>
      </c>
      <c r="E34" s="10">
        <f t="shared" si="2"/>
        <v>66383.013963950332</v>
      </c>
      <c r="F34" s="3"/>
      <c r="G34" s="28"/>
      <c r="H34" s="10"/>
      <c r="I34" s="10">
        <f t="shared" si="5"/>
        <v>159</v>
      </c>
      <c r="J34" s="10">
        <f t="shared" ref="J34:J65" si="6">IF(I34="","",I34*C34)</f>
        <v>351035519.2289179</v>
      </c>
      <c r="K34" s="11">
        <f t="shared" ref="K34:K65" si="7">IFERROR(J34/J35-1,"")</f>
        <v>3.0999999999999917E-2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2141387.5472242124</v>
      </c>
      <c r="D35" s="11">
        <v>3.1199999999999999E-2</v>
      </c>
      <c r="E35" s="10">
        <f t="shared" si="2"/>
        <v>64789.848209266318</v>
      </c>
      <c r="F35" s="3"/>
      <c r="G35" s="28"/>
      <c r="H35" s="10"/>
      <c r="I35" s="10">
        <f t="shared" ref="I35:I66" si="8">IF(H35&lt;&gt;"",H35,I34/(1+IF(G34="",0,G34)/100))</f>
        <v>159</v>
      </c>
      <c r="J35" s="10">
        <f t="shared" si="6"/>
        <v>340480620.00864977</v>
      </c>
      <c r="K35" s="11">
        <f t="shared" si="7"/>
        <v>3.1200000000000117E-2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2076597.6990149461</v>
      </c>
      <c r="D36" s="11">
        <v>3.1199999999999999E-2</v>
      </c>
      <c r="E36" s="10">
        <f t="shared" si="2"/>
        <v>62829.565757628065</v>
      </c>
      <c r="F36" s="3"/>
      <c r="G36" s="28"/>
      <c r="H36" s="10"/>
      <c r="I36" s="10">
        <f t="shared" si="8"/>
        <v>159</v>
      </c>
      <c r="J36" s="10">
        <f t="shared" si="6"/>
        <v>330179034.14337641</v>
      </c>
      <c r="K36" s="11">
        <f t="shared" si="7"/>
        <v>3.1199999999999672E-2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2013768.1332573181</v>
      </c>
      <c r="D37" s="11">
        <v>3.1E-2</v>
      </c>
      <c r="E37" s="10">
        <f t="shared" si="2"/>
        <v>60549.769283197587</v>
      </c>
      <c r="F37" s="3"/>
      <c r="G37" s="28"/>
      <c r="H37" s="10"/>
      <c r="I37" s="10">
        <f t="shared" si="8"/>
        <v>159</v>
      </c>
      <c r="J37" s="10">
        <f t="shared" si="6"/>
        <v>320189133.1879136</v>
      </c>
      <c r="K37" s="11">
        <f t="shared" si="7"/>
        <v>3.0999999999999917E-2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1953218.3639741205</v>
      </c>
      <c r="D38" s="11">
        <v>3.0599999999999999E-2</v>
      </c>
      <c r="E38" s="10">
        <f t="shared" si="2"/>
        <v>57993.869529990247</v>
      </c>
      <c r="F38" s="3"/>
      <c r="G38" s="28"/>
      <c r="H38" s="10"/>
      <c r="I38" s="10">
        <f t="shared" si="8"/>
        <v>159</v>
      </c>
      <c r="J38" s="10">
        <f t="shared" si="6"/>
        <v>310561719.87188518</v>
      </c>
      <c r="K38" s="11">
        <f t="shared" si="7"/>
        <v>3.0599999999999961E-2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1895224.4944441302</v>
      </c>
      <c r="D39" s="11">
        <v>3.0099999999999998E-2</v>
      </c>
      <c r="E39" s="10">
        <f t="shared" si="2"/>
        <v>55379.339173641754</v>
      </c>
      <c r="F39" s="3"/>
      <c r="G39" s="28"/>
      <c r="H39" s="10"/>
      <c r="I39" s="10">
        <f t="shared" si="8"/>
        <v>159</v>
      </c>
      <c r="J39" s="10">
        <f t="shared" si="6"/>
        <v>301340694.61661673</v>
      </c>
      <c r="K39" s="11">
        <f t="shared" si="7"/>
        <v>3.0100000000000238E-2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1839845.1552704885</v>
      </c>
      <c r="D40" s="11">
        <v>2.9499999999999998E-2</v>
      </c>
      <c r="E40" s="10">
        <f t="shared" si="2"/>
        <v>52720.186576473527</v>
      </c>
      <c r="F40" s="3"/>
      <c r="G40" s="28"/>
      <c r="H40" s="10"/>
      <c r="I40" s="10">
        <f t="shared" si="8"/>
        <v>159</v>
      </c>
      <c r="J40" s="10">
        <f t="shared" si="6"/>
        <v>292535379.68800765</v>
      </c>
      <c r="K40" s="11">
        <f t="shared" si="7"/>
        <v>2.949999999999986E-2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1787124.9686940149</v>
      </c>
      <c r="D41" s="11">
        <v>2.8799999999999999E-2</v>
      </c>
      <c r="E41" s="10">
        <f t="shared" si="2"/>
        <v>50028.381705275504</v>
      </c>
      <c r="F41" s="3"/>
      <c r="G41" s="28"/>
      <c r="H41" s="10"/>
      <c r="I41" s="10">
        <f t="shared" si="8"/>
        <v>159</v>
      </c>
      <c r="J41" s="10">
        <f t="shared" si="6"/>
        <v>284152870.0223484</v>
      </c>
      <c r="K41" s="11">
        <f t="shared" si="7"/>
        <v>2.8799999999999937E-2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1737096.5869887394</v>
      </c>
      <c r="D42" s="11">
        <v>2.8199999999999999E-2</v>
      </c>
      <c r="E42" s="10">
        <f t="shared" si="2"/>
        <v>47642.60236635129</v>
      </c>
      <c r="F42" s="3"/>
      <c r="G42" s="28"/>
      <c r="H42" s="10"/>
      <c r="I42" s="10">
        <f t="shared" si="8"/>
        <v>159</v>
      </c>
      <c r="J42" s="10">
        <f t="shared" si="6"/>
        <v>276198357.3312096</v>
      </c>
      <c r="K42" s="11">
        <f t="shared" si="7"/>
        <v>2.8200000000000003E-2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1689453.9846223881</v>
      </c>
      <c r="D43" s="11">
        <v>2.7799999999999998E-2</v>
      </c>
      <c r="E43" s="10">
        <f t="shared" si="2"/>
        <v>45696.459206560161</v>
      </c>
      <c r="F43" s="3"/>
      <c r="G43" s="28"/>
      <c r="H43" s="10"/>
      <c r="I43" s="10">
        <f t="shared" si="8"/>
        <v>159</v>
      </c>
      <c r="J43" s="10">
        <f t="shared" si="6"/>
        <v>268623183.55495971</v>
      </c>
      <c r="K43" s="11">
        <f t="shared" si="7"/>
        <v>2.7800000000000047E-2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1643757.525415828</v>
      </c>
      <c r="D44" s="11">
        <v>2.75E-2</v>
      </c>
      <c r="E44" s="10">
        <f t="shared" si="2"/>
        <v>43993.510412589181</v>
      </c>
      <c r="F44" s="3"/>
      <c r="G44" s="28"/>
      <c r="H44" s="10"/>
      <c r="I44" s="10">
        <f t="shared" si="8"/>
        <v>159</v>
      </c>
      <c r="J44" s="10">
        <f t="shared" si="6"/>
        <v>261357446.54111665</v>
      </c>
      <c r="K44" s="11">
        <f t="shared" si="7"/>
        <v>2.750000000000008E-2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1599764.0150032388</v>
      </c>
      <c r="D45" s="11">
        <v>2.75E-2</v>
      </c>
      <c r="E45" s="10">
        <f t="shared" si="2"/>
        <v>42816.068528067321</v>
      </c>
      <c r="F45" s="3"/>
      <c r="G45" s="28"/>
      <c r="H45" s="10"/>
      <c r="I45" s="10">
        <f t="shared" si="8"/>
        <v>159</v>
      </c>
      <c r="J45" s="10">
        <f t="shared" si="6"/>
        <v>254362478.38551497</v>
      </c>
      <c r="K45" s="11">
        <f t="shared" si="7"/>
        <v>2.750000000000008E-2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1556947.9464751715</v>
      </c>
      <c r="D46" s="11">
        <v>2.7699999999999999E-2</v>
      </c>
      <c r="E46" s="10">
        <f t="shared" si="2"/>
        <v>41965.026872980874</v>
      </c>
      <c r="F46" s="3"/>
      <c r="G46" s="28"/>
      <c r="H46" s="10"/>
      <c r="I46" s="10">
        <f t="shared" si="8"/>
        <v>159</v>
      </c>
      <c r="J46" s="10">
        <f t="shared" si="6"/>
        <v>247554723.48955226</v>
      </c>
      <c r="K46" s="11">
        <f t="shared" si="7"/>
        <v>2.7700000000000058E-2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1514982.9196021906</v>
      </c>
      <c r="D47" s="11">
        <v>2.8199999999999999E-2</v>
      </c>
      <c r="E47" s="10">
        <f t="shared" si="2"/>
        <v>41550.786162985489</v>
      </c>
      <c r="F47" s="3"/>
      <c r="G47" s="28"/>
      <c r="H47" s="10"/>
      <c r="I47" s="10">
        <f t="shared" si="8"/>
        <v>159</v>
      </c>
      <c r="J47" s="10">
        <f t="shared" si="6"/>
        <v>240882284.2167483</v>
      </c>
      <c r="K47" s="11">
        <f t="shared" si="7"/>
        <v>2.8199999999999781E-2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1473432.1334392051</v>
      </c>
      <c r="D48" s="11">
        <v>2.87E-2</v>
      </c>
      <c r="E48" s="10">
        <f t="shared" si="2"/>
        <v>41107.710926125292</v>
      </c>
      <c r="F48" s="3"/>
      <c r="G48" s="28"/>
      <c r="H48" s="10"/>
      <c r="I48" s="10">
        <f t="shared" si="8"/>
        <v>159</v>
      </c>
      <c r="J48" s="10">
        <f t="shared" si="6"/>
        <v>234275709.21683362</v>
      </c>
      <c r="K48" s="11">
        <f t="shared" si="7"/>
        <v>2.8699999999999948E-2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1432324.4225130798</v>
      </c>
      <c r="D49" s="11">
        <v>2.9100000000000001E-2</v>
      </c>
      <c r="E49" s="10">
        <f t="shared" si="2"/>
        <v>40502.03157626139</v>
      </c>
      <c r="F49" s="3"/>
      <c r="G49" s="28"/>
      <c r="H49" s="10"/>
      <c r="I49" s="10">
        <f t="shared" si="8"/>
        <v>159</v>
      </c>
      <c r="J49" s="10">
        <f t="shared" si="6"/>
        <v>227739583.1795797</v>
      </c>
      <c r="K49" s="11">
        <f t="shared" si="7"/>
        <v>2.9099999999999904E-2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1391822.3909368184</v>
      </c>
      <c r="D50" s="11">
        <v>2.9399999999999999E-2</v>
      </c>
      <c r="E50" s="10">
        <f t="shared" si="2"/>
        <v>39750.901781175984</v>
      </c>
      <c r="F50" s="3"/>
      <c r="G50" s="28"/>
      <c r="H50" s="10"/>
      <c r="I50" s="10">
        <f t="shared" si="8"/>
        <v>159</v>
      </c>
      <c r="J50" s="10">
        <f t="shared" si="6"/>
        <v>221299760.15895414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1352071.4891556425</v>
      </c>
      <c r="D51" s="11">
        <v>2.9600000000000001E-2</v>
      </c>
      <c r="E51" s="10">
        <f t="shared" si="2"/>
        <v>38870.742112477776</v>
      </c>
      <c r="F51" s="3"/>
      <c r="G51" s="28"/>
      <c r="H51" s="10"/>
      <c r="I51" s="10">
        <f t="shared" si="8"/>
        <v>159</v>
      </c>
      <c r="J51" s="10">
        <f t="shared" si="6"/>
        <v>214979366.77574715</v>
      </c>
      <c r="K51" s="11">
        <f t="shared" si="7"/>
        <v>2.9600000000000071E-2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1313200.7470431647</v>
      </c>
      <c r="D52" s="11">
        <v>2.9600000000000001E-2</v>
      </c>
      <c r="E52" s="10">
        <f t="shared" si="2"/>
        <v>37753.246029990027</v>
      </c>
      <c r="F52" s="3"/>
      <c r="G52" s="28"/>
      <c r="H52" s="10"/>
      <c r="I52" s="10">
        <f t="shared" si="8"/>
        <v>159</v>
      </c>
      <c r="J52" s="10">
        <f t="shared" si="6"/>
        <v>208798918.77986318</v>
      </c>
      <c r="K52" s="11">
        <f t="shared" si="7"/>
        <v>2.9599999999999849E-2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1275447.5010131747</v>
      </c>
      <c r="D53" s="11">
        <v>2.9499999999999998E-2</v>
      </c>
      <c r="E53" s="10">
        <f t="shared" si="2"/>
        <v>36547.548596297856</v>
      </c>
      <c r="F53" s="3"/>
      <c r="G53" s="28"/>
      <c r="H53" s="10"/>
      <c r="I53" s="10">
        <f t="shared" si="8"/>
        <v>159</v>
      </c>
      <c r="J53" s="10">
        <f t="shared" si="6"/>
        <v>202796152.66109478</v>
      </c>
      <c r="K53" s="11">
        <f t="shared" si="7"/>
        <v>2.9500000000000082E-2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1238899.9524168768</v>
      </c>
      <c r="D54" s="11">
        <v>2.92E-2</v>
      </c>
      <c r="E54" s="10">
        <f t="shared" si="2"/>
        <v>35149.512835768284</v>
      </c>
      <c r="F54" s="3"/>
      <c r="G54" s="28"/>
      <c r="H54" s="10"/>
      <c r="I54" s="10">
        <f t="shared" si="8"/>
        <v>159</v>
      </c>
      <c r="J54" s="10">
        <f t="shared" si="6"/>
        <v>196985092.43428341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1203750.4395811085</v>
      </c>
      <c r="D55" s="11">
        <v>2.8799999999999999E-2</v>
      </c>
      <c r="E55" s="10">
        <f t="shared" si="2"/>
        <v>33697.523969611153</v>
      </c>
      <c r="F55" s="3"/>
      <c r="G55" s="28"/>
      <c r="H55" s="10"/>
      <c r="I55" s="10">
        <f t="shared" si="8"/>
        <v>159</v>
      </c>
      <c r="J55" s="10">
        <f t="shared" si="6"/>
        <v>191396319.89339626</v>
      </c>
      <c r="K55" s="11">
        <f t="shared" si="7"/>
        <v>2.8799999999999937E-2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1170052.9156114974</v>
      </c>
      <c r="D56" s="11">
        <v>2.8299999999999999E-2</v>
      </c>
      <c r="E56" s="10">
        <f t="shared" si="2"/>
        <v>32201.203454055591</v>
      </c>
      <c r="F56" s="3"/>
      <c r="G56" s="28"/>
      <c r="H56" s="10"/>
      <c r="I56" s="10">
        <f t="shared" si="8"/>
        <v>159</v>
      </c>
      <c r="J56" s="10">
        <f t="shared" si="6"/>
        <v>186038413.58222809</v>
      </c>
      <c r="K56" s="11">
        <f t="shared" si="7"/>
        <v>2.8299999999999992E-2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1137851.7121574418</v>
      </c>
      <c r="D57" s="11">
        <v>2.76E-2</v>
      </c>
      <c r="E57" s="10">
        <f t="shared" si="2"/>
        <v>30561.21764844819</v>
      </c>
      <c r="F57" s="3"/>
      <c r="G57" s="28"/>
      <c r="H57" s="10"/>
      <c r="I57" s="10">
        <f t="shared" si="8"/>
        <v>159</v>
      </c>
      <c r="J57" s="10">
        <f t="shared" si="6"/>
        <v>180918422.23303324</v>
      </c>
      <c r="K57" s="11">
        <f t="shared" si="7"/>
        <v>2.7600000000000069E-2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1107290.4945089936</v>
      </c>
      <c r="D58" s="11">
        <v>2.69E-2</v>
      </c>
      <c r="E58" s="10">
        <f t="shared" si="2"/>
        <v>29005.856755567016</v>
      </c>
      <c r="F58" s="3"/>
      <c r="G58" s="28"/>
      <c r="H58" s="10"/>
      <c r="I58" s="10">
        <f t="shared" si="8"/>
        <v>159</v>
      </c>
      <c r="J58" s="10">
        <f t="shared" si="6"/>
        <v>176059188.62692997</v>
      </c>
      <c r="K58" s="11">
        <f t="shared" si="7"/>
        <v>2.6899999999999702E-2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1078284.6377534266</v>
      </c>
      <c r="D59" s="11">
        <v>2.6100000000000002E-2</v>
      </c>
      <c r="E59" s="10">
        <f t="shared" si="2"/>
        <v>27427.374569110572</v>
      </c>
      <c r="F59" s="3"/>
      <c r="G59" s="28"/>
      <c r="H59" s="10"/>
      <c r="I59" s="10">
        <f t="shared" si="8"/>
        <v>159</v>
      </c>
      <c r="J59" s="10">
        <f t="shared" si="6"/>
        <v>171447257.40279484</v>
      </c>
      <c r="K59" s="11">
        <f t="shared" si="7"/>
        <v>2.6100000000000012E-2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1050857.263184316</v>
      </c>
      <c r="D60" s="11">
        <v>2.5399999999999999E-2</v>
      </c>
      <c r="E60" s="10">
        <f t="shared" si="2"/>
        <v>26030.597313128295</v>
      </c>
      <c r="F60" s="3"/>
      <c r="G60" s="28"/>
      <c r="H60" s="10"/>
      <c r="I60" s="10">
        <f t="shared" si="8"/>
        <v>159</v>
      </c>
      <c r="J60" s="10">
        <f t="shared" si="6"/>
        <v>167086304.84630623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1024826.6658711877</v>
      </c>
      <c r="D61" s="11">
        <v>2.47E-2</v>
      </c>
      <c r="E61" s="10">
        <f t="shared" si="2"/>
        <v>24703.053232183331</v>
      </c>
      <c r="F61" s="3"/>
      <c r="G61" s="28"/>
      <c r="H61" s="10"/>
      <c r="I61" s="10">
        <f t="shared" si="8"/>
        <v>159</v>
      </c>
      <c r="J61" s="10">
        <f t="shared" si="6"/>
        <v>162947439.87351885</v>
      </c>
      <c r="K61" s="11">
        <f t="shared" si="7"/>
        <v>2.4699999999999944E-2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1000123.6126390044</v>
      </c>
      <c r="D62" s="11">
        <v>2.4E-2</v>
      </c>
      <c r="E62" s="10">
        <f t="shared" si="2"/>
        <v>23440.397171226679</v>
      </c>
      <c r="F62" s="3"/>
      <c r="G62" s="28"/>
      <c r="H62" s="10"/>
      <c r="I62" s="10">
        <f t="shared" si="8"/>
        <v>159</v>
      </c>
      <c r="J62" s="10">
        <f t="shared" si="6"/>
        <v>159019654.40960169</v>
      </c>
      <c r="K62" s="11">
        <f t="shared" si="7"/>
        <v>2.4000000000000021E-2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976683.21546777769</v>
      </c>
      <c r="D63" s="11">
        <v>2.3300000000000001E-2</v>
      </c>
      <c r="E63" s="10">
        <f t="shared" si="2"/>
        <v>22238.560461643036</v>
      </c>
      <c r="F63" s="3"/>
      <c r="G63" s="28"/>
      <c r="H63" s="10"/>
      <c r="I63" s="10">
        <f t="shared" si="8"/>
        <v>159</v>
      </c>
      <c r="J63" s="10">
        <f t="shared" si="6"/>
        <v>155292631.25937665</v>
      </c>
      <c r="K63" s="11">
        <f t="shared" si="7"/>
        <v>2.3300000000000098E-2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954444.65500613465</v>
      </c>
      <c r="D64" s="11">
        <v>2.2599999999999999E-2</v>
      </c>
      <c r="E64" s="10">
        <f t="shared" si="2"/>
        <v>21093.730885134544</v>
      </c>
      <c r="F64" s="3"/>
      <c r="G64" s="28"/>
      <c r="H64" s="10"/>
      <c r="I64" s="10">
        <f t="shared" si="8"/>
        <v>159</v>
      </c>
      <c r="J64" s="10">
        <f t="shared" si="6"/>
        <v>151756700.14597541</v>
      </c>
      <c r="K64" s="11">
        <f t="shared" si="7"/>
        <v>2.2599999999999953E-2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933350.92412100011</v>
      </c>
      <c r="D65" s="11">
        <v>2.1899999999999999E-2</v>
      </c>
      <c r="E65" s="10">
        <f t="shared" si="2"/>
        <v>20002.334121000022</v>
      </c>
      <c r="F65" s="3"/>
      <c r="G65" s="28"/>
      <c r="H65" s="10"/>
      <c r="I65" s="10">
        <f t="shared" si="8"/>
        <v>159</v>
      </c>
      <c r="J65" s="10">
        <f t="shared" si="6"/>
        <v>148402796.93523902</v>
      </c>
      <c r="K65" s="11">
        <f t="shared" si="7"/>
        <v>2.1900000000000031E-2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913348.59000000008</v>
      </c>
      <c r="D66" s="11">
        <v>2.1299999999999999E-2</v>
      </c>
      <c r="E66" s="10">
        <f t="shared" si="2"/>
        <v>19048.590000000084</v>
      </c>
      <c r="F66" s="24">
        <f>SUM(F2)</f>
        <v>5131190</v>
      </c>
      <c r="G66" s="28"/>
      <c r="H66" s="10"/>
      <c r="I66" s="10">
        <f t="shared" si="8"/>
        <v>159</v>
      </c>
      <c r="J66" s="10">
        <f t="shared" ref="J66:J67" si="9">IF(I66="","",I66*C66)</f>
        <v>145222425.81</v>
      </c>
      <c r="K66" s="11">
        <f t="shared" ref="K66" si="10">IFERROR(J66/J67-1,"")</f>
        <v>2.1300000000000097E-2</v>
      </c>
    </row>
    <row r="67" spans="1:11" ht="22.5" customHeight="1">
      <c r="A67" s="3">
        <f t="shared" si="0"/>
        <v>1950</v>
      </c>
      <c r="B67" s="3">
        <v>1700</v>
      </c>
      <c r="C67" s="10">
        <v>894300</v>
      </c>
      <c r="D67" s="11">
        <v>2.07E-2</v>
      </c>
      <c r="E67" s="3" t="s">
        <v>72</v>
      </c>
      <c r="F67" s="10">
        <f>SUM(C2)</f>
        <v>5131526.1085583651</v>
      </c>
      <c r="G67" s="28"/>
      <c r="H67" s="10"/>
      <c r="I67" s="10">
        <f t="shared" ref="I67" si="11">IF(H67&lt;&gt;"",H67,I66/(1+IF(G66="",0,G66)/100))</f>
        <v>159</v>
      </c>
      <c r="J67" s="10">
        <f t="shared" si="9"/>
        <v>142193700</v>
      </c>
      <c r="K67" s="11"/>
    </row>
  </sheetData>
  <dataValidations count="1">
    <dataValidation type="custom" allowBlank="1" showDropDown="1" sqref="D2:D67" xr:uid="{00000000-0002-0000-A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447989.69281208352</v>
      </c>
      <c r="D2" s="11">
        <v>1.3599999999999999E-2</v>
      </c>
      <c r="E2" s="10">
        <f t="shared" ref="E2:E66" si="2">SUM(C2-C3)</f>
        <v>6010.9114268393605</v>
      </c>
      <c r="F2" s="15">
        <v>447879</v>
      </c>
      <c r="G2" s="28"/>
      <c r="H2" s="10"/>
      <c r="I2" s="10">
        <f>IF(H2&lt;&gt;"",H2,18492)</f>
        <v>18492</v>
      </c>
      <c r="J2" s="10">
        <f t="shared" ref="J2:J33" si="3">IF(I2="","",I2*C2)</f>
        <v>8284225399.4810486</v>
      </c>
      <c r="K2" s="11">
        <f t="shared" ref="K2:K33" si="4">IFERROR(J2/J3-1,"")</f>
        <v>1.3600000000000056E-2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441978.78138524416</v>
      </c>
      <c r="D3" s="11">
        <v>1.43E-2</v>
      </c>
      <c r="E3" s="10">
        <f t="shared" si="2"/>
        <v>6231.1905489588971</v>
      </c>
      <c r="F3" s="3"/>
      <c r="G3" s="28"/>
      <c r="H3" s="10"/>
      <c r="I3" s="10">
        <f t="shared" ref="I3:I34" si="5">IF(H3&lt;&gt;"",H3,I2/(1+IF(G2="",0,G2)/100))</f>
        <v>18492</v>
      </c>
      <c r="J3" s="10">
        <f t="shared" si="3"/>
        <v>8173071625.3759346</v>
      </c>
      <c r="K3" s="11">
        <f t="shared" si="4"/>
        <v>1.4299999999999979E-2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435747.59083628526</v>
      </c>
      <c r="D4" s="11">
        <v>1.5100000000000001E-2</v>
      </c>
      <c r="E4" s="10">
        <f t="shared" si="2"/>
        <v>6481.9117541403393</v>
      </c>
      <c r="F4" s="3"/>
      <c r="G4" s="28"/>
      <c r="H4" s="10"/>
      <c r="I4" s="10">
        <f t="shared" si="5"/>
        <v>18492</v>
      </c>
      <c r="J4" s="10">
        <f t="shared" si="3"/>
        <v>8057844449.7445869</v>
      </c>
      <c r="K4" s="11">
        <f t="shared" si="4"/>
        <v>1.5099999999999891E-2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429265.67908214492</v>
      </c>
      <c r="D5" s="11">
        <v>1.5699999999999999E-2</v>
      </c>
      <c r="E5" s="10">
        <f t="shared" si="2"/>
        <v>6635.2969987099641</v>
      </c>
      <c r="F5" s="3"/>
      <c r="G5" s="28"/>
      <c r="H5" s="10"/>
      <c r="I5" s="10">
        <f t="shared" si="5"/>
        <v>18492</v>
      </c>
      <c r="J5" s="10">
        <f t="shared" si="3"/>
        <v>7937980937.5870237</v>
      </c>
      <c r="K5" s="11">
        <f t="shared" si="4"/>
        <v>1.5700000000000047E-2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422630.38208343496</v>
      </c>
      <c r="D6" s="11">
        <v>1.6199999999999999E-2</v>
      </c>
      <c r="E6" s="10">
        <f t="shared" si="2"/>
        <v>6737.4652526585851</v>
      </c>
      <c r="F6" s="3"/>
      <c r="G6" s="28"/>
      <c r="H6" s="10"/>
      <c r="I6" s="10">
        <f t="shared" si="5"/>
        <v>18492</v>
      </c>
      <c r="J6" s="10">
        <f t="shared" si="3"/>
        <v>7815281025.4868793</v>
      </c>
      <c r="K6" s="11">
        <f t="shared" si="4"/>
        <v>1.6199999999999992E-2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415892.91683077638</v>
      </c>
      <c r="D7" s="11">
        <v>1.6299999999999999E-2</v>
      </c>
      <c r="E7" s="10">
        <f t="shared" si="2"/>
        <v>6670.3281947669457</v>
      </c>
      <c r="F7" s="3"/>
      <c r="G7" s="28"/>
      <c r="H7" s="10"/>
      <c r="I7" s="10">
        <f t="shared" si="5"/>
        <v>18492</v>
      </c>
      <c r="J7" s="10">
        <f t="shared" si="3"/>
        <v>7690691818.0347166</v>
      </c>
      <c r="K7" s="11">
        <f t="shared" si="4"/>
        <v>1.6299999999999981E-2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409222.58863600943</v>
      </c>
      <c r="D8" s="11">
        <v>1.6199999999999999E-2</v>
      </c>
      <c r="E8" s="10">
        <f t="shared" si="2"/>
        <v>6523.7216452502762</v>
      </c>
      <c r="F8" s="3"/>
      <c r="G8" s="28"/>
      <c r="H8" s="10"/>
      <c r="I8" s="10">
        <f t="shared" si="5"/>
        <v>18492</v>
      </c>
      <c r="J8" s="10">
        <f t="shared" si="3"/>
        <v>7567344109.057086</v>
      </c>
      <c r="K8" s="11">
        <f t="shared" si="4"/>
        <v>1.6199999999999992E-2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402698.86699075915</v>
      </c>
      <c r="D9" s="11">
        <v>1.5900000000000001E-2</v>
      </c>
      <c r="E9" s="10">
        <f t="shared" si="2"/>
        <v>6302.6990699410089</v>
      </c>
      <c r="F9" s="3"/>
      <c r="G9" s="28"/>
      <c r="H9" s="10"/>
      <c r="I9" s="10">
        <f t="shared" si="5"/>
        <v>18492</v>
      </c>
      <c r="J9" s="10">
        <f t="shared" si="3"/>
        <v>7446707448.3931179</v>
      </c>
      <c r="K9" s="11">
        <f t="shared" si="4"/>
        <v>1.5899999999999803E-2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396396.16792081814</v>
      </c>
      <c r="D10" s="11">
        <v>1.5599999999999999E-2</v>
      </c>
      <c r="E10" s="10">
        <f t="shared" si="2"/>
        <v>6088.7950172949932</v>
      </c>
      <c r="F10" s="3"/>
      <c r="G10" s="28"/>
      <c r="H10" s="10"/>
      <c r="I10" s="10">
        <f t="shared" si="5"/>
        <v>18492</v>
      </c>
      <c r="J10" s="10">
        <f t="shared" si="3"/>
        <v>7330157937.1917696</v>
      </c>
      <c r="K10" s="11">
        <f t="shared" si="4"/>
        <v>1.560000000000028E-2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390307.37290352315</v>
      </c>
      <c r="D11" s="11">
        <v>1.55E-2</v>
      </c>
      <c r="E11" s="10">
        <f t="shared" si="2"/>
        <v>5957.4242048297892</v>
      </c>
      <c r="F11" s="3"/>
      <c r="G11" s="28"/>
      <c r="H11" s="10"/>
      <c r="I11" s="10">
        <f t="shared" si="5"/>
        <v>18492</v>
      </c>
      <c r="J11" s="10">
        <f t="shared" si="3"/>
        <v>7217563939.7319498</v>
      </c>
      <c r="K11" s="11">
        <f t="shared" si="4"/>
        <v>1.5500000000000069E-2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384349.94869869336</v>
      </c>
      <c r="D12" s="11">
        <v>1.5900000000000001E-2</v>
      </c>
      <c r="E12" s="10">
        <f t="shared" si="2"/>
        <v>6015.5174567469512</v>
      </c>
      <c r="F12" s="3"/>
      <c r="G12" s="28"/>
      <c r="H12" s="10"/>
      <c r="I12" s="10">
        <f t="shared" si="5"/>
        <v>18492</v>
      </c>
      <c r="J12" s="10">
        <f t="shared" si="3"/>
        <v>7107399251.3362379</v>
      </c>
      <c r="K12" s="11">
        <f t="shared" si="4"/>
        <v>1.5900000000000025E-2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378334.43124194641</v>
      </c>
      <c r="D13" s="11">
        <v>1.6400000000000001E-2</v>
      </c>
      <c r="E13" s="10">
        <f t="shared" si="2"/>
        <v>6104.569728815346</v>
      </c>
      <c r="F13" s="3"/>
      <c r="G13" s="28"/>
      <c r="H13" s="10"/>
      <c r="I13" s="10">
        <f t="shared" si="5"/>
        <v>18492</v>
      </c>
      <c r="J13" s="10">
        <f t="shared" si="3"/>
        <v>6996160302.5260735</v>
      </c>
      <c r="K13" s="11">
        <f t="shared" si="4"/>
        <v>1.639999999999997E-2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372229.86151313107</v>
      </c>
      <c r="D14" s="11">
        <v>1.72E-2</v>
      </c>
      <c r="E14" s="10">
        <f t="shared" si="2"/>
        <v>6294.0951809141552</v>
      </c>
      <c r="F14" s="3"/>
      <c r="G14" s="28"/>
      <c r="H14" s="10"/>
      <c r="I14" s="10">
        <f t="shared" si="5"/>
        <v>18492</v>
      </c>
      <c r="J14" s="10">
        <f t="shared" si="3"/>
        <v>6883274599.1008196</v>
      </c>
      <c r="K14" s="11">
        <f t="shared" si="4"/>
        <v>1.7200000000000104E-2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365935.76633221691</v>
      </c>
      <c r="D15" s="11">
        <v>1.7999999999999999E-2</v>
      </c>
      <c r="E15" s="10">
        <f t="shared" si="2"/>
        <v>6470.3770078388043</v>
      </c>
      <c r="F15" s="3"/>
      <c r="G15" s="28"/>
      <c r="H15" s="10"/>
      <c r="I15" s="10">
        <f t="shared" si="5"/>
        <v>18492</v>
      </c>
      <c r="J15" s="10">
        <f t="shared" si="3"/>
        <v>6766884191.0153551</v>
      </c>
      <c r="K15" s="11">
        <f t="shared" si="4"/>
        <v>1.8000000000000016E-2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359465.38932437811</v>
      </c>
      <c r="D16" s="11">
        <v>1.8599999999999998E-2</v>
      </c>
      <c r="E16" s="10">
        <f t="shared" si="2"/>
        <v>6563.9664651810308</v>
      </c>
      <c r="F16" s="3"/>
      <c r="G16" s="28"/>
      <c r="H16" s="10"/>
      <c r="I16" s="10">
        <f t="shared" si="5"/>
        <v>18492</v>
      </c>
      <c r="J16" s="10">
        <f t="shared" si="3"/>
        <v>6647233979.3864002</v>
      </c>
      <c r="K16" s="11">
        <f t="shared" si="4"/>
        <v>1.859999999999995E-2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352901.42285919708</v>
      </c>
      <c r="D17" s="11">
        <v>1.9099999999999999E-2</v>
      </c>
      <c r="E17" s="10">
        <f t="shared" si="2"/>
        <v>6614.0880940149655</v>
      </c>
      <c r="F17" s="3"/>
      <c r="G17" s="28"/>
      <c r="H17" s="10"/>
      <c r="I17" s="10">
        <f t="shared" si="5"/>
        <v>18492</v>
      </c>
      <c r="J17" s="10">
        <f t="shared" si="3"/>
        <v>6525853111.5122719</v>
      </c>
      <c r="K17" s="11">
        <f t="shared" si="4"/>
        <v>1.9099999999999895E-2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346287.33476518211</v>
      </c>
      <c r="D18" s="11">
        <v>1.9199999999999998E-2</v>
      </c>
      <c r="E18" s="10">
        <f t="shared" si="2"/>
        <v>6523.4662750113057</v>
      </c>
      <c r="F18" s="3"/>
      <c r="G18" s="28"/>
      <c r="H18" s="10"/>
      <c r="I18" s="10">
        <f t="shared" si="5"/>
        <v>18492</v>
      </c>
      <c r="J18" s="10">
        <f t="shared" si="3"/>
        <v>6403545394.4777479</v>
      </c>
      <c r="K18" s="11">
        <f t="shared" si="4"/>
        <v>1.9200000000000106E-2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339763.8684901708</v>
      </c>
      <c r="D19" s="11">
        <v>1.9400000000000001E-2</v>
      </c>
      <c r="E19" s="10">
        <f t="shared" si="2"/>
        <v>6465.9790550415637</v>
      </c>
      <c r="F19" s="3"/>
      <c r="G19" s="28"/>
      <c r="H19" s="10"/>
      <c r="I19" s="10">
        <f t="shared" si="5"/>
        <v>18492</v>
      </c>
      <c r="J19" s="10">
        <f t="shared" si="3"/>
        <v>6282913456.1202383</v>
      </c>
      <c r="K19" s="11">
        <f t="shared" si="4"/>
        <v>1.9400000000000084E-2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333297.88943512924</v>
      </c>
      <c r="D20" s="11">
        <v>1.95E-2</v>
      </c>
      <c r="E20" s="10">
        <f t="shared" si="2"/>
        <v>6374.9964139137301</v>
      </c>
      <c r="F20" s="3"/>
      <c r="G20" s="28"/>
      <c r="H20" s="10"/>
      <c r="I20" s="10">
        <f t="shared" si="5"/>
        <v>18492</v>
      </c>
      <c r="J20" s="10">
        <f t="shared" si="3"/>
        <v>6163344571.4344101</v>
      </c>
      <c r="K20" s="11">
        <f t="shared" si="4"/>
        <v>1.9500000000000295E-2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326922.89302121551</v>
      </c>
      <c r="D21" s="11">
        <v>1.9900000000000001E-2</v>
      </c>
      <c r="E21" s="10">
        <f t="shared" si="2"/>
        <v>6378.8269155036542</v>
      </c>
      <c r="F21" s="3"/>
      <c r="G21" s="28"/>
      <c r="H21" s="10"/>
      <c r="I21" s="10">
        <f t="shared" si="5"/>
        <v>18492</v>
      </c>
      <c r="J21" s="10">
        <f t="shared" si="3"/>
        <v>6045458137.7483168</v>
      </c>
      <c r="K21" s="11">
        <f t="shared" si="4"/>
        <v>1.9899999999999807E-2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320544.06610571186</v>
      </c>
      <c r="D22" s="11">
        <v>2.01E-2</v>
      </c>
      <c r="E22" s="10">
        <f t="shared" si="2"/>
        <v>6315.9844414516119</v>
      </c>
      <c r="F22" s="3"/>
      <c r="G22" s="28"/>
      <c r="H22" s="10"/>
      <c r="I22" s="10">
        <f t="shared" si="5"/>
        <v>18492</v>
      </c>
      <c r="J22" s="10">
        <f t="shared" si="3"/>
        <v>5927500870.4268236</v>
      </c>
      <c r="K22" s="11">
        <f t="shared" si="4"/>
        <v>2.0099999999999785E-2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314228.08166426024</v>
      </c>
      <c r="D23" s="11">
        <v>2.0199999999999999E-2</v>
      </c>
      <c r="E23" s="10">
        <f t="shared" si="2"/>
        <v>6221.7283372064703</v>
      </c>
      <c r="F23" s="3"/>
      <c r="G23" s="28"/>
      <c r="H23" s="10"/>
      <c r="I23" s="10">
        <f t="shared" si="5"/>
        <v>18492</v>
      </c>
      <c r="J23" s="10">
        <f t="shared" si="3"/>
        <v>5810705686.1355009</v>
      </c>
      <c r="K23" s="11">
        <f t="shared" si="4"/>
        <v>2.0200000000000218E-2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308006.35332705377</v>
      </c>
      <c r="D24" s="11">
        <v>2.0400000000000001E-2</v>
      </c>
      <c r="E24" s="10">
        <f t="shared" si="2"/>
        <v>6157.7122774126474</v>
      </c>
      <c r="F24" s="3"/>
      <c r="G24" s="28"/>
      <c r="H24" s="10"/>
      <c r="I24" s="10">
        <f t="shared" si="5"/>
        <v>18492</v>
      </c>
      <c r="J24" s="10">
        <f t="shared" si="3"/>
        <v>5695653485.7238779</v>
      </c>
      <c r="K24" s="11">
        <f t="shared" si="4"/>
        <v>2.0399999999999752E-2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301848.64104964113</v>
      </c>
      <c r="D25" s="11">
        <v>2.0500000000000001E-2</v>
      </c>
      <c r="E25" s="10">
        <f t="shared" si="2"/>
        <v>6063.5934752745088</v>
      </c>
      <c r="F25" s="3"/>
      <c r="G25" s="28"/>
      <c r="H25" s="10"/>
      <c r="I25" s="10">
        <f t="shared" si="5"/>
        <v>18492</v>
      </c>
      <c r="J25" s="10">
        <f t="shared" si="3"/>
        <v>5581785070.2899637</v>
      </c>
      <c r="K25" s="11">
        <f t="shared" si="4"/>
        <v>2.0499999999999963E-2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295785.04757436662</v>
      </c>
      <c r="D26" s="11">
        <v>2.0500000000000001E-2</v>
      </c>
      <c r="E26" s="10">
        <f t="shared" si="2"/>
        <v>5941.7868449529633</v>
      </c>
      <c r="F26" s="3"/>
      <c r="G26" s="28"/>
      <c r="H26" s="10"/>
      <c r="I26" s="10">
        <f t="shared" si="5"/>
        <v>18492</v>
      </c>
      <c r="J26" s="10">
        <f t="shared" si="3"/>
        <v>5469657099.7451878</v>
      </c>
      <c r="K26" s="11">
        <f t="shared" si="4"/>
        <v>2.0499999999999963E-2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289843.26072941365</v>
      </c>
      <c r="D27" s="11">
        <v>2.06E-2</v>
      </c>
      <c r="E27" s="10">
        <f t="shared" si="2"/>
        <v>5850.2558994962601</v>
      </c>
      <c r="F27" s="3"/>
      <c r="G27" s="28"/>
      <c r="H27" s="10"/>
      <c r="I27" s="10">
        <f t="shared" si="5"/>
        <v>18492</v>
      </c>
      <c r="J27" s="10">
        <f t="shared" si="3"/>
        <v>5359781577.4083176</v>
      </c>
      <c r="K27" s="11">
        <f t="shared" si="4"/>
        <v>2.0599999999999952E-2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283993.00482991739</v>
      </c>
      <c r="D28" s="11">
        <v>2.0799999999999999E-2</v>
      </c>
      <c r="E28" s="10">
        <f t="shared" si="2"/>
        <v>5786.6913209857303</v>
      </c>
      <c r="F28" s="3"/>
      <c r="G28" s="28"/>
      <c r="H28" s="10"/>
      <c r="I28" s="10">
        <f t="shared" si="5"/>
        <v>18492</v>
      </c>
      <c r="J28" s="10">
        <f t="shared" si="3"/>
        <v>5251598645.3148327</v>
      </c>
      <c r="K28" s="11">
        <f t="shared" si="4"/>
        <v>2.079999999999993E-2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278206.31350893166</v>
      </c>
      <c r="D29" s="11">
        <v>2.1100000000000001E-2</v>
      </c>
      <c r="E29" s="10">
        <f t="shared" si="2"/>
        <v>5748.8524287909386</v>
      </c>
      <c r="F29" s="3"/>
      <c r="G29" s="28"/>
      <c r="H29" s="10"/>
      <c r="I29" s="10">
        <f t="shared" si="5"/>
        <v>18492</v>
      </c>
      <c r="J29" s="10">
        <f t="shared" si="3"/>
        <v>5144591149.4071646</v>
      </c>
      <c r="K29" s="11">
        <f t="shared" si="4"/>
        <v>2.1099999999999897E-2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272457.46108014073</v>
      </c>
      <c r="D30" s="11">
        <v>2.1299999999999999E-2</v>
      </c>
      <c r="E30" s="10">
        <f t="shared" si="2"/>
        <v>5682.3107030324172</v>
      </c>
      <c r="F30" s="3"/>
      <c r="G30" s="28"/>
      <c r="H30" s="10"/>
      <c r="I30" s="10">
        <f t="shared" si="5"/>
        <v>18492</v>
      </c>
      <c r="J30" s="10">
        <f t="shared" si="3"/>
        <v>5038283370.2939625</v>
      </c>
      <c r="K30" s="11">
        <f t="shared" si="4"/>
        <v>2.1300000000000097E-2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266775.15037710831</v>
      </c>
      <c r="D31" s="11">
        <v>2.1399999999999999E-2</v>
      </c>
      <c r="E31" s="10">
        <f t="shared" si="2"/>
        <v>5589.3755806443514</v>
      </c>
      <c r="F31" s="3"/>
      <c r="G31" s="28"/>
      <c r="H31" s="10"/>
      <c r="I31" s="10">
        <f t="shared" si="5"/>
        <v>18492</v>
      </c>
      <c r="J31" s="10">
        <f t="shared" si="3"/>
        <v>4933206080.7734871</v>
      </c>
      <c r="K31" s="11">
        <f t="shared" si="4"/>
        <v>2.1400000000000308E-2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261185.77479646396</v>
      </c>
      <c r="D32" s="11">
        <v>2.1600000000000001E-2</v>
      </c>
      <c r="E32" s="10">
        <f t="shared" si="2"/>
        <v>5522.3303989855631</v>
      </c>
      <c r="F32" s="3"/>
      <c r="G32" s="28"/>
      <c r="H32" s="10"/>
      <c r="I32" s="10">
        <f t="shared" si="5"/>
        <v>18492</v>
      </c>
      <c r="J32" s="10">
        <f t="shared" si="3"/>
        <v>4829847347.536211</v>
      </c>
      <c r="K32" s="11">
        <f t="shared" si="4"/>
        <v>2.1600000000000064E-2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255663.44439747839</v>
      </c>
      <c r="D33" s="11">
        <v>2.18E-2</v>
      </c>
      <c r="E33" s="10">
        <f t="shared" si="2"/>
        <v>5454.5538147044717</v>
      </c>
      <c r="F33" s="3"/>
      <c r="G33" s="28"/>
      <c r="H33" s="10"/>
      <c r="I33" s="10">
        <f t="shared" si="5"/>
        <v>18492</v>
      </c>
      <c r="J33" s="10">
        <f t="shared" si="3"/>
        <v>4727728413.7981701</v>
      </c>
      <c r="K33" s="11">
        <f t="shared" si="4"/>
        <v>2.1800000000000042E-2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250208.89058277392</v>
      </c>
      <c r="D34" s="11">
        <v>2.2200000000000001E-2</v>
      </c>
      <c r="E34" s="10">
        <f t="shared" si="2"/>
        <v>5434.0025151023001</v>
      </c>
      <c r="F34" s="3"/>
      <c r="G34" s="28"/>
      <c r="H34" s="10"/>
      <c r="I34" s="10">
        <f t="shared" si="5"/>
        <v>18492</v>
      </c>
      <c r="J34" s="10">
        <f t="shared" ref="J34:J65" si="6">IF(I34="","",I34*C34)</f>
        <v>4626862804.6566553</v>
      </c>
      <c r="K34" s="11">
        <f t="shared" ref="K34:K65" si="7">IFERROR(J34/J35-1,"")</f>
        <v>2.2199999999999998E-2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244774.88806767162</v>
      </c>
      <c r="D35" s="11">
        <v>2.2700000000000001E-2</v>
      </c>
      <c r="E35" s="10">
        <f t="shared" si="2"/>
        <v>5433.059508297767</v>
      </c>
      <c r="F35" s="3"/>
      <c r="G35" s="28"/>
      <c r="H35" s="10"/>
      <c r="I35" s="10">
        <f t="shared" ref="I35:I66" si="8">IF(H35&lt;&gt;"",H35,I34/(1+IF(G34="",0,G34)/100))</f>
        <v>18492</v>
      </c>
      <c r="J35" s="10">
        <f t="shared" si="6"/>
        <v>4526377230.1473837</v>
      </c>
      <c r="K35" s="11">
        <f t="shared" si="7"/>
        <v>2.2699999999999942E-2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239341.82855937385</v>
      </c>
      <c r="D36" s="11">
        <v>2.35E-2</v>
      </c>
      <c r="E36" s="10">
        <f t="shared" si="2"/>
        <v>5495.3912761556567</v>
      </c>
      <c r="F36" s="3"/>
      <c r="G36" s="28"/>
      <c r="H36" s="10"/>
      <c r="I36" s="10">
        <f t="shared" si="8"/>
        <v>18492</v>
      </c>
      <c r="J36" s="10">
        <f t="shared" si="6"/>
        <v>4425909093.7199411</v>
      </c>
      <c r="K36" s="11">
        <f t="shared" si="7"/>
        <v>2.3500000000000076E-2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233846.4372832182</v>
      </c>
      <c r="D37" s="11">
        <v>2.4500000000000001E-2</v>
      </c>
      <c r="E37" s="10">
        <f t="shared" si="2"/>
        <v>5592.2281243912585</v>
      </c>
      <c r="F37" s="3"/>
      <c r="G37" s="28"/>
      <c r="H37" s="10"/>
      <c r="I37" s="10">
        <f t="shared" si="8"/>
        <v>18492</v>
      </c>
      <c r="J37" s="10">
        <f t="shared" si="6"/>
        <v>4324288318.241271</v>
      </c>
      <c r="K37" s="11">
        <f t="shared" si="7"/>
        <v>2.4499999999999966E-2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228254.20915882694</v>
      </c>
      <c r="D38" s="11">
        <v>2.5600000000000001E-2</v>
      </c>
      <c r="E38" s="10">
        <f t="shared" si="2"/>
        <v>5697.4529587226862</v>
      </c>
      <c r="F38" s="3"/>
      <c r="G38" s="28"/>
      <c r="H38" s="10"/>
      <c r="I38" s="10">
        <f t="shared" si="8"/>
        <v>18492</v>
      </c>
      <c r="J38" s="10">
        <f t="shared" si="6"/>
        <v>4220876835.765028</v>
      </c>
      <c r="K38" s="11">
        <f t="shared" si="7"/>
        <v>2.5600000000000067E-2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222556.75620010425</v>
      </c>
      <c r="D39" s="11">
        <v>2.6800000000000001E-2</v>
      </c>
      <c r="E39" s="10">
        <f t="shared" si="2"/>
        <v>5808.8440457370307</v>
      </c>
      <c r="F39" s="3"/>
      <c r="G39" s="28"/>
      <c r="H39" s="10"/>
      <c r="I39" s="10">
        <f t="shared" si="8"/>
        <v>18492</v>
      </c>
      <c r="J39" s="10">
        <f t="shared" si="6"/>
        <v>4115519535.652328</v>
      </c>
      <c r="K39" s="11">
        <f t="shared" si="7"/>
        <v>2.6799999999999935E-2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216747.91215436722</v>
      </c>
      <c r="D40" s="11">
        <v>2.81E-2</v>
      </c>
      <c r="E40" s="10">
        <f t="shared" si="2"/>
        <v>5924.1477789492346</v>
      </c>
      <c r="F40" s="3"/>
      <c r="G40" s="28"/>
      <c r="H40" s="10"/>
      <c r="I40" s="10">
        <f t="shared" si="8"/>
        <v>18492</v>
      </c>
      <c r="J40" s="10">
        <f t="shared" si="6"/>
        <v>4008102391.5585585</v>
      </c>
      <c r="K40" s="11">
        <f t="shared" si="7"/>
        <v>2.8100000000000014E-2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210823.76437541799</v>
      </c>
      <c r="D41" s="11">
        <v>2.9499999999999998E-2</v>
      </c>
      <c r="E41" s="10">
        <f t="shared" si="2"/>
        <v>6041.0889257647796</v>
      </c>
      <c r="F41" s="3"/>
      <c r="G41" s="28"/>
      <c r="H41" s="10"/>
      <c r="I41" s="10">
        <f t="shared" si="8"/>
        <v>18492</v>
      </c>
      <c r="J41" s="10">
        <f t="shared" si="6"/>
        <v>3898553050.8302293</v>
      </c>
      <c r="K41" s="11">
        <f t="shared" si="7"/>
        <v>2.9500000000000082E-2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204782.67544965321</v>
      </c>
      <c r="D42" s="11">
        <v>3.0800000000000001E-2</v>
      </c>
      <c r="E42" s="10">
        <f t="shared" si="2"/>
        <v>6118.8459486314678</v>
      </c>
      <c r="F42" s="3"/>
      <c r="G42" s="28"/>
      <c r="H42" s="10"/>
      <c r="I42" s="10">
        <f t="shared" si="8"/>
        <v>18492</v>
      </c>
      <c r="J42" s="10">
        <f t="shared" si="6"/>
        <v>3786841234.4149871</v>
      </c>
      <c r="K42" s="11">
        <f t="shared" si="7"/>
        <v>3.0799999999999939E-2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198663.82950102174</v>
      </c>
      <c r="D43" s="11">
        <v>3.1899999999999998E-2</v>
      </c>
      <c r="E43" s="10">
        <f t="shared" si="2"/>
        <v>6141.4634761920606</v>
      </c>
      <c r="F43" s="3"/>
      <c r="G43" s="28"/>
      <c r="H43" s="10"/>
      <c r="I43" s="10">
        <f t="shared" si="8"/>
        <v>18492</v>
      </c>
      <c r="J43" s="10">
        <f t="shared" si="6"/>
        <v>3673691535.132894</v>
      </c>
      <c r="K43" s="11">
        <f t="shared" si="7"/>
        <v>3.1900000000000039E-2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192522.36602482968</v>
      </c>
      <c r="D44" s="11">
        <v>3.3000000000000002E-2</v>
      </c>
      <c r="E44" s="10">
        <f t="shared" si="2"/>
        <v>6150.2788759141986</v>
      </c>
      <c r="F44" s="3"/>
      <c r="G44" s="28"/>
      <c r="H44" s="10"/>
      <c r="I44" s="10">
        <f t="shared" si="8"/>
        <v>18492</v>
      </c>
      <c r="J44" s="10">
        <f t="shared" si="6"/>
        <v>3560123592.5311503</v>
      </c>
      <c r="K44" s="11">
        <f t="shared" si="7"/>
        <v>3.2999999999999918E-2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186372.08714891548</v>
      </c>
      <c r="D45" s="11">
        <v>3.4000000000000002E-2</v>
      </c>
      <c r="E45" s="10">
        <f t="shared" si="2"/>
        <v>6128.2891325562086</v>
      </c>
      <c r="F45" s="3"/>
      <c r="G45" s="28"/>
      <c r="H45" s="10"/>
      <c r="I45" s="10">
        <f t="shared" si="8"/>
        <v>18492</v>
      </c>
      <c r="J45" s="10">
        <f t="shared" si="6"/>
        <v>3446392635.557745</v>
      </c>
      <c r="K45" s="11">
        <f t="shared" si="7"/>
        <v>3.400000000000003E-2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180243.79801635927</v>
      </c>
      <c r="D46" s="11">
        <v>3.5099999999999999E-2</v>
      </c>
      <c r="E46" s="10">
        <f t="shared" si="2"/>
        <v>6112.0252249774931</v>
      </c>
      <c r="F46" s="3"/>
      <c r="G46" s="28"/>
      <c r="H46" s="10"/>
      <c r="I46" s="10">
        <f t="shared" si="8"/>
        <v>18492</v>
      </c>
      <c r="J46" s="10">
        <f t="shared" si="6"/>
        <v>3333068312.9185157</v>
      </c>
      <c r="K46" s="11">
        <f t="shared" si="7"/>
        <v>3.5099999999999909E-2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174131.77279138178</v>
      </c>
      <c r="D47" s="11">
        <v>3.6200000000000003E-2</v>
      </c>
      <c r="E47" s="10">
        <f t="shared" si="2"/>
        <v>6083.352803559188</v>
      </c>
      <c r="F47" s="3"/>
      <c r="G47" s="28"/>
      <c r="H47" s="10"/>
      <c r="I47" s="10">
        <f t="shared" si="8"/>
        <v>18492</v>
      </c>
      <c r="J47" s="10">
        <f t="shared" si="6"/>
        <v>3220044742.4582319</v>
      </c>
      <c r="K47" s="11">
        <f t="shared" si="7"/>
        <v>3.620000000000001E-2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168048.41998782259</v>
      </c>
      <c r="D48" s="11">
        <v>3.73E-2</v>
      </c>
      <c r="E48" s="10">
        <f t="shared" si="2"/>
        <v>6042.8092794233235</v>
      </c>
      <c r="F48" s="3"/>
      <c r="G48" s="28"/>
      <c r="H48" s="10"/>
      <c r="I48" s="10">
        <f t="shared" si="8"/>
        <v>18492</v>
      </c>
      <c r="J48" s="10">
        <f t="shared" si="6"/>
        <v>3107551382.4148154</v>
      </c>
      <c r="K48" s="11">
        <f t="shared" si="7"/>
        <v>3.7300000000000111E-2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162005.61070839927</v>
      </c>
      <c r="D49" s="11">
        <v>3.8100000000000002E-2</v>
      </c>
      <c r="E49" s="10">
        <f t="shared" si="2"/>
        <v>5945.8758963394794</v>
      </c>
      <c r="F49" s="3"/>
      <c r="G49" s="28"/>
      <c r="H49" s="10"/>
      <c r="I49" s="10">
        <f t="shared" si="8"/>
        <v>18492</v>
      </c>
      <c r="J49" s="10">
        <f t="shared" si="6"/>
        <v>2995807753.2197194</v>
      </c>
      <c r="K49" s="11">
        <f t="shared" si="7"/>
        <v>3.8100000000000023E-2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156059.73481205979</v>
      </c>
      <c r="D50" s="11">
        <v>3.8399999999999997E-2</v>
      </c>
      <c r="E50" s="10">
        <f t="shared" si="2"/>
        <v>5771.0841841131623</v>
      </c>
      <c r="F50" s="3"/>
      <c r="G50" s="28"/>
      <c r="H50" s="10"/>
      <c r="I50" s="10">
        <f t="shared" si="8"/>
        <v>18492</v>
      </c>
      <c r="J50" s="10">
        <f t="shared" si="6"/>
        <v>2885856616.1446095</v>
      </c>
      <c r="K50" s="11">
        <f t="shared" si="7"/>
        <v>3.839999999999999E-2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150288.65062794663</v>
      </c>
      <c r="D51" s="11">
        <v>3.8199999999999998E-2</v>
      </c>
      <c r="E51" s="10">
        <f t="shared" si="2"/>
        <v>5529.7885320627538</v>
      </c>
      <c r="F51" s="3"/>
      <c r="G51" s="28"/>
      <c r="H51" s="10"/>
      <c r="I51" s="10">
        <f t="shared" si="8"/>
        <v>18492</v>
      </c>
      <c r="J51" s="10">
        <f t="shared" si="6"/>
        <v>2779137727.4119892</v>
      </c>
      <c r="K51" s="11">
        <f t="shared" si="7"/>
        <v>3.8200000000000012E-2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144758.86209588387</v>
      </c>
      <c r="D52" s="11">
        <v>3.73E-2</v>
      </c>
      <c r="E52" s="10">
        <f t="shared" si="2"/>
        <v>5205.3461449691385</v>
      </c>
      <c r="F52" s="3"/>
      <c r="G52" s="28"/>
      <c r="H52" s="10"/>
      <c r="I52" s="10">
        <f t="shared" si="8"/>
        <v>18492</v>
      </c>
      <c r="J52" s="10">
        <f t="shared" si="6"/>
        <v>2676880877.8770847</v>
      </c>
      <c r="K52" s="11">
        <f t="shared" si="7"/>
        <v>3.7300000000000111E-2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139553.51595091473</v>
      </c>
      <c r="D53" s="11">
        <v>3.5999999999999997E-2</v>
      </c>
      <c r="E53" s="10">
        <f t="shared" si="2"/>
        <v>4849.3499751283089</v>
      </c>
      <c r="F53" s="3"/>
      <c r="G53" s="28"/>
      <c r="H53" s="10"/>
      <c r="I53" s="10">
        <f t="shared" si="8"/>
        <v>18492</v>
      </c>
      <c r="J53" s="10">
        <f t="shared" si="6"/>
        <v>2580623616.9643154</v>
      </c>
      <c r="K53" s="11">
        <f t="shared" si="7"/>
        <v>3.6000000000000032E-2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134704.16597578643</v>
      </c>
      <c r="D54" s="11">
        <v>3.4500000000000003E-2</v>
      </c>
      <c r="E54" s="10">
        <f t="shared" si="2"/>
        <v>4492.3090634747496</v>
      </c>
      <c r="F54" s="3"/>
      <c r="G54" s="28"/>
      <c r="H54" s="10"/>
      <c r="I54" s="10">
        <f t="shared" si="8"/>
        <v>18492</v>
      </c>
      <c r="J54" s="10">
        <f t="shared" si="6"/>
        <v>2490949437.2242427</v>
      </c>
      <c r="K54" s="11">
        <f t="shared" si="7"/>
        <v>3.4499999999999975E-2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130211.85691231168</v>
      </c>
      <c r="D55" s="11">
        <v>3.3099999999999997E-2</v>
      </c>
      <c r="E55" s="10">
        <f t="shared" si="2"/>
        <v>4171.9218505444878</v>
      </c>
      <c r="F55" s="3"/>
      <c r="G55" s="28"/>
      <c r="H55" s="10"/>
      <c r="I55" s="10">
        <f t="shared" si="8"/>
        <v>18492</v>
      </c>
      <c r="J55" s="10">
        <f t="shared" si="6"/>
        <v>2407877658.0224676</v>
      </c>
      <c r="K55" s="11">
        <f t="shared" si="7"/>
        <v>3.3099999999999907E-2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126039.93506176719</v>
      </c>
      <c r="D56" s="11">
        <v>3.2099999999999997E-2</v>
      </c>
      <c r="E56" s="10">
        <f t="shared" si="2"/>
        <v>3920.0483630294766</v>
      </c>
      <c r="F56" s="3"/>
      <c r="G56" s="28"/>
      <c r="H56" s="10"/>
      <c r="I56" s="10">
        <f t="shared" si="8"/>
        <v>18492</v>
      </c>
      <c r="J56" s="10">
        <f t="shared" si="6"/>
        <v>2330730479.162199</v>
      </c>
      <c r="K56" s="11">
        <f t="shared" si="7"/>
        <v>3.2100000000000017E-2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122119.88669873771</v>
      </c>
      <c r="D57" s="11">
        <v>3.1300000000000001E-2</v>
      </c>
      <c r="E57" s="10">
        <f t="shared" si="2"/>
        <v>3706.3438899161265</v>
      </c>
      <c r="F57" s="3"/>
      <c r="G57" s="28"/>
      <c r="H57" s="10"/>
      <c r="I57" s="10">
        <f t="shared" si="8"/>
        <v>18492</v>
      </c>
      <c r="J57" s="10">
        <f t="shared" si="6"/>
        <v>2258240944.8330579</v>
      </c>
      <c r="K57" s="11">
        <f t="shared" si="7"/>
        <v>3.1300000000000106E-2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118413.54280882158</v>
      </c>
      <c r="D58" s="11">
        <v>3.0599999999999999E-2</v>
      </c>
      <c r="E58" s="10">
        <f t="shared" si="2"/>
        <v>3515.868823937446</v>
      </c>
      <c r="F58" s="3"/>
      <c r="G58" s="28"/>
      <c r="H58" s="10"/>
      <c r="I58" s="10">
        <f t="shared" si="8"/>
        <v>18492</v>
      </c>
      <c r="J58" s="10">
        <f t="shared" si="6"/>
        <v>2189703233.620729</v>
      </c>
      <c r="K58" s="11">
        <f t="shared" si="7"/>
        <v>3.0600000000000183E-2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114897.67398488414</v>
      </c>
      <c r="D59" s="11">
        <v>0.03</v>
      </c>
      <c r="E59" s="10">
        <f t="shared" si="2"/>
        <v>3346.5341937344929</v>
      </c>
      <c r="F59" s="3"/>
      <c r="G59" s="28"/>
      <c r="H59" s="10"/>
      <c r="I59" s="10">
        <f t="shared" si="8"/>
        <v>18492</v>
      </c>
      <c r="J59" s="10">
        <f t="shared" si="6"/>
        <v>2124687787.3284774</v>
      </c>
      <c r="K59" s="11">
        <f t="shared" si="7"/>
        <v>3.0000000000000027E-2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111551.13979114965</v>
      </c>
      <c r="D60" s="11">
        <v>2.92E-2</v>
      </c>
      <c r="E60" s="10">
        <f t="shared" si="2"/>
        <v>3164.8788203474105</v>
      </c>
      <c r="F60" s="3"/>
      <c r="G60" s="28"/>
      <c r="H60" s="10"/>
      <c r="I60" s="10">
        <f t="shared" si="8"/>
        <v>18492</v>
      </c>
      <c r="J60" s="10">
        <f t="shared" si="6"/>
        <v>2062803677.0179393</v>
      </c>
      <c r="K60" s="11">
        <f t="shared" si="7"/>
        <v>2.9199999999999893E-2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108386.26097080224</v>
      </c>
      <c r="D61" s="11">
        <v>2.81E-2</v>
      </c>
      <c r="E61" s="10">
        <f t="shared" si="2"/>
        <v>2962.4102064775216</v>
      </c>
      <c r="F61" s="3"/>
      <c r="G61" s="28"/>
      <c r="H61" s="10"/>
      <c r="I61" s="10">
        <f t="shared" si="8"/>
        <v>18492</v>
      </c>
      <c r="J61" s="10">
        <f t="shared" si="6"/>
        <v>2004278737.8720748</v>
      </c>
      <c r="K61" s="11">
        <f t="shared" si="7"/>
        <v>2.8100000000000014E-2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105423.85076432471</v>
      </c>
      <c r="D62" s="11">
        <v>2.6700000000000002E-2</v>
      </c>
      <c r="E62" s="10">
        <f t="shared" si="2"/>
        <v>2741.6156768359506</v>
      </c>
      <c r="F62" s="3"/>
      <c r="G62" s="28"/>
      <c r="H62" s="10"/>
      <c r="I62" s="10">
        <f t="shared" si="8"/>
        <v>18492</v>
      </c>
      <c r="J62" s="10">
        <f t="shared" si="6"/>
        <v>1949497848.3338926</v>
      </c>
      <c r="K62" s="11">
        <f t="shared" si="7"/>
        <v>2.6699999999999946E-2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102682.23508748876</v>
      </c>
      <c r="D63" s="11">
        <v>2.5100000000000001E-2</v>
      </c>
      <c r="E63" s="10">
        <f t="shared" si="2"/>
        <v>2514.2172477767599</v>
      </c>
      <c r="F63" s="3"/>
      <c r="G63" s="28"/>
      <c r="H63" s="10"/>
      <c r="I63" s="10">
        <f t="shared" si="8"/>
        <v>18492</v>
      </c>
      <c r="J63" s="10">
        <f t="shared" si="6"/>
        <v>1898799891.2378423</v>
      </c>
      <c r="K63" s="11">
        <f t="shared" si="7"/>
        <v>2.50999999999999E-2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100168.017839712</v>
      </c>
      <c r="D64" s="11">
        <v>2.3599999999999999E-2</v>
      </c>
      <c r="E64" s="10">
        <f t="shared" si="2"/>
        <v>2309.4619197120046</v>
      </c>
      <c r="F64" s="3"/>
      <c r="G64" s="28"/>
      <c r="H64" s="10"/>
      <c r="I64" s="10">
        <f t="shared" si="8"/>
        <v>18492</v>
      </c>
      <c r="J64" s="10">
        <f t="shared" si="6"/>
        <v>1852306985.8919544</v>
      </c>
      <c r="K64" s="11">
        <f t="shared" si="7"/>
        <v>2.3600000000000065E-2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97858.555919999999</v>
      </c>
      <c r="D65" s="11">
        <v>2.24E-2</v>
      </c>
      <c r="E65" s="10">
        <f t="shared" si="2"/>
        <v>2144.005919999996</v>
      </c>
      <c r="F65" s="3"/>
      <c r="G65" s="28"/>
      <c r="H65" s="10"/>
      <c r="I65" s="10">
        <f t="shared" si="8"/>
        <v>18492</v>
      </c>
      <c r="J65" s="10">
        <f t="shared" si="6"/>
        <v>1809600416.0726399</v>
      </c>
      <c r="K65" s="11">
        <f t="shared" si="7"/>
        <v>2.2399999999999975E-2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95714.55</v>
      </c>
      <c r="D66" s="11">
        <v>2.1499999999999998E-2</v>
      </c>
      <c r="E66" s="10">
        <f t="shared" si="2"/>
        <v>2014.5500000000029</v>
      </c>
      <c r="F66" s="24">
        <f>SUM(F2)</f>
        <v>447879</v>
      </c>
      <c r="G66" s="28"/>
      <c r="H66" s="10"/>
      <c r="I66" s="10">
        <f t="shared" si="8"/>
        <v>18492</v>
      </c>
      <c r="J66" s="10">
        <f t="shared" ref="J66:J67" si="9">IF(I66="","",I66*C66)</f>
        <v>1769953458.6000001</v>
      </c>
      <c r="K66" s="11">
        <f t="shared" ref="K66" si="10">IFERROR(J66/J67-1,"")</f>
        <v>2.1500000000000075E-2</v>
      </c>
    </row>
    <row r="67" spans="1:11" ht="22.5" customHeight="1">
      <c r="A67" s="3">
        <f t="shared" si="0"/>
        <v>1950</v>
      </c>
      <c r="B67" s="3">
        <v>1700</v>
      </c>
      <c r="C67" s="10">
        <v>93700</v>
      </c>
      <c r="D67" s="11">
        <v>2.0899999999999998E-2</v>
      </c>
      <c r="E67" s="3" t="s">
        <v>72</v>
      </c>
      <c r="F67" s="10">
        <f>SUM(C2)</f>
        <v>447989.69281208352</v>
      </c>
      <c r="G67" s="28"/>
      <c r="H67" s="10"/>
      <c r="I67" s="10">
        <f t="shared" ref="I67" si="11">IF(H67&lt;&gt;"",H67,I66/(1+IF(G66="",0,G66)/100))</f>
        <v>18492</v>
      </c>
      <c r="J67" s="10">
        <f t="shared" si="9"/>
        <v>1732700400</v>
      </c>
      <c r="K67" s="11"/>
    </row>
  </sheetData>
  <dataValidations count="1">
    <dataValidation type="custom" allowBlank="1" showDropDown="1" sqref="D2:D67" xr:uid="{00000000-0002-0000-A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9819152.0528906826</v>
      </c>
      <c r="D2" s="11">
        <v>2.5600000000000001E-2</v>
      </c>
      <c r="E2" s="10">
        <f t="shared" ref="E2:E66" si="2">SUM(C2-C3)</f>
        <v>245095.83907371573</v>
      </c>
      <c r="F2" s="16">
        <v>9819273</v>
      </c>
      <c r="G2" s="28"/>
      <c r="H2" s="10"/>
      <c r="I2" s="10">
        <f>IF(H2&lt;&gt;"",H2,2897)</f>
        <v>2897</v>
      </c>
      <c r="J2" s="10">
        <f t="shared" ref="J2:J33" si="3">IF(I2="","",I2*C2)</f>
        <v>28446083497.224308</v>
      </c>
      <c r="K2" s="11">
        <f t="shared" ref="K2:K33" si="4">IFERROR(J2/J3-1,"")</f>
        <v>2.5600000000000067E-2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9574056.2138169669</v>
      </c>
      <c r="D3" s="11">
        <v>2.6700000000000002E-2</v>
      </c>
      <c r="E3" s="10">
        <f t="shared" si="2"/>
        <v>248979.54700390808</v>
      </c>
      <c r="F3" s="3"/>
      <c r="G3" s="28"/>
      <c r="H3" s="10"/>
      <c r="I3" s="10">
        <f t="shared" ref="I3:I34" si="5">IF(H3&lt;&gt;"",H3,I2/(1+IF(G2="",0,G2)/100))</f>
        <v>2897</v>
      </c>
      <c r="J3" s="10">
        <f t="shared" si="3"/>
        <v>27736040851.427753</v>
      </c>
      <c r="K3" s="11">
        <f t="shared" si="4"/>
        <v>2.6699999999999946E-2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9325076.6668130588</v>
      </c>
      <c r="D4" s="11">
        <v>2.7799999999999998E-2</v>
      </c>
      <c r="E4" s="10">
        <f t="shared" si="2"/>
        <v>252225.26886301115</v>
      </c>
      <c r="F4" s="3"/>
      <c r="G4" s="28"/>
      <c r="H4" s="10"/>
      <c r="I4" s="10">
        <f t="shared" si="5"/>
        <v>2897</v>
      </c>
      <c r="J4" s="10">
        <f t="shared" si="3"/>
        <v>27014747103.757431</v>
      </c>
      <c r="K4" s="11">
        <f t="shared" si="4"/>
        <v>2.7800000000000047E-2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9072851.3979500476</v>
      </c>
      <c r="D5" s="11">
        <v>2.8799999999999999E-2</v>
      </c>
      <c r="E5" s="10">
        <f t="shared" si="2"/>
        <v>253983.39838740416</v>
      </c>
      <c r="F5" s="3"/>
      <c r="G5" s="28"/>
      <c r="H5" s="10"/>
      <c r="I5" s="10">
        <f t="shared" si="5"/>
        <v>2897</v>
      </c>
      <c r="J5" s="10">
        <f t="shared" si="3"/>
        <v>26284050499.861286</v>
      </c>
      <c r="K5" s="11">
        <f t="shared" si="4"/>
        <v>2.8799999999999937E-2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8818867.9995626435</v>
      </c>
      <c r="D6" s="11">
        <v>2.9700000000000001E-2</v>
      </c>
      <c r="E6" s="10">
        <f t="shared" si="2"/>
        <v>254365.71776926331</v>
      </c>
      <c r="F6" s="3"/>
      <c r="G6" s="28"/>
      <c r="H6" s="10"/>
      <c r="I6" s="10">
        <f t="shared" si="5"/>
        <v>2897</v>
      </c>
      <c r="J6" s="10">
        <f t="shared" si="3"/>
        <v>25548260594.732979</v>
      </c>
      <c r="K6" s="11">
        <f t="shared" si="4"/>
        <v>2.970000000000006E-2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8564502.2817933802</v>
      </c>
      <c r="D7" s="11">
        <v>3.0300000000000001E-2</v>
      </c>
      <c r="E7" s="10">
        <f t="shared" si="2"/>
        <v>251872.67702449672</v>
      </c>
      <c r="F7" s="3"/>
      <c r="G7" s="28"/>
      <c r="H7" s="10"/>
      <c r="I7" s="10">
        <f t="shared" si="5"/>
        <v>2897</v>
      </c>
      <c r="J7" s="10">
        <f t="shared" si="3"/>
        <v>24811363110.355423</v>
      </c>
      <c r="K7" s="11">
        <f t="shared" si="4"/>
        <v>3.0299999999999994E-2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8312629.6047688834</v>
      </c>
      <c r="D8" s="11">
        <v>3.0800000000000001E-2</v>
      </c>
      <c r="E8" s="10">
        <f t="shared" si="2"/>
        <v>248378.92105828598</v>
      </c>
      <c r="F8" s="3"/>
      <c r="G8" s="28"/>
      <c r="H8" s="10"/>
      <c r="I8" s="10">
        <f t="shared" si="5"/>
        <v>2897</v>
      </c>
      <c r="J8" s="10">
        <f t="shared" si="3"/>
        <v>24081687965.015457</v>
      </c>
      <c r="K8" s="11">
        <f t="shared" si="4"/>
        <v>3.0799999999999939E-2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8064250.6837105975</v>
      </c>
      <c r="D9" s="11">
        <v>3.1099999999999999E-2</v>
      </c>
      <c r="E9" s="10">
        <f t="shared" si="2"/>
        <v>243233.63035922684</v>
      </c>
      <c r="F9" s="3"/>
      <c r="G9" s="28"/>
      <c r="H9" s="10"/>
      <c r="I9" s="10">
        <f t="shared" si="5"/>
        <v>2897</v>
      </c>
      <c r="J9" s="10">
        <f t="shared" si="3"/>
        <v>23362134230.709602</v>
      </c>
      <c r="K9" s="11">
        <f t="shared" si="4"/>
        <v>3.1099999999999905E-2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7821017.0533513706</v>
      </c>
      <c r="D10" s="11">
        <v>3.2099999999999997E-2</v>
      </c>
      <c r="E10" s="10">
        <f t="shared" si="2"/>
        <v>243246.43679156993</v>
      </c>
      <c r="F10" s="3"/>
      <c r="G10" s="28"/>
      <c r="H10" s="10"/>
      <c r="I10" s="10">
        <f t="shared" si="5"/>
        <v>2897</v>
      </c>
      <c r="J10" s="10">
        <f t="shared" si="3"/>
        <v>22657486403.558922</v>
      </c>
      <c r="K10" s="11">
        <f t="shared" si="4"/>
        <v>3.2100000000000017E-2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7577770.6165598007</v>
      </c>
      <c r="D11" s="11">
        <v>3.4000000000000002E-2</v>
      </c>
      <c r="E11" s="10">
        <f t="shared" si="2"/>
        <v>249172.34135689866</v>
      </c>
      <c r="F11" s="3"/>
      <c r="G11" s="28"/>
      <c r="H11" s="10"/>
      <c r="I11" s="10">
        <f t="shared" si="5"/>
        <v>2897</v>
      </c>
      <c r="J11" s="10">
        <f t="shared" si="3"/>
        <v>21952801476.173744</v>
      </c>
      <c r="K11" s="11">
        <f t="shared" si="4"/>
        <v>3.400000000000003E-2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7328598.275202902</v>
      </c>
      <c r="D12" s="11">
        <v>3.5400000000000001E-2</v>
      </c>
      <c r="E12" s="10">
        <f t="shared" si="2"/>
        <v>250562.46758951433</v>
      </c>
      <c r="F12" s="3"/>
      <c r="G12" s="28"/>
      <c r="H12" s="10"/>
      <c r="I12" s="10">
        <f t="shared" si="5"/>
        <v>2897</v>
      </c>
      <c r="J12" s="10">
        <f t="shared" si="3"/>
        <v>21230949203.262806</v>
      </c>
      <c r="K12" s="11">
        <f t="shared" si="4"/>
        <v>3.5400000000000098E-2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7078035.8076133877</v>
      </c>
      <c r="D13" s="11">
        <v>3.6600000000000001E-2</v>
      </c>
      <c r="E13" s="10">
        <f t="shared" si="2"/>
        <v>249909.42558233626</v>
      </c>
      <c r="F13" s="3"/>
      <c r="G13" s="28"/>
      <c r="H13" s="10"/>
      <c r="I13" s="10">
        <f t="shared" si="5"/>
        <v>2897</v>
      </c>
      <c r="J13" s="10">
        <f t="shared" si="3"/>
        <v>20505069734.655983</v>
      </c>
      <c r="K13" s="11">
        <f t="shared" si="4"/>
        <v>3.6599999999999744E-2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6828126.3820310514</v>
      </c>
      <c r="D14" s="11">
        <v>3.7199999999999997E-2</v>
      </c>
      <c r="E14" s="10">
        <f t="shared" si="2"/>
        <v>244896.16410678253</v>
      </c>
      <c r="F14" s="3"/>
      <c r="G14" s="28"/>
      <c r="H14" s="10"/>
      <c r="I14" s="10">
        <f t="shared" si="5"/>
        <v>2897</v>
      </c>
      <c r="J14" s="10">
        <f t="shared" si="3"/>
        <v>19781082128.743958</v>
      </c>
      <c r="K14" s="11">
        <f t="shared" si="4"/>
        <v>3.7200000000000122E-2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6583230.2179242689</v>
      </c>
      <c r="D15" s="11">
        <v>3.7100000000000001E-2</v>
      </c>
      <c r="E15" s="10">
        <f t="shared" si="2"/>
        <v>235500.76278564241</v>
      </c>
      <c r="F15" s="3"/>
      <c r="G15" s="28"/>
      <c r="H15" s="10"/>
      <c r="I15" s="10">
        <f t="shared" si="5"/>
        <v>2897</v>
      </c>
      <c r="J15" s="10">
        <f t="shared" si="3"/>
        <v>19071617941.326607</v>
      </c>
      <c r="K15" s="11">
        <f t="shared" si="4"/>
        <v>3.7099999999999911E-2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6347729.4551386265</v>
      </c>
      <c r="D16" s="11">
        <v>3.5799999999999998E-2</v>
      </c>
      <c r="E16" s="10">
        <f t="shared" si="2"/>
        <v>219394.39514767658</v>
      </c>
      <c r="F16" s="3"/>
      <c r="G16" s="28"/>
      <c r="H16" s="10"/>
      <c r="I16" s="10">
        <f t="shared" si="5"/>
        <v>2897</v>
      </c>
      <c r="J16" s="10">
        <f t="shared" si="3"/>
        <v>18389372231.536602</v>
      </c>
      <c r="K16" s="11">
        <f t="shared" si="4"/>
        <v>3.5800000000000276E-2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6128335.0599909499</v>
      </c>
      <c r="D17" s="11">
        <v>3.3700000000000001E-2</v>
      </c>
      <c r="E17" s="10">
        <f t="shared" si="2"/>
        <v>199791.90434526</v>
      </c>
      <c r="F17" s="3"/>
      <c r="G17" s="28"/>
      <c r="H17" s="10"/>
      <c r="I17" s="10">
        <f t="shared" si="5"/>
        <v>2897</v>
      </c>
      <c r="J17" s="10">
        <f t="shared" si="3"/>
        <v>17753786668.793781</v>
      </c>
      <c r="K17" s="11">
        <f t="shared" si="4"/>
        <v>3.3700000000000063E-2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5928543.1556456899</v>
      </c>
      <c r="D18" s="11">
        <v>3.1800000000000002E-2</v>
      </c>
      <c r="E18" s="10">
        <f t="shared" si="2"/>
        <v>182717.26337423269</v>
      </c>
      <c r="F18" s="3"/>
      <c r="G18" s="28"/>
      <c r="H18" s="10"/>
      <c r="I18" s="10">
        <f t="shared" si="5"/>
        <v>2897</v>
      </c>
      <c r="J18" s="10">
        <f t="shared" si="3"/>
        <v>17174989521.905563</v>
      </c>
      <c r="K18" s="11">
        <f t="shared" si="4"/>
        <v>3.180000000000005E-2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5745825.8922714572</v>
      </c>
      <c r="D19" s="11">
        <v>3.0700000000000002E-2</v>
      </c>
      <c r="E19" s="10">
        <f t="shared" si="2"/>
        <v>171142.77179851849</v>
      </c>
      <c r="F19" s="3"/>
      <c r="G19" s="28"/>
      <c r="H19" s="10"/>
      <c r="I19" s="10">
        <f t="shared" si="5"/>
        <v>2897</v>
      </c>
      <c r="J19" s="10">
        <f t="shared" si="3"/>
        <v>16645657609.910412</v>
      </c>
      <c r="K19" s="11">
        <f t="shared" si="4"/>
        <v>3.069999999999995E-2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5574683.1204729388</v>
      </c>
      <c r="D20" s="11">
        <v>3.0499999999999999E-2</v>
      </c>
      <c r="E20" s="10">
        <f t="shared" si="2"/>
        <v>164995.47324058693</v>
      </c>
      <c r="F20" s="3"/>
      <c r="G20" s="28"/>
      <c r="H20" s="10"/>
      <c r="I20" s="10">
        <f t="shared" si="5"/>
        <v>2897</v>
      </c>
      <c r="J20" s="10">
        <f t="shared" si="3"/>
        <v>16149857000.010103</v>
      </c>
      <c r="K20" s="11">
        <f t="shared" si="4"/>
        <v>3.0499999999999972E-2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5409687.6472323518</v>
      </c>
      <c r="D21" s="11">
        <v>3.1099999999999999E-2</v>
      </c>
      <c r="E21" s="10">
        <f t="shared" si="2"/>
        <v>163166.79839872569</v>
      </c>
      <c r="F21" s="3"/>
      <c r="G21" s="28"/>
      <c r="H21" s="10"/>
      <c r="I21" s="10">
        <f t="shared" si="5"/>
        <v>2897</v>
      </c>
      <c r="J21" s="10">
        <f t="shared" si="3"/>
        <v>15671865114.032124</v>
      </c>
      <c r="K21" s="11">
        <f t="shared" si="4"/>
        <v>3.1100000000000128E-2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5246520.8488336261</v>
      </c>
      <c r="D22" s="11">
        <v>3.2199999999999999E-2</v>
      </c>
      <c r="E22" s="10">
        <f t="shared" si="2"/>
        <v>163667.8660457693</v>
      </c>
      <c r="F22" s="3"/>
      <c r="G22" s="28"/>
      <c r="H22" s="10"/>
      <c r="I22" s="10">
        <f t="shared" si="5"/>
        <v>2897</v>
      </c>
      <c r="J22" s="10">
        <f t="shared" si="3"/>
        <v>15199170899.071014</v>
      </c>
      <c r="K22" s="11">
        <f t="shared" si="4"/>
        <v>3.2200000000000006E-2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5082852.9827878568</v>
      </c>
      <c r="D23" s="11">
        <v>3.3599999999999998E-2</v>
      </c>
      <c r="E23" s="10">
        <f t="shared" si="2"/>
        <v>165232.06290796492</v>
      </c>
      <c r="F23" s="3"/>
      <c r="G23" s="28"/>
      <c r="H23" s="10"/>
      <c r="I23" s="10">
        <f t="shared" si="5"/>
        <v>2897</v>
      </c>
      <c r="J23" s="10">
        <f t="shared" si="3"/>
        <v>14725025091.136421</v>
      </c>
      <c r="K23" s="11">
        <f t="shared" si="4"/>
        <v>3.3600000000000074E-2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4917620.9198798919</v>
      </c>
      <c r="D24" s="11">
        <v>3.5299999999999998E-2</v>
      </c>
      <c r="E24" s="10">
        <f t="shared" si="2"/>
        <v>167673.15606274456</v>
      </c>
      <c r="F24" s="3"/>
      <c r="G24" s="28"/>
      <c r="H24" s="10"/>
      <c r="I24" s="10">
        <f t="shared" si="5"/>
        <v>2897</v>
      </c>
      <c r="J24" s="10">
        <f t="shared" si="3"/>
        <v>14246347804.892046</v>
      </c>
      <c r="K24" s="11">
        <f t="shared" si="4"/>
        <v>3.5299999999999665E-2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4749947.7638171474</v>
      </c>
      <c r="D25" s="11">
        <v>3.73E-2</v>
      </c>
      <c r="E25" s="10">
        <f t="shared" si="2"/>
        <v>170802.13206437882</v>
      </c>
      <c r="F25" s="3"/>
      <c r="G25" s="28"/>
      <c r="H25" s="10"/>
      <c r="I25" s="10">
        <f t="shared" si="5"/>
        <v>2897</v>
      </c>
      <c r="J25" s="10">
        <f t="shared" si="3"/>
        <v>13760598671.778276</v>
      </c>
      <c r="K25" s="11">
        <f t="shared" si="4"/>
        <v>3.7300000000000111E-2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4579145.6317527685</v>
      </c>
      <c r="D26" s="11">
        <v>3.9399999999999998E-2</v>
      </c>
      <c r="E26" s="10">
        <f t="shared" si="2"/>
        <v>173579.31296041887</v>
      </c>
      <c r="F26" s="3"/>
      <c r="G26" s="28"/>
      <c r="H26" s="10"/>
      <c r="I26" s="10">
        <f t="shared" si="5"/>
        <v>2897</v>
      </c>
      <c r="J26" s="10">
        <f t="shared" si="3"/>
        <v>13265784895.187771</v>
      </c>
      <c r="K26" s="11">
        <f t="shared" si="4"/>
        <v>3.9400000000000102E-2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4405566.3187923497</v>
      </c>
      <c r="D27" s="11">
        <v>4.1399999999999999E-2</v>
      </c>
      <c r="E27" s="10">
        <f t="shared" si="2"/>
        <v>175139.66352794692</v>
      </c>
      <c r="F27" s="3"/>
      <c r="G27" s="28"/>
      <c r="H27" s="10"/>
      <c r="I27" s="10">
        <f t="shared" si="5"/>
        <v>2897</v>
      </c>
      <c r="J27" s="10">
        <f t="shared" si="3"/>
        <v>12762925625.541437</v>
      </c>
      <c r="K27" s="11">
        <f t="shared" si="4"/>
        <v>4.1400000000000325E-2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4230426.6552644027</v>
      </c>
      <c r="D28" s="11">
        <v>4.3200000000000002E-2</v>
      </c>
      <c r="E28" s="10">
        <f t="shared" si="2"/>
        <v>175186.37989591807</v>
      </c>
      <c r="F28" s="3"/>
      <c r="G28" s="28"/>
      <c r="H28" s="10"/>
      <c r="I28" s="10">
        <f t="shared" si="5"/>
        <v>2897</v>
      </c>
      <c r="J28" s="10">
        <f t="shared" si="3"/>
        <v>12255546020.300974</v>
      </c>
      <c r="K28" s="11">
        <f t="shared" si="4"/>
        <v>4.3199999999999683E-2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4055240.2753684847</v>
      </c>
      <c r="D29" s="11">
        <v>4.4600000000000001E-2</v>
      </c>
      <c r="E29" s="10">
        <f t="shared" si="2"/>
        <v>173141.60088209296</v>
      </c>
      <c r="F29" s="3"/>
      <c r="G29" s="28"/>
      <c r="H29" s="10"/>
      <c r="I29" s="10">
        <f t="shared" si="5"/>
        <v>2897</v>
      </c>
      <c r="J29" s="10">
        <f t="shared" si="3"/>
        <v>11748031077.7425</v>
      </c>
      <c r="K29" s="11">
        <f t="shared" si="4"/>
        <v>4.4599999999999973E-2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3882098.6744863917</v>
      </c>
      <c r="D30" s="11">
        <v>4.53E-2</v>
      </c>
      <c r="E30" s="10">
        <f t="shared" si="2"/>
        <v>168237.89338394068</v>
      </c>
      <c r="F30" s="3"/>
      <c r="G30" s="28"/>
      <c r="H30" s="10"/>
      <c r="I30" s="10">
        <f t="shared" si="5"/>
        <v>2897</v>
      </c>
      <c r="J30" s="10">
        <f t="shared" si="3"/>
        <v>11246439859.987078</v>
      </c>
      <c r="K30" s="11">
        <f t="shared" si="4"/>
        <v>4.5300000000000118E-2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3713860.781102451</v>
      </c>
      <c r="D31" s="11">
        <v>4.48E-2</v>
      </c>
      <c r="E31" s="10">
        <f t="shared" si="2"/>
        <v>159246.7103688647</v>
      </c>
      <c r="F31" s="3"/>
      <c r="G31" s="28"/>
      <c r="H31" s="10"/>
      <c r="I31" s="10">
        <f t="shared" si="5"/>
        <v>2897</v>
      </c>
      <c r="J31" s="10">
        <f t="shared" si="3"/>
        <v>10759054682.8538</v>
      </c>
      <c r="K31" s="11">
        <f t="shared" si="4"/>
        <v>4.4799999999999951E-2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3554614.0707335863</v>
      </c>
      <c r="D32" s="11">
        <v>4.2700000000000002E-2</v>
      </c>
      <c r="E32" s="10">
        <f t="shared" si="2"/>
        <v>145566.33818003628</v>
      </c>
      <c r="F32" s="3"/>
      <c r="G32" s="28"/>
      <c r="H32" s="10"/>
      <c r="I32" s="10">
        <f t="shared" si="5"/>
        <v>2897</v>
      </c>
      <c r="J32" s="10">
        <f t="shared" si="3"/>
        <v>10297716962.915199</v>
      </c>
      <c r="K32" s="11">
        <f t="shared" si="4"/>
        <v>4.269999999999996E-2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3409047.73255355</v>
      </c>
      <c r="D33" s="11">
        <v>3.9699999999999999E-2</v>
      </c>
      <c r="E33" s="10">
        <f t="shared" si="2"/>
        <v>130171.39076885255</v>
      </c>
      <c r="F33" s="3"/>
      <c r="G33" s="28"/>
      <c r="H33" s="10"/>
      <c r="I33" s="10">
        <f t="shared" si="5"/>
        <v>2897</v>
      </c>
      <c r="J33" s="10">
        <f t="shared" si="3"/>
        <v>9876011281.207634</v>
      </c>
      <c r="K33" s="11">
        <f t="shared" si="4"/>
        <v>3.9700000000000069E-2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3278876.3417846975</v>
      </c>
      <c r="D34" s="11">
        <v>3.6600000000000001E-2</v>
      </c>
      <c r="E34" s="10">
        <f t="shared" si="2"/>
        <v>115769.70298024314</v>
      </c>
      <c r="F34" s="3"/>
      <c r="G34" s="28"/>
      <c r="H34" s="10"/>
      <c r="I34" s="10">
        <f t="shared" si="5"/>
        <v>2897</v>
      </c>
      <c r="J34" s="10">
        <f t="shared" ref="J34:J65" si="6">IF(I34="","",I34*C34)</f>
        <v>9498904762.1502686</v>
      </c>
      <c r="K34" s="11">
        <f t="shared" ref="K34:K65" si="7">IFERROR(J34/J35-1,"")</f>
        <v>3.6599999999999966E-2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3163106.6388044544</v>
      </c>
      <c r="D35" s="11">
        <v>3.3399999999999999E-2</v>
      </c>
      <c r="E35" s="10">
        <f t="shared" si="2"/>
        <v>102233.17373337457</v>
      </c>
      <c r="F35" s="3"/>
      <c r="G35" s="28"/>
      <c r="H35" s="10"/>
      <c r="I35" s="10">
        <f t="shared" ref="I35:I66" si="8">IF(H35&lt;&gt;"",H35,I34/(1+IF(G34="",0,G34)/100))</f>
        <v>2897</v>
      </c>
      <c r="J35" s="10">
        <f t="shared" si="6"/>
        <v>9163519932.6165047</v>
      </c>
      <c r="K35" s="11">
        <f t="shared" si="7"/>
        <v>3.3400000000000096E-2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3060873.4650710798</v>
      </c>
      <c r="D36" s="11">
        <v>3.0200000000000001E-2</v>
      </c>
      <c r="E36" s="10">
        <f t="shared" si="2"/>
        <v>89728.57566020824</v>
      </c>
      <c r="F36" s="3"/>
      <c r="G36" s="28"/>
      <c r="H36" s="10"/>
      <c r="I36" s="10">
        <f t="shared" si="8"/>
        <v>2897</v>
      </c>
      <c r="J36" s="10">
        <f t="shared" si="6"/>
        <v>8867350428.3109188</v>
      </c>
      <c r="K36" s="11">
        <f t="shared" si="7"/>
        <v>3.0200000000000005E-2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2971144.8894108715</v>
      </c>
      <c r="D37" s="11">
        <v>2.7199999999999998E-2</v>
      </c>
      <c r="E37" s="10">
        <f t="shared" si="2"/>
        <v>78675.176199352834</v>
      </c>
      <c r="F37" s="3"/>
      <c r="G37" s="28"/>
      <c r="H37" s="10"/>
      <c r="I37" s="10">
        <f t="shared" si="8"/>
        <v>2897</v>
      </c>
      <c r="J37" s="10">
        <f t="shared" si="6"/>
        <v>8607406744.6232948</v>
      </c>
      <c r="K37" s="11">
        <f t="shared" si="7"/>
        <v>2.7199999999999891E-2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2892469.7132115187</v>
      </c>
      <c r="D38" s="11">
        <v>2.4500000000000001E-2</v>
      </c>
      <c r="E38" s="10">
        <f t="shared" si="2"/>
        <v>69170.822814721614</v>
      </c>
      <c r="F38" s="3"/>
      <c r="G38" s="28"/>
      <c r="H38" s="10"/>
      <c r="I38" s="10">
        <f t="shared" si="8"/>
        <v>2897</v>
      </c>
      <c r="J38" s="10">
        <f t="shared" si="6"/>
        <v>8379484759.17377</v>
      </c>
      <c r="K38" s="11">
        <f t="shared" si="7"/>
        <v>2.4500000000000188E-2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2823298.8903967971</v>
      </c>
      <c r="D39" s="11">
        <v>2.24E-2</v>
      </c>
      <c r="E39" s="10">
        <f t="shared" si="2"/>
        <v>61856.313717613462</v>
      </c>
      <c r="F39" s="3"/>
      <c r="G39" s="28"/>
      <c r="H39" s="10"/>
      <c r="I39" s="10">
        <f t="shared" si="8"/>
        <v>2897</v>
      </c>
      <c r="J39" s="10">
        <f t="shared" si="6"/>
        <v>8179096885.4795208</v>
      </c>
      <c r="K39" s="11">
        <f t="shared" si="7"/>
        <v>2.2399999999999753E-2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2761442.5766791836</v>
      </c>
      <c r="D40" s="11">
        <v>2.1499999999999998E-2</v>
      </c>
      <c r="E40" s="10">
        <f t="shared" si="2"/>
        <v>58121.405187080614</v>
      </c>
      <c r="F40" s="3"/>
      <c r="G40" s="28"/>
      <c r="H40" s="10"/>
      <c r="I40" s="10">
        <f t="shared" si="8"/>
        <v>2897</v>
      </c>
      <c r="J40" s="10">
        <f t="shared" si="6"/>
        <v>7999899144.639595</v>
      </c>
      <c r="K40" s="11">
        <f t="shared" si="7"/>
        <v>2.1500000000000297E-2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2703321.171492103</v>
      </c>
      <c r="D41" s="11">
        <v>2.1399999999999999E-2</v>
      </c>
      <c r="E41" s="10">
        <f t="shared" si="2"/>
        <v>56638.998501988593</v>
      </c>
      <c r="F41" s="3"/>
      <c r="G41" s="28"/>
      <c r="H41" s="10"/>
      <c r="I41" s="10">
        <f t="shared" si="8"/>
        <v>2897</v>
      </c>
      <c r="J41" s="10">
        <f t="shared" si="6"/>
        <v>7831521433.8126221</v>
      </c>
      <c r="K41" s="11">
        <f t="shared" si="7"/>
        <v>2.1399999999999864E-2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2646682.1729901144</v>
      </c>
      <c r="D42" s="11">
        <v>2.1899999999999999E-2</v>
      </c>
      <c r="E42" s="10">
        <f t="shared" si="2"/>
        <v>56720.167911227793</v>
      </c>
      <c r="F42" s="3"/>
      <c r="G42" s="28"/>
      <c r="H42" s="10"/>
      <c r="I42" s="10">
        <f t="shared" si="8"/>
        <v>2897</v>
      </c>
      <c r="J42" s="10">
        <f t="shared" si="6"/>
        <v>7667438255.1523619</v>
      </c>
      <c r="K42" s="11">
        <f t="shared" si="7"/>
        <v>2.1900000000000253E-2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2589962.0050788866</v>
      </c>
      <c r="D43" s="11">
        <v>2.18E-2</v>
      </c>
      <c r="E43" s="10">
        <f t="shared" si="2"/>
        <v>55256.578303699382</v>
      </c>
      <c r="F43" s="3"/>
      <c r="G43" s="28"/>
      <c r="H43" s="10"/>
      <c r="I43" s="10">
        <f t="shared" si="8"/>
        <v>2897</v>
      </c>
      <c r="J43" s="10">
        <f t="shared" si="6"/>
        <v>7503119928.7135344</v>
      </c>
      <c r="K43" s="11">
        <f t="shared" si="7"/>
        <v>2.1800000000000042E-2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2534705.4267751873</v>
      </c>
      <c r="D44" s="11">
        <v>2.0199999999999999E-2</v>
      </c>
      <c r="E44" s="10">
        <f t="shared" si="2"/>
        <v>50187.266830875073</v>
      </c>
      <c r="F44" s="3"/>
      <c r="G44" s="28"/>
      <c r="H44" s="10"/>
      <c r="I44" s="10">
        <f t="shared" si="8"/>
        <v>2897</v>
      </c>
      <c r="J44" s="10">
        <f t="shared" si="6"/>
        <v>7343041621.3677177</v>
      </c>
      <c r="K44" s="11">
        <f t="shared" si="7"/>
        <v>2.0199999999999996E-2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2484518.1599443122</v>
      </c>
      <c r="D45" s="11">
        <v>1.7399999999999999E-2</v>
      </c>
      <c r="E45" s="10">
        <f t="shared" si="2"/>
        <v>42491.26792120235</v>
      </c>
      <c r="F45" s="3"/>
      <c r="G45" s="28"/>
      <c r="H45" s="10"/>
      <c r="I45" s="10">
        <f t="shared" si="8"/>
        <v>2897</v>
      </c>
      <c r="J45" s="10">
        <f t="shared" si="6"/>
        <v>7197649109.3586721</v>
      </c>
      <c r="K45" s="11">
        <f t="shared" si="7"/>
        <v>1.7400000000000082E-2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2442026.8920231098</v>
      </c>
      <c r="D46" s="11">
        <v>1.47E-2</v>
      </c>
      <c r="E46" s="10">
        <f t="shared" si="2"/>
        <v>35377.742498018779</v>
      </c>
      <c r="F46" s="3"/>
      <c r="G46" s="28"/>
      <c r="H46" s="10"/>
      <c r="I46" s="10">
        <f t="shared" si="8"/>
        <v>2897</v>
      </c>
      <c r="J46" s="10">
        <f t="shared" si="6"/>
        <v>7074551906.1909494</v>
      </c>
      <c r="K46" s="11">
        <f t="shared" si="7"/>
        <v>1.4699999999999935E-2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2406649.1495250911</v>
      </c>
      <c r="D47" s="11">
        <v>1.2999999999999999E-2</v>
      </c>
      <c r="E47" s="10">
        <f t="shared" si="2"/>
        <v>30884.93479153607</v>
      </c>
      <c r="F47" s="3"/>
      <c r="G47" s="28"/>
      <c r="H47" s="10"/>
      <c r="I47" s="10">
        <f t="shared" si="8"/>
        <v>2897</v>
      </c>
      <c r="J47" s="10">
        <f t="shared" si="6"/>
        <v>6972062586.1741886</v>
      </c>
      <c r="K47" s="11">
        <f t="shared" si="7"/>
        <v>1.2999999999999901E-2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2375764.214733555</v>
      </c>
      <c r="D48" s="11">
        <v>1.2699999999999999E-2</v>
      </c>
      <c r="E48" s="10">
        <f t="shared" si="2"/>
        <v>29793.823962788563</v>
      </c>
      <c r="F48" s="3"/>
      <c r="G48" s="28"/>
      <c r="H48" s="10"/>
      <c r="I48" s="10">
        <f t="shared" si="8"/>
        <v>2897</v>
      </c>
      <c r="J48" s="10">
        <f t="shared" si="6"/>
        <v>6882588930.0831089</v>
      </c>
      <c r="K48" s="11">
        <f t="shared" si="7"/>
        <v>1.2699999999999934E-2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2345970.3907707664</v>
      </c>
      <c r="D49" s="11">
        <v>1.2800000000000001E-2</v>
      </c>
      <c r="E49" s="10">
        <f t="shared" si="2"/>
        <v>29648.914891257416</v>
      </c>
      <c r="F49" s="3"/>
      <c r="G49" s="28"/>
      <c r="H49" s="10"/>
      <c r="I49" s="10">
        <f t="shared" si="8"/>
        <v>2897</v>
      </c>
      <c r="J49" s="10">
        <f t="shared" si="6"/>
        <v>6796276222.0629101</v>
      </c>
      <c r="K49" s="11">
        <f t="shared" si="7"/>
        <v>1.2799999999999923E-2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2316321.475879509</v>
      </c>
      <c r="D50" s="11">
        <v>1.3100000000000001E-2</v>
      </c>
      <c r="E50" s="10">
        <f t="shared" si="2"/>
        <v>29951.447373429779</v>
      </c>
      <c r="F50" s="3"/>
      <c r="G50" s="28"/>
      <c r="H50" s="10"/>
      <c r="I50" s="10">
        <f t="shared" si="8"/>
        <v>2897</v>
      </c>
      <c r="J50" s="10">
        <f t="shared" si="6"/>
        <v>6710383315.6229372</v>
      </c>
      <c r="K50" s="11">
        <f t="shared" si="7"/>
        <v>1.3100000000000112E-2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2286370.0285060792</v>
      </c>
      <c r="D51" s="11">
        <v>1.3299999999999999E-2</v>
      </c>
      <c r="E51" s="10">
        <f t="shared" si="2"/>
        <v>30009.593781832606</v>
      </c>
      <c r="F51" s="3"/>
      <c r="G51" s="28"/>
      <c r="H51" s="10"/>
      <c r="I51" s="10">
        <f t="shared" si="8"/>
        <v>2897</v>
      </c>
      <c r="J51" s="10">
        <f t="shared" si="6"/>
        <v>6623613972.5821114</v>
      </c>
      <c r="K51" s="11">
        <f t="shared" si="7"/>
        <v>1.330000000000009E-2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2256360.4347242466</v>
      </c>
      <c r="D52" s="11">
        <v>1.3299999999999999E-2</v>
      </c>
      <c r="E52" s="10">
        <f t="shared" si="2"/>
        <v>29615.704906575382</v>
      </c>
      <c r="F52" s="3"/>
      <c r="G52" s="28"/>
      <c r="H52" s="10"/>
      <c r="I52" s="10">
        <f t="shared" si="8"/>
        <v>2897</v>
      </c>
      <c r="J52" s="10">
        <f t="shared" si="6"/>
        <v>6536676179.396142</v>
      </c>
      <c r="K52" s="11">
        <f t="shared" si="7"/>
        <v>1.330000000000009E-2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2226744.7298176712</v>
      </c>
      <c r="D53" s="11">
        <v>1.32E-2</v>
      </c>
      <c r="E53" s="10">
        <f t="shared" si="2"/>
        <v>29010.097151197493</v>
      </c>
      <c r="F53" s="3"/>
      <c r="G53" s="28"/>
      <c r="H53" s="10"/>
      <c r="I53" s="10">
        <f t="shared" si="8"/>
        <v>2897</v>
      </c>
      <c r="J53" s="10">
        <f t="shared" si="6"/>
        <v>6450879482.2817936</v>
      </c>
      <c r="K53" s="11">
        <f t="shared" si="7"/>
        <v>1.3200000000000101E-2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2197734.6326664737</v>
      </c>
      <c r="D54" s="11">
        <v>1.2999999999999999E-2</v>
      </c>
      <c r="E54" s="10">
        <f t="shared" si="2"/>
        <v>28203.899530764204</v>
      </c>
      <c r="F54" s="3"/>
      <c r="G54" s="28"/>
      <c r="H54" s="10"/>
      <c r="I54" s="10">
        <f t="shared" si="8"/>
        <v>2897</v>
      </c>
      <c r="J54" s="10">
        <f t="shared" si="6"/>
        <v>6366837230.834774</v>
      </c>
      <c r="K54" s="11">
        <f t="shared" si="7"/>
        <v>1.2999999999999901E-2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2169530.7331357095</v>
      </c>
      <c r="D55" s="11">
        <v>1.2699999999999999E-2</v>
      </c>
      <c r="E55" s="10">
        <f t="shared" si="2"/>
        <v>27207.504997356795</v>
      </c>
      <c r="F55" s="3"/>
      <c r="G55" s="28"/>
      <c r="H55" s="10"/>
      <c r="I55" s="10">
        <f t="shared" si="8"/>
        <v>2897</v>
      </c>
      <c r="J55" s="10">
        <f t="shared" si="6"/>
        <v>6285130533.8941507</v>
      </c>
      <c r="K55" s="11">
        <f t="shared" si="7"/>
        <v>1.2699999999999934E-2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2142323.2281383527</v>
      </c>
      <c r="D56" s="11">
        <v>1.2500000000000001E-2</v>
      </c>
      <c r="E56" s="10">
        <f t="shared" si="2"/>
        <v>26448.434915288351</v>
      </c>
      <c r="F56" s="3"/>
      <c r="G56" s="28"/>
      <c r="H56" s="10"/>
      <c r="I56" s="10">
        <f t="shared" si="8"/>
        <v>2897</v>
      </c>
      <c r="J56" s="10">
        <f t="shared" si="6"/>
        <v>6206310391.9168081</v>
      </c>
      <c r="K56" s="11">
        <f t="shared" si="7"/>
        <v>1.2500000000000178E-2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2115874.7932230644</v>
      </c>
      <c r="D57" s="11">
        <v>1.2200000000000001E-2</v>
      </c>
      <c r="E57" s="10">
        <f t="shared" si="2"/>
        <v>25502.541471370729</v>
      </c>
      <c r="F57" s="3"/>
      <c r="G57" s="28"/>
      <c r="H57" s="10"/>
      <c r="I57" s="10">
        <f t="shared" si="8"/>
        <v>2897</v>
      </c>
      <c r="J57" s="10">
        <f t="shared" si="6"/>
        <v>6129689275.9672174</v>
      </c>
      <c r="K57" s="11">
        <f t="shared" si="7"/>
        <v>1.2199999999999989E-2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2090372.2517516937</v>
      </c>
      <c r="D58" s="11">
        <v>1.1900000000000001E-2</v>
      </c>
      <c r="E58" s="10">
        <f t="shared" si="2"/>
        <v>24582.893364804098</v>
      </c>
      <c r="F58" s="3"/>
      <c r="G58" s="28"/>
      <c r="H58" s="10"/>
      <c r="I58" s="10">
        <f t="shared" si="8"/>
        <v>2897</v>
      </c>
      <c r="J58" s="10">
        <f t="shared" si="6"/>
        <v>6055808413.3246565</v>
      </c>
      <c r="K58" s="11">
        <f t="shared" si="7"/>
        <v>1.1900000000000022E-2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2065789.3583868896</v>
      </c>
      <c r="D59" s="11">
        <v>1.15E-2</v>
      </c>
      <c r="E59" s="10">
        <f t="shared" si="2"/>
        <v>23486.483066188172</v>
      </c>
      <c r="F59" s="3"/>
      <c r="G59" s="28"/>
      <c r="H59" s="10"/>
      <c r="I59" s="10">
        <f t="shared" si="8"/>
        <v>2897</v>
      </c>
      <c r="J59" s="10">
        <f t="shared" si="6"/>
        <v>5984591771.2468195</v>
      </c>
      <c r="K59" s="11">
        <f t="shared" si="7"/>
        <v>1.1500000000000066E-2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2042302.8753207014</v>
      </c>
      <c r="D60" s="11">
        <v>1.0999999999999999E-2</v>
      </c>
      <c r="E60" s="10">
        <f t="shared" si="2"/>
        <v>22220.901709720492</v>
      </c>
      <c r="F60" s="3"/>
      <c r="G60" s="28"/>
      <c r="H60" s="10"/>
      <c r="I60" s="10">
        <f t="shared" si="8"/>
        <v>2897</v>
      </c>
      <c r="J60" s="10">
        <f t="shared" si="6"/>
        <v>5916551429.8040724</v>
      </c>
      <c r="K60" s="11">
        <f t="shared" si="7"/>
        <v>1.0999999999999899E-2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2020081.9736109809</v>
      </c>
      <c r="D61" s="11">
        <v>1.0500000000000001E-2</v>
      </c>
      <c r="E61" s="10">
        <f t="shared" si="2"/>
        <v>20990.460883636959</v>
      </c>
      <c r="F61" s="3"/>
      <c r="G61" s="28"/>
      <c r="H61" s="10"/>
      <c r="I61" s="10">
        <f t="shared" si="8"/>
        <v>2897</v>
      </c>
      <c r="J61" s="10">
        <f t="shared" si="6"/>
        <v>5852177477.551012</v>
      </c>
      <c r="K61" s="11">
        <f t="shared" si="7"/>
        <v>1.0499999999999954E-2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1999091.5127273439</v>
      </c>
      <c r="D62" s="11">
        <v>0.01</v>
      </c>
      <c r="E62" s="10">
        <f t="shared" si="2"/>
        <v>19792.985274528153</v>
      </c>
      <c r="F62" s="3"/>
      <c r="G62" s="28"/>
      <c r="H62" s="10"/>
      <c r="I62" s="10">
        <f t="shared" si="8"/>
        <v>2897</v>
      </c>
      <c r="J62" s="10">
        <f t="shared" si="6"/>
        <v>5791368112.3711157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1979298.5274528158</v>
      </c>
      <c r="D63" s="11">
        <v>9.5999999999999992E-3</v>
      </c>
      <c r="E63" s="10">
        <f t="shared" si="2"/>
        <v>18820.588216667064</v>
      </c>
      <c r="F63" s="3"/>
      <c r="G63" s="28"/>
      <c r="H63" s="10"/>
      <c r="I63" s="10">
        <f t="shared" si="8"/>
        <v>2897</v>
      </c>
      <c r="J63" s="10">
        <f t="shared" si="6"/>
        <v>5734027834.0308075</v>
      </c>
      <c r="K63" s="11">
        <f t="shared" si="7"/>
        <v>9.6000000000000529E-3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1960477.9392361487</v>
      </c>
      <c r="D64" s="11">
        <v>9.1999999999999998E-3</v>
      </c>
      <c r="E64" s="10">
        <f t="shared" si="2"/>
        <v>17871.974872149061</v>
      </c>
      <c r="F64" s="3"/>
      <c r="G64" s="28"/>
      <c r="H64" s="10"/>
      <c r="I64" s="10">
        <f t="shared" si="8"/>
        <v>2897</v>
      </c>
      <c r="J64" s="10">
        <f t="shared" si="6"/>
        <v>5679504589.967123</v>
      </c>
      <c r="K64" s="11">
        <f t="shared" si="7"/>
        <v>9.200000000000097E-3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1942605.9643639997</v>
      </c>
      <c r="D65" s="11">
        <v>8.8000000000000005E-3</v>
      </c>
      <c r="E65" s="10">
        <f t="shared" si="2"/>
        <v>16945.80936399987</v>
      </c>
      <c r="F65" s="3"/>
      <c r="G65" s="28"/>
      <c r="H65" s="10"/>
      <c r="I65" s="10">
        <f t="shared" si="8"/>
        <v>2897</v>
      </c>
      <c r="J65" s="10">
        <f t="shared" si="6"/>
        <v>5627729478.7625074</v>
      </c>
      <c r="K65" s="11">
        <f t="shared" si="7"/>
        <v>8.799999999999919E-3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1925660.1549999998</v>
      </c>
      <c r="D66" s="11">
        <v>8.5000000000000006E-3</v>
      </c>
      <c r="E66" s="10">
        <f t="shared" si="2"/>
        <v>16230.154999999795</v>
      </c>
      <c r="F66" s="24">
        <f>SUM(F2)</f>
        <v>9819273</v>
      </c>
      <c r="G66" s="28"/>
      <c r="H66" s="10"/>
      <c r="I66" s="10">
        <f t="shared" si="8"/>
        <v>2897</v>
      </c>
      <c r="J66" s="10">
        <f t="shared" ref="J66:J67" si="9">IF(I66="","",I66*C66)</f>
        <v>5578637469.0349998</v>
      </c>
      <c r="K66" s="11">
        <f t="shared" ref="K66" si="10">IFERROR(J66/J67-1,"")</f>
        <v>8.499999999999952E-3</v>
      </c>
    </row>
    <row r="67" spans="1:11" ht="22.5" customHeight="1">
      <c r="A67" s="3">
        <f t="shared" si="0"/>
        <v>1950</v>
      </c>
      <c r="B67" s="3">
        <v>1700</v>
      </c>
      <c r="C67" s="10">
        <v>1909430</v>
      </c>
      <c r="D67" s="11">
        <v>8.2000000000000007E-3</v>
      </c>
      <c r="E67" s="3" t="s">
        <v>72</v>
      </c>
      <c r="F67" s="10">
        <f>SUM(C2)</f>
        <v>9819152.0528906826</v>
      </c>
      <c r="G67" s="28"/>
      <c r="H67" s="10"/>
      <c r="I67" s="10">
        <f t="shared" ref="I67" si="11">IF(H67&lt;&gt;"",H67,I66/(1+IF(G66="",0,G66)/100))</f>
        <v>2897</v>
      </c>
      <c r="J67" s="10">
        <f t="shared" si="9"/>
        <v>5531618710</v>
      </c>
      <c r="K67" s="11"/>
    </row>
  </sheetData>
  <dataValidations count="1">
    <dataValidation type="custom" allowBlank="1" showDropDown="1" sqref="D2:D67" xr:uid="{00000000-0002-0000-A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7354498.7064310331</v>
      </c>
      <c r="D2" s="11">
        <v>1.6199999999999999E-2</v>
      </c>
      <c r="E2" s="10">
        <f t="shared" ref="E2:E66" si="2">SUM(C2-C3)</f>
        <v>117243.53379667643</v>
      </c>
      <c r="F2" s="15">
        <v>7354910</v>
      </c>
      <c r="G2" s="28"/>
      <c r="H2" s="10"/>
      <c r="I2" s="10">
        <f>IF(H2&lt;&gt;"",H2,353)</f>
        <v>353</v>
      </c>
      <c r="J2" s="10">
        <f t="shared" ref="J2:J33" si="3">IF(I2="","",I2*C2)</f>
        <v>2596138043.3701549</v>
      </c>
      <c r="K2" s="11">
        <f t="shared" ref="K2:K33" si="4">IFERROR(J2/J3-1,"")</f>
        <v>1.6199999999999992E-2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7237255.1726343567</v>
      </c>
      <c r="D3" s="11">
        <v>1.9099999999999999E-2</v>
      </c>
      <c r="E3" s="10">
        <f t="shared" si="2"/>
        <v>135640.83387039136</v>
      </c>
      <c r="F3" s="3"/>
      <c r="G3" s="28"/>
      <c r="H3" s="10"/>
      <c r="I3" s="10">
        <f t="shared" ref="I3:I34" si="5">IF(H3&lt;&gt;"",H3,I2/(1+IF(G2="",0,G2)/100))</f>
        <v>353</v>
      </c>
      <c r="J3" s="10">
        <f t="shared" si="3"/>
        <v>2554751075.9399281</v>
      </c>
      <c r="K3" s="11">
        <f t="shared" si="4"/>
        <v>1.9100000000000117E-2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7101614.3387639653</v>
      </c>
      <c r="D4" s="11">
        <v>2.24E-2</v>
      </c>
      <c r="E4" s="10">
        <f t="shared" si="2"/>
        <v>155590.9244799614</v>
      </c>
      <c r="F4" s="3"/>
      <c r="G4" s="28"/>
      <c r="H4" s="10"/>
      <c r="I4" s="10">
        <f t="shared" si="5"/>
        <v>353</v>
      </c>
      <c r="J4" s="10">
        <f t="shared" si="3"/>
        <v>2506869861.5836797</v>
      </c>
      <c r="K4" s="11">
        <f t="shared" si="4"/>
        <v>2.2399999999999975E-2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6946023.4142840039</v>
      </c>
      <c r="D5" s="11">
        <v>2.5000000000000001E-2</v>
      </c>
      <c r="E5" s="10">
        <f t="shared" si="2"/>
        <v>169415.20522643812</v>
      </c>
      <c r="F5" s="3"/>
      <c r="G5" s="28"/>
      <c r="H5" s="10"/>
      <c r="I5" s="10">
        <f t="shared" si="5"/>
        <v>353</v>
      </c>
      <c r="J5" s="10">
        <f t="shared" si="3"/>
        <v>2451946265.2422533</v>
      </c>
      <c r="K5" s="11">
        <f t="shared" si="4"/>
        <v>2.4999999999999689E-2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6776608.2090575658</v>
      </c>
      <c r="D6" s="11">
        <v>2.7400000000000001E-2</v>
      </c>
      <c r="E6" s="10">
        <f t="shared" si="2"/>
        <v>180727.14125771634</v>
      </c>
      <c r="F6" s="3"/>
      <c r="G6" s="28"/>
      <c r="H6" s="10"/>
      <c r="I6" s="10">
        <f t="shared" si="5"/>
        <v>353</v>
      </c>
      <c r="J6" s="10">
        <f t="shared" si="3"/>
        <v>2392142697.7973208</v>
      </c>
      <c r="K6" s="11">
        <f t="shared" si="4"/>
        <v>2.7400000000000091E-2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6595881.0677998494</v>
      </c>
      <c r="D7" s="11">
        <v>2.87E-2</v>
      </c>
      <c r="E7" s="10">
        <f t="shared" si="2"/>
        <v>184020.40113332868</v>
      </c>
      <c r="F7" s="3"/>
      <c r="G7" s="28"/>
      <c r="H7" s="10"/>
      <c r="I7" s="10">
        <f t="shared" si="5"/>
        <v>353</v>
      </c>
      <c r="J7" s="10">
        <f t="shared" si="3"/>
        <v>2328346016.9333467</v>
      </c>
      <c r="K7" s="11">
        <f t="shared" si="4"/>
        <v>2.8699999999999726E-2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6411860.6666665208</v>
      </c>
      <c r="D8" s="11">
        <v>2.8400000000000002E-2</v>
      </c>
      <c r="E8" s="10">
        <f t="shared" si="2"/>
        <v>177068.108647733</v>
      </c>
      <c r="F8" s="3"/>
      <c r="G8" s="28"/>
      <c r="H8" s="10"/>
      <c r="I8" s="10">
        <f t="shared" si="5"/>
        <v>353</v>
      </c>
      <c r="J8" s="10">
        <f t="shared" si="3"/>
        <v>2263386815.333282</v>
      </c>
      <c r="K8" s="11">
        <f t="shared" si="4"/>
        <v>2.8399999999999981E-2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6234792.5580187878</v>
      </c>
      <c r="D9" s="11">
        <v>2.7400000000000001E-2</v>
      </c>
      <c r="E9" s="10">
        <f t="shared" si="2"/>
        <v>166277.31758780964</v>
      </c>
      <c r="F9" s="3"/>
      <c r="G9" s="28"/>
      <c r="H9" s="10"/>
      <c r="I9" s="10">
        <f t="shared" si="5"/>
        <v>353</v>
      </c>
      <c r="J9" s="10">
        <f t="shared" si="3"/>
        <v>2200881772.9806323</v>
      </c>
      <c r="K9" s="11">
        <f t="shared" si="4"/>
        <v>2.7400000000000313E-2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6068515.2404309781</v>
      </c>
      <c r="D10" s="11">
        <v>2.6800000000000001E-2</v>
      </c>
      <c r="E10" s="10">
        <f t="shared" si="2"/>
        <v>158391.32103968598</v>
      </c>
      <c r="F10" s="3"/>
      <c r="G10" s="28"/>
      <c r="H10" s="10"/>
      <c r="I10" s="10">
        <f t="shared" si="5"/>
        <v>353</v>
      </c>
      <c r="J10" s="10">
        <f t="shared" si="3"/>
        <v>2142185879.8721352</v>
      </c>
      <c r="K10" s="11">
        <f t="shared" si="4"/>
        <v>2.6799999999999713E-2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5910123.9193912921</v>
      </c>
      <c r="D11" s="11">
        <v>2.6800000000000001E-2</v>
      </c>
      <c r="E11" s="10">
        <f t="shared" si="2"/>
        <v>154257.22734679189</v>
      </c>
      <c r="F11" s="3"/>
      <c r="G11" s="28"/>
      <c r="H11" s="10"/>
      <c r="I11" s="10">
        <f t="shared" si="5"/>
        <v>353</v>
      </c>
      <c r="J11" s="10">
        <f t="shared" si="3"/>
        <v>2086273743.5451262</v>
      </c>
      <c r="K11" s="11">
        <f t="shared" si="4"/>
        <v>2.6799999999999935E-2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5755866.6920445003</v>
      </c>
      <c r="D12" s="11">
        <v>2.75E-2</v>
      </c>
      <c r="E12" s="10">
        <f t="shared" si="2"/>
        <v>154049.96012771223</v>
      </c>
      <c r="F12" s="3"/>
      <c r="G12" s="28"/>
      <c r="H12" s="10"/>
      <c r="I12" s="10">
        <f t="shared" si="5"/>
        <v>353</v>
      </c>
      <c r="J12" s="10">
        <f t="shared" si="3"/>
        <v>2031820942.2917087</v>
      </c>
      <c r="K12" s="11">
        <f t="shared" si="4"/>
        <v>2.750000000000008E-2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5601816.731916788</v>
      </c>
      <c r="D13" s="11">
        <v>2.86E-2</v>
      </c>
      <c r="E13" s="10">
        <f t="shared" si="2"/>
        <v>155757.29975969251</v>
      </c>
      <c r="F13" s="3"/>
      <c r="G13" s="28"/>
      <c r="H13" s="10"/>
      <c r="I13" s="10">
        <f t="shared" si="5"/>
        <v>353</v>
      </c>
      <c r="J13" s="10">
        <f t="shared" si="3"/>
        <v>1977441306.3666263</v>
      </c>
      <c r="K13" s="11">
        <f t="shared" si="4"/>
        <v>2.8599999999999959E-2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5446059.4321570955</v>
      </c>
      <c r="D14" s="11">
        <v>3.0200000000000001E-2</v>
      </c>
      <c r="E14" s="10">
        <f t="shared" si="2"/>
        <v>159649.57760740072</v>
      </c>
      <c r="F14" s="3"/>
      <c r="G14" s="28"/>
      <c r="H14" s="10"/>
      <c r="I14" s="10">
        <f t="shared" si="5"/>
        <v>353</v>
      </c>
      <c r="J14" s="10">
        <f t="shared" si="3"/>
        <v>1922458979.5514548</v>
      </c>
      <c r="K14" s="11">
        <f t="shared" si="4"/>
        <v>3.0200000000000005E-2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5286409.8545496948</v>
      </c>
      <c r="D15" s="11">
        <v>3.2099999999999997E-2</v>
      </c>
      <c r="E15" s="10">
        <f t="shared" si="2"/>
        <v>164416.00264610536</v>
      </c>
      <c r="F15" s="3"/>
      <c r="G15" s="28"/>
      <c r="H15" s="10"/>
      <c r="I15" s="10">
        <f t="shared" si="5"/>
        <v>353</v>
      </c>
      <c r="J15" s="10">
        <f t="shared" si="3"/>
        <v>1866102678.6560423</v>
      </c>
      <c r="K15" s="11">
        <f t="shared" si="4"/>
        <v>3.2100000000000017E-2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5121993.8519035894</v>
      </c>
      <c r="D16" s="11">
        <v>3.4000000000000002E-2</v>
      </c>
      <c r="E16" s="10">
        <f t="shared" si="2"/>
        <v>168421.46128116269</v>
      </c>
      <c r="F16" s="3"/>
      <c r="G16" s="28"/>
      <c r="H16" s="10"/>
      <c r="I16" s="10">
        <f t="shared" si="5"/>
        <v>353</v>
      </c>
      <c r="J16" s="10">
        <f t="shared" si="3"/>
        <v>1808063829.721967</v>
      </c>
      <c r="K16" s="11">
        <f t="shared" si="4"/>
        <v>3.400000000000003E-2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4953572.3906224268</v>
      </c>
      <c r="D17" s="11">
        <v>3.5400000000000001E-2</v>
      </c>
      <c r="E17" s="10">
        <f t="shared" si="2"/>
        <v>169361.08038249426</v>
      </c>
      <c r="F17" s="3"/>
      <c r="G17" s="28"/>
      <c r="H17" s="10"/>
      <c r="I17" s="10">
        <f t="shared" si="5"/>
        <v>353</v>
      </c>
      <c r="J17" s="10">
        <f t="shared" si="3"/>
        <v>1748611053.8897166</v>
      </c>
      <c r="K17" s="11">
        <f t="shared" si="4"/>
        <v>3.5400000000000098E-2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4784211.3102399325</v>
      </c>
      <c r="D18" s="11">
        <v>3.6600000000000001E-2</v>
      </c>
      <c r="E18" s="10">
        <f t="shared" si="2"/>
        <v>168919.67389039323</v>
      </c>
      <c r="F18" s="3"/>
      <c r="G18" s="28"/>
      <c r="H18" s="10"/>
      <c r="I18" s="10">
        <f t="shared" si="5"/>
        <v>353</v>
      </c>
      <c r="J18" s="10">
        <f t="shared" si="3"/>
        <v>1688826592.5146961</v>
      </c>
      <c r="K18" s="11">
        <f t="shared" si="4"/>
        <v>3.6599999999999966E-2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4615291.6363495393</v>
      </c>
      <c r="D19" s="11">
        <v>3.73E-2</v>
      </c>
      <c r="E19" s="10">
        <f t="shared" si="2"/>
        <v>165960.06751743797</v>
      </c>
      <c r="F19" s="3"/>
      <c r="G19" s="28"/>
      <c r="H19" s="10"/>
      <c r="I19" s="10">
        <f t="shared" si="5"/>
        <v>353</v>
      </c>
      <c r="J19" s="10">
        <f t="shared" si="3"/>
        <v>1629197947.6313875</v>
      </c>
      <c r="K19" s="11">
        <f t="shared" si="4"/>
        <v>3.7300000000000111E-2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4449331.5688321013</v>
      </c>
      <c r="D20" s="11">
        <v>3.7400000000000003E-2</v>
      </c>
      <c r="E20" s="10">
        <f t="shared" si="2"/>
        <v>160405.82289793808</v>
      </c>
      <c r="F20" s="3"/>
      <c r="G20" s="28"/>
      <c r="H20" s="10"/>
      <c r="I20" s="10">
        <f t="shared" si="5"/>
        <v>353</v>
      </c>
      <c r="J20" s="10">
        <f t="shared" si="3"/>
        <v>1570614043.7977319</v>
      </c>
      <c r="K20" s="11">
        <f t="shared" si="4"/>
        <v>3.74000000000001E-2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4288925.7459341632</v>
      </c>
      <c r="D21" s="11">
        <v>3.7100000000000001E-2</v>
      </c>
      <c r="E21" s="10">
        <f t="shared" si="2"/>
        <v>153427.00334987696</v>
      </c>
      <c r="F21" s="3"/>
      <c r="G21" s="28"/>
      <c r="H21" s="10"/>
      <c r="I21" s="10">
        <f t="shared" si="5"/>
        <v>353</v>
      </c>
      <c r="J21" s="10">
        <f t="shared" si="3"/>
        <v>1513990788.3147597</v>
      </c>
      <c r="K21" s="11">
        <f t="shared" si="4"/>
        <v>3.7100000000000133E-2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4135498.7425842863</v>
      </c>
      <c r="D22" s="11">
        <v>3.6200000000000003E-2</v>
      </c>
      <c r="E22" s="10">
        <f t="shared" si="2"/>
        <v>144475.05740354303</v>
      </c>
      <c r="F22" s="3"/>
      <c r="G22" s="28"/>
      <c r="H22" s="10"/>
      <c r="I22" s="10">
        <f t="shared" si="5"/>
        <v>353</v>
      </c>
      <c r="J22" s="10">
        <f t="shared" si="3"/>
        <v>1459831056.1322529</v>
      </c>
      <c r="K22" s="11">
        <f t="shared" si="4"/>
        <v>3.620000000000001E-2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3991023.6851807432</v>
      </c>
      <c r="D23" s="11">
        <v>3.4500000000000003E-2</v>
      </c>
      <c r="E23" s="10">
        <f t="shared" si="2"/>
        <v>133098.42159375129</v>
      </c>
      <c r="F23" s="3"/>
      <c r="G23" s="28"/>
      <c r="H23" s="10"/>
      <c r="I23" s="10">
        <f t="shared" si="5"/>
        <v>353</v>
      </c>
      <c r="J23" s="10">
        <f t="shared" si="3"/>
        <v>1408831360.8688023</v>
      </c>
      <c r="K23" s="11">
        <f t="shared" si="4"/>
        <v>3.4499999999999975E-2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3857925.2635869919</v>
      </c>
      <c r="D24" s="11">
        <v>3.1699999999999999E-2</v>
      </c>
      <c r="E24" s="10">
        <f t="shared" si="2"/>
        <v>118538.55854968308</v>
      </c>
      <c r="F24" s="3"/>
      <c r="G24" s="28"/>
      <c r="H24" s="10"/>
      <c r="I24" s="10">
        <f t="shared" si="5"/>
        <v>353</v>
      </c>
      <c r="J24" s="10">
        <f t="shared" si="3"/>
        <v>1361847618.0462081</v>
      </c>
      <c r="K24" s="11">
        <f t="shared" si="4"/>
        <v>3.1700000000000061E-2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3739386.7050373089</v>
      </c>
      <c r="D25" s="11">
        <v>2.86E-2</v>
      </c>
      <c r="E25" s="10">
        <f t="shared" si="2"/>
        <v>103972.83663626947</v>
      </c>
      <c r="F25" s="3"/>
      <c r="G25" s="28"/>
      <c r="H25" s="10"/>
      <c r="I25" s="10">
        <f t="shared" si="5"/>
        <v>353</v>
      </c>
      <c r="J25" s="10">
        <f t="shared" si="3"/>
        <v>1320003506.87817</v>
      </c>
      <c r="K25" s="11">
        <f t="shared" si="4"/>
        <v>2.8599999999999959E-2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3635413.8684010394</v>
      </c>
      <c r="D26" s="11">
        <v>2.5499999999999998E-2</v>
      </c>
      <c r="E26" s="10">
        <f t="shared" si="2"/>
        <v>90397.907015335746</v>
      </c>
      <c r="F26" s="3"/>
      <c r="G26" s="28"/>
      <c r="H26" s="10"/>
      <c r="I26" s="10">
        <f t="shared" si="5"/>
        <v>353</v>
      </c>
      <c r="J26" s="10">
        <f t="shared" si="3"/>
        <v>1283301095.5455668</v>
      </c>
      <c r="K26" s="11">
        <f t="shared" si="4"/>
        <v>2.5499999999999856E-2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3545015.9613857036</v>
      </c>
      <c r="D27" s="11">
        <v>2.4500000000000001E-2</v>
      </c>
      <c r="E27" s="10">
        <f t="shared" si="2"/>
        <v>84775.881946266163</v>
      </c>
      <c r="F27" s="3"/>
      <c r="G27" s="28"/>
      <c r="H27" s="10"/>
      <c r="I27" s="10">
        <f t="shared" si="5"/>
        <v>353</v>
      </c>
      <c r="J27" s="10">
        <f t="shared" si="3"/>
        <v>1251390634.3691535</v>
      </c>
      <c r="K27" s="11">
        <f t="shared" si="4"/>
        <v>2.4500000000000188E-2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3460240.0794394375</v>
      </c>
      <c r="D28" s="11">
        <v>2.6800000000000001E-2</v>
      </c>
      <c r="E28" s="10">
        <f t="shared" si="2"/>
        <v>90314.018434920814</v>
      </c>
      <c r="F28" s="3"/>
      <c r="G28" s="28"/>
      <c r="H28" s="10"/>
      <c r="I28" s="10">
        <f t="shared" si="5"/>
        <v>353</v>
      </c>
      <c r="J28" s="10">
        <f t="shared" si="3"/>
        <v>1221464748.0421214</v>
      </c>
      <c r="K28" s="11">
        <f t="shared" si="4"/>
        <v>2.6799999999999935E-2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3369926.0610045167</v>
      </c>
      <c r="D29" s="11">
        <v>2.8500000000000001E-2</v>
      </c>
      <c r="E29" s="10">
        <f t="shared" si="2"/>
        <v>93381.519434738439</v>
      </c>
      <c r="F29" s="3"/>
      <c r="G29" s="28"/>
      <c r="H29" s="10"/>
      <c r="I29" s="10">
        <f t="shared" si="5"/>
        <v>353</v>
      </c>
      <c r="J29" s="10">
        <f t="shared" si="3"/>
        <v>1189583899.5345943</v>
      </c>
      <c r="K29" s="11">
        <f t="shared" si="4"/>
        <v>2.849999999999997E-2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3276544.5415697782</v>
      </c>
      <c r="D30" s="11">
        <v>2.8199999999999999E-2</v>
      </c>
      <c r="E30" s="10">
        <f t="shared" si="2"/>
        <v>89864.380541011225</v>
      </c>
      <c r="F30" s="3"/>
      <c r="G30" s="28"/>
      <c r="H30" s="10"/>
      <c r="I30" s="10">
        <f t="shared" si="5"/>
        <v>353</v>
      </c>
      <c r="J30" s="10">
        <f t="shared" si="3"/>
        <v>1156620223.1741316</v>
      </c>
      <c r="K30" s="11">
        <f t="shared" si="4"/>
        <v>2.8200000000000003E-2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3186680.161028767</v>
      </c>
      <c r="D31" s="11">
        <v>2.76E-2</v>
      </c>
      <c r="E31" s="10">
        <f t="shared" si="2"/>
        <v>85590.086068892851</v>
      </c>
      <c r="F31" s="3"/>
      <c r="G31" s="28"/>
      <c r="H31" s="10"/>
      <c r="I31" s="10">
        <f t="shared" si="5"/>
        <v>353</v>
      </c>
      <c r="J31" s="10">
        <f t="shared" si="3"/>
        <v>1124898096.8431547</v>
      </c>
      <c r="K31" s="11">
        <f t="shared" si="4"/>
        <v>2.7600000000000069E-2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3101090.0749598742</v>
      </c>
      <c r="D32" s="11">
        <v>2.7199999999999998E-2</v>
      </c>
      <c r="E32" s="10">
        <f t="shared" si="2"/>
        <v>82116.092327597551</v>
      </c>
      <c r="F32" s="3"/>
      <c r="G32" s="28"/>
      <c r="H32" s="10"/>
      <c r="I32" s="10">
        <f t="shared" si="5"/>
        <v>353</v>
      </c>
      <c r="J32" s="10">
        <f t="shared" si="3"/>
        <v>1094684796.4608355</v>
      </c>
      <c r="K32" s="11">
        <f t="shared" si="4"/>
        <v>2.7199999999999669E-2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3018973.9826322766</v>
      </c>
      <c r="D33" s="11">
        <v>2.7099999999999999E-2</v>
      </c>
      <c r="E33" s="10">
        <f t="shared" si="2"/>
        <v>79655.530064584222</v>
      </c>
      <c r="F33" s="3"/>
      <c r="G33" s="28"/>
      <c r="H33" s="10"/>
      <c r="I33" s="10">
        <f t="shared" si="5"/>
        <v>353</v>
      </c>
      <c r="J33" s="10">
        <f t="shared" si="3"/>
        <v>1065697815.8691937</v>
      </c>
      <c r="K33" s="11">
        <f t="shared" si="4"/>
        <v>2.7099999999999902E-2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2939318.4525676924</v>
      </c>
      <c r="D34" s="11">
        <v>2.7300000000000001E-2</v>
      </c>
      <c r="E34" s="10">
        <f t="shared" si="2"/>
        <v>78110.964426261373</v>
      </c>
      <c r="F34" s="3"/>
      <c r="G34" s="28"/>
      <c r="H34" s="10"/>
      <c r="I34" s="10">
        <f t="shared" si="5"/>
        <v>353</v>
      </c>
      <c r="J34" s="10">
        <f t="shared" ref="J34:J65" si="6">IF(I34="","",I34*C34)</f>
        <v>1037579413.7563955</v>
      </c>
      <c r="K34" s="11">
        <f t="shared" ref="K34:K65" si="7">IFERROR(J34/J35-1,"")</f>
        <v>2.7300000000000102E-2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2861207.488141431</v>
      </c>
      <c r="D35" s="11">
        <v>2.75E-2</v>
      </c>
      <c r="E35" s="10">
        <f t="shared" si="2"/>
        <v>76577.329366316088</v>
      </c>
      <c r="F35" s="3"/>
      <c r="G35" s="28"/>
      <c r="H35" s="10"/>
      <c r="I35" s="10">
        <f t="shared" ref="I35:I66" si="8">IF(H35&lt;&gt;"",H35,I34/(1+IF(G34="",0,G34)/100))</f>
        <v>353</v>
      </c>
      <c r="J35" s="10">
        <f t="shared" si="6"/>
        <v>1010006243.3139251</v>
      </c>
      <c r="K35" s="11">
        <f t="shared" si="7"/>
        <v>2.7500000000000302E-2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2784630.1587751149</v>
      </c>
      <c r="D36" s="11">
        <v>2.75E-2</v>
      </c>
      <c r="E36" s="10">
        <f t="shared" si="2"/>
        <v>74527.81446843408</v>
      </c>
      <c r="F36" s="3"/>
      <c r="G36" s="28"/>
      <c r="H36" s="10"/>
      <c r="I36" s="10">
        <f t="shared" si="8"/>
        <v>353</v>
      </c>
      <c r="J36" s="10">
        <f t="shared" si="6"/>
        <v>982974446.04761553</v>
      </c>
      <c r="K36" s="11">
        <f t="shared" si="7"/>
        <v>2.750000000000008E-2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2710102.3443066808</v>
      </c>
      <c r="D37" s="11">
        <v>2.7400000000000001E-2</v>
      </c>
      <c r="E37" s="10">
        <f t="shared" si="2"/>
        <v>72276.430050616618</v>
      </c>
      <c r="F37" s="3"/>
      <c r="G37" s="28"/>
      <c r="H37" s="10"/>
      <c r="I37" s="10">
        <f t="shared" si="8"/>
        <v>353</v>
      </c>
      <c r="J37" s="10">
        <f t="shared" si="6"/>
        <v>956666127.54025829</v>
      </c>
      <c r="K37" s="11">
        <f t="shared" si="7"/>
        <v>2.7400000000000091E-2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2637825.9142560642</v>
      </c>
      <c r="D38" s="11">
        <v>2.7300000000000001E-2</v>
      </c>
      <c r="E38" s="10">
        <f t="shared" si="2"/>
        <v>70098.946227188688</v>
      </c>
      <c r="F38" s="3"/>
      <c r="G38" s="28"/>
      <c r="H38" s="10"/>
      <c r="I38" s="10">
        <f t="shared" si="8"/>
        <v>353</v>
      </c>
      <c r="J38" s="10">
        <f t="shared" si="6"/>
        <v>931152547.73239064</v>
      </c>
      <c r="K38" s="11">
        <f t="shared" si="7"/>
        <v>2.7300000000000102E-2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2567726.9680288755</v>
      </c>
      <c r="D39" s="11">
        <v>2.75E-2</v>
      </c>
      <c r="E39" s="10">
        <f t="shared" si="2"/>
        <v>68722.619582281448</v>
      </c>
      <c r="F39" s="3"/>
      <c r="G39" s="28"/>
      <c r="H39" s="10"/>
      <c r="I39" s="10">
        <f t="shared" si="8"/>
        <v>353</v>
      </c>
      <c r="J39" s="10">
        <f t="shared" si="6"/>
        <v>906407619.71419311</v>
      </c>
      <c r="K39" s="11">
        <f t="shared" si="7"/>
        <v>2.750000000000008E-2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2499004.3484465941</v>
      </c>
      <c r="D40" s="11">
        <v>2.81E-2</v>
      </c>
      <c r="E40" s="10">
        <f t="shared" si="2"/>
        <v>68302.715875254478</v>
      </c>
      <c r="F40" s="3"/>
      <c r="G40" s="28"/>
      <c r="H40" s="10"/>
      <c r="I40" s="10">
        <f t="shared" si="8"/>
        <v>353</v>
      </c>
      <c r="J40" s="10">
        <f t="shared" si="6"/>
        <v>882148535.00164771</v>
      </c>
      <c r="K40" s="11">
        <f t="shared" si="7"/>
        <v>2.8100000000000014E-2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2430701.6325713396</v>
      </c>
      <c r="D41" s="11">
        <v>2.8799999999999999E-2</v>
      </c>
      <c r="E41" s="10">
        <f t="shared" si="2"/>
        <v>68044.524706507102</v>
      </c>
      <c r="F41" s="3"/>
      <c r="G41" s="28"/>
      <c r="H41" s="10"/>
      <c r="I41" s="10">
        <f t="shared" si="8"/>
        <v>353</v>
      </c>
      <c r="J41" s="10">
        <f t="shared" si="6"/>
        <v>858037676.29768288</v>
      </c>
      <c r="K41" s="11">
        <f t="shared" si="7"/>
        <v>2.8799999999999937E-2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2362657.1078648325</v>
      </c>
      <c r="D42" s="11">
        <v>2.9399999999999999E-2</v>
      </c>
      <c r="E42" s="10">
        <f t="shared" si="2"/>
        <v>67478.258180713281</v>
      </c>
      <c r="F42" s="3"/>
      <c r="G42" s="28"/>
      <c r="H42" s="10"/>
      <c r="I42" s="10">
        <f t="shared" si="8"/>
        <v>353</v>
      </c>
      <c r="J42" s="10">
        <f t="shared" si="6"/>
        <v>834017959.07628584</v>
      </c>
      <c r="K42" s="11">
        <f t="shared" si="7"/>
        <v>2.9400000000000093E-2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2295178.8496841192</v>
      </c>
      <c r="D43" s="11">
        <v>2.9499999999999998E-2</v>
      </c>
      <c r="E43" s="10">
        <f t="shared" si="2"/>
        <v>65767.630952580366</v>
      </c>
      <c r="F43" s="3"/>
      <c r="G43" s="28"/>
      <c r="H43" s="10"/>
      <c r="I43" s="10">
        <f t="shared" si="8"/>
        <v>353</v>
      </c>
      <c r="J43" s="10">
        <f t="shared" si="6"/>
        <v>810198133.93849409</v>
      </c>
      <c r="K43" s="11">
        <f t="shared" si="7"/>
        <v>2.9500000000000082E-2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2229411.2187315389</v>
      </c>
      <c r="D44" s="11">
        <v>2.9399999999999999E-2</v>
      </c>
      <c r="E44" s="10">
        <f t="shared" si="2"/>
        <v>63672.712095111143</v>
      </c>
      <c r="F44" s="3"/>
      <c r="G44" s="28"/>
      <c r="H44" s="10"/>
      <c r="I44" s="10">
        <f t="shared" si="8"/>
        <v>353</v>
      </c>
      <c r="J44" s="10">
        <f t="shared" si="6"/>
        <v>786982160.21223319</v>
      </c>
      <c r="K44" s="11">
        <f t="shared" si="7"/>
        <v>2.9400000000000093E-2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2165738.5066364277</v>
      </c>
      <c r="D45" s="11">
        <v>2.93E-2</v>
      </c>
      <c r="E45" s="10">
        <f t="shared" si="2"/>
        <v>61649.799129940104</v>
      </c>
      <c r="F45" s="3"/>
      <c r="G45" s="28"/>
      <c r="H45" s="10"/>
      <c r="I45" s="10">
        <f t="shared" si="8"/>
        <v>353</v>
      </c>
      <c r="J45" s="10">
        <f t="shared" si="6"/>
        <v>764505692.842659</v>
      </c>
      <c r="K45" s="11">
        <f t="shared" si="7"/>
        <v>2.9300000000000104E-2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2104088.7075064876</v>
      </c>
      <c r="D46" s="11">
        <v>2.9000000000000001E-2</v>
      </c>
      <c r="E46" s="10">
        <f t="shared" si="2"/>
        <v>59298.904293185798</v>
      </c>
      <c r="F46" s="3"/>
      <c r="G46" s="28"/>
      <c r="H46" s="10"/>
      <c r="I46" s="10">
        <f t="shared" si="8"/>
        <v>353</v>
      </c>
      <c r="J46" s="10">
        <f t="shared" si="6"/>
        <v>742743313.74979007</v>
      </c>
      <c r="K46" s="11">
        <f t="shared" si="7"/>
        <v>2.8999999999999915E-2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2044789.8032133018</v>
      </c>
      <c r="D47" s="11">
        <v>2.8799999999999999E-2</v>
      </c>
      <c r="E47" s="10">
        <f t="shared" si="2"/>
        <v>57241.394180154428</v>
      </c>
      <c r="F47" s="3"/>
      <c r="G47" s="28"/>
      <c r="H47" s="10"/>
      <c r="I47" s="10">
        <f t="shared" si="8"/>
        <v>353</v>
      </c>
      <c r="J47" s="10">
        <f t="shared" si="6"/>
        <v>721810800.53429556</v>
      </c>
      <c r="K47" s="11">
        <f t="shared" si="7"/>
        <v>2.8799999999999937E-2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1987548.4090331474</v>
      </c>
      <c r="D48" s="11">
        <v>2.86E-2</v>
      </c>
      <c r="E48" s="10">
        <f t="shared" si="2"/>
        <v>55263.35261359904</v>
      </c>
      <c r="F48" s="3"/>
      <c r="G48" s="28"/>
      <c r="H48" s="10"/>
      <c r="I48" s="10">
        <f t="shared" si="8"/>
        <v>353</v>
      </c>
      <c r="J48" s="10">
        <f t="shared" si="6"/>
        <v>701604588.38870108</v>
      </c>
      <c r="K48" s="11">
        <f t="shared" si="7"/>
        <v>2.8599999999999959E-2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1932285.0564195483</v>
      </c>
      <c r="D49" s="11">
        <v>2.8299999999999999E-2</v>
      </c>
      <c r="E49" s="10">
        <f t="shared" si="2"/>
        <v>53178.709614580497</v>
      </c>
      <c r="F49" s="3"/>
      <c r="G49" s="28"/>
      <c r="H49" s="10"/>
      <c r="I49" s="10">
        <f t="shared" si="8"/>
        <v>353</v>
      </c>
      <c r="J49" s="10">
        <f t="shared" si="6"/>
        <v>682096624.91610062</v>
      </c>
      <c r="K49" s="11">
        <f t="shared" si="7"/>
        <v>2.8300000000000214E-2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1879106.3468049678</v>
      </c>
      <c r="D50" s="11">
        <v>2.8000000000000001E-2</v>
      </c>
      <c r="E50" s="10">
        <f t="shared" si="2"/>
        <v>51181.88493243116</v>
      </c>
      <c r="F50" s="3"/>
      <c r="G50" s="28"/>
      <c r="H50" s="10"/>
      <c r="I50" s="10">
        <f t="shared" si="8"/>
        <v>353</v>
      </c>
      <c r="J50" s="10">
        <f t="shared" si="6"/>
        <v>663324540.42215359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1827924.4618725367</v>
      </c>
      <c r="D51" s="11">
        <v>2.76E-2</v>
      </c>
      <c r="E51" s="10">
        <f t="shared" si="2"/>
        <v>49095.674530636519</v>
      </c>
      <c r="F51" s="3"/>
      <c r="G51" s="28"/>
      <c r="H51" s="10"/>
      <c r="I51" s="10">
        <f t="shared" si="8"/>
        <v>353</v>
      </c>
      <c r="J51" s="10">
        <f t="shared" si="6"/>
        <v>645257335.04100549</v>
      </c>
      <c r="K51" s="11">
        <f t="shared" si="7"/>
        <v>2.7600000000000069E-2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1778828.7873419002</v>
      </c>
      <c r="D52" s="11">
        <v>2.7E-2</v>
      </c>
      <c r="E52" s="10">
        <f t="shared" si="2"/>
        <v>46765.703269942664</v>
      </c>
      <c r="F52" s="3"/>
      <c r="G52" s="28"/>
      <c r="H52" s="10"/>
      <c r="I52" s="10">
        <f t="shared" si="8"/>
        <v>353</v>
      </c>
      <c r="J52" s="10">
        <f t="shared" si="6"/>
        <v>627926561.93169081</v>
      </c>
      <c r="K52" s="11">
        <f t="shared" si="7"/>
        <v>2.7000000000000135E-2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1732063.0840719575</v>
      </c>
      <c r="D53" s="11">
        <v>2.6499999999999999E-2</v>
      </c>
      <c r="E53" s="10">
        <f t="shared" si="2"/>
        <v>44714.731347205816</v>
      </c>
      <c r="F53" s="3"/>
      <c r="G53" s="28"/>
      <c r="H53" s="10"/>
      <c r="I53" s="10">
        <f t="shared" si="8"/>
        <v>353</v>
      </c>
      <c r="J53" s="10">
        <f t="shared" si="6"/>
        <v>611418268.67740095</v>
      </c>
      <c r="K53" s="11">
        <f t="shared" si="7"/>
        <v>2.6499999999999746E-2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1687348.3527247517</v>
      </c>
      <c r="D54" s="11">
        <v>2.5899999999999999E-2</v>
      </c>
      <c r="E54" s="10">
        <f t="shared" si="2"/>
        <v>42599.00802765484</v>
      </c>
      <c r="F54" s="3"/>
      <c r="G54" s="28"/>
      <c r="H54" s="10"/>
      <c r="I54" s="10">
        <f t="shared" si="8"/>
        <v>353</v>
      </c>
      <c r="J54" s="10">
        <f t="shared" si="6"/>
        <v>595633968.51183736</v>
      </c>
      <c r="K54" s="11">
        <f t="shared" si="7"/>
        <v>2.5900000000000034E-2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1644749.3446970969</v>
      </c>
      <c r="D55" s="11">
        <v>2.5399999999999999E-2</v>
      </c>
      <c r="E55" s="10">
        <f t="shared" si="2"/>
        <v>40741.791842506733</v>
      </c>
      <c r="F55" s="3"/>
      <c r="G55" s="28"/>
      <c r="H55" s="10"/>
      <c r="I55" s="10">
        <f t="shared" si="8"/>
        <v>353</v>
      </c>
      <c r="J55" s="10">
        <f t="shared" si="6"/>
        <v>580596518.67807519</v>
      </c>
      <c r="K55" s="11">
        <f t="shared" si="7"/>
        <v>2.5400000000000089E-2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1604007.5528545901</v>
      </c>
      <c r="D56" s="11">
        <v>2.4799999999999999E-2</v>
      </c>
      <c r="E56" s="10">
        <f t="shared" si="2"/>
        <v>38816.732348549645</v>
      </c>
      <c r="F56" s="3"/>
      <c r="G56" s="28"/>
      <c r="H56" s="10"/>
      <c r="I56" s="10">
        <f t="shared" si="8"/>
        <v>353</v>
      </c>
      <c r="J56" s="10">
        <f t="shared" si="6"/>
        <v>566214666.15767026</v>
      </c>
      <c r="K56" s="11">
        <f t="shared" si="7"/>
        <v>2.4799999999999711E-2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1565190.8205060405</v>
      </c>
      <c r="D57" s="11">
        <v>2.4199999999999999E-2</v>
      </c>
      <c r="E57" s="10">
        <f t="shared" si="2"/>
        <v>36982.638016252778</v>
      </c>
      <c r="F57" s="3"/>
      <c r="G57" s="28"/>
      <c r="H57" s="10"/>
      <c r="I57" s="10">
        <f t="shared" si="8"/>
        <v>353</v>
      </c>
      <c r="J57" s="10">
        <f t="shared" si="6"/>
        <v>552512359.6386323</v>
      </c>
      <c r="K57" s="11">
        <f t="shared" si="7"/>
        <v>2.4199999999999999E-2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1528208.1824897877</v>
      </c>
      <c r="D58" s="11">
        <v>2.35E-2</v>
      </c>
      <c r="E58" s="10">
        <f t="shared" si="2"/>
        <v>35088.316842706408</v>
      </c>
      <c r="F58" s="3"/>
      <c r="G58" s="28"/>
      <c r="H58" s="10"/>
      <c r="I58" s="10">
        <f t="shared" si="8"/>
        <v>353</v>
      </c>
      <c r="J58" s="10">
        <f t="shared" si="6"/>
        <v>539457488.41889501</v>
      </c>
      <c r="K58" s="11">
        <f t="shared" si="7"/>
        <v>2.3499999999999854E-2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1493119.8656470813</v>
      </c>
      <c r="D59" s="11">
        <v>2.29E-2</v>
      </c>
      <c r="E59" s="10">
        <f t="shared" si="2"/>
        <v>33426.967370532919</v>
      </c>
      <c r="F59" s="3"/>
      <c r="G59" s="28"/>
      <c r="H59" s="10"/>
      <c r="I59" s="10">
        <f t="shared" si="8"/>
        <v>353</v>
      </c>
      <c r="J59" s="10">
        <f t="shared" si="6"/>
        <v>527071312.57341969</v>
      </c>
      <c r="K59" s="11">
        <f t="shared" si="7"/>
        <v>2.289999999999992E-2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1459692.8982765484</v>
      </c>
      <c r="D60" s="11">
        <v>2.2200000000000001E-2</v>
      </c>
      <c r="E60" s="10">
        <f t="shared" si="2"/>
        <v>31701.411017158534</v>
      </c>
      <c r="F60" s="3"/>
      <c r="G60" s="28"/>
      <c r="H60" s="10"/>
      <c r="I60" s="10">
        <f t="shared" si="8"/>
        <v>353</v>
      </c>
      <c r="J60" s="10">
        <f t="shared" si="6"/>
        <v>515271593.09162158</v>
      </c>
      <c r="K60" s="11">
        <f t="shared" si="7"/>
        <v>2.2199999999999998E-2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1427991.4872593898</v>
      </c>
      <c r="D61" s="11">
        <v>2.1499999999999998E-2</v>
      </c>
      <c r="E61" s="10">
        <f t="shared" si="2"/>
        <v>30055.621121954871</v>
      </c>
      <c r="F61" s="3"/>
      <c r="G61" s="28"/>
      <c r="H61" s="10"/>
      <c r="I61" s="10">
        <f t="shared" si="8"/>
        <v>353</v>
      </c>
      <c r="J61" s="10">
        <f t="shared" si="6"/>
        <v>504080995.00256461</v>
      </c>
      <c r="K61" s="11">
        <f t="shared" si="7"/>
        <v>2.1500000000000075E-2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1397935.866137435</v>
      </c>
      <c r="D62" s="11">
        <v>2.0899999999999998E-2</v>
      </c>
      <c r="E62" s="10">
        <f t="shared" si="2"/>
        <v>28618.728183242492</v>
      </c>
      <c r="F62" s="3"/>
      <c r="G62" s="28"/>
      <c r="H62" s="10"/>
      <c r="I62" s="10">
        <f t="shared" si="8"/>
        <v>353</v>
      </c>
      <c r="J62" s="10">
        <f t="shared" si="6"/>
        <v>493471360.74651456</v>
      </c>
      <c r="K62" s="11">
        <f t="shared" si="7"/>
        <v>2.0899999999999919E-2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1369317.1379541925</v>
      </c>
      <c r="D63" s="11">
        <v>2.0299999999999999E-2</v>
      </c>
      <c r="E63" s="10">
        <f t="shared" si="2"/>
        <v>27244.083015260287</v>
      </c>
      <c r="F63" s="3"/>
      <c r="G63" s="28"/>
      <c r="H63" s="10"/>
      <c r="I63" s="10">
        <f t="shared" si="8"/>
        <v>353</v>
      </c>
      <c r="J63" s="10">
        <f t="shared" si="6"/>
        <v>483368949.69782996</v>
      </c>
      <c r="K63" s="11">
        <f t="shared" si="7"/>
        <v>2.0299999999999985E-2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1342073.0549389322</v>
      </c>
      <c r="D64" s="11">
        <v>1.9800000000000002E-2</v>
      </c>
      <c r="E64" s="10">
        <f t="shared" si="2"/>
        <v>26057.115598932141</v>
      </c>
      <c r="F64" s="3"/>
      <c r="G64" s="28"/>
      <c r="H64" s="10"/>
      <c r="I64" s="10">
        <f t="shared" si="8"/>
        <v>353</v>
      </c>
      <c r="J64" s="10">
        <f t="shared" si="6"/>
        <v>473751788.39344305</v>
      </c>
      <c r="K64" s="11">
        <f t="shared" si="7"/>
        <v>1.980000000000004E-2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1316015.93934</v>
      </c>
      <c r="D65" s="11">
        <v>1.9400000000000001E-2</v>
      </c>
      <c r="E65" s="10">
        <f t="shared" si="2"/>
        <v>25044.839340000181</v>
      </c>
      <c r="F65" s="3"/>
      <c r="G65" s="28"/>
      <c r="H65" s="10"/>
      <c r="I65" s="10">
        <f t="shared" si="8"/>
        <v>353</v>
      </c>
      <c r="J65" s="10">
        <f t="shared" si="6"/>
        <v>464553626.58702004</v>
      </c>
      <c r="K65" s="11">
        <f t="shared" si="7"/>
        <v>1.9400000000000084E-2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1290971.0999999999</v>
      </c>
      <c r="D66" s="11">
        <v>1.9E-2</v>
      </c>
      <c r="E66" s="10">
        <f t="shared" si="2"/>
        <v>24071.09999999986</v>
      </c>
      <c r="F66" s="24">
        <f>SUM(F2)</f>
        <v>7354910</v>
      </c>
      <c r="G66" s="28"/>
      <c r="H66" s="10"/>
      <c r="I66" s="10">
        <f t="shared" si="8"/>
        <v>353</v>
      </c>
      <c r="J66" s="10">
        <f t="shared" ref="J66:J67" si="9">IF(I66="","",I66*C66)</f>
        <v>455712798.29999995</v>
      </c>
      <c r="K66" s="11">
        <f t="shared" ref="K66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1266900</v>
      </c>
      <c r="D67" s="11">
        <v>1.8700000000000001E-2</v>
      </c>
      <c r="E67" s="3" t="s">
        <v>72</v>
      </c>
      <c r="F67" s="10">
        <f>SUM(C2)</f>
        <v>7354498.7064310331</v>
      </c>
      <c r="G67" s="28"/>
      <c r="H67" s="10"/>
      <c r="I67" s="10">
        <f t="shared" ref="I67" si="11">IF(H67&lt;&gt;"",H67,I66/(1+IF(G66="",0,G66)/100))</f>
        <v>353</v>
      </c>
      <c r="J67" s="10">
        <f t="shared" si="9"/>
        <v>447215700</v>
      </c>
      <c r="K67" s="11"/>
    </row>
  </sheetData>
  <dataValidations count="1">
    <dataValidation type="custom" allowBlank="1" showDropDown="1" sqref="D2:D67" xr:uid="{00000000-0002-0000-A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  <pageSetUpPr fitToPage="1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425141489.37159437</v>
      </c>
      <c r="D2" s="11">
        <v>1.26E-2</v>
      </c>
      <c r="E2" s="10">
        <f t="shared" ref="E2:E66" si="2">SUM(C2-C3)</f>
        <v>5290127.1638179421</v>
      </c>
      <c r="F2" s="15">
        <f>Acetoa!C2 + Acrana!C2 + Aetintio!C2</f>
        <v>27077612.594551396</v>
      </c>
      <c r="G2" s="28"/>
      <c r="H2" s="10"/>
      <c r="I2" s="10">
        <f>IF(H2&lt;&gt;"",H2,3409)</f>
        <v>3409</v>
      </c>
      <c r="J2" s="10">
        <f t="shared" ref="J2:J33" si="3">IF(I2="","",I2*C2)</f>
        <v>1449307337267.7651</v>
      </c>
      <c r="K2" s="11">
        <f t="shared" ref="K2:K33" si="4">IFERROR(J2/J3-1,"")</f>
        <v>1.2599999999999945E-2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419851362.20777643</v>
      </c>
      <c r="D3" s="11">
        <v>1.34E-2</v>
      </c>
      <c r="E3" s="10">
        <f t="shared" si="2"/>
        <v>5551616.5912613273</v>
      </c>
      <c r="F3" s="3"/>
      <c r="G3" s="28"/>
      <c r="H3" s="10"/>
      <c r="I3" s="10">
        <f t="shared" ref="I3:I34" si="5">IF(H3&lt;&gt;"",H3,I2/(1+IF(G2="",0,G2)/100))</f>
        <v>3409</v>
      </c>
      <c r="J3" s="10">
        <f t="shared" si="3"/>
        <v>1431273293766.3098</v>
      </c>
      <c r="K3" s="11">
        <f t="shared" si="4"/>
        <v>1.3400000000000079E-2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414299745.6165151</v>
      </c>
      <c r="D4" s="11">
        <v>1.43E-2</v>
      </c>
      <c r="E4" s="10">
        <f t="shared" si="2"/>
        <v>5840960.6253733039</v>
      </c>
      <c r="F4" s="3"/>
      <c r="G4" s="28"/>
      <c r="H4" s="10"/>
      <c r="I4" s="10">
        <f t="shared" si="5"/>
        <v>3409</v>
      </c>
      <c r="J4" s="10">
        <f t="shared" si="3"/>
        <v>1412347832806.7</v>
      </c>
      <c r="K4" s="11">
        <f t="shared" si="4"/>
        <v>1.4299999999999757E-2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408458784.9911418</v>
      </c>
      <c r="D5" s="11">
        <v>1.5100000000000001E-2</v>
      </c>
      <c r="E5" s="10">
        <f t="shared" si="2"/>
        <v>6075980.3500800133</v>
      </c>
      <c r="F5" s="3"/>
      <c r="G5" s="28"/>
      <c r="H5" s="10"/>
      <c r="I5" s="10">
        <f t="shared" si="5"/>
        <v>3409</v>
      </c>
      <c r="J5" s="10">
        <f t="shared" si="3"/>
        <v>1392435998034.8025</v>
      </c>
      <c r="K5" s="11">
        <f t="shared" si="4"/>
        <v>1.5100000000000113E-2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402382804.64106178</v>
      </c>
      <c r="D6" s="11">
        <v>1.5800000000000002E-2</v>
      </c>
      <c r="E6" s="10">
        <f t="shared" si="2"/>
        <v>6258759.906801343</v>
      </c>
      <c r="F6" s="3"/>
      <c r="G6" s="28"/>
      <c r="H6" s="10"/>
      <c r="I6" s="10">
        <f t="shared" si="5"/>
        <v>3409</v>
      </c>
      <c r="J6" s="10">
        <f t="shared" si="3"/>
        <v>1371722981021.3796</v>
      </c>
      <c r="K6" s="11">
        <f t="shared" si="4"/>
        <v>1.5800000000000258E-2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396124044.73426044</v>
      </c>
      <c r="D7" s="11">
        <v>1.6400000000000001E-2</v>
      </c>
      <c r="E7" s="10">
        <f t="shared" si="2"/>
        <v>6391611.8985063434</v>
      </c>
      <c r="F7" s="3"/>
      <c r="G7" s="28"/>
      <c r="H7" s="10"/>
      <c r="I7" s="10">
        <f t="shared" si="5"/>
        <v>3409</v>
      </c>
      <c r="J7" s="10">
        <f t="shared" si="3"/>
        <v>1350386868499.0938</v>
      </c>
      <c r="K7" s="11">
        <f t="shared" si="4"/>
        <v>1.639999999999997E-2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389732432.8357541</v>
      </c>
      <c r="D8" s="11">
        <v>1.6899999999999998E-2</v>
      </c>
      <c r="E8" s="10">
        <f t="shared" si="2"/>
        <v>6477016.5354747176</v>
      </c>
      <c r="F8" s="3"/>
      <c r="G8" s="28"/>
      <c r="H8" s="10"/>
      <c r="I8" s="10">
        <f t="shared" si="5"/>
        <v>3409</v>
      </c>
      <c r="J8" s="10">
        <f t="shared" si="3"/>
        <v>1328597863537.0857</v>
      </c>
      <c r="K8" s="11">
        <f t="shared" si="4"/>
        <v>1.6899999999999915E-2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383255416.30027938</v>
      </c>
      <c r="D9" s="11">
        <v>1.7399999999999999E-2</v>
      </c>
      <c r="E9" s="10">
        <f t="shared" si="2"/>
        <v>6554594.3027569056</v>
      </c>
      <c r="F9" s="3"/>
      <c r="G9" s="28"/>
      <c r="H9" s="10"/>
      <c r="I9" s="10">
        <f t="shared" si="5"/>
        <v>3409</v>
      </c>
      <c r="J9" s="10">
        <f t="shared" si="3"/>
        <v>1306517714167.6523</v>
      </c>
      <c r="K9" s="11">
        <f t="shared" si="4"/>
        <v>1.739999999999986E-2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376700821.99752247</v>
      </c>
      <c r="D10" s="11">
        <v>1.78E-2</v>
      </c>
      <c r="E10" s="10">
        <f t="shared" si="2"/>
        <v>6588008.0875967145</v>
      </c>
      <c r="F10" s="3"/>
      <c r="G10" s="28"/>
      <c r="H10" s="10"/>
      <c r="I10" s="10">
        <f t="shared" si="5"/>
        <v>3409</v>
      </c>
      <c r="J10" s="10">
        <f t="shared" si="3"/>
        <v>1284173102189.5542</v>
      </c>
      <c r="K10" s="11">
        <f t="shared" si="4"/>
        <v>1.7800000000000038E-2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370112813.90992576</v>
      </c>
      <c r="D11" s="11">
        <v>1.8200000000000001E-2</v>
      </c>
      <c r="E11" s="10">
        <f t="shared" si="2"/>
        <v>6615648.4120611548</v>
      </c>
      <c r="F11" s="3"/>
      <c r="G11" s="28"/>
      <c r="H11" s="10"/>
      <c r="I11" s="10">
        <f t="shared" si="5"/>
        <v>3409</v>
      </c>
      <c r="J11" s="10">
        <f t="shared" si="3"/>
        <v>1261714582618.937</v>
      </c>
      <c r="K11" s="11">
        <f t="shared" si="4"/>
        <v>1.8200000000000216E-2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363497165.4978646</v>
      </c>
      <c r="D12" s="11">
        <v>1.8599999999999998E-2</v>
      </c>
      <c r="E12" s="10">
        <f t="shared" si="2"/>
        <v>6637588.1388771534</v>
      </c>
      <c r="F12" s="3"/>
      <c r="G12" s="28"/>
      <c r="H12" s="10"/>
      <c r="I12" s="10">
        <f t="shared" si="5"/>
        <v>3409</v>
      </c>
      <c r="J12" s="10">
        <f t="shared" si="3"/>
        <v>1239161837182.2205</v>
      </c>
      <c r="K12" s="11">
        <f t="shared" si="4"/>
        <v>1.859999999999995E-2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356859577.35898745</v>
      </c>
      <c r="D13" s="11">
        <v>1.9099999999999999E-2</v>
      </c>
      <c r="E13" s="10">
        <f t="shared" si="2"/>
        <v>6688271.9336243868</v>
      </c>
      <c r="F13" s="3"/>
      <c r="G13" s="28"/>
      <c r="H13" s="10"/>
      <c r="I13" s="10">
        <f t="shared" si="5"/>
        <v>3409</v>
      </c>
      <c r="J13" s="10">
        <f t="shared" si="3"/>
        <v>1216534299216.7883</v>
      </c>
      <c r="K13" s="11">
        <f t="shared" si="4"/>
        <v>1.9099999999999895E-2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350171305.42536306</v>
      </c>
      <c r="D14" s="11">
        <v>1.9599999999999999E-2</v>
      </c>
      <c r="E14" s="10">
        <f t="shared" si="2"/>
        <v>6731421.720613122</v>
      </c>
      <c r="F14" s="3"/>
      <c r="G14" s="28"/>
      <c r="H14" s="10"/>
      <c r="I14" s="10">
        <f t="shared" si="5"/>
        <v>3409</v>
      </c>
      <c r="J14" s="10">
        <f t="shared" si="3"/>
        <v>1193733980195.0627</v>
      </c>
      <c r="K14" s="11">
        <f t="shared" si="4"/>
        <v>1.9600000000000284E-2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343439883.70474994</v>
      </c>
      <c r="D15" s="11">
        <v>2.01E-2</v>
      </c>
      <c r="E15" s="10">
        <f t="shared" si="2"/>
        <v>6767122.5002112389</v>
      </c>
      <c r="F15" s="3"/>
      <c r="G15" s="28"/>
      <c r="H15" s="10"/>
      <c r="I15" s="10">
        <f t="shared" si="5"/>
        <v>3409</v>
      </c>
      <c r="J15" s="10">
        <f t="shared" si="3"/>
        <v>1170786563549.4924</v>
      </c>
      <c r="K15" s="11">
        <f t="shared" si="4"/>
        <v>2.0100000000000007E-2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336672761.2045387</v>
      </c>
      <c r="D16" s="11">
        <v>2.0400000000000001E-2</v>
      </c>
      <c r="E16" s="10">
        <f t="shared" si="2"/>
        <v>6730815.6885266304</v>
      </c>
      <c r="F16" s="3"/>
      <c r="G16" s="28"/>
      <c r="H16" s="10"/>
      <c r="I16" s="10">
        <f t="shared" si="5"/>
        <v>3409</v>
      </c>
      <c r="J16" s="10">
        <f t="shared" si="3"/>
        <v>1147717442946.2725</v>
      </c>
      <c r="K16" s="11">
        <f t="shared" si="4"/>
        <v>2.0399999999999974E-2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329941945.51601207</v>
      </c>
      <c r="D17" s="11">
        <v>2.07E-2</v>
      </c>
      <c r="E17" s="10">
        <f t="shared" si="2"/>
        <v>6691288.5981987119</v>
      </c>
      <c r="F17" s="3"/>
      <c r="G17" s="28"/>
      <c r="H17" s="10"/>
      <c r="I17" s="10">
        <f t="shared" si="5"/>
        <v>3409</v>
      </c>
      <c r="J17" s="10">
        <f t="shared" si="3"/>
        <v>1124772092264.0852</v>
      </c>
      <c r="K17" s="11">
        <f t="shared" si="4"/>
        <v>2.0699999999999941E-2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323250656.91781336</v>
      </c>
      <c r="D18" s="11">
        <v>2.0899999999999998E-2</v>
      </c>
      <c r="E18" s="10">
        <f t="shared" si="2"/>
        <v>6617630.2572066784</v>
      </c>
      <c r="F18" s="3"/>
      <c r="G18" s="28"/>
      <c r="H18" s="10"/>
      <c r="I18" s="10">
        <f t="shared" si="5"/>
        <v>3409</v>
      </c>
      <c r="J18" s="10">
        <f t="shared" si="3"/>
        <v>1101961489432.8257</v>
      </c>
      <c r="K18" s="11">
        <f t="shared" si="4"/>
        <v>2.0899999999999919E-2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316633026.66060668</v>
      </c>
      <c r="D19" s="11">
        <v>2.1100000000000001E-2</v>
      </c>
      <c r="E19" s="10">
        <f t="shared" si="2"/>
        <v>6542901.6379774213</v>
      </c>
      <c r="F19" s="3"/>
      <c r="G19" s="28"/>
      <c r="H19" s="10"/>
      <c r="I19" s="10">
        <f t="shared" si="5"/>
        <v>3409</v>
      </c>
      <c r="J19" s="10">
        <f t="shared" si="3"/>
        <v>1079401987886.0082</v>
      </c>
      <c r="K19" s="11">
        <f t="shared" si="4"/>
        <v>2.1099999999999675E-2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310090125.02262926</v>
      </c>
      <c r="D20" s="11">
        <v>2.12E-2</v>
      </c>
      <c r="E20" s="10">
        <f t="shared" si="2"/>
        <v>6437436.9863687754</v>
      </c>
      <c r="F20" s="3"/>
      <c r="G20" s="28"/>
      <c r="H20" s="10"/>
      <c r="I20" s="10">
        <f t="shared" si="5"/>
        <v>3409</v>
      </c>
      <c r="J20" s="10">
        <f t="shared" si="3"/>
        <v>1057097236202.1432</v>
      </c>
      <c r="K20" s="11">
        <f t="shared" si="4"/>
        <v>2.120000000000033E-2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303652688.03626049</v>
      </c>
      <c r="D21" s="11">
        <v>2.1399999999999999E-2</v>
      </c>
      <c r="E21" s="10">
        <f t="shared" si="2"/>
        <v>6362020.2897748351</v>
      </c>
      <c r="F21" s="3"/>
      <c r="G21" s="28"/>
      <c r="H21" s="10"/>
      <c r="I21" s="10">
        <f t="shared" si="5"/>
        <v>3409</v>
      </c>
      <c r="J21" s="10">
        <f t="shared" si="3"/>
        <v>1035152013515.6119</v>
      </c>
      <c r="K21" s="11">
        <f t="shared" si="4"/>
        <v>2.1400000000000086E-2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297290667.74648565</v>
      </c>
      <c r="D22" s="11">
        <v>2.1700000000000001E-2</v>
      </c>
      <c r="E22" s="10">
        <f t="shared" si="2"/>
        <v>6314189.5762931705</v>
      </c>
      <c r="F22" s="3"/>
      <c r="G22" s="28"/>
      <c r="H22" s="10"/>
      <c r="I22" s="10">
        <f t="shared" si="5"/>
        <v>3409</v>
      </c>
      <c r="J22" s="10">
        <f t="shared" si="3"/>
        <v>1013463886347.7695</v>
      </c>
      <c r="K22" s="11">
        <f t="shared" si="4"/>
        <v>2.1699999999999831E-2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290976478.17019248</v>
      </c>
      <c r="D23" s="11">
        <v>2.1999999999999999E-2</v>
      </c>
      <c r="E23" s="10">
        <f t="shared" si="2"/>
        <v>6263681.5261685252</v>
      </c>
      <c r="F23" s="3"/>
      <c r="G23" s="28"/>
      <c r="H23" s="10"/>
      <c r="I23" s="10">
        <f t="shared" si="5"/>
        <v>3409</v>
      </c>
      <c r="J23" s="10">
        <f t="shared" si="3"/>
        <v>991938814082.18616</v>
      </c>
      <c r="K23" s="11">
        <f t="shared" si="4"/>
        <v>2.200000000000002E-2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284712796.64402395</v>
      </c>
      <c r="D24" s="11">
        <v>2.23E-2</v>
      </c>
      <c r="E24" s="10">
        <f t="shared" si="2"/>
        <v>6210599.0072989464</v>
      </c>
      <c r="F24" s="3"/>
      <c r="G24" s="28"/>
      <c r="H24" s="10"/>
      <c r="I24" s="10">
        <f t="shared" si="5"/>
        <v>3409</v>
      </c>
      <c r="J24" s="10">
        <f t="shared" si="3"/>
        <v>970585923759.47766</v>
      </c>
      <c r="K24" s="11">
        <f t="shared" si="4"/>
        <v>2.2299999999999986E-2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278502197.63672501</v>
      </c>
      <c r="D25" s="11">
        <v>2.2700000000000001E-2</v>
      </c>
      <c r="E25" s="10">
        <f t="shared" si="2"/>
        <v>6181675.8446794152</v>
      </c>
      <c r="F25" s="3"/>
      <c r="G25" s="28"/>
      <c r="H25" s="10"/>
      <c r="I25" s="10">
        <f t="shared" si="5"/>
        <v>3409</v>
      </c>
      <c r="J25" s="10">
        <f t="shared" si="3"/>
        <v>949413991743.59558</v>
      </c>
      <c r="K25" s="11">
        <f t="shared" si="4"/>
        <v>2.2699999999999942E-2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272320521.79204559</v>
      </c>
      <c r="D26" s="11">
        <v>2.3E-2</v>
      </c>
      <c r="E26" s="10">
        <f t="shared" si="2"/>
        <v>6122553.2758719623</v>
      </c>
      <c r="F26" s="3"/>
      <c r="G26" s="28"/>
      <c r="H26" s="10"/>
      <c r="I26" s="10">
        <f t="shared" si="5"/>
        <v>3409</v>
      </c>
      <c r="J26" s="10">
        <f t="shared" si="3"/>
        <v>928340658789.08337</v>
      </c>
      <c r="K26" s="11">
        <f t="shared" si="4"/>
        <v>2.2999999999999909E-2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266197968.51617363</v>
      </c>
      <c r="D27" s="11">
        <v>2.3199999999999998E-2</v>
      </c>
      <c r="E27" s="10">
        <f t="shared" si="2"/>
        <v>6035763.1641665995</v>
      </c>
      <c r="F27" s="3"/>
      <c r="G27" s="28"/>
      <c r="H27" s="10"/>
      <c r="I27" s="10">
        <f t="shared" si="5"/>
        <v>3409</v>
      </c>
      <c r="J27" s="10">
        <f t="shared" si="3"/>
        <v>907468874671.63586</v>
      </c>
      <c r="K27" s="11">
        <f t="shared" si="4"/>
        <v>2.3200000000000109E-2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260162205.35200703</v>
      </c>
      <c r="D28" s="11">
        <v>2.3400000000000001E-2</v>
      </c>
      <c r="E28" s="10">
        <f t="shared" si="2"/>
        <v>5948598.4026157856</v>
      </c>
      <c r="F28" s="3"/>
      <c r="G28" s="28"/>
      <c r="H28" s="10"/>
      <c r="I28" s="10">
        <f t="shared" si="5"/>
        <v>3409</v>
      </c>
      <c r="J28" s="10">
        <f t="shared" si="3"/>
        <v>886892958044.99194</v>
      </c>
      <c r="K28" s="11">
        <f t="shared" si="4"/>
        <v>2.3400000000000087E-2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254213606.94939125</v>
      </c>
      <c r="D29" s="11">
        <v>2.35E-2</v>
      </c>
      <c r="E29" s="10">
        <f t="shared" si="2"/>
        <v>5836853.7013294697</v>
      </c>
      <c r="F29" s="3"/>
      <c r="G29" s="28"/>
      <c r="H29" s="10"/>
      <c r="I29" s="10">
        <f t="shared" si="5"/>
        <v>3409</v>
      </c>
      <c r="J29" s="10">
        <f t="shared" si="3"/>
        <v>866614186090.47473</v>
      </c>
      <c r="K29" s="11">
        <f t="shared" si="4"/>
        <v>2.3500000000000076E-2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248376753.24806178</v>
      </c>
      <c r="D30" s="11">
        <v>2.3599999999999999E-2</v>
      </c>
      <c r="E30" s="10">
        <f t="shared" si="2"/>
        <v>5726544.9166219831</v>
      </c>
      <c r="F30" s="3"/>
      <c r="G30" s="28"/>
      <c r="H30" s="10"/>
      <c r="I30" s="10">
        <f t="shared" si="5"/>
        <v>3409</v>
      </c>
      <c r="J30" s="10">
        <f t="shared" si="3"/>
        <v>846716351822.64258</v>
      </c>
      <c r="K30" s="11">
        <f t="shared" si="4"/>
        <v>2.3599999999999843E-2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242650208.33143979</v>
      </c>
      <c r="D31" s="11">
        <v>2.3699999999999999E-2</v>
      </c>
      <c r="E31" s="10">
        <f t="shared" si="2"/>
        <v>5617671.1316353679</v>
      </c>
      <c r="F31" s="3"/>
      <c r="G31" s="28"/>
      <c r="H31" s="10"/>
      <c r="I31" s="10">
        <f t="shared" si="5"/>
        <v>3409</v>
      </c>
      <c r="J31" s="10">
        <f t="shared" si="3"/>
        <v>827194560201.8783</v>
      </c>
      <c r="K31" s="11">
        <f t="shared" si="4"/>
        <v>2.3700000000000054E-2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237032537.19980443</v>
      </c>
      <c r="D32" s="11">
        <v>2.3699999999999999E-2</v>
      </c>
      <c r="E32" s="10">
        <f t="shared" si="2"/>
        <v>5487614.6640962958</v>
      </c>
      <c r="F32" s="3"/>
      <c r="G32" s="28"/>
      <c r="H32" s="10"/>
      <c r="I32" s="10">
        <f t="shared" si="5"/>
        <v>3409</v>
      </c>
      <c r="J32" s="10">
        <f t="shared" si="3"/>
        <v>808043919314.1333</v>
      </c>
      <c r="K32" s="11">
        <f t="shared" si="4"/>
        <v>2.3700000000000054E-2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231544922.53570813</v>
      </c>
      <c r="D33" s="11">
        <v>2.3699999999999999E-2</v>
      </c>
      <c r="E33" s="10">
        <f t="shared" si="2"/>
        <v>5360569.1746569276</v>
      </c>
      <c r="F33" s="3"/>
      <c r="G33" s="28"/>
      <c r="H33" s="10"/>
      <c r="I33" s="10">
        <f t="shared" si="5"/>
        <v>3409</v>
      </c>
      <c r="J33" s="10">
        <f t="shared" si="3"/>
        <v>789336640924.229</v>
      </c>
      <c r="K33" s="11">
        <f t="shared" si="4"/>
        <v>2.3700000000000054E-2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226184353.3610512</v>
      </c>
      <c r="D34" s="11">
        <v>2.3699999999999999E-2</v>
      </c>
      <c r="E34" s="10">
        <f t="shared" si="2"/>
        <v>5236464.9552182555</v>
      </c>
      <c r="F34" s="3"/>
      <c r="G34" s="28"/>
      <c r="H34" s="10"/>
      <c r="I34" s="10">
        <f t="shared" si="5"/>
        <v>3409</v>
      </c>
      <c r="J34" s="10">
        <f t="shared" ref="J34:J65" si="6">IF(I34="","",I34*C34)</f>
        <v>771062460607.82349</v>
      </c>
      <c r="K34" s="11">
        <f t="shared" ref="K34:K65" si="7">IFERROR(J34/J35-1,"")</f>
        <v>2.3700000000000054E-2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220947888.40583295</v>
      </c>
      <c r="D35" s="11">
        <v>2.35E-2</v>
      </c>
      <c r="E35" s="10">
        <f t="shared" si="2"/>
        <v>5073058.5027230978</v>
      </c>
      <c r="F35" s="3"/>
      <c r="G35" s="28"/>
      <c r="H35" s="10"/>
      <c r="I35" s="10">
        <f t="shared" ref="I35:I66" si="8">IF(H35&lt;&gt;"",H35,I34/(1+IF(G34="",0,G34)/100))</f>
        <v>3409</v>
      </c>
      <c r="J35" s="10">
        <f t="shared" si="6"/>
        <v>753211351575.4845</v>
      </c>
      <c r="K35" s="11">
        <f t="shared" si="7"/>
        <v>2.3500000000000076E-2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215874829.90310985</v>
      </c>
      <c r="D36" s="11">
        <v>2.3199999999999998E-2</v>
      </c>
      <c r="E36" s="10">
        <f t="shared" si="2"/>
        <v>4894738.129155755</v>
      </c>
      <c r="F36" s="3"/>
      <c r="G36" s="28"/>
      <c r="H36" s="10"/>
      <c r="I36" s="10">
        <f t="shared" si="8"/>
        <v>3409</v>
      </c>
      <c r="J36" s="10">
        <f t="shared" si="6"/>
        <v>735917295139.70142</v>
      </c>
      <c r="K36" s="11">
        <f t="shared" si="7"/>
        <v>2.3199999999999887E-2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210980091.77395409</v>
      </c>
      <c r="D37" s="11">
        <v>2.2800000000000001E-2</v>
      </c>
      <c r="E37" s="10">
        <f t="shared" si="2"/>
        <v>4703115.0688757598</v>
      </c>
      <c r="F37" s="3"/>
      <c r="G37" s="28"/>
      <c r="H37" s="10"/>
      <c r="I37" s="10">
        <f t="shared" si="8"/>
        <v>3409</v>
      </c>
      <c r="J37" s="10">
        <f t="shared" si="6"/>
        <v>719231132857.40955</v>
      </c>
      <c r="K37" s="11">
        <f t="shared" si="7"/>
        <v>2.2799999999999931E-2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206276976.70507833</v>
      </c>
      <c r="D38" s="11">
        <v>2.2499999999999999E-2</v>
      </c>
      <c r="E38" s="10">
        <f t="shared" si="2"/>
        <v>4539102.1768843532</v>
      </c>
      <c r="F38" s="3"/>
      <c r="G38" s="28"/>
      <c r="H38" s="10"/>
      <c r="I38" s="10">
        <f t="shared" si="8"/>
        <v>3409</v>
      </c>
      <c r="J38" s="10">
        <f t="shared" si="6"/>
        <v>703198213587.61206</v>
      </c>
      <c r="K38" s="11">
        <f t="shared" si="7"/>
        <v>2.2499999999999964E-2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201737874.52819398</v>
      </c>
      <c r="D39" s="11">
        <v>2.24E-2</v>
      </c>
      <c r="E39" s="10">
        <f t="shared" si="2"/>
        <v>4419922.1336380541</v>
      </c>
      <c r="F39" s="3"/>
      <c r="G39" s="28"/>
      <c r="H39" s="10"/>
      <c r="I39" s="10">
        <f t="shared" si="8"/>
        <v>3409</v>
      </c>
      <c r="J39" s="10">
        <f t="shared" si="6"/>
        <v>687724414266.61328</v>
      </c>
      <c r="K39" s="11">
        <f t="shared" si="7"/>
        <v>2.2399999999999975E-2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197317952.39455593</v>
      </c>
      <c r="D40" s="11">
        <v>2.2499999999999999E-2</v>
      </c>
      <c r="E40" s="10">
        <f t="shared" si="2"/>
        <v>4341959.8326430321</v>
      </c>
      <c r="F40" s="3"/>
      <c r="G40" s="28"/>
      <c r="H40" s="10"/>
      <c r="I40" s="10">
        <f t="shared" si="8"/>
        <v>3409</v>
      </c>
      <c r="J40" s="10">
        <f t="shared" si="6"/>
        <v>672656899713.04114</v>
      </c>
      <c r="K40" s="11">
        <f t="shared" si="7"/>
        <v>2.2499999999999964E-2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192975992.56191289</v>
      </c>
      <c r="D41" s="11">
        <v>2.2700000000000001E-2</v>
      </c>
      <c r="E41" s="10">
        <f t="shared" si="2"/>
        <v>4283323.5857586861</v>
      </c>
      <c r="F41" s="3"/>
      <c r="G41" s="28"/>
      <c r="H41" s="10"/>
      <c r="I41" s="10">
        <f t="shared" si="8"/>
        <v>3409</v>
      </c>
      <c r="J41" s="10">
        <f t="shared" si="6"/>
        <v>657855158643.56104</v>
      </c>
      <c r="K41" s="11">
        <f t="shared" si="7"/>
        <v>2.2699999999999942E-2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188692668.97615421</v>
      </c>
      <c r="D42" s="11">
        <v>2.2800000000000001E-2</v>
      </c>
      <c r="E42" s="10">
        <f t="shared" si="2"/>
        <v>4206289.4531250596</v>
      </c>
      <c r="F42" s="3"/>
      <c r="G42" s="28"/>
      <c r="H42" s="10"/>
      <c r="I42" s="10">
        <f t="shared" si="8"/>
        <v>3409</v>
      </c>
      <c r="J42" s="10">
        <f t="shared" si="6"/>
        <v>643253308539.70972</v>
      </c>
      <c r="K42" s="11">
        <f t="shared" si="7"/>
        <v>2.2799999999999931E-2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184486379.52302915</v>
      </c>
      <c r="D43" s="11">
        <v>2.2800000000000001E-2</v>
      </c>
      <c r="E43" s="10">
        <f t="shared" si="2"/>
        <v>4112523.9080221355</v>
      </c>
      <c r="F43" s="3"/>
      <c r="G43" s="28"/>
      <c r="H43" s="10"/>
      <c r="I43" s="10">
        <f t="shared" si="8"/>
        <v>3409</v>
      </c>
      <c r="J43" s="10">
        <f t="shared" si="6"/>
        <v>628914067794.00635</v>
      </c>
      <c r="K43" s="11">
        <f t="shared" si="7"/>
        <v>2.2799999999999709E-2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180373855.61500701</v>
      </c>
      <c r="D44" s="11">
        <v>2.2700000000000001E-2</v>
      </c>
      <c r="E44" s="10">
        <f t="shared" si="2"/>
        <v>4003604.6958645284</v>
      </c>
      <c r="F44" s="3"/>
      <c r="G44" s="28"/>
      <c r="H44" s="10"/>
      <c r="I44" s="10">
        <f t="shared" si="8"/>
        <v>3409</v>
      </c>
      <c r="J44" s="10">
        <f t="shared" si="6"/>
        <v>614894473791.55896</v>
      </c>
      <c r="K44" s="11">
        <f t="shared" si="7"/>
        <v>2.2700000000000164E-2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176370250.91914248</v>
      </c>
      <c r="D45" s="11">
        <v>2.24E-2</v>
      </c>
      <c r="E45" s="10">
        <f t="shared" si="2"/>
        <v>3864136.9528450668</v>
      </c>
      <c r="F45" s="3"/>
      <c r="G45" s="28"/>
      <c r="H45" s="10"/>
      <c r="I45" s="10">
        <f t="shared" si="8"/>
        <v>3409</v>
      </c>
      <c r="J45" s="10">
        <f t="shared" si="6"/>
        <v>601246185383.35669</v>
      </c>
      <c r="K45" s="11">
        <f t="shared" si="7"/>
        <v>2.2399999999999975E-2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172506113.96629742</v>
      </c>
      <c r="D46" s="11">
        <v>2.1999999999999999E-2</v>
      </c>
      <c r="E46" s="10">
        <f t="shared" si="2"/>
        <v>3713438.8525034785</v>
      </c>
      <c r="F46" s="3"/>
      <c r="G46" s="28"/>
      <c r="H46" s="10"/>
      <c r="I46" s="10">
        <f t="shared" si="8"/>
        <v>3409</v>
      </c>
      <c r="J46" s="10">
        <f t="shared" si="6"/>
        <v>588073342511.10791</v>
      </c>
      <c r="K46" s="11">
        <f t="shared" si="7"/>
        <v>2.200000000000002E-2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168792675.11379394</v>
      </c>
      <c r="D47" s="11">
        <v>2.1700000000000001E-2</v>
      </c>
      <c r="E47" s="10">
        <f t="shared" si="2"/>
        <v>3585006.4108538032</v>
      </c>
      <c r="F47" s="3"/>
      <c r="G47" s="28"/>
      <c r="H47" s="10"/>
      <c r="I47" s="10">
        <f t="shared" si="8"/>
        <v>3409</v>
      </c>
      <c r="J47" s="10">
        <f t="shared" si="6"/>
        <v>575414229462.92358</v>
      </c>
      <c r="K47" s="11">
        <f t="shared" si="7"/>
        <v>2.1700000000000275E-2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165207668.70294014</v>
      </c>
      <c r="D48" s="11">
        <v>2.1499999999999998E-2</v>
      </c>
      <c r="E48" s="10">
        <f t="shared" si="2"/>
        <v>3477204.9702527821</v>
      </c>
      <c r="F48" s="3"/>
      <c r="G48" s="28"/>
      <c r="H48" s="10"/>
      <c r="I48" s="10">
        <f t="shared" si="8"/>
        <v>3409</v>
      </c>
      <c r="J48" s="10">
        <f t="shared" si="6"/>
        <v>563192942608.32288</v>
      </c>
      <c r="K48" s="11">
        <f t="shared" si="7"/>
        <v>2.1499999999999853E-2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161730463.73268735</v>
      </c>
      <c r="D49" s="11">
        <v>2.1499999999999998E-2</v>
      </c>
      <c r="E49" s="10">
        <f t="shared" si="2"/>
        <v>3404018.5709767938</v>
      </c>
      <c r="F49" s="3"/>
      <c r="G49" s="28"/>
      <c r="H49" s="10"/>
      <c r="I49" s="10">
        <f t="shared" si="8"/>
        <v>3409</v>
      </c>
      <c r="J49" s="10">
        <f t="shared" si="6"/>
        <v>551339150864.7312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158326445.16171056</v>
      </c>
      <c r="D50" s="11">
        <v>2.1499999999999998E-2</v>
      </c>
      <c r="E50" s="10">
        <f t="shared" si="2"/>
        <v>3332372.5609170794</v>
      </c>
      <c r="F50" s="3"/>
      <c r="G50" s="28"/>
      <c r="H50" s="10"/>
      <c r="I50" s="10">
        <f t="shared" si="8"/>
        <v>3409</v>
      </c>
      <c r="J50" s="10">
        <f t="shared" si="6"/>
        <v>539734851556.2713</v>
      </c>
      <c r="K50" s="11">
        <f t="shared" si="7"/>
        <v>2.1500000000000075E-2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154994072.60079348</v>
      </c>
      <c r="D51" s="11">
        <v>2.1499999999999998E-2</v>
      </c>
      <c r="E51" s="10">
        <f t="shared" si="2"/>
        <v>3262234.5187636614</v>
      </c>
      <c r="F51" s="3"/>
      <c r="G51" s="28"/>
      <c r="H51" s="10"/>
      <c r="I51" s="10">
        <f t="shared" si="8"/>
        <v>3409</v>
      </c>
      <c r="J51" s="10">
        <f t="shared" si="6"/>
        <v>528374793496.10498</v>
      </c>
      <c r="K51" s="11">
        <f t="shared" si="7"/>
        <v>2.1500000000000075E-2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151731838.08202982</v>
      </c>
      <c r="D52" s="11">
        <v>2.12E-2</v>
      </c>
      <c r="E52" s="10">
        <f t="shared" si="2"/>
        <v>3149936.3174099624</v>
      </c>
      <c r="F52" s="3"/>
      <c r="G52" s="28"/>
      <c r="H52" s="10"/>
      <c r="I52" s="10">
        <f t="shared" si="8"/>
        <v>3409</v>
      </c>
      <c r="J52" s="10">
        <f t="shared" si="6"/>
        <v>517253836021.63965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148581901.76461986</v>
      </c>
      <c r="D53" s="11">
        <v>2.0799999999999999E-2</v>
      </c>
      <c r="E53" s="10">
        <f t="shared" si="2"/>
        <v>3027530.9136991501</v>
      </c>
      <c r="F53" s="3"/>
      <c r="G53" s="28"/>
      <c r="H53" s="10"/>
      <c r="I53" s="10">
        <f t="shared" si="8"/>
        <v>3409</v>
      </c>
      <c r="J53" s="10">
        <f t="shared" si="6"/>
        <v>506515703115.58911</v>
      </c>
      <c r="K53" s="11">
        <f t="shared" si="7"/>
        <v>2.079999999999993E-2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145554370.85092071</v>
      </c>
      <c r="D54" s="11">
        <v>2.0400000000000001E-2</v>
      </c>
      <c r="E54" s="10">
        <f t="shared" si="2"/>
        <v>2909946.2616216838</v>
      </c>
      <c r="F54" s="3"/>
      <c r="G54" s="28"/>
      <c r="H54" s="10"/>
      <c r="I54" s="10">
        <f t="shared" si="8"/>
        <v>3409</v>
      </c>
      <c r="J54" s="10">
        <f t="shared" si="6"/>
        <v>496194850230.7887</v>
      </c>
      <c r="K54" s="11">
        <f t="shared" si="7"/>
        <v>2.0399999999999974E-2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142644424.58929902</v>
      </c>
      <c r="D55" s="11">
        <v>2.01E-2</v>
      </c>
      <c r="E55" s="10">
        <f t="shared" si="2"/>
        <v>2810658.6944857538</v>
      </c>
      <c r="F55" s="3"/>
      <c r="G55" s="28"/>
      <c r="H55" s="10"/>
      <c r="I55" s="10">
        <f t="shared" si="8"/>
        <v>3409</v>
      </c>
      <c r="J55" s="10">
        <f t="shared" si="6"/>
        <v>486274843424.92035</v>
      </c>
      <c r="K55" s="11">
        <f t="shared" si="7"/>
        <v>2.0100000000000007E-2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139833765.89481327</v>
      </c>
      <c r="D56" s="11">
        <v>1.9900000000000001E-2</v>
      </c>
      <c r="E56" s="10">
        <f t="shared" si="2"/>
        <v>2728396.8441090286</v>
      </c>
      <c r="F56" s="3"/>
      <c r="G56" s="28"/>
      <c r="H56" s="10"/>
      <c r="I56" s="10">
        <f t="shared" si="8"/>
        <v>3409</v>
      </c>
      <c r="J56" s="10">
        <f t="shared" si="6"/>
        <v>476693307935.41846</v>
      </c>
      <c r="K56" s="11">
        <f t="shared" si="7"/>
        <v>1.9900000000000029E-2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137105369.05070424</v>
      </c>
      <c r="D57" s="11">
        <v>1.9800000000000002E-2</v>
      </c>
      <c r="E57" s="10">
        <f t="shared" si="2"/>
        <v>2661979.1206157506</v>
      </c>
      <c r="F57" s="3"/>
      <c r="G57" s="28"/>
      <c r="H57" s="10"/>
      <c r="I57" s="10">
        <f t="shared" si="8"/>
        <v>3409</v>
      </c>
      <c r="J57" s="10">
        <f t="shared" si="6"/>
        <v>467392203093.85077</v>
      </c>
      <c r="K57" s="11">
        <f t="shared" si="7"/>
        <v>1.980000000000004E-2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134443389.93008849</v>
      </c>
      <c r="D58" s="11">
        <v>1.9699999999999999E-2</v>
      </c>
      <c r="E58" s="10">
        <f t="shared" si="2"/>
        <v>2597366.6584512591</v>
      </c>
      <c r="F58" s="3"/>
      <c r="G58" s="28"/>
      <c r="H58" s="10"/>
      <c r="I58" s="10">
        <f t="shared" si="8"/>
        <v>3409</v>
      </c>
      <c r="J58" s="10">
        <f t="shared" si="6"/>
        <v>458317516271.67169</v>
      </c>
      <c r="K58" s="11">
        <f t="shared" si="7"/>
        <v>1.9700000000000273E-2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131846023.27163723</v>
      </c>
      <c r="D59" s="11">
        <v>1.9599999999999999E-2</v>
      </c>
      <c r="E59" s="10">
        <f t="shared" si="2"/>
        <v>2534505.7435505092</v>
      </c>
      <c r="F59" s="3"/>
      <c r="G59" s="28"/>
      <c r="H59" s="10"/>
      <c r="I59" s="10">
        <f t="shared" si="8"/>
        <v>3409</v>
      </c>
      <c r="J59" s="10">
        <f t="shared" si="6"/>
        <v>449463093333.01129</v>
      </c>
      <c r="K59" s="11">
        <f t="shared" si="7"/>
        <v>1.9600000000000062E-2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129311517.52808672</v>
      </c>
      <c r="D60" s="11">
        <v>1.9400000000000001E-2</v>
      </c>
      <c r="E60" s="10">
        <f t="shared" si="2"/>
        <v>2460901.9423630536</v>
      </c>
      <c r="F60" s="3"/>
      <c r="G60" s="28"/>
      <c r="H60" s="10"/>
      <c r="I60" s="10">
        <f t="shared" si="8"/>
        <v>3409</v>
      </c>
      <c r="J60" s="10">
        <f t="shared" si="6"/>
        <v>440822963253.24762</v>
      </c>
      <c r="K60" s="11">
        <f t="shared" si="7"/>
        <v>1.9400000000000084E-2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126850615.58572367</v>
      </c>
      <c r="D61" s="11">
        <v>1.9E-2</v>
      </c>
      <c r="E61" s="10">
        <f t="shared" si="2"/>
        <v>2365222.4692136794</v>
      </c>
      <c r="F61" s="3"/>
      <c r="G61" s="28"/>
      <c r="H61" s="10"/>
      <c r="I61" s="10">
        <f t="shared" si="8"/>
        <v>3409</v>
      </c>
      <c r="J61" s="10">
        <f t="shared" si="6"/>
        <v>432433748531.73199</v>
      </c>
      <c r="K61" s="11">
        <f t="shared" si="7"/>
        <v>1.8999999999999906E-2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124485393.11650999</v>
      </c>
      <c r="D62" s="11">
        <v>1.8499999999999999E-2</v>
      </c>
      <c r="E62" s="10">
        <f t="shared" si="2"/>
        <v>2261148.5249439627</v>
      </c>
      <c r="F62" s="3"/>
      <c r="G62" s="28"/>
      <c r="H62" s="10"/>
      <c r="I62" s="10">
        <f t="shared" si="8"/>
        <v>3409</v>
      </c>
      <c r="J62" s="10">
        <f t="shared" si="6"/>
        <v>424370705134.18256</v>
      </c>
      <c r="K62" s="11">
        <f t="shared" si="7"/>
        <v>1.8499999999999961E-2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122224244.59156603</v>
      </c>
      <c r="D63" s="11">
        <v>1.7999999999999999E-2</v>
      </c>
      <c r="E63" s="10">
        <f t="shared" si="2"/>
        <v>2161135.9554500878</v>
      </c>
      <c r="F63" s="3"/>
      <c r="G63" s="28"/>
      <c r="H63" s="10"/>
      <c r="I63" s="10">
        <f t="shared" si="8"/>
        <v>3409</v>
      </c>
      <c r="J63" s="10">
        <f t="shared" si="6"/>
        <v>416662449812.64856</v>
      </c>
      <c r="K63" s="11">
        <f t="shared" si="7"/>
        <v>1.8000000000000016E-2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120063108.63611594</v>
      </c>
      <c r="D64" s="11">
        <v>1.7399999999999999E-2</v>
      </c>
      <c r="E64" s="10">
        <f t="shared" si="2"/>
        <v>2053369.4616359621</v>
      </c>
      <c r="F64" s="3"/>
      <c r="G64" s="28"/>
      <c r="H64" s="10"/>
      <c r="I64" s="10">
        <f t="shared" si="8"/>
        <v>3409</v>
      </c>
      <c r="J64" s="10">
        <f t="shared" si="6"/>
        <v>409295137340.51923</v>
      </c>
      <c r="K64" s="11">
        <f t="shared" si="7"/>
        <v>1.7400000000000082E-2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118009739.17447998</v>
      </c>
      <c r="D65" s="11">
        <v>1.6899999999999998E-2</v>
      </c>
      <c r="E65" s="10">
        <f t="shared" si="2"/>
        <v>1961219.9744799882</v>
      </c>
      <c r="F65" s="3"/>
      <c r="G65" s="28"/>
      <c r="H65" s="10"/>
      <c r="I65" s="10">
        <f t="shared" si="8"/>
        <v>3409</v>
      </c>
      <c r="J65" s="10">
        <f t="shared" si="6"/>
        <v>402295200845.80225</v>
      </c>
      <c r="K65" s="11">
        <f t="shared" si="7"/>
        <v>1.6899999999999915E-2</v>
      </c>
      <c r="L65" t="s">
        <v>148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116048519.19999999</v>
      </c>
      <c r="D66" s="11">
        <v>1.6500000000000001E-2</v>
      </c>
      <c r="E66" s="10">
        <f t="shared" si="2"/>
        <v>1883719.1999999881</v>
      </c>
      <c r="F66" s="24">
        <f>SUM(F2)</f>
        <v>27077612.594551396</v>
      </c>
      <c r="G66" s="28"/>
      <c r="H66" s="10"/>
      <c r="I66" s="10">
        <f t="shared" si="8"/>
        <v>3409</v>
      </c>
      <c r="J66" s="10">
        <f t="shared" ref="J66:J67" si="9">IF(I66="","",I66*C66)</f>
        <v>395609401952.79999</v>
      </c>
      <c r="K66" s="11">
        <f t="shared" ref="K66" si="10">IFERROR(J66/J67-1,"")</f>
        <v>1.6499999999999959E-2</v>
      </c>
    </row>
    <row r="67" spans="1:13" ht="22.5" customHeight="1">
      <c r="A67" s="3">
        <f t="shared" si="0"/>
        <v>1950</v>
      </c>
      <c r="B67" s="3">
        <v>1700</v>
      </c>
      <c r="C67" s="10">
        <v>114164800</v>
      </c>
      <c r="D67" s="11">
        <v>1.6199999999999999E-2</v>
      </c>
      <c r="E67" s="3" t="s">
        <v>72</v>
      </c>
      <c r="F67" s="10">
        <f>SUM(C2)</f>
        <v>425141489.37159437</v>
      </c>
      <c r="G67" s="28"/>
      <c r="H67" s="10"/>
      <c r="I67" s="10">
        <f t="shared" ref="I67" si="11">IF(H67&lt;&gt;"",H67,I66/(1+IF(G66="",0,G66)/100))</f>
        <v>3409</v>
      </c>
      <c r="J67" s="10">
        <f t="shared" si="9"/>
        <v>389187803200</v>
      </c>
      <c r="K67" s="11"/>
    </row>
  </sheetData>
  <dataValidations count="1">
    <dataValidation type="custom" allowBlank="1" showDropDown="1" sqref="D2:D67" xr:uid="{00000000-0002-0000-AD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GlobalContinent Population</vt:lpstr>
      <vt:lpstr>Geoscheme Population</vt:lpstr>
      <vt:lpstr>Acetoa</vt:lpstr>
      <vt:lpstr>Acrana</vt:lpstr>
      <vt:lpstr>Aetintio</vt:lpstr>
      <vt:lpstr>Ahokini</vt:lpstr>
      <vt:lpstr>Amcha</vt:lpstr>
      <vt:lpstr>Andsaudare</vt:lpstr>
      <vt:lpstr>Anymna</vt:lpstr>
      <vt:lpstr>Aplasia</vt:lpstr>
      <vt:lpstr>Arbiya</vt:lpstr>
      <vt:lpstr>Areoix Lie</vt:lpstr>
      <vt:lpstr>Ashain</vt:lpstr>
      <vt:lpstr>Astye</vt:lpstr>
      <vt:lpstr>Baluyde</vt:lpstr>
      <vt:lpstr>Byllu</vt:lpstr>
      <vt:lpstr>Candenat</vt:lpstr>
      <vt:lpstr>Canldives</vt:lpstr>
      <vt:lpstr>Chaenia</vt:lpstr>
      <vt:lpstr>Cloja</vt:lpstr>
      <vt:lpstr>Crila Republic</vt:lpstr>
      <vt:lpstr>Cruthi Anoso</vt:lpstr>
      <vt:lpstr>Curata</vt:lpstr>
      <vt:lpstr>Dahe</vt:lpstr>
      <vt:lpstr>Danocia</vt:lpstr>
      <vt:lpstr>Darewa</vt:lpstr>
      <vt:lpstr>Desaki</vt:lpstr>
      <vt:lpstr>Deschon</vt:lpstr>
      <vt:lpstr>Disal Nila</vt:lpstr>
      <vt:lpstr>Dual Cenryia</vt:lpstr>
      <vt:lpstr>Ealdorii</vt:lpstr>
      <vt:lpstr>Easuhura</vt:lpstr>
      <vt:lpstr>Eldavpir</vt:lpstr>
      <vt:lpstr>Eldjo</vt:lpstr>
      <vt:lpstr>Elja and Munusia</vt:lpstr>
      <vt:lpstr>Emara</vt:lpstr>
      <vt:lpstr>Enina</vt:lpstr>
      <vt:lpstr>Eparia</vt:lpstr>
      <vt:lpstr>Erkizil</vt:lpstr>
      <vt:lpstr>Estijan</vt:lpstr>
      <vt:lpstr>Etirha</vt:lpstr>
      <vt:lpstr>Etretes</vt:lpstr>
      <vt:lpstr>Exilium</vt:lpstr>
      <vt:lpstr>Far Lands</vt:lpstr>
      <vt:lpstr>Feio Lie</vt:lpstr>
      <vt:lpstr>Fermori</vt:lpstr>
      <vt:lpstr>Finae</vt:lpstr>
      <vt:lpstr>Fincen</vt:lpstr>
      <vt:lpstr>Fire Coast</vt:lpstr>
      <vt:lpstr>Gaeiya</vt:lpstr>
      <vt:lpstr>Galca</vt:lpstr>
      <vt:lpstr>Genaire</vt:lpstr>
      <vt:lpstr>Grazail</vt:lpstr>
      <vt:lpstr>Guise</vt:lpstr>
      <vt:lpstr>Haiza</vt:lpstr>
      <vt:lpstr>Heiso</vt:lpstr>
      <vt:lpstr>Hiwush</vt:lpstr>
      <vt:lpstr>Hkuqo</vt:lpstr>
      <vt:lpstr>Hyelen</vt:lpstr>
      <vt:lpstr>Iainoa</vt:lpstr>
      <vt:lpstr>Iareva</vt:lpstr>
      <vt:lpstr>Ihner</vt:lpstr>
      <vt:lpstr>Ikzen</vt:lpstr>
      <vt:lpstr>Ilicuhe</vt:lpstr>
      <vt:lpstr>Inania</vt:lpstr>
      <vt:lpstr>Inrea</vt:lpstr>
      <vt:lpstr>Iquir</vt:lpstr>
      <vt:lpstr>Isari</vt:lpstr>
      <vt:lpstr>Isnti</vt:lpstr>
      <vt:lpstr>Isuibul</vt:lpstr>
      <vt:lpstr>Jathua</vt:lpstr>
      <vt:lpstr>Jau</vt:lpstr>
      <vt:lpstr>Jshain</vt:lpstr>
      <vt:lpstr>Kaastini</vt:lpstr>
      <vt:lpstr>Koruch</vt:lpstr>
      <vt:lpstr>Kusierna</vt:lpstr>
      <vt:lpstr>Laselteh</vt:lpstr>
      <vt:lpstr>Lasri</vt:lpstr>
      <vt:lpstr>Letan</vt:lpstr>
      <vt:lpstr>Lieri</vt:lpstr>
      <vt:lpstr>Lycroa</vt:lpstr>
      <vt:lpstr>Lydroa</vt:lpstr>
      <vt:lpstr>Maalle</vt:lpstr>
      <vt:lpstr>Mendereide</vt:lpstr>
      <vt:lpstr>Merela Sta</vt:lpstr>
      <vt:lpstr>Mesjan Hyaa</vt:lpstr>
      <vt:lpstr>Metndria</vt:lpstr>
      <vt:lpstr>Migoku</vt:lpstr>
      <vt:lpstr>Myla</vt:lpstr>
      <vt:lpstr>New Kizura</vt:lpstr>
      <vt:lpstr>New Misos</vt:lpstr>
      <vt:lpstr>Nheyes Si</vt:lpstr>
      <vt:lpstr>Nia</vt:lpstr>
      <vt:lpstr>Niretui and Anulan</vt:lpstr>
      <vt:lpstr>Niul Spijan</vt:lpstr>
      <vt:lpstr>North Ayre</vt:lpstr>
      <vt:lpstr>Ocaun</vt:lpstr>
      <vt:lpstr>Ohtina</vt:lpstr>
      <vt:lpstr>Onphello</vt:lpstr>
      <vt:lpstr>Oscairia</vt:lpstr>
      <vt:lpstr>Othya</vt:lpstr>
      <vt:lpstr>Otiiric</vt:lpstr>
      <vt:lpstr>Oyreain</vt:lpstr>
      <vt:lpstr>Ozinia</vt:lpstr>
      <vt:lpstr>Palina</vt:lpstr>
      <vt:lpstr>Peka</vt:lpstr>
      <vt:lpstr>Pelan</vt:lpstr>
      <vt:lpstr>Pelines</vt:lpstr>
      <vt:lpstr>Pelugrotoa</vt:lpstr>
      <vt:lpstr>Pha Hii</vt:lpstr>
      <vt:lpstr>Phuris</vt:lpstr>
      <vt:lpstr>Praesyu</vt:lpstr>
      <vt:lpstr>Prstreula</vt:lpstr>
      <vt:lpstr>Pruim Fijan</vt:lpstr>
      <vt:lpstr>Prystr Hii</vt:lpstr>
      <vt:lpstr>Quidic</vt:lpstr>
      <vt:lpstr>Raledria</vt:lpstr>
      <vt:lpstr>Reerica</vt:lpstr>
      <vt:lpstr>Rethern</vt:lpstr>
      <vt:lpstr>Rijan bu</vt:lpstr>
      <vt:lpstr>Rinew</vt:lpstr>
      <vt:lpstr>Rkmepuia</vt:lpstr>
      <vt:lpstr>Rtesania</vt:lpstr>
      <vt:lpstr>Ruylku</vt:lpstr>
      <vt:lpstr>Saa</vt:lpstr>
      <vt:lpstr>Sadain</vt:lpstr>
      <vt:lpstr>Sanagara</vt:lpstr>
      <vt:lpstr>Sattle</vt:lpstr>
      <vt:lpstr>Selaja</vt:lpstr>
      <vt:lpstr>Seytinemas</vt:lpstr>
      <vt:lpstr>Shinam</vt:lpstr>
      <vt:lpstr>Shomjind</vt:lpstr>
      <vt:lpstr>Siana</vt:lpstr>
      <vt:lpstr>Sivoso</vt:lpstr>
      <vt:lpstr>Slyiaduun</vt:lpstr>
      <vt:lpstr>Stinebar</vt:lpstr>
      <vt:lpstr>Suenan</vt:lpstr>
      <vt:lpstr>Sunsokua</vt:lpstr>
      <vt:lpstr>Taing</vt:lpstr>
      <vt:lpstr>Taniduna</vt:lpstr>
      <vt:lpstr>Taoisia</vt:lpstr>
      <vt:lpstr>Taval</vt:lpstr>
      <vt:lpstr>Terressin</vt:lpstr>
      <vt:lpstr>Tomscilus</vt:lpstr>
      <vt:lpstr>Tonder</vt:lpstr>
      <vt:lpstr>Trevilla</vt:lpstr>
      <vt:lpstr>Trian</vt:lpstr>
      <vt:lpstr>Tvecoca</vt:lpstr>
      <vt:lpstr>Ucrua</vt:lpstr>
      <vt:lpstr>Ukhdari</vt:lpstr>
      <vt:lpstr>Umarcia</vt:lpstr>
      <vt:lpstr>Umendel</vt:lpstr>
      <vt:lpstr>United Delet</vt:lpstr>
      <vt:lpstr>United Mihili</vt:lpstr>
      <vt:lpstr>Urbiqu</vt:lpstr>
      <vt:lpstr>Uularin</vt:lpstr>
      <vt:lpstr>Vayvele</vt:lpstr>
      <vt:lpstr>Veelmit</vt:lpstr>
      <vt:lpstr>Verste</vt:lpstr>
      <vt:lpstr>Verusa</vt:lpstr>
      <vt:lpstr>Vesozata</vt:lpstr>
      <vt:lpstr>Viussi</vt:lpstr>
      <vt:lpstr>Volver</vt:lpstr>
      <vt:lpstr>Walporein</vt:lpstr>
      <vt:lpstr>Welenu Fana</vt:lpstr>
      <vt:lpstr>Western Migoku</vt:lpstr>
      <vt:lpstr>Wundry</vt:lpstr>
      <vt:lpstr>Yaxuto</vt:lpstr>
      <vt:lpstr>Yihnurda</vt:lpstr>
      <vt:lpstr>Yoprioq</vt:lpstr>
      <vt:lpstr>Yutnitu</vt:lpstr>
      <vt:lpstr>Zenashan</vt:lpstr>
      <vt:lpstr>Zhanshe</vt:lpstr>
      <vt:lpstr>Ztesh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Moyles</dc:creator>
  <cp:lastModifiedBy>Danny Moyles</cp:lastModifiedBy>
  <dcterms:created xsi:type="dcterms:W3CDTF">2026-07-06T20:56:44Z</dcterms:created>
  <dcterms:modified xsi:type="dcterms:W3CDTF">2026-07-07T20:30:31Z</dcterms:modified>
</cp:coreProperties>
</file>